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2.xml" ContentType="application/vnd.openxmlformats-officedocument.spreadsheetml.worksheet+xml"/>
  <Override PartName="/xl/worksheets/sheet2.xml" ContentType="application/vnd.openxmlformats-officedocument.spreadsheetml.worksheet+xml"/>
  <Override PartName="/xl/worksheets/sheet21.xml" ContentType="application/vnd.openxmlformats-officedocument.spreadsheetml.worksheet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4.xml" ContentType="application/vnd.openxmlformats-officedocument.spreadsheetml.worksheet+xml"/>
  <Override PartName="/xl/worksheets/sheet20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E:\Consultorias_I\2018\Bolivia\SPH_I\Preparacion_1198\Preparacion_11\"/>
    </mc:Choice>
  </mc:AlternateContent>
  <xr:revisionPtr revIDLastSave="0" documentId="10_ncr:8100000_{6A26F21C-62E5-4C90-B039-F8601D9AA76D}" xr6:coauthVersionLast="34" xr6:coauthVersionMax="34" xr10:uidLastSave="{00000000-0000-0000-0000-000000000000}"/>
  <bookViews>
    <workbookView xWindow="0" yWindow="0" windowWidth="15330" windowHeight="7410" tabRatio="837" activeTab="5" xr2:uid="{00000000-000D-0000-FFFF-FFFF00000000}"/>
  </bookViews>
  <sheets>
    <sheet name="DatosGenerales" sheetId="28" r:id="rId1"/>
    <sheet name="CuadroCostos" sheetId="27" r:id="rId2"/>
    <sheet name="Resumen" sheetId="3" r:id="rId3"/>
    <sheet name="Componente 1" sheetId="20" r:id="rId4"/>
    <sheet name="Componente 2" sheetId="23" r:id="rId5"/>
    <sheet name="Componente 3" sheetId="24" r:id="rId6"/>
    <sheet name="HEAN" sheetId="17" r:id="rId7"/>
    <sheet name="HEAS" sheetId="18" r:id="rId8"/>
    <sheet name="HOcuri" sheetId="19" r:id="rId9"/>
    <sheet name="HLlga" sheetId="21" r:id="rId10"/>
    <sheet name="HTNP" sheetId="22" r:id="rId11"/>
    <sheet name="Palos Blancos" sheetId="5" r:id="rId12"/>
    <sheet name="Ixiamas" sheetId="4" r:id="rId13"/>
    <sheet name="Puerto Suarez" sheetId="7" r:id="rId14"/>
    <sheet name="El Torno" sheetId="10" r:id="rId15"/>
    <sheet name="Camiri" sheetId="6" r:id="rId16"/>
    <sheet name="San Borja" sheetId="8" r:id="rId17"/>
    <sheet name="Monteagudo" sheetId="9" r:id="rId18"/>
    <sheet name="Villazón" sheetId="14" r:id="rId19"/>
    <sheet name="Tupiza" sheetId="16" r:id="rId20"/>
    <sheet name="HTNPEA" sheetId="26" r:id="rId21"/>
    <sheet name="HTNPotosi(Muestra)" sheetId="25" r:id="rId22"/>
  </sheets>
  <calcPr calcId="162913"/>
</workbook>
</file>

<file path=xl/calcChain.xml><?xml version="1.0" encoding="utf-8"?>
<calcChain xmlns="http://schemas.openxmlformats.org/spreadsheetml/2006/main">
  <c r="H8" i="24" l="1"/>
  <c r="D62" i="24"/>
  <c r="D57" i="24"/>
  <c r="H57" i="24"/>
  <c r="C57" i="24" s="1"/>
  <c r="D58" i="24"/>
  <c r="H58" i="24" s="1"/>
  <c r="C58" i="24" s="1"/>
  <c r="D59" i="24"/>
  <c r="H59" i="24" s="1"/>
  <c r="C59" i="24" s="1"/>
  <c r="D60" i="24"/>
  <c r="H60" i="24"/>
  <c r="C60" i="24" s="1"/>
  <c r="D61" i="24"/>
  <c r="H61" i="24" s="1"/>
  <c r="C61" i="24" s="1"/>
  <c r="H53" i="24"/>
  <c r="H55" i="24"/>
  <c r="D55" i="24" l="1"/>
  <c r="D54" i="24"/>
  <c r="D56" i="24"/>
  <c r="H56" i="24" s="1"/>
  <c r="H62" i="24" s="1"/>
  <c r="D53" i="24"/>
  <c r="C53" i="24" s="1"/>
  <c r="D48" i="24"/>
  <c r="H48" i="24" s="1"/>
  <c r="C48" i="24" s="1"/>
  <c r="D49" i="24"/>
  <c r="H49" i="24"/>
  <c r="C49" i="24" s="1"/>
  <c r="D50" i="24"/>
  <c r="H50" i="24" s="1"/>
  <c r="C50" i="24" s="1"/>
  <c r="D51" i="24"/>
  <c r="H51" i="24" s="1"/>
  <c r="C51" i="24" s="1"/>
  <c r="D52" i="24"/>
  <c r="H28" i="24"/>
  <c r="D47" i="24"/>
  <c r="H47" i="24" s="1"/>
  <c r="C47" i="24" s="1"/>
  <c r="H54" i="24" l="1"/>
  <c r="C54" i="24" s="1"/>
  <c r="H52" i="24"/>
  <c r="C52" i="24" s="1"/>
  <c r="C55" i="24"/>
  <c r="C56" i="24"/>
  <c r="C62" i="24" s="1"/>
  <c r="B79" i="3"/>
  <c r="D83" i="3" l="1"/>
  <c r="D72" i="3"/>
  <c r="D74" i="3"/>
  <c r="B74" i="3"/>
  <c r="D75" i="3"/>
  <c r="B75" i="3"/>
  <c r="D70" i="3"/>
  <c r="B54" i="27"/>
  <c r="C49" i="27"/>
  <c r="D49" i="27" s="1"/>
  <c r="C48" i="27"/>
  <c r="D48" i="27" s="1"/>
  <c r="B49" i="27"/>
  <c r="B48" i="27"/>
  <c r="B47" i="27"/>
  <c r="H123" i="24"/>
  <c r="H121" i="24" s="1"/>
  <c r="C47" i="27" s="1"/>
  <c r="C42" i="27"/>
  <c r="C41" i="27"/>
  <c r="D41" i="27" s="1"/>
  <c r="B42" i="27"/>
  <c r="B41" i="27"/>
  <c r="B40" i="27"/>
  <c r="C51" i="23"/>
  <c r="C56" i="23" s="1"/>
  <c r="H69" i="23"/>
  <c r="H67" i="23" s="1"/>
  <c r="H64" i="23"/>
  <c r="H62" i="23" s="1"/>
  <c r="G71" i="23"/>
  <c r="D71" i="23"/>
  <c r="C71" i="23"/>
  <c r="H71" i="23"/>
  <c r="F56" i="23"/>
  <c r="E56" i="23"/>
  <c r="G56" i="23"/>
  <c r="H51" i="23"/>
  <c r="D50" i="23"/>
  <c r="D56" i="23" s="1"/>
  <c r="C39" i="27"/>
  <c r="D39" i="27" s="1"/>
  <c r="B39" i="27"/>
  <c r="C23" i="27"/>
  <c r="D23" i="27" s="1"/>
  <c r="C22" i="27"/>
  <c r="D22" i="27" s="1"/>
  <c r="D21" i="27" s="1"/>
  <c r="B23" i="27"/>
  <c r="B22" i="27"/>
  <c r="B21" i="27"/>
  <c r="C20" i="27"/>
  <c r="B20" i="27"/>
  <c r="C19" i="27"/>
  <c r="B19" i="27"/>
  <c r="C18" i="27"/>
  <c r="B18" i="27"/>
  <c r="C17" i="27"/>
  <c r="B17" i="27"/>
  <c r="B15" i="27"/>
  <c r="C15" i="27"/>
  <c r="C14" i="27"/>
  <c r="B14" i="27"/>
  <c r="C13" i="27"/>
  <c r="B13" i="27"/>
  <c r="C11" i="27"/>
  <c r="D11" i="27" s="1"/>
  <c r="B11" i="27"/>
  <c r="C12" i="27"/>
  <c r="C10" i="27"/>
  <c r="O27" i="20"/>
  <c r="O24" i="20"/>
  <c r="O5" i="20"/>
  <c r="O15" i="20"/>
  <c r="O20" i="20"/>
  <c r="C40" i="27" l="1"/>
  <c r="C21" i="27"/>
  <c r="D42" i="27"/>
  <c r="D40" i="27" s="1"/>
  <c r="H61" i="23"/>
  <c r="H50" i="23"/>
  <c r="H56" i="23" s="1"/>
  <c r="H48" i="23" s="1"/>
  <c r="C8" i="27"/>
  <c r="C7" i="27"/>
  <c r="S59" i="20" l="1"/>
  <c r="X59" i="20" s="1"/>
  <c r="Y58" i="20"/>
  <c r="X58" i="20"/>
  <c r="S58" i="20"/>
  <c r="T57" i="20"/>
  <c r="X57" i="20" s="1"/>
  <c r="X53" i="20"/>
  <c r="AA53" i="20" s="1"/>
  <c r="Z53" i="20" s="1"/>
  <c r="X52" i="20"/>
  <c r="AA52" i="20" s="1"/>
  <c r="Z52" i="20" s="1"/>
  <c r="Y50" i="20"/>
  <c r="X50" i="20"/>
  <c r="S50" i="20"/>
  <c r="Y49" i="20"/>
  <c r="X49" i="20"/>
  <c r="X48" i="20"/>
  <c r="S48" i="20"/>
  <c r="Y48" i="20" s="1"/>
  <c r="Y47" i="20"/>
  <c r="X47" i="20"/>
  <c r="Y46" i="20"/>
  <c r="X46" i="20"/>
  <c r="AA46" i="20" s="1"/>
  <c r="Z46" i="20" s="1"/>
  <c r="X45" i="20"/>
  <c r="Y45" i="20" s="1"/>
  <c r="Y44" i="20"/>
  <c r="X44" i="20"/>
  <c r="X43" i="20"/>
  <c r="AA41" i="20" s="1"/>
  <c r="Z41" i="20" s="1"/>
  <c r="S43" i="20"/>
  <c r="Y42" i="20"/>
  <c r="X42" i="20"/>
  <c r="Y41" i="20"/>
  <c r="X41" i="20"/>
  <c r="S37" i="20"/>
  <c r="X37" i="20" s="1"/>
  <c r="X36" i="20"/>
  <c r="Y36" i="20" s="1"/>
  <c r="X35" i="20"/>
  <c r="Y35" i="20" s="1"/>
  <c r="S35" i="20"/>
  <c r="Y34" i="20"/>
  <c r="X34" i="20"/>
  <c r="AA34" i="20" s="1"/>
  <c r="Z34" i="20" s="1"/>
  <c r="S34" i="20"/>
  <c r="X33" i="20"/>
  <c r="X32" i="20"/>
  <c r="X31" i="20"/>
  <c r="Y31" i="20" s="1"/>
  <c r="S31" i="20"/>
  <c r="S32" i="20" s="1"/>
  <c r="Y32" i="20" s="1"/>
  <c r="Y30" i="20"/>
  <c r="X30" i="20"/>
  <c r="AA30" i="20" s="1"/>
  <c r="Z30" i="20" s="1"/>
  <c r="S30" i="20"/>
  <c r="X29" i="20"/>
  <c r="Y28" i="20"/>
  <c r="X28" i="20"/>
  <c r="Y27" i="20"/>
  <c r="X27" i="20"/>
  <c r="AA27" i="20" s="1"/>
  <c r="Z27" i="20" s="1"/>
  <c r="Y26" i="20"/>
  <c r="X26" i="20"/>
  <c r="AA26" i="20" s="1"/>
  <c r="Z26" i="20" s="1"/>
  <c r="Y25" i="20"/>
  <c r="X25" i="20"/>
  <c r="AA24" i="20"/>
  <c r="Z24" i="20" s="1"/>
  <c r="Y24" i="20"/>
  <c r="X24" i="20"/>
  <c r="X23" i="20"/>
  <c r="X22" i="20"/>
  <c r="Y21" i="20"/>
  <c r="X21" i="20"/>
  <c r="S21" i="20"/>
  <c r="X20" i="20"/>
  <c r="Y20" i="20" s="1"/>
  <c r="Y19" i="20"/>
  <c r="X19" i="20"/>
  <c r="S19" i="20"/>
  <c r="S23" i="20" s="1"/>
  <c r="Y23" i="20" s="1"/>
  <c r="X17" i="20"/>
  <c r="Y17" i="20" s="1"/>
  <c r="X16" i="20"/>
  <c r="Y16" i="20" s="1"/>
  <c r="S16" i="20"/>
  <c r="AD15" i="20"/>
  <c r="X15" i="20"/>
  <c r="AA15" i="20" s="1"/>
  <c r="S15" i="20"/>
  <c r="S13" i="20"/>
  <c r="X13" i="20" s="1"/>
  <c r="Y13" i="20" s="1"/>
  <c r="X12" i="20"/>
  <c r="Y12" i="20" s="1"/>
  <c r="X11" i="20"/>
  <c r="Y11" i="20" s="1"/>
  <c r="AD10" i="20"/>
  <c r="Y10" i="20"/>
  <c r="X10" i="20"/>
  <c r="AE9" i="20"/>
  <c r="AD8" i="20"/>
  <c r="Y8" i="20"/>
  <c r="X8" i="20"/>
  <c r="Y7" i="20"/>
  <c r="X7" i="20"/>
  <c r="Y6" i="20"/>
  <c r="X6" i="20"/>
  <c r="AD5" i="20"/>
  <c r="X5" i="20"/>
  <c r="AA5" i="20" s="1"/>
  <c r="AA20" i="20" l="1"/>
  <c r="Z20" i="20" s="1"/>
  <c r="Y37" i="20"/>
  <c r="AA37" i="20"/>
  <c r="Z37" i="20" s="1"/>
  <c r="Y57" i="20"/>
  <c r="AA57" i="20"/>
  <c r="Z57" i="20" s="1"/>
  <c r="Y59" i="20"/>
  <c r="AA59" i="20"/>
  <c r="Z59" i="20" s="1"/>
  <c r="Y5" i="20"/>
  <c r="Y15" i="20"/>
  <c r="Y22" i="20"/>
  <c r="Y43" i="20"/>
  <c r="Y52" i="20"/>
  <c r="Y53" i="20"/>
  <c r="Z5" i="20"/>
  <c r="Z15" i="20"/>
  <c r="P5" i="20"/>
  <c r="C9" i="27" l="1"/>
  <c r="AA60" i="20"/>
  <c r="H6" i="20"/>
  <c r="C7" i="20"/>
  <c r="H7" i="20"/>
  <c r="H89" i="24" l="1"/>
  <c r="D47" i="27"/>
  <c r="H99" i="24"/>
  <c r="B51" i="27"/>
  <c r="B53" i="27"/>
  <c r="B50" i="27"/>
  <c r="B45" i="27"/>
  <c r="B44" i="27"/>
  <c r="C37" i="27" l="1"/>
  <c r="I76" i="24"/>
  <c r="J97" i="24"/>
  <c r="H97" i="24"/>
  <c r="H95" i="24" s="1"/>
  <c r="J83" i="24"/>
  <c r="G70" i="24"/>
  <c r="D70" i="24"/>
  <c r="H69" i="24"/>
  <c r="H68" i="24"/>
  <c r="C68" i="24" s="1"/>
  <c r="H67" i="24"/>
  <c r="H27" i="24"/>
  <c r="C27" i="24" s="1"/>
  <c r="G30" i="24"/>
  <c r="D30" i="24"/>
  <c r="H29" i="24"/>
  <c r="C28" i="24"/>
  <c r="H70" i="24" l="1"/>
  <c r="H65" i="24" s="1"/>
  <c r="C67" i="24"/>
  <c r="C70" i="24" s="1"/>
  <c r="C30" i="24"/>
  <c r="H30" i="24"/>
  <c r="H25" i="24" s="1"/>
  <c r="D35" i="24"/>
  <c r="D36" i="24"/>
  <c r="D37" i="24"/>
  <c r="D38" i="24"/>
  <c r="D39" i="24"/>
  <c r="D40" i="24"/>
  <c r="D41" i="24"/>
  <c r="D42" i="24"/>
  <c r="H42" i="24" s="1"/>
  <c r="C42" i="24" s="1"/>
  <c r="D43" i="24"/>
  <c r="H43" i="24" s="1"/>
  <c r="C43" i="24" s="1"/>
  <c r="D44" i="24"/>
  <c r="H44" i="24" s="1"/>
  <c r="C44" i="24" s="1"/>
  <c r="D45" i="24"/>
  <c r="D46" i="24"/>
  <c r="D34" i="24"/>
  <c r="D9" i="24"/>
  <c r="D10" i="24"/>
  <c r="D11" i="24"/>
  <c r="D12" i="24"/>
  <c r="D13" i="24"/>
  <c r="D14" i="24"/>
  <c r="D15" i="24"/>
  <c r="D16" i="24"/>
  <c r="D17" i="24"/>
  <c r="H17" i="24" s="1"/>
  <c r="C17" i="24" s="1"/>
  <c r="D18" i="24"/>
  <c r="H18" i="24" s="1"/>
  <c r="C18" i="24" s="1"/>
  <c r="D19" i="24"/>
  <c r="H19" i="24" s="1"/>
  <c r="C19" i="24" s="1"/>
  <c r="D20" i="24"/>
  <c r="H20" i="24" s="1"/>
  <c r="C20" i="24" s="1"/>
  <c r="D21" i="24"/>
  <c r="H21" i="24" s="1"/>
  <c r="D8" i="24"/>
  <c r="B32" i="27" l="1"/>
  <c r="B38" i="27" l="1"/>
  <c r="B37" i="27"/>
  <c r="B36" i="27"/>
  <c r="B35" i="27"/>
  <c r="B43" i="27"/>
  <c r="B34" i="27"/>
  <c r="B33" i="27"/>
  <c r="B31" i="27"/>
  <c r="B30" i="27"/>
  <c r="B29" i="27"/>
  <c r="B28" i="27"/>
  <c r="B27" i="27"/>
  <c r="B26" i="27"/>
  <c r="B25" i="27"/>
  <c r="B24" i="27"/>
  <c r="B16" i="27"/>
  <c r="B12" i="27"/>
  <c r="B10" i="27"/>
  <c r="B9" i="27"/>
  <c r="B8" i="27"/>
  <c r="B7" i="27"/>
  <c r="B6" i="27"/>
  <c r="B5" i="27"/>
  <c r="B3" i="27"/>
  <c r="B1" i="3"/>
  <c r="H38" i="23" l="1"/>
  <c r="D37" i="27" s="1"/>
  <c r="H42" i="23"/>
  <c r="G40" i="23"/>
  <c r="E41" i="23"/>
  <c r="D37" i="23"/>
  <c r="K99" i="20"/>
  <c r="L99" i="20" s="1"/>
  <c r="K91" i="20"/>
  <c r="L91" i="20" s="1"/>
  <c r="K83" i="20"/>
  <c r="L83" i="20" s="1"/>
  <c r="K75" i="20"/>
  <c r="L75" i="20" s="1"/>
  <c r="D101" i="20"/>
  <c r="C101" i="20"/>
  <c r="D96" i="20" s="1"/>
  <c r="H100" i="20"/>
  <c r="H99" i="20"/>
  <c r="H98" i="20"/>
  <c r="D93" i="20"/>
  <c r="C93" i="20"/>
  <c r="D88" i="20" s="1"/>
  <c r="H92" i="20"/>
  <c r="H90" i="20"/>
  <c r="D85" i="20"/>
  <c r="C85" i="20"/>
  <c r="D80" i="20" s="1"/>
  <c r="H84" i="20"/>
  <c r="H83" i="20"/>
  <c r="H82" i="20"/>
  <c r="D77" i="20"/>
  <c r="H76" i="20"/>
  <c r="H75" i="20"/>
  <c r="H74" i="20"/>
  <c r="C77" i="20"/>
  <c r="D72" i="20" s="1"/>
  <c r="K67" i="20"/>
  <c r="L67" i="20" s="1"/>
  <c r="K66" i="20"/>
  <c r="L66" i="20" s="1"/>
  <c r="D68" i="20"/>
  <c r="C68" i="20"/>
  <c r="D63" i="20" s="1"/>
  <c r="H67" i="20"/>
  <c r="H66" i="20"/>
  <c r="H65" i="20"/>
  <c r="K58" i="20"/>
  <c r="L58" i="20" s="1"/>
  <c r="D60" i="20"/>
  <c r="C60" i="20"/>
  <c r="D55" i="20" s="1"/>
  <c r="H59" i="20"/>
  <c r="H58" i="20"/>
  <c r="H57" i="20"/>
  <c r="K50" i="20"/>
  <c r="L50" i="20" s="1"/>
  <c r="D52" i="20"/>
  <c r="C52" i="20"/>
  <c r="H51" i="20"/>
  <c r="H50" i="20"/>
  <c r="H49" i="20"/>
  <c r="K42" i="20"/>
  <c r="L42" i="20" s="1"/>
  <c r="J42" i="20"/>
  <c r="H60" i="20" l="1"/>
  <c r="H55" i="20" s="1"/>
  <c r="D14" i="27" s="1"/>
  <c r="H77" i="20"/>
  <c r="H72" i="20" s="1"/>
  <c r="H85" i="20"/>
  <c r="H80" i="20" s="1"/>
  <c r="D18" i="27" s="1"/>
  <c r="H52" i="20"/>
  <c r="H47" i="20" s="1"/>
  <c r="D13" i="27" s="1"/>
  <c r="H93" i="20"/>
  <c r="H88" i="20" s="1"/>
  <c r="D19" i="27" s="1"/>
  <c r="H101" i="20"/>
  <c r="H96" i="20" s="1"/>
  <c r="D20" i="27" s="1"/>
  <c r="H68" i="20"/>
  <c r="H63" i="20" s="1"/>
  <c r="D15" i="27" s="1"/>
  <c r="D17" i="27" l="1"/>
  <c r="D16" i="27" s="1"/>
  <c r="C16" i="27"/>
  <c r="H71" i="20"/>
  <c r="D44" i="20"/>
  <c r="C44" i="20"/>
  <c r="D39" i="20" s="1"/>
  <c r="H43" i="20"/>
  <c r="H42" i="20"/>
  <c r="H41" i="20"/>
  <c r="K35" i="20"/>
  <c r="L35" i="20" s="1"/>
  <c r="J35" i="20"/>
  <c r="D36" i="20"/>
  <c r="C36" i="20"/>
  <c r="H35" i="20"/>
  <c r="H34" i="20"/>
  <c r="H33" i="20"/>
  <c r="K27" i="20"/>
  <c r="L27" i="20" s="1"/>
  <c r="J27" i="20"/>
  <c r="D28" i="20"/>
  <c r="C28" i="20"/>
  <c r="H27" i="20"/>
  <c r="H26" i="20"/>
  <c r="H25" i="20"/>
  <c r="K19" i="20"/>
  <c r="L19" i="20" s="1"/>
  <c r="H18" i="20"/>
  <c r="H19" i="20"/>
  <c r="J19" i="20"/>
  <c r="H17" i="20"/>
  <c r="H19" i="25"/>
  <c r="H18" i="25"/>
  <c r="H17" i="25"/>
  <c r="H15" i="25"/>
  <c r="H14" i="25"/>
  <c r="H8" i="20"/>
  <c r="H9" i="20"/>
  <c r="H10" i="20"/>
  <c r="H11" i="20"/>
  <c r="H44" i="20" l="1"/>
  <c r="H39" i="20" s="1"/>
  <c r="D12" i="27" s="1"/>
  <c r="H36" i="20"/>
  <c r="H31" i="20" s="1"/>
  <c r="D10" i="27" s="1"/>
  <c r="H28" i="20"/>
  <c r="H23" i="20" s="1"/>
  <c r="D9" i="27" s="1"/>
  <c r="H20" i="20"/>
  <c r="H15" i="20" s="1"/>
  <c r="D8" i="27" s="1"/>
  <c r="C14" i="3"/>
  <c r="F14" i="3" s="1"/>
  <c r="H131" i="24"/>
  <c r="G140" i="24"/>
  <c r="D140" i="24"/>
  <c r="C140" i="24"/>
  <c r="H138" i="24"/>
  <c r="H137" i="24"/>
  <c r="G132" i="24"/>
  <c r="D132" i="24"/>
  <c r="C132" i="24"/>
  <c r="H130" i="24"/>
  <c r="H129" i="24"/>
  <c r="H119" i="24"/>
  <c r="H117" i="24" s="1"/>
  <c r="G113" i="24"/>
  <c r="D113" i="24"/>
  <c r="C113" i="24"/>
  <c r="H110" i="24"/>
  <c r="G105" i="24"/>
  <c r="D105" i="24"/>
  <c r="C105" i="24"/>
  <c r="H103" i="24"/>
  <c r="H102" i="24"/>
  <c r="H105" i="24" s="1"/>
  <c r="H100" i="24" s="1"/>
  <c r="H92" i="24"/>
  <c r="H90" i="24" s="1"/>
  <c r="D86" i="24"/>
  <c r="G86" i="24"/>
  <c r="H85" i="24"/>
  <c r="H84" i="24"/>
  <c r="H83" i="24"/>
  <c r="D78" i="24"/>
  <c r="H76" i="24"/>
  <c r="H46" i="24"/>
  <c r="C46" i="24" s="1"/>
  <c r="H45" i="24"/>
  <c r="C45" i="24" s="1"/>
  <c r="H41" i="24"/>
  <c r="C41" i="24" s="1"/>
  <c r="H40" i="24"/>
  <c r="C40" i="24" s="1"/>
  <c r="H39" i="24"/>
  <c r="C39" i="24" s="1"/>
  <c r="H38" i="24"/>
  <c r="C38" i="24" s="1"/>
  <c r="H37" i="24"/>
  <c r="C37" i="24" s="1"/>
  <c r="H36" i="24"/>
  <c r="C36" i="24" s="1"/>
  <c r="H35" i="24"/>
  <c r="H34" i="24"/>
  <c r="C21" i="24"/>
  <c r="D22" i="24"/>
  <c r="C35" i="24" l="1"/>
  <c r="H32" i="24"/>
  <c r="H116" i="24"/>
  <c r="C54" i="27"/>
  <c r="D54" i="27" s="1"/>
  <c r="C29" i="3"/>
  <c r="F29" i="3" s="1"/>
  <c r="C86" i="24"/>
  <c r="C46" i="27"/>
  <c r="H86" i="24"/>
  <c r="H81" i="24" s="1"/>
  <c r="H113" i="24"/>
  <c r="H108" i="24" s="1"/>
  <c r="H140" i="24"/>
  <c r="H135" i="24" s="1"/>
  <c r="H132" i="24"/>
  <c r="H127" i="24" s="1"/>
  <c r="H78" i="24"/>
  <c r="C76" i="24"/>
  <c r="C78" i="24" s="1"/>
  <c r="C34" i="24"/>
  <c r="H9" i="24"/>
  <c r="C9" i="24" s="1"/>
  <c r="H10" i="24"/>
  <c r="C10" i="24" s="1"/>
  <c r="H11" i="24"/>
  <c r="C11" i="24" s="1"/>
  <c r="H12" i="24"/>
  <c r="C12" i="24" s="1"/>
  <c r="H13" i="24"/>
  <c r="C13" i="24" s="1"/>
  <c r="H14" i="24"/>
  <c r="C14" i="24" s="1"/>
  <c r="H15" i="24"/>
  <c r="C15" i="24" s="1"/>
  <c r="H16" i="24"/>
  <c r="C16" i="24" s="1"/>
  <c r="D46" i="27" l="1"/>
  <c r="C51" i="27"/>
  <c r="H79" i="24"/>
  <c r="H74" i="24"/>
  <c r="C8" i="24"/>
  <c r="C22" i="24" s="1"/>
  <c r="H22" i="24"/>
  <c r="H5" i="24" s="1"/>
  <c r="I24" i="20"/>
  <c r="D51" i="27" l="1"/>
  <c r="D55" i="27"/>
  <c r="H6" i="24"/>
  <c r="H3" i="24" s="1"/>
  <c r="I3" i="24" s="1"/>
  <c r="H73" i="24"/>
  <c r="H23" i="24"/>
  <c r="J34" i="23"/>
  <c r="G30" i="23"/>
  <c r="C30" i="23"/>
  <c r="E30" i="23"/>
  <c r="D30" i="23"/>
  <c r="C28" i="23"/>
  <c r="C27" i="23"/>
  <c r="C26" i="23"/>
  <c r="C25" i="23"/>
  <c r="C24" i="23"/>
  <c r="C23" i="23"/>
  <c r="C29" i="23"/>
  <c r="C22" i="23"/>
  <c r="C104" i="3"/>
  <c r="H104" i="3" s="1"/>
  <c r="B104" i="3"/>
  <c r="C61" i="3"/>
  <c r="C60" i="3"/>
  <c r="C58" i="3"/>
  <c r="C57" i="3"/>
  <c r="C56" i="3"/>
  <c r="C54" i="3"/>
  <c r="H39" i="16"/>
  <c r="H39" i="14"/>
  <c r="H39" i="9"/>
  <c r="H39" i="8"/>
  <c r="H39" i="6"/>
  <c r="H39" i="10"/>
  <c r="H39" i="7"/>
  <c r="H39" i="4"/>
  <c r="C55" i="3"/>
  <c r="H55" i="3" s="1"/>
  <c r="G29" i="23" s="1"/>
  <c r="H39" i="5"/>
  <c r="K4" i="5"/>
  <c r="J35" i="5"/>
  <c r="C53" i="27" l="1"/>
  <c r="H4" i="24"/>
  <c r="H2" i="24" s="1"/>
  <c r="I1" i="24" s="1"/>
  <c r="C45" i="27"/>
  <c r="D55" i="3"/>
  <c r="D29" i="23" s="1"/>
  <c r="E55" i="3"/>
  <c r="E29" i="23" s="1"/>
  <c r="I37" i="23"/>
  <c r="K37" i="23" s="1"/>
  <c r="H30" i="23"/>
  <c r="C34" i="27" s="1"/>
  <c r="D20" i="20"/>
  <c r="C20" i="20"/>
  <c r="C8" i="20"/>
  <c r="D12" i="20"/>
  <c r="D53" i="27" l="1"/>
  <c r="D50" i="27" s="1"/>
  <c r="C50" i="27"/>
  <c r="C44" i="27"/>
  <c r="D45" i="27"/>
  <c r="D44" i="27" s="1"/>
  <c r="D34" i="27"/>
  <c r="H12" i="20"/>
  <c r="H4" i="20" s="1"/>
  <c r="C12" i="20"/>
  <c r="G97" i="3"/>
  <c r="B96" i="3"/>
  <c r="B97" i="3"/>
  <c r="B98" i="3"/>
  <c r="B99" i="3"/>
  <c r="B100" i="3"/>
  <c r="B101" i="3"/>
  <c r="B102" i="3"/>
  <c r="B103" i="3"/>
  <c r="B95" i="3"/>
  <c r="B73" i="3"/>
  <c r="B72" i="3"/>
  <c r="B70" i="3"/>
  <c r="D45" i="16"/>
  <c r="H28" i="16"/>
  <c r="H27" i="16"/>
  <c r="H26" i="16"/>
  <c r="H25" i="16"/>
  <c r="H24" i="16"/>
  <c r="H23" i="16"/>
  <c r="H21" i="16"/>
  <c r="H20" i="16"/>
  <c r="H19" i="16"/>
  <c r="H18" i="16"/>
  <c r="H17" i="16"/>
  <c r="H16" i="16"/>
  <c r="H14" i="16"/>
  <c r="H13" i="16"/>
  <c r="H12" i="16"/>
  <c r="H10" i="16"/>
  <c r="H8" i="16"/>
  <c r="H6" i="16"/>
  <c r="H5" i="16"/>
  <c r="H4" i="16"/>
  <c r="D45" i="14"/>
  <c r="H28" i="14"/>
  <c r="H27" i="14"/>
  <c r="H26" i="14"/>
  <c r="H25" i="14"/>
  <c r="H24" i="14"/>
  <c r="H23" i="14"/>
  <c r="H21" i="14"/>
  <c r="H20" i="14"/>
  <c r="H19" i="14"/>
  <c r="H18" i="14"/>
  <c r="H17" i="14"/>
  <c r="H16" i="14"/>
  <c r="H14" i="14"/>
  <c r="H13" i="14"/>
  <c r="H12" i="14"/>
  <c r="H10" i="14"/>
  <c r="H8" i="14"/>
  <c r="H6" i="14"/>
  <c r="H5" i="14"/>
  <c r="H4" i="14"/>
  <c r="D45" i="9"/>
  <c r="H28" i="9"/>
  <c r="H27" i="9"/>
  <c r="H26" i="9"/>
  <c r="H25" i="9"/>
  <c r="H24" i="9"/>
  <c r="H23" i="9"/>
  <c r="H21" i="9"/>
  <c r="H20" i="9"/>
  <c r="H19" i="9"/>
  <c r="H18" i="9"/>
  <c r="H17" i="9"/>
  <c r="H16" i="9"/>
  <c r="H14" i="9"/>
  <c r="H13" i="9"/>
  <c r="H12" i="9"/>
  <c r="H10" i="9"/>
  <c r="H8" i="9"/>
  <c r="H6" i="9"/>
  <c r="H5" i="9"/>
  <c r="H4" i="9"/>
  <c r="H30" i="9" s="1"/>
  <c r="D45" i="8"/>
  <c r="H28" i="8"/>
  <c r="H27" i="8"/>
  <c r="H26" i="8"/>
  <c r="H25" i="8"/>
  <c r="H24" i="8"/>
  <c r="H23" i="8"/>
  <c r="H21" i="8"/>
  <c r="H20" i="8"/>
  <c r="H19" i="8"/>
  <c r="H18" i="8"/>
  <c r="H17" i="8"/>
  <c r="H16" i="8"/>
  <c r="H14" i="8"/>
  <c r="H13" i="8"/>
  <c r="H12" i="8"/>
  <c r="H10" i="8"/>
  <c r="H8" i="8"/>
  <c r="H6" i="8"/>
  <c r="H5" i="8"/>
  <c r="H4" i="8"/>
  <c r="D45" i="6"/>
  <c r="H28" i="6"/>
  <c r="H27" i="6"/>
  <c r="H26" i="6"/>
  <c r="H25" i="6"/>
  <c r="H24" i="6"/>
  <c r="H23" i="6"/>
  <c r="H21" i="6"/>
  <c r="H20" i="6"/>
  <c r="H19" i="6"/>
  <c r="H18" i="6"/>
  <c r="H17" i="6"/>
  <c r="H16" i="6"/>
  <c r="H14" i="6"/>
  <c r="H13" i="6"/>
  <c r="H12" i="6"/>
  <c r="H10" i="6"/>
  <c r="H8" i="6"/>
  <c r="H6" i="6"/>
  <c r="H5" i="6"/>
  <c r="H4" i="6"/>
  <c r="D45" i="10"/>
  <c r="H28" i="10"/>
  <c r="H27" i="10"/>
  <c r="H26" i="10"/>
  <c r="H25" i="10"/>
  <c r="H24" i="10"/>
  <c r="H23" i="10"/>
  <c r="H21" i="10"/>
  <c r="H20" i="10"/>
  <c r="H19" i="10"/>
  <c r="H18" i="10"/>
  <c r="H17" i="10"/>
  <c r="H16" i="10"/>
  <c r="H14" i="10"/>
  <c r="H13" i="10"/>
  <c r="H12" i="10"/>
  <c r="H10" i="10"/>
  <c r="H8" i="10"/>
  <c r="H6" i="10"/>
  <c r="H5" i="10"/>
  <c r="H4" i="10"/>
  <c r="D45" i="7"/>
  <c r="H28" i="7"/>
  <c r="H27" i="7"/>
  <c r="H26" i="7"/>
  <c r="H25" i="7"/>
  <c r="H24" i="7"/>
  <c r="H23" i="7"/>
  <c r="H21" i="7"/>
  <c r="H20" i="7"/>
  <c r="H19" i="7"/>
  <c r="H18" i="7"/>
  <c r="H17" i="7"/>
  <c r="H16" i="7"/>
  <c r="H14" i="7"/>
  <c r="H13" i="7"/>
  <c r="H12" i="7"/>
  <c r="H10" i="7"/>
  <c r="H8" i="7"/>
  <c r="H6" i="7"/>
  <c r="H5" i="7"/>
  <c r="H4" i="7"/>
  <c r="H30" i="7" s="1"/>
  <c r="D45" i="4"/>
  <c r="H28" i="4"/>
  <c r="H27" i="4"/>
  <c r="H26" i="4"/>
  <c r="H25" i="4"/>
  <c r="H24" i="4"/>
  <c r="H23" i="4"/>
  <c r="H21" i="4"/>
  <c r="H20" i="4"/>
  <c r="H19" i="4"/>
  <c r="H18" i="4"/>
  <c r="H17" i="4"/>
  <c r="H16" i="4"/>
  <c r="H14" i="4"/>
  <c r="H13" i="4"/>
  <c r="H12" i="4"/>
  <c r="H10" i="4"/>
  <c r="H8" i="4"/>
  <c r="H6" i="4"/>
  <c r="H5" i="4"/>
  <c r="H4" i="4"/>
  <c r="E43" i="23"/>
  <c r="F43" i="23"/>
  <c r="G43" i="23"/>
  <c r="H37" i="23"/>
  <c r="C36" i="27" s="1"/>
  <c r="D43" i="23"/>
  <c r="C41" i="23"/>
  <c r="H41" i="23" s="1"/>
  <c r="C40" i="23"/>
  <c r="H40" i="23" s="1"/>
  <c r="C39" i="23"/>
  <c r="H39" i="23" s="1"/>
  <c r="C38" i="27" s="1"/>
  <c r="H10" i="23"/>
  <c r="C9" i="23"/>
  <c r="H9" i="23" s="1"/>
  <c r="C30" i="27" s="1"/>
  <c r="C8" i="23"/>
  <c r="H8" i="23" s="1"/>
  <c r="C29" i="27" s="1"/>
  <c r="C7" i="23"/>
  <c r="H7" i="23" s="1"/>
  <c r="C28" i="27" s="1"/>
  <c r="C6" i="23"/>
  <c r="H6" i="23" s="1"/>
  <c r="C27" i="27" s="1"/>
  <c r="C5" i="23"/>
  <c r="D11" i="23"/>
  <c r="G41" i="22"/>
  <c r="G20" i="22"/>
  <c r="G19" i="22"/>
  <c r="G18" i="22"/>
  <c r="G17" i="22"/>
  <c r="G33" i="22"/>
  <c r="G32" i="22"/>
  <c r="G25" i="22"/>
  <c r="G26" i="22" s="1"/>
  <c r="E25" i="21"/>
  <c r="G25" i="21" s="1"/>
  <c r="G26" i="21" s="1"/>
  <c r="G36" i="21"/>
  <c r="G32" i="21"/>
  <c r="G41" i="19"/>
  <c r="D43" i="27" l="1"/>
  <c r="C43" i="27"/>
  <c r="D79" i="3" s="1"/>
  <c r="D36" i="27"/>
  <c r="C35" i="27"/>
  <c r="H3" i="20"/>
  <c r="H2" i="20" s="1"/>
  <c r="D38" i="27"/>
  <c r="D27" i="27"/>
  <c r="D29" i="27"/>
  <c r="D28" i="27"/>
  <c r="D30" i="27"/>
  <c r="H30" i="16"/>
  <c r="H30" i="14"/>
  <c r="H30" i="8"/>
  <c r="H30" i="6"/>
  <c r="H30" i="10"/>
  <c r="H30" i="4"/>
  <c r="H32" i="16"/>
  <c r="H31" i="16"/>
  <c r="H34" i="16"/>
  <c r="H35" i="16"/>
  <c r="I39" i="16"/>
  <c r="H32" i="14"/>
  <c r="H31" i="14"/>
  <c r="H34" i="14"/>
  <c r="H35" i="14"/>
  <c r="I39" i="14"/>
  <c r="H32" i="9"/>
  <c r="H34" i="9"/>
  <c r="H31" i="9"/>
  <c r="H35" i="9"/>
  <c r="I39" i="9"/>
  <c r="H32" i="8"/>
  <c r="H35" i="8"/>
  <c r="H34" i="8"/>
  <c r="H31" i="8"/>
  <c r="H37" i="8" s="1"/>
  <c r="H42" i="8" s="1"/>
  <c r="I39" i="8"/>
  <c r="H32" i="6"/>
  <c r="H31" i="6"/>
  <c r="H37" i="6" s="1"/>
  <c r="H42" i="6" s="1"/>
  <c r="H35" i="6"/>
  <c r="I39" i="6"/>
  <c r="H34" i="6"/>
  <c r="H32" i="10"/>
  <c r="H31" i="10"/>
  <c r="H37" i="10" s="1"/>
  <c r="H42" i="10" s="1"/>
  <c r="H35" i="10"/>
  <c r="I39" i="10"/>
  <c r="H34" i="10"/>
  <c r="H32" i="7"/>
  <c r="I39" i="7"/>
  <c r="H31" i="7"/>
  <c r="H37" i="7" s="1"/>
  <c r="H42" i="7" s="1"/>
  <c r="H35" i="7"/>
  <c r="H34" i="7"/>
  <c r="H32" i="4"/>
  <c r="H31" i="4"/>
  <c r="H37" i="4" s="1"/>
  <c r="H42" i="4" s="1"/>
  <c r="H35" i="4"/>
  <c r="I39" i="4"/>
  <c r="H34" i="4"/>
  <c r="H43" i="23"/>
  <c r="H35" i="23" s="1"/>
  <c r="C43" i="23"/>
  <c r="C11" i="23"/>
  <c r="H5" i="23"/>
  <c r="G21" i="22"/>
  <c r="G36" i="22"/>
  <c r="G41" i="21"/>
  <c r="G39" i="21"/>
  <c r="D45" i="5"/>
  <c r="G53" i="3"/>
  <c r="D78" i="3" l="1"/>
  <c r="D35" i="27"/>
  <c r="D7" i="27"/>
  <c r="D6" i="27" s="1"/>
  <c r="D5" i="27" s="1"/>
  <c r="C6" i="27"/>
  <c r="C5" i="27" s="1"/>
  <c r="D69" i="3" s="1"/>
  <c r="H11" i="23"/>
  <c r="H3" i="23" s="1"/>
  <c r="C26" i="27"/>
  <c r="H37" i="16"/>
  <c r="H42" i="16" s="1"/>
  <c r="H37" i="14"/>
  <c r="H42" i="14" s="1"/>
  <c r="H37" i="9"/>
  <c r="O53" i="3"/>
  <c r="F21" i="23"/>
  <c r="G39" i="22"/>
  <c r="G32" i="19"/>
  <c r="G36" i="19" s="1"/>
  <c r="G25" i="19"/>
  <c r="G26" i="19" s="1"/>
  <c r="M36" i="18"/>
  <c r="G35" i="18"/>
  <c r="G34" i="18"/>
  <c r="G33" i="18"/>
  <c r="G32" i="18"/>
  <c r="G45" i="17"/>
  <c r="G43" i="17"/>
  <c r="G40" i="17"/>
  <c r="G41" i="17" s="1"/>
  <c r="K45" i="17"/>
  <c r="D26" i="27" l="1"/>
  <c r="D25" i="27" s="1"/>
  <c r="C25" i="27"/>
  <c r="F22" i="23"/>
  <c r="F96" i="3" s="1"/>
  <c r="H42" i="9"/>
  <c r="C59" i="3"/>
  <c r="F95" i="3"/>
  <c r="G39" i="19"/>
  <c r="G36" i="18"/>
  <c r="G19" i="17"/>
  <c r="G18" i="17"/>
  <c r="G17" i="17"/>
  <c r="G16" i="17"/>
  <c r="G25" i="17"/>
  <c r="G26" i="17" s="1"/>
  <c r="E32" i="17"/>
  <c r="G32" i="17" s="1"/>
  <c r="G35" i="17"/>
  <c r="G34" i="17"/>
  <c r="G33" i="17"/>
  <c r="F29" i="23" l="1"/>
  <c r="F97" i="3" s="1"/>
  <c r="G54" i="3"/>
  <c r="O54" i="3" s="1"/>
  <c r="F23" i="23"/>
  <c r="G41" i="18"/>
  <c r="G39" i="18"/>
  <c r="G20" i="17"/>
  <c r="G36" i="17"/>
  <c r="E9" i="17"/>
  <c r="G9" i="17" s="1"/>
  <c r="G10" i="17" s="1"/>
  <c r="G7" i="17"/>
  <c r="G6" i="17"/>
  <c r="G5" i="17"/>
  <c r="G4" i="17"/>
  <c r="G55" i="3" l="1"/>
  <c r="O55" i="3"/>
  <c r="C7" i="3"/>
  <c r="F98" i="3"/>
  <c r="G56" i="3"/>
  <c r="O56" i="3" s="1"/>
  <c r="F24" i="23"/>
  <c r="G8" i="17"/>
  <c r="G11" i="17" s="1"/>
  <c r="C15" i="3" l="1"/>
  <c r="C22" i="3"/>
  <c r="C30" i="3" s="1"/>
  <c r="F25" i="23"/>
  <c r="F99" i="3"/>
  <c r="G57" i="3"/>
  <c r="O57" i="3" s="1"/>
  <c r="F100" i="3" l="1"/>
  <c r="G58" i="3"/>
  <c r="O58" i="3" s="1"/>
  <c r="F26" i="23"/>
  <c r="Q62" i="3"/>
  <c r="Q61" i="3"/>
  <c r="Q60" i="3"/>
  <c r="Q59" i="3"/>
  <c r="Q58" i="3"/>
  <c r="Q57" i="3"/>
  <c r="Q56" i="3"/>
  <c r="Q55" i="3"/>
  <c r="P55" i="3"/>
  <c r="P54" i="3"/>
  <c r="P53" i="3"/>
  <c r="P62" i="3"/>
  <c r="P61" i="3"/>
  <c r="P60" i="3"/>
  <c r="P59" i="3"/>
  <c r="P58" i="3"/>
  <c r="P57" i="3"/>
  <c r="P56" i="3"/>
  <c r="F101" i="3" l="1"/>
  <c r="G59" i="3"/>
  <c r="O59" i="3" s="1"/>
  <c r="F27" i="23"/>
  <c r="F102" i="3" l="1"/>
  <c r="G60" i="3"/>
  <c r="O60" i="3" s="1"/>
  <c r="F28" i="23"/>
  <c r="D39" i="3"/>
  <c r="R65" i="3"/>
  <c r="F31" i="23" l="1"/>
  <c r="F20" i="23"/>
  <c r="G61" i="3"/>
  <c r="O61" i="3" s="1"/>
  <c r="F103" i="3"/>
  <c r="F105" i="3" s="1"/>
  <c r="M55" i="3"/>
  <c r="M56" i="3"/>
  <c r="M57" i="3"/>
  <c r="M58" i="3"/>
  <c r="M60" i="3"/>
  <c r="M61" i="3"/>
  <c r="M62" i="3"/>
  <c r="M53" i="3"/>
  <c r="L55" i="3"/>
  <c r="L56" i="3"/>
  <c r="L57" i="3"/>
  <c r="L58" i="3"/>
  <c r="L60" i="3"/>
  <c r="L61" i="3"/>
  <c r="L62" i="3"/>
  <c r="L53" i="3"/>
  <c r="L59" i="3" l="1"/>
  <c r="K64" i="3" l="1"/>
  <c r="P64" i="3"/>
  <c r="Q64" i="3"/>
  <c r="J64" i="3" l="1"/>
  <c r="M54" i="3"/>
  <c r="L54" i="3"/>
  <c r="N55" i="3"/>
  <c r="G64" i="3"/>
  <c r="N62" i="3"/>
  <c r="O62" i="3" s="1"/>
  <c r="O64" i="3" s="1"/>
  <c r="H28" i="5"/>
  <c r="H27" i="5"/>
  <c r="H26" i="5"/>
  <c r="H25" i="5"/>
  <c r="H24" i="5"/>
  <c r="H23" i="5"/>
  <c r="H21" i="5"/>
  <c r="H20" i="5"/>
  <c r="H19" i="5"/>
  <c r="H18" i="5"/>
  <c r="H17" i="5"/>
  <c r="H16" i="5"/>
  <c r="H14" i="5"/>
  <c r="H13" i="5"/>
  <c r="H12" i="5"/>
  <c r="H10" i="5"/>
  <c r="H8" i="5"/>
  <c r="H6" i="5"/>
  <c r="H5" i="5"/>
  <c r="H4" i="5"/>
  <c r="I64" i="3" l="1"/>
  <c r="L64" i="3"/>
  <c r="M64" i="3"/>
  <c r="H30" i="5"/>
  <c r="I39" i="5" l="1"/>
  <c r="J30" i="5"/>
  <c r="H35" i="5"/>
  <c r="H34" i="5"/>
  <c r="V61" i="3"/>
  <c r="V59" i="3"/>
  <c r="V60" i="3"/>
  <c r="H31" i="5"/>
  <c r="H32" i="5"/>
  <c r="V55" i="3" l="1"/>
  <c r="T64" i="3"/>
  <c r="H37" i="5"/>
  <c r="V56" i="3"/>
  <c r="U64" i="3"/>
  <c r="V57" i="3"/>
  <c r="V54" i="3"/>
  <c r="V53" i="3"/>
  <c r="V62" i="3"/>
  <c r="D34" i="3"/>
  <c r="F26" i="3"/>
  <c r="F11" i="3"/>
  <c r="D40" i="3"/>
  <c r="D38" i="3"/>
  <c r="D37" i="3"/>
  <c r="D36" i="3"/>
  <c r="D35" i="3"/>
  <c r="F28" i="3"/>
  <c r="F25" i="3"/>
  <c r="F23" i="3"/>
  <c r="F22" i="3"/>
  <c r="F13" i="3"/>
  <c r="F10" i="3"/>
  <c r="F8" i="3"/>
  <c r="F7" i="3"/>
  <c r="F6" i="3"/>
  <c r="H38" i="5" l="1"/>
  <c r="L37" i="5"/>
  <c r="K37" i="5"/>
  <c r="J37" i="5"/>
  <c r="H42" i="5"/>
  <c r="C21" i="23"/>
  <c r="C53" i="3"/>
  <c r="V58" i="3"/>
  <c r="F21" i="3"/>
  <c r="D15" i="3"/>
  <c r="F5" i="3"/>
  <c r="E30" i="3"/>
  <c r="D30" i="3"/>
  <c r="F20" i="3"/>
  <c r="C31" i="23" l="1"/>
  <c r="C20" i="23"/>
  <c r="E53" i="3"/>
  <c r="D53" i="3"/>
  <c r="H53" i="3"/>
  <c r="M37" i="5"/>
  <c r="N37" i="5" s="1"/>
  <c r="C95" i="3"/>
  <c r="V64" i="3"/>
  <c r="H43" i="6" l="1"/>
  <c r="H43" i="10"/>
  <c r="H43" i="5"/>
  <c r="H43" i="4"/>
  <c r="H43" i="8"/>
  <c r="H43" i="16"/>
  <c r="H43" i="14"/>
  <c r="H43" i="9"/>
  <c r="D56" i="3"/>
  <c r="D23" i="23" s="1"/>
  <c r="H56" i="3"/>
  <c r="E56" i="3"/>
  <c r="E23" i="23" s="1"/>
  <c r="G21" i="23"/>
  <c r="N53" i="3"/>
  <c r="H54" i="3"/>
  <c r="E54" i="3"/>
  <c r="E22" i="23" s="1"/>
  <c r="D54" i="3"/>
  <c r="D22" i="23" s="1"/>
  <c r="E21" i="23"/>
  <c r="C96" i="3"/>
  <c r="F12" i="3"/>
  <c r="F27" i="3"/>
  <c r="N56" i="3" l="1"/>
  <c r="G23" i="23"/>
  <c r="G98" i="3" s="1"/>
  <c r="N54" i="3"/>
  <c r="G22" i="23"/>
  <c r="G96" i="3" s="1"/>
  <c r="G95" i="3"/>
  <c r="E57" i="3"/>
  <c r="E24" i="23" s="1"/>
  <c r="D57" i="3"/>
  <c r="D24" i="23" s="1"/>
  <c r="H57" i="3"/>
  <c r="D21" i="23"/>
  <c r="H43" i="7"/>
  <c r="C97" i="3"/>
  <c r="E95" i="3"/>
  <c r="F9" i="3"/>
  <c r="F54" i="3"/>
  <c r="F62" i="3"/>
  <c r="R62" i="3" s="1"/>
  <c r="S62" i="3" s="1"/>
  <c r="F55" i="3"/>
  <c r="R55" i="3" s="1"/>
  <c r="F15" i="3" l="1"/>
  <c r="C33" i="3" s="1"/>
  <c r="N57" i="3"/>
  <c r="G24" i="23"/>
  <c r="G99" i="3" s="1"/>
  <c r="E58" i="3"/>
  <c r="E25" i="23" s="1"/>
  <c r="D58" i="3"/>
  <c r="D25" i="23" s="1"/>
  <c r="H58" i="3"/>
  <c r="G25" i="23" s="1"/>
  <c r="G100" i="3" s="1"/>
  <c r="F57" i="3"/>
  <c r="E96" i="3"/>
  <c r="C98" i="3"/>
  <c r="H21" i="23"/>
  <c r="D95" i="3"/>
  <c r="S55" i="3"/>
  <c r="R54" i="3"/>
  <c r="S54" i="3" s="1"/>
  <c r="F24" i="3"/>
  <c r="F56" i="3"/>
  <c r="R56" i="3" s="1"/>
  <c r="S56" i="3" s="1"/>
  <c r="F53" i="3"/>
  <c r="E40" i="3" l="1"/>
  <c r="E38" i="3"/>
  <c r="E36" i="3"/>
  <c r="C42" i="3"/>
  <c r="C4" i="28" s="1"/>
  <c r="E39" i="3"/>
  <c r="E35" i="3"/>
  <c r="E37" i="3"/>
  <c r="E41" i="3"/>
  <c r="F30" i="3"/>
  <c r="D33" i="3" s="1"/>
  <c r="D42" i="3" s="1"/>
  <c r="R57" i="3"/>
  <c r="S57" i="3" s="1"/>
  <c r="F58" i="3"/>
  <c r="N58" i="3"/>
  <c r="H59" i="3"/>
  <c r="E59" i="3"/>
  <c r="E26" i="23" s="1"/>
  <c r="D59" i="3"/>
  <c r="D26" i="23" s="1"/>
  <c r="E97" i="3"/>
  <c r="H95" i="3"/>
  <c r="C99" i="3"/>
  <c r="D96" i="3"/>
  <c r="H96" i="3" s="1"/>
  <c r="H22" i="23"/>
  <c r="R53" i="3"/>
  <c r="R49" i="3" s="1"/>
  <c r="R58" i="3" l="1"/>
  <c r="S58" i="3" s="1"/>
  <c r="N59" i="3"/>
  <c r="G26" i="23"/>
  <c r="F39" i="3"/>
  <c r="F34" i="3"/>
  <c r="F59" i="3"/>
  <c r="D60" i="3"/>
  <c r="D27" i="23" s="1"/>
  <c r="H60" i="3"/>
  <c r="E60" i="3"/>
  <c r="E27" i="23" s="1"/>
  <c r="D97" i="3"/>
  <c r="H97" i="3" s="1"/>
  <c r="H29" i="23"/>
  <c r="C33" i="27" s="1"/>
  <c r="C100" i="3"/>
  <c r="E98" i="3"/>
  <c r="S53" i="3"/>
  <c r="F41" i="3"/>
  <c r="G41" i="3" s="1"/>
  <c r="F40" i="3"/>
  <c r="F36" i="3"/>
  <c r="F38" i="3"/>
  <c r="F37" i="3"/>
  <c r="F35" i="3"/>
  <c r="F33" i="3"/>
  <c r="D33" i="27" l="1"/>
  <c r="R59" i="3"/>
  <c r="S59" i="3" s="1"/>
  <c r="G101" i="3"/>
  <c r="N60" i="3"/>
  <c r="G27" i="23"/>
  <c r="G102" i="3" s="1"/>
  <c r="F60" i="3"/>
  <c r="E61" i="3"/>
  <c r="H61" i="3"/>
  <c r="G28" i="23" s="1"/>
  <c r="G103" i="3" s="1"/>
  <c r="D61" i="3"/>
  <c r="C64" i="3"/>
  <c r="C101" i="3"/>
  <c r="E99" i="3"/>
  <c r="D98" i="3"/>
  <c r="H23" i="23"/>
  <c r="E80" i="3"/>
  <c r="E77" i="3"/>
  <c r="E76" i="3"/>
  <c r="E79" i="3"/>
  <c r="F42" i="3"/>
  <c r="G20" i="23" l="1"/>
  <c r="E64" i="3"/>
  <c r="E28" i="23"/>
  <c r="G31" i="23"/>
  <c r="R60" i="3"/>
  <c r="S60" i="3" s="1"/>
  <c r="G105" i="3"/>
  <c r="D64" i="3"/>
  <c r="D28" i="23"/>
  <c r="N61" i="3"/>
  <c r="H64" i="3"/>
  <c r="N64" i="3" s="1"/>
  <c r="F61" i="3"/>
  <c r="H98" i="3"/>
  <c r="E100" i="3"/>
  <c r="C102" i="3"/>
  <c r="D99" i="3"/>
  <c r="H99" i="3" s="1"/>
  <c r="H24" i="23"/>
  <c r="D31" i="23" l="1"/>
  <c r="D20" i="23"/>
  <c r="E31" i="23"/>
  <c r="E20" i="23"/>
  <c r="F64" i="3"/>
  <c r="R64" i="3" s="1"/>
  <c r="R66" i="3" s="1"/>
  <c r="R61" i="3"/>
  <c r="S61" i="3" s="1"/>
  <c r="D100" i="3"/>
  <c r="H100" i="3" s="1"/>
  <c r="H25" i="23"/>
  <c r="E101" i="3"/>
  <c r="C103" i="3"/>
  <c r="C105" i="3" s="1"/>
  <c r="H20" i="23" l="1"/>
  <c r="C32" i="27" s="1"/>
  <c r="D32" i="27" s="1"/>
  <c r="S64" i="3"/>
  <c r="X64" i="3"/>
  <c r="D101" i="3"/>
  <c r="H26" i="23"/>
  <c r="E102" i="3"/>
  <c r="H31" i="23" l="1"/>
  <c r="D102" i="3"/>
  <c r="H102" i="3" s="1"/>
  <c r="H27" i="23"/>
  <c r="E103" i="3"/>
  <c r="E105" i="3" s="1"/>
  <c r="H101" i="3"/>
  <c r="H28" i="23" l="1"/>
  <c r="D103" i="3"/>
  <c r="D31" i="27" l="1"/>
  <c r="C31" i="27"/>
  <c r="C24" i="27" s="1"/>
  <c r="H103" i="3"/>
  <c r="H105" i="3" s="1"/>
  <c r="D105" i="3"/>
  <c r="D24" i="27" l="1"/>
  <c r="D4" i="27" s="1"/>
  <c r="H46" i="23"/>
  <c r="H18" i="23"/>
  <c r="H1" i="23" l="1"/>
  <c r="D73" i="3"/>
  <c r="C4" i="27"/>
  <c r="D71" i="3" l="1"/>
  <c r="F49" i="27"/>
  <c r="F48" i="27"/>
  <c r="F40" i="27"/>
  <c r="F42" i="27"/>
  <c r="F41" i="27"/>
  <c r="F39" i="27"/>
  <c r="F22" i="27"/>
  <c r="F11" i="27"/>
  <c r="F23" i="27"/>
  <c r="F21" i="27"/>
  <c r="F53" i="27"/>
  <c r="F46" i="27"/>
  <c r="F54" i="27"/>
  <c r="F47" i="27"/>
  <c r="F44" i="27"/>
  <c r="F50" i="27"/>
  <c r="F45" i="27"/>
  <c r="F19" i="27"/>
  <c r="F8" i="27"/>
  <c r="F13" i="27"/>
  <c r="F6" i="27"/>
  <c r="F43" i="27"/>
  <c r="F20" i="27"/>
  <c r="F9" i="27"/>
  <c r="F14" i="27"/>
  <c r="F5" i="27"/>
  <c r="F51" i="27"/>
  <c r="F17" i="27"/>
  <c r="F10" i="27"/>
  <c r="F15" i="27"/>
  <c r="F18" i="27"/>
  <c r="F16" i="27"/>
  <c r="F12" i="27"/>
  <c r="F7" i="27"/>
  <c r="F36" i="27"/>
  <c r="F37" i="27"/>
  <c r="F34" i="27"/>
  <c r="F27" i="27"/>
  <c r="F28" i="27"/>
  <c r="F30" i="27"/>
  <c r="F38" i="27"/>
  <c r="F29" i="27"/>
  <c r="F35" i="27"/>
  <c r="F26" i="27"/>
  <c r="F25" i="27"/>
  <c r="F32" i="27"/>
  <c r="F33" i="27"/>
  <c r="F31" i="27"/>
  <c r="F24" i="27"/>
  <c r="D81" i="3" l="1"/>
  <c r="F69" i="3" s="1"/>
  <c r="E75" i="3"/>
  <c r="E72" i="3"/>
  <c r="E81" i="3" s="1"/>
  <c r="E74" i="3"/>
  <c r="E73" i="3"/>
  <c r="F57" i="27"/>
  <c r="F71" i="3" l="1"/>
  <c r="F80" i="3"/>
  <c r="F77" i="3"/>
  <c r="F76" i="3"/>
  <c r="F78" i="3"/>
  <c r="F74" i="3"/>
  <c r="F70" i="3"/>
  <c r="F75" i="3"/>
  <c r="D84" i="3"/>
  <c r="F72" i="3"/>
  <c r="F79" i="3"/>
  <c r="F73" i="3"/>
  <c r="F81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kcisne</author>
  </authors>
  <commentList>
    <comment ref="O5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 xml:space="preserve">kcisne: </t>
        </r>
        <r>
          <rPr>
            <sz val="9"/>
            <color indexed="81"/>
            <rFont val="Tahoma"/>
            <family val="2"/>
          </rPr>
          <t>Incluye escalamientos, imprevistos, honorarios y gastos grales</t>
        </r>
      </text>
    </comment>
  </commentList>
</comments>
</file>

<file path=xl/sharedStrings.xml><?xml version="1.0" encoding="utf-8"?>
<sst xmlns="http://schemas.openxmlformats.org/spreadsheetml/2006/main" count="1520" uniqueCount="516">
  <si>
    <t>Total</t>
  </si>
  <si>
    <t>TOTAL</t>
  </si>
  <si>
    <t>Administración</t>
  </si>
  <si>
    <t>Contingencias</t>
  </si>
  <si>
    <t>Item</t>
  </si>
  <si>
    <t>% del Total</t>
  </si>
  <si>
    <t>% de las Obras</t>
  </si>
  <si>
    <t>Alternativa A</t>
  </si>
  <si>
    <t>Alternativa B</t>
  </si>
  <si>
    <t>Tipo</t>
  </si>
  <si>
    <t>Actividad y Desglose</t>
  </si>
  <si>
    <t>Unidad</t>
  </si>
  <si>
    <t>Precio</t>
  </si>
  <si>
    <t>Cantidad</t>
  </si>
  <si>
    <t xml:space="preserve">m2 </t>
  </si>
  <si>
    <t>m2</t>
  </si>
  <si>
    <t>OTROS</t>
  </si>
  <si>
    <t>MARQUESINAS, CUBIERTAS</t>
  </si>
  <si>
    <t>Especificación a definir</t>
  </si>
  <si>
    <t>TAPIA, CERCADO</t>
  </si>
  <si>
    <t>Malla ciclón</t>
  </si>
  <si>
    <t>ml</t>
  </si>
  <si>
    <t>3 - Otros</t>
  </si>
  <si>
    <t>DEMOLICIONES (EDIFICACIONES)</t>
  </si>
  <si>
    <t>TERRAPLENES (Rellenos de ajuste)</t>
  </si>
  <si>
    <t>EXPROPIACIÓN</t>
  </si>
  <si>
    <t>4-Demoliciones, movimientos de tierras, expropiaciones…</t>
  </si>
  <si>
    <t>m3</t>
  </si>
  <si>
    <t>5-Instalaciones</t>
  </si>
  <si>
    <t>PLANTA DE TRATAMIENTO Y SISTEMAS DE DRENAJE</t>
  </si>
  <si>
    <t>SISTEMA DE ABASTECIMIENTO DE AGUA POTABLE</t>
  </si>
  <si>
    <t>global</t>
  </si>
  <si>
    <t>CONECTIVIDAD ELECTRICA</t>
  </si>
  <si>
    <t>TORRES DE ILUMINACION</t>
  </si>
  <si>
    <t>INTERNET, INTRANET, FIBRA OPTICA</t>
  </si>
  <si>
    <t>SISTEMA CONTRA INCENDIO</t>
  </si>
  <si>
    <t>Subtotales Directos</t>
  </si>
  <si>
    <t>Imprevistos</t>
  </si>
  <si>
    <t>Utilidad de empresa</t>
  </si>
  <si>
    <t xml:space="preserve">Subtotal Directo </t>
  </si>
  <si>
    <t>Gastos generales</t>
  </si>
  <si>
    <t>1 - Edificaciones</t>
  </si>
  <si>
    <t>2 - Pavimentos</t>
  </si>
  <si>
    <t>Terrenos</t>
  </si>
  <si>
    <t>Equipamiento</t>
  </si>
  <si>
    <t>Sub Total Inf.</t>
  </si>
  <si>
    <t>Estudios y Diseños Finales Inf.</t>
  </si>
  <si>
    <t>Supervisión Inf.</t>
  </si>
  <si>
    <t>TOTAL US$</t>
  </si>
  <si>
    <t>Componente 1</t>
  </si>
  <si>
    <t>Componente 2</t>
  </si>
  <si>
    <t>Reducción</t>
  </si>
  <si>
    <t>Cuadro Costos Final</t>
  </si>
  <si>
    <t>Componente 3</t>
  </si>
  <si>
    <t>Sub Total Sin Terrenos</t>
  </si>
  <si>
    <t>Escalamientos</t>
  </si>
  <si>
    <t>Cuadros Finales</t>
  </si>
  <si>
    <t>Honorarios (Supervisión)</t>
  </si>
  <si>
    <t>Imprevistos + Escalamientos</t>
  </si>
  <si>
    <t>Diferencia</t>
  </si>
  <si>
    <t>Diseño</t>
  </si>
  <si>
    <t>Supervisión</t>
  </si>
  <si>
    <t>Costo m2</t>
  </si>
  <si>
    <t>Ambiente 1</t>
  </si>
  <si>
    <t>Ambiente 2</t>
  </si>
  <si>
    <t>Infraestructura para residuos sólidos del HEAN</t>
  </si>
  <si>
    <t>Ambiente 3</t>
  </si>
  <si>
    <t>Área Externa</t>
  </si>
  <si>
    <t>Total US$</t>
  </si>
  <si>
    <t>Infraestructura para residuos líquidos del HEAN</t>
  </si>
  <si>
    <t>Planta de Tratamiento</t>
  </si>
  <si>
    <t>Infraestructura para medio ambiente</t>
  </si>
  <si>
    <t xml:space="preserve">EESS y Hospitales </t>
  </si>
  <si>
    <t>Construcción</t>
  </si>
  <si>
    <t>Establecimientos</t>
  </si>
  <si>
    <t>Infraestructura HEAN</t>
  </si>
  <si>
    <t>Equipamiento HEAN</t>
  </si>
  <si>
    <t>Paquete II</t>
  </si>
  <si>
    <t>Equipamientos y materiales HEAN</t>
  </si>
  <si>
    <t>Costo Unitario</t>
  </si>
  <si>
    <t>Mobiliario</t>
  </si>
  <si>
    <t>Equipamiento y maquinaria para mantenimiento</t>
  </si>
  <si>
    <t>Estaciones de Trabajo (PC con monitor, teclado, mouse, I7, impresoras)</t>
  </si>
  <si>
    <t>Global</t>
  </si>
  <si>
    <t>Paquete I según detalle</t>
  </si>
  <si>
    <t>Infraestructura HEAN - Medioambiente</t>
  </si>
  <si>
    <t>Infraestructura complementaria HEAN</t>
  </si>
  <si>
    <t>Taller de Mantenimiento</t>
  </si>
  <si>
    <t>Almacén</t>
  </si>
  <si>
    <t>Archivo clínico</t>
  </si>
  <si>
    <t>Batería de baños</t>
  </si>
  <si>
    <t>Total US$ HEAN</t>
  </si>
  <si>
    <t>Estimado Construcción</t>
  </si>
  <si>
    <t>Adicional</t>
  </si>
  <si>
    <t>Mantenimiento</t>
  </si>
  <si>
    <t>Inversiones Hospitales 2do. Nivel                                                      Por Hospital en US$</t>
  </si>
  <si>
    <t>Hospital de segundo nivel Palos Blancos</t>
  </si>
  <si>
    <t>Hospital de segundo nivel Ixiamas</t>
  </si>
  <si>
    <t>Hospital de segundo nivel Puerto Suarez</t>
  </si>
  <si>
    <t>Hospital de segundo nivel El Torno</t>
  </si>
  <si>
    <t>Hospital de segundo nivel Camiri</t>
  </si>
  <si>
    <t>Hospital de segundo nivel San Borja</t>
  </si>
  <si>
    <t>Hospital de segundo nivel Monteagudo</t>
  </si>
  <si>
    <t>Hospital de segundo nivel Villazón</t>
  </si>
  <si>
    <t>Hospital de segundo nivel Tupiza</t>
  </si>
  <si>
    <t>Hospitales</t>
  </si>
  <si>
    <t>Plan de Gestión Social y Ambiental PGAS</t>
  </si>
  <si>
    <t>Componente 2.1 Equipamiento complementario</t>
  </si>
  <si>
    <t>Costos Hospitales 2do nivel y demás</t>
  </si>
  <si>
    <t>Costo Hospital Pediátrico 3er nivel y demás</t>
  </si>
  <si>
    <t>Componente 1.1. Implementación CONE…</t>
  </si>
  <si>
    <t>Componente 3. Apoyo a gestión, monitoreo y evaluación</t>
  </si>
  <si>
    <t>Areas principales</t>
  </si>
  <si>
    <t>PAVIMENTO LIGEROS Y Parqueos</t>
  </si>
  <si>
    <t>Equipamiento Hospitalario</t>
  </si>
  <si>
    <t>Triturador residuos</t>
  </si>
  <si>
    <t>Personas</t>
  </si>
  <si>
    <t>Items</t>
  </si>
  <si>
    <t>Municipios</t>
  </si>
  <si>
    <t>Meses</t>
  </si>
  <si>
    <t>Salario mensual</t>
  </si>
  <si>
    <t>Esterilizador a vapor instalado y operando</t>
  </si>
  <si>
    <t>Total US$ HEAN Ajustado</t>
  </si>
  <si>
    <t>Infraestructura HEAS - Medioambiente</t>
  </si>
  <si>
    <t>Paquete I</t>
  </si>
  <si>
    <t xml:space="preserve">Equipo Ofimático </t>
  </si>
  <si>
    <t>Sala de servidores</t>
  </si>
  <si>
    <t>Total US$ HEAS Ajustado</t>
  </si>
  <si>
    <t>Total US$ HEAS</t>
  </si>
  <si>
    <t>Equipamiento Hospitales</t>
  </si>
  <si>
    <t>Total EQ</t>
  </si>
  <si>
    <t>SISTEMA PLUVIAL PARQUEO Y EDIFICACIONES</t>
  </si>
  <si>
    <t>Puesta Marcha</t>
  </si>
  <si>
    <t>Sub Total Eq+PM</t>
  </si>
  <si>
    <t>Sin Asignación Específica</t>
  </si>
  <si>
    <t>Equipamiento HOcurí</t>
  </si>
  <si>
    <t>Equipamientos y materiales HOcurí</t>
  </si>
  <si>
    <t>Equipamiento para medioambiente adquirido e instalado</t>
  </si>
  <si>
    <t>Total US$ Hocurí</t>
  </si>
  <si>
    <t>Total US$ Hocurí Ajustado</t>
  </si>
  <si>
    <t>Equipamientos y materiales HEAS</t>
  </si>
  <si>
    <t>Infraestructura HOcurí - Medioambiente</t>
  </si>
  <si>
    <t>Infraestructura HLlallagua - Medioambiente</t>
  </si>
  <si>
    <t>Equipamiento Hllalagua</t>
  </si>
  <si>
    <t>Equipamiento Hllallagua</t>
  </si>
  <si>
    <t>Equipamientos y materiales Hllallagia</t>
  </si>
  <si>
    <t>Total US$ HOcurí Ajustado</t>
  </si>
  <si>
    <t>Infraestructura HTNP - Medioambiente</t>
  </si>
  <si>
    <t>Equipamiento HTNPotosi</t>
  </si>
  <si>
    <t>Equipamiento HTNPotosí</t>
  </si>
  <si>
    <t>Equipamientos y materiales HTNPotosí</t>
  </si>
  <si>
    <t>Trituradores de desechos</t>
  </si>
  <si>
    <t>Data Center del HP instalado y funcionando</t>
  </si>
  <si>
    <t>Estaciones de trabajo adquiridas y operando</t>
  </si>
  <si>
    <t>Lencería hospitalaria adquirida y distribuida</t>
  </si>
  <si>
    <t>Vajilla hospitalaria adquirida y entregada</t>
  </si>
  <si>
    <t>Equipamiento - SC2.1</t>
  </si>
  <si>
    <t>Total $</t>
  </si>
  <si>
    <t>Diseños $</t>
  </si>
  <si>
    <t>Supervisión $</t>
  </si>
  <si>
    <t>Equipamiento $</t>
  </si>
  <si>
    <t>Total US$ Componente 2</t>
  </si>
  <si>
    <t>AntePresupuesto Infraestrucutra Puerto Suárez 2do. Nivel</t>
  </si>
  <si>
    <t>AntePresupuesto Infraestrucutra El Torno 2do. Nivel</t>
  </si>
  <si>
    <t>AntePresupuesto Infraestrucutra Camiri 2do. Nivel</t>
  </si>
  <si>
    <t>AntePresupuesto Infraestrucutra San Borja 2do. Nivel</t>
  </si>
  <si>
    <t>AntePresupuesto Infraestrucutra Monteagudo 2do. Nivel</t>
  </si>
  <si>
    <t>AntePresupuesto Infraestrucutra Villazón 2do. Nivel</t>
  </si>
  <si>
    <t>Hospitales 2do Nivel</t>
  </si>
  <si>
    <t>Puesta en Marcha</t>
  </si>
  <si>
    <t>Intervenciones en mejora de situación nutricional de embarazadas y neonatos</t>
  </si>
  <si>
    <t>TOTAL $</t>
  </si>
  <si>
    <t>Costo Venta por área</t>
  </si>
  <si>
    <t>Area m2</t>
  </si>
  <si>
    <t>AntePresupuesto Infraestructura Ixiamas 2do. Nivel</t>
  </si>
  <si>
    <t>AntePresupuesto Infraestructura Palos Blancos 2do. Nivel</t>
  </si>
  <si>
    <t>Reducción/Ajuste</t>
  </si>
  <si>
    <t>Equipamiento Centros Salud de las Redes</t>
  </si>
  <si>
    <t>Hospitales 2do. Nivel y Equipamiento - SC2.2</t>
  </si>
  <si>
    <t>Hospital Pediátrico 3er Nivel - SC2.3</t>
  </si>
  <si>
    <t>Limite</t>
  </si>
  <si>
    <t>Equipos ejecutores del programa contratados (Especialistas técnicos, sociales y ambientales, contratados)</t>
  </si>
  <si>
    <t>Coordinador</t>
  </si>
  <si>
    <t xml:space="preserve">Costo </t>
  </si>
  <si>
    <t>Plazo Años</t>
  </si>
  <si>
    <t>Cantidad meses</t>
  </si>
  <si>
    <t>UEP AISEM</t>
  </si>
  <si>
    <t>Asistencia para incrementar capacidades técnicas de la AISEM</t>
  </si>
  <si>
    <t>Plan para puesta en marcha de hospitales de 2do nivel, completado</t>
  </si>
  <si>
    <t>Asistencia técnica plan para puesta en marcha de los 9 hospitales</t>
  </si>
  <si>
    <t>Formación RRHH Hospital Pediátrico</t>
  </si>
  <si>
    <t>Formación RRHH Hospital Pediátrico - Nacional SNRM</t>
  </si>
  <si>
    <t>Formación RRHH Hospitales 2do Nivel</t>
  </si>
  <si>
    <t>Formación RRHH Hospitales 2do Nivel - Nacional SNRM</t>
  </si>
  <si>
    <t>Formación RRHH Hospital Pediátrico - Exterior</t>
  </si>
  <si>
    <t>Auditoría, evaluación y monitoreo</t>
  </si>
  <si>
    <t>Auditoría anual y final</t>
  </si>
  <si>
    <t>Estudios de evaluación y monitoreo</t>
  </si>
  <si>
    <t xml:space="preserve">Estudios apoyo definición Línea Base </t>
  </si>
  <si>
    <t>Estudios de evaluación intermedia</t>
  </si>
  <si>
    <t>Estudios de revisión específicos de indicadores y metodologías</t>
  </si>
  <si>
    <t>Evaluación de impacto</t>
  </si>
  <si>
    <t>Seguimiento y control</t>
  </si>
  <si>
    <t>Estudios metodológico y aplicación de campo</t>
  </si>
  <si>
    <t>Especialista Financiero</t>
  </si>
  <si>
    <t>Especialista Adquisiciones</t>
  </si>
  <si>
    <t>Especialista Legal</t>
  </si>
  <si>
    <t>Especialista Tecnologías de la Información</t>
  </si>
  <si>
    <t>Especialista Planificación y monitoreo</t>
  </si>
  <si>
    <t>Equipamiento de centros de salud de redes</t>
  </si>
  <si>
    <t>Cartera de servicios - Consultoría servicios</t>
  </si>
  <si>
    <t xml:space="preserve">Adicional </t>
  </si>
  <si>
    <t>Normas, guías, reglamentos para operativizar la estrategia de reducción de la morbi-mortalidad - Consultoría servicios</t>
  </si>
  <si>
    <t>Instrumentos y metodologías de trabajo - CS</t>
  </si>
  <si>
    <t>P2. Programa de mejora continua de la calidad en CONE, elaborado e implementado</t>
  </si>
  <si>
    <t>MONTOS EXPRESADOS EN DOLARES</t>
  </si>
  <si>
    <t>TOTALES</t>
  </si>
  <si>
    <t>CONTRATO DE OBRAS DE LOS HOSPITALES</t>
  </si>
  <si>
    <t>MOVIMIENTO DE TIERRAS (Obras de excavaciones para construcciones de Hospital de Tercer nivel en la Ciudad de Potosí)</t>
  </si>
  <si>
    <t>CP-O-01/2015</t>
  </si>
  <si>
    <t>Del 28 de octubre de 2015</t>
  </si>
  <si>
    <t>EJECUTADO POR: CONSORCIO PETRONAS Y ASOCIADOS</t>
  </si>
  <si>
    <t xml:space="preserve">                                                                                1.553.126,57   </t>
  </si>
  <si>
    <t xml:space="preserve">           1.553.126,57   </t>
  </si>
  <si>
    <t>CONSTRUCCION DE UN HOSPITAL DE TERCER NIVEL EN LA CIUDAD DE POTOSI</t>
  </si>
  <si>
    <t>LPI-O-001/2017</t>
  </si>
  <si>
    <t>Del 9 de febrero de 2018</t>
  </si>
  <si>
    <t>EJECUTADO POR: ORTIZ - RUBAU</t>
  </si>
  <si>
    <t xml:space="preserve">                                                                              41.165.545,19   </t>
  </si>
  <si>
    <t xml:space="preserve">        41.165.545,19   </t>
  </si>
  <si>
    <t>TOTAL OBRAS</t>
  </si>
  <si>
    <t xml:space="preserve">   42.718.671,76   </t>
  </si>
  <si>
    <t>ENTE GESTOR</t>
  </si>
  <si>
    <t>EJECUTADO POR: CONSORCIO PGI/ANTARES/CASA SOLO</t>
  </si>
  <si>
    <t>Actividades</t>
  </si>
  <si>
    <t>Contrato Original</t>
  </si>
  <si>
    <t>Primera Enmienda</t>
  </si>
  <si>
    <t>PLAN GENERAL DE EJECUCION DE LA CONSULTORIA</t>
  </si>
  <si>
    <t xml:space="preserve">                            -     </t>
  </si>
  <si>
    <t>INFORME FINAL DE CIERRE DE PROYECTO</t>
  </si>
  <si>
    <t>HOSPITAL DE POTOSI</t>
  </si>
  <si>
    <t>DISEÑO TESA HOSPITAL DE TERCER NIVEL EN POTOSI</t>
  </si>
  <si>
    <t xml:space="preserve"> SUPERVISION DE LA CONSTRUCCION DEL HOSPITAL DE TERCER NIVEL DEL DEPARTAMENTO DE POTOSI</t>
  </si>
  <si>
    <t>Apertura</t>
  </si>
  <si>
    <t>PLAN DE TRANSFERENCIA DE CONOCIMIENTOS Y CAPACIDAD</t>
  </si>
  <si>
    <t>DOCUMENTOS DE LICITACION Y PROCESO DE EVALUACION Y SELECCIÓN DE LA EMPRESA QUE SE ENCARGARA DE LA CONSTRUCCION DEL HOSPITAL DE TERCER NIVEL DEL DEPARTAMENTO DE POTOSI</t>
  </si>
  <si>
    <t xml:space="preserve">             40.342,86   </t>
  </si>
  <si>
    <t xml:space="preserve">            19.670,86   </t>
  </si>
  <si>
    <t>PLAN DE PUESTA EN MARCHA PARA EL HOSPITAL DE TERCER NIVEL DEL DEPARTAMENTO DE POTOSI</t>
  </si>
  <si>
    <t xml:space="preserve">          166.114,29   </t>
  </si>
  <si>
    <t>DIMENSIONAMIENTO DEL EQUIPAMIENTO, PREPARACION DE ESPECIFICACIONES TECNICAS, PREPARACION DE LOS DOCUMENTOS DE LICITACION: CONVOCATORIA, RECEPCION Y EVALUACION DE LAS OFERTAS DE LAS EMPRESAS PROVEEDORAS QUE SE PRESENTAN A LA LICITACION, RECEPCION, VERIFICACION Y CERTIFICACION DEL EQUIPAMIENTO ADQUIRIDO</t>
  </si>
  <si>
    <t xml:space="preserve">          205.714,29   </t>
  </si>
  <si>
    <t xml:space="preserve">          167.994,64   </t>
  </si>
  <si>
    <t>HOSPITAL NORTE DE EL ALTO</t>
  </si>
  <si>
    <t>-</t>
  </si>
  <si>
    <t xml:space="preserve">                                -     </t>
  </si>
  <si>
    <t>COMPLEMENTACION DEL PLAN PUESTA EN MARCHA HOSPITAL EL ALTO NORTE</t>
  </si>
  <si>
    <t xml:space="preserve">             40.354,29   </t>
  </si>
  <si>
    <t xml:space="preserve">                 40.354,29   </t>
  </si>
  <si>
    <t>PARCIALES ENTE GESTOR</t>
  </si>
  <si>
    <t xml:space="preserve">       2.035.148,83   </t>
  </si>
  <si>
    <t xml:space="preserve">           44.571,43   </t>
  </si>
  <si>
    <t xml:space="preserve">          685.000,01   </t>
  </si>
  <si>
    <t>TOTAL ENTE GESTOR</t>
  </si>
  <si>
    <t xml:space="preserve">     2.764.720,27   </t>
  </si>
  <si>
    <t>HOSPITAL SUR DE EL ALTO</t>
  </si>
  <si>
    <t xml:space="preserve">          175.000,00   </t>
  </si>
  <si>
    <t xml:space="preserve">        175.000,00   </t>
  </si>
  <si>
    <t>Segunda Enmienda (1)</t>
  </si>
  <si>
    <t>APOYO AL DISEÑO DEL HOSPITAL SUR DE EL ALTO (2)</t>
  </si>
  <si>
    <t>(1) Montos aproximados, negociados y sujetos a enmienda de contrato.</t>
  </si>
  <si>
    <t xml:space="preserve">(2) Financiados con recursos ATN. </t>
  </si>
  <si>
    <t>Programa de mejora continua de la calidad en CONE - Elaboración</t>
  </si>
  <si>
    <t>Programa de mejora continua de la calidad en CONE - Implemetación</t>
  </si>
  <si>
    <t>Plataformas comunitarias de captación y control de embarazadas - Preparación</t>
  </si>
  <si>
    <t>Plataformas comunitarias de captación y control de embarazadas - Implementación</t>
  </si>
  <si>
    <t>P3. Plataformas comunitarias de captación y control de embarazadas, desarrolladas y funcionando</t>
  </si>
  <si>
    <t>Programas de comunicación para cambio de comportamiento en salud sexual y reproductiva - Elaboración</t>
  </si>
  <si>
    <t>Programas de comunicación para cambio de comportamiento en salud sexual y reproductiva - Implementación</t>
  </si>
  <si>
    <t>Licenciadas en enfermería obstétrica incorporadas en items de presupuesto de la Red</t>
  </si>
  <si>
    <t xml:space="preserve">P6. Mejoramiento y actualización del Sistema de compras centralizada de insumos y medicamentos del sector, completado </t>
  </si>
  <si>
    <t>P7. Fortalecimiento de los sistemas de referencia y contra-referencia</t>
  </si>
  <si>
    <t>Fortalecimiento de los sistemas de referencia y contra-referencia - CS</t>
  </si>
  <si>
    <t>Mejoramiento y actualización del Sistema de compras centralizada de insumos y medicamentos del sector - CS</t>
  </si>
  <si>
    <t>P8. Fortalecimiento de capacidades clínico-diagnósticas y terapéuticas del personal de salud a través de programas de formación</t>
  </si>
  <si>
    <t>Fortalecimiento de capacidades clínico-diagnósticas y terapéuticas del personal de salud a través de programas de formación - CS</t>
  </si>
  <si>
    <t>Preparación del programa de formación - CS</t>
  </si>
  <si>
    <t>P9. Modelo de gestión en los hospitales que incremente la eficiencia y calidad de atención, implementado</t>
  </si>
  <si>
    <t>Modelo de gestión en los hospitales que incremente la eficiencia y calidad de atención</t>
  </si>
  <si>
    <t>P10. Fortalecimiento de los sistemas de gestión a nivel municipal, coordinaciones de red y departamental</t>
  </si>
  <si>
    <t>Fortalecimiento de los sistemas de gestión a nivel municipal, coordinaciones de red y departamental</t>
  </si>
  <si>
    <t>Fortalecimiento de los sistemas de información para gestión clínica, implementación en 10 hospitales</t>
  </si>
  <si>
    <t>P12. Metodología RAMOS de vigilancia de mortalidad materna, implementada</t>
  </si>
  <si>
    <t>Metodología RAMOS de vigilancia de mortalidad materna, implementada</t>
  </si>
  <si>
    <t>BID</t>
  </si>
  <si>
    <t>Contrapartida Local</t>
  </si>
  <si>
    <t>%</t>
  </si>
  <si>
    <t>Anexo - Cuadro de Costos</t>
  </si>
  <si>
    <t>Programa</t>
  </si>
  <si>
    <t>Número Proyecto</t>
  </si>
  <si>
    <t>Monto Total US$</t>
  </si>
  <si>
    <t>Programa de Mejora en la Accesibilidad a los Servicios de Salud Materna y Neonatal en Bolivia (BO-L1198)</t>
  </si>
  <si>
    <t>BO-L1198</t>
  </si>
  <si>
    <t>Plazo (años)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</si>
  <si>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</si>
  <si>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</si>
  <si>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</si>
  <si>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</si>
  <si>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</si>
  <si>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</si>
  <si>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</si>
  <si>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</si>
  <si>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1.2.1</t>
  </si>
  <si>
    <t>1.2.2</t>
  </si>
  <si>
    <t>1.2.3</t>
  </si>
  <si>
    <t>1.2.4</t>
  </si>
  <si>
    <t>2.1.1</t>
  </si>
  <si>
    <t>2.3.3</t>
  </si>
  <si>
    <t>P13. Equipamiento del Hospital El Alto Norte completado</t>
  </si>
  <si>
    <t>P14. Equipamiento del Hospital El Alto Sur completado</t>
  </si>
  <si>
    <t>2.1.2</t>
  </si>
  <si>
    <t>2.1.3</t>
  </si>
  <si>
    <t>2.1.4</t>
  </si>
  <si>
    <t>2.1.5</t>
  </si>
  <si>
    <t>2.2.1</t>
  </si>
  <si>
    <t>2.2.3</t>
  </si>
  <si>
    <t>2.2.4</t>
  </si>
  <si>
    <t>2.3.1</t>
  </si>
  <si>
    <t>2.3.2</t>
  </si>
  <si>
    <t>2.3.4</t>
  </si>
  <si>
    <t>P15. Equipamiento del Hospital de Ocurí completado</t>
  </si>
  <si>
    <t>P16. Equipamiento del Hospital de Llallagua completado</t>
  </si>
  <si>
    <t>P17. Equipamiento de Hospital Tercer Nivel de Potosí, completado</t>
  </si>
  <si>
    <t>E1. Hospital de segundo nivel Palos Blancos, construido, equipado y operando</t>
  </si>
  <si>
    <t>E2. Hospital de segundo nivel Ixiamas, construido, equipado y operando</t>
  </si>
  <si>
    <t>E3. Hospital de segundo nivel El Torno, construido, equipado y operando (muestra)</t>
  </si>
  <si>
    <t>E4. Hospital de segundo nivel Camiri, construido, equipado y operando</t>
  </si>
  <si>
    <t>E5. Hospital de segundo nivel San Borja, construido, equipado y operando</t>
  </si>
  <si>
    <t>E6. Hospital de segundo nivel Monteagudo, construido, equipado y operando</t>
  </si>
  <si>
    <t>E7.Hospital de segundo nivel Villazón, construido, equipado y operando</t>
  </si>
  <si>
    <t>E8. Hospital de segundo nivel Tupiza, construido, equipado y operando</t>
  </si>
  <si>
    <t>P19. Hospital de segundo nivel Puerto Suarez, equipado y operando</t>
  </si>
  <si>
    <t>P20. Equipamiento en centros de salud de las redes **</t>
  </si>
  <si>
    <t>P21. Estudios de preinversión elaborados y completados HTNPEA</t>
  </si>
  <si>
    <t>P22. Construcción del hospital completada</t>
  </si>
  <si>
    <t>P23. Equipamiento del hospital instalado y funcionando</t>
  </si>
  <si>
    <t>P11. Sistemas de información para gestión clínica, implementados</t>
  </si>
  <si>
    <t>P18. Hospitales de segundo nivel, construidos, equipados y operando</t>
  </si>
  <si>
    <t>Imprevistos $</t>
  </si>
  <si>
    <t>Especialista CONE</t>
  </si>
  <si>
    <t>Profesional Administrativo - Financiero</t>
  </si>
  <si>
    <t>Especialista CONE 1</t>
  </si>
  <si>
    <t>Especialista CONE 2</t>
  </si>
  <si>
    <t>Especialista CONE 3</t>
  </si>
  <si>
    <t>Especialista CONE 4</t>
  </si>
  <si>
    <t>Especialista CONE 5</t>
  </si>
  <si>
    <t>Especialista CONE 6</t>
  </si>
  <si>
    <t>Salarios Bs</t>
  </si>
  <si>
    <t>Tasa</t>
  </si>
  <si>
    <t>Nota; El personal de apoyo como Secretaria, mensajero y chofer, si fuese el caso, serán asignados por el MS a la UEP</t>
  </si>
  <si>
    <t>Fiscal de Obras 1</t>
  </si>
  <si>
    <t>Fiscal de Obras 2</t>
  </si>
  <si>
    <t>Fiscal de Obras 3</t>
  </si>
  <si>
    <t>Fiscal de Obras 4</t>
  </si>
  <si>
    <t>Fiscal de Obras 5</t>
  </si>
  <si>
    <t>Fiscal de Obras 6</t>
  </si>
  <si>
    <t>Nota; El personal de apoyo como Secretaria, mensajero y choferes, si fuese el caso, serán asignados por la AISEM</t>
  </si>
  <si>
    <t>Operación y Equipamiento UEP</t>
  </si>
  <si>
    <t>Operación UEP</t>
  </si>
  <si>
    <t>Funcionamiento</t>
  </si>
  <si>
    <t>Servicios de apoyo y asistencia técnica para incrementar capacidades técnicas</t>
  </si>
  <si>
    <t>Fortalecimiento Institucional</t>
  </si>
  <si>
    <t>Servicios apoyo AEISEM</t>
  </si>
  <si>
    <t>Plan para puesta en marcha de hospital de 3er nivel, completado</t>
  </si>
  <si>
    <t>Asistencia técnica plan para puesta en marcha del hospital pediátrico de 3er nivel</t>
  </si>
  <si>
    <t>P24. Supervisión de los diseños, construcción y equipamiento, realizado</t>
  </si>
  <si>
    <t>3.1.1</t>
  </si>
  <si>
    <t>3.1.2</t>
  </si>
  <si>
    <t>3.1.3</t>
  </si>
  <si>
    <t>3.2.1</t>
  </si>
  <si>
    <t>Asistencia técnica para Formación RRHH</t>
  </si>
  <si>
    <t>3.2.3</t>
  </si>
  <si>
    <t>Asistencia técnica para puesta en marcha de hospitales 2do y 3er nivel</t>
  </si>
  <si>
    <t>Subcomponente 1.1.</t>
  </si>
  <si>
    <t>IMPLEMENTACION DE UN MODELO DE CUIDADO OBSTETRICO NEONATAL ESENCIAL (CONE) CON ENFASIS EN LA MEJORA CONTINUA DE LA CALIDAD</t>
  </si>
  <si>
    <t>Paquete (grupo) EDT</t>
  </si>
  <si>
    <t>Costo (US$)</t>
  </si>
  <si>
    <t>Propósito</t>
  </si>
  <si>
    <t>Sub-Producto</t>
  </si>
  <si>
    <r>
      <t>Protocolizar la atención</t>
    </r>
    <r>
      <rPr>
        <sz val="11"/>
        <color theme="1"/>
        <rFont val="Calibri"/>
        <family val="2"/>
        <scheme val="minor"/>
      </rPr>
      <t xml:space="preserve"> para cada nivel de atención a fin de reducir la variabilidad clínica según profesional</t>
    </r>
  </si>
  <si>
    <t>1.500.000</t>
  </si>
  <si>
    <r>
      <t xml:space="preserve">Mejorar la </t>
    </r>
    <r>
      <rPr>
        <b/>
        <sz val="11"/>
        <color theme="1"/>
        <rFont val="Calibri"/>
        <family val="2"/>
        <scheme val="minor"/>
      </rPr>
      <t>calidad de atención</t>
    </r>
    <r>
      <rPr>
        <sz val="11"/>
        <color theme="1"/>
        <rFont val="Calibri"/>
        <family val="2"/>
        <scheme val="minor"/>
      </rPr>
      <t xml:space="preserve"> prestada en los establecimientos de salud</t>
    </r>
  </si>
  <si>
    <r>
      <t xml:space="preserve">Lograr </t>
    </r>
    <r>
      <rPr>
        <b/>
        <sz val="11"/>
        <color theme="1"/>
        <rFont val="Calibri"/>
        <family val="2"/>
        <scheme val="minor"/>
      </rPr>
      <t>sinergias con las comunidades</t>
    </r>
    <r>
      <rPr>
        <sz val="11"/>
        <color theme="1"/>
        <rFont val="Calibri"/>
        <family val="2"/>
        <scheme val="minor"/>
      </rPr>
      <t xml:space="preserve"> para mejorar el control del embarazo y favorecer el parto institucional    </t>
    </r>
  </si>
  <si>
    <r>
      <t xml:space="preserve">Incrementar el </t>
    </r>
    <r>
      <rPr>
        <b/>
        <sz val="11"/>
        <color theme="1"/>
        <rFont val="Calibri"/>
        <family val="2"/>
        <scheme val="minor"/>
      </rPr>
      <t>conocimiento en la comunidad</t>
    </r>
    <r>
      <rPr>
        <sz val="11"/>
        <color theme="1"/>
        <rFont val="Calibri"/>
        <family val="2"/>
        <scheme val="minor"/>
      </rPr>
      <t xml:space="preserve"> sobre la salud sexual y reproductiva</t>
    </r>
  </si>
  <si>
    <t>2.160.000</t>
  </si>
  <si>
    <r>
      <t xml:space="preserve">Incrementar la capacidad de atención del sistema con </t>
    </r>
    <r>
      <rPr>
        <b/>
        <sz val="11"/>
        <color theme="1"/>
        <rFont val="Calibri"/>
        <family val="2"/>
        <scheme val="minor"/>
      </rPr>
      <t>recursos de enfermería formado e incorporados</t>
    </r>
    <r>
      <rPr>
        <sz val="11"/>
        <color theme="1"/>
        <rFont val="Calibri"/>
        <family val="2"/>
        <scheme val="minor"/>
      </rPr>
      <t xml:space="preserve"> a la oferta</t>
    </r>
  </si>
  <si>
    <r>
      <t>Evitar rupturas de stocks</t>
    </r>
    <r>
      <rPr>
        <sz val="11"/>
        <color theme="1"/>
        <rFont val="Calibri"/>
        <family val="2"/>
        <scheme val="minor"/>
      </rPr>
      <t xml:space="preserve"> de medicamentos e insumos tanto en la Central de Abastecimiento y Suministros de salud (CEASS) como en los establecimientos de salud</t>
    </r>
  </si>
  <si>
    <t>1.375.000</t>
  </si>
  <si>
    <r>
      <t xml:space="preserve">Asegurar que las </t>
    </r>
    <r>
      <rPr>
        <b/>
        <sz val="11"/>
        <color theme="1"/>
        <rFont val="Calibri"/>
        <family val="2"/>
        <scheme val="minor"/>
      </rPr>
      <t>emergencias obstétricas y médicas</t>
    </r>
    <r>
      <rPr>
        <sz val="11"/>
        <color theme="1"/>
        <rFont val="Calibri"/>
        <family val="2"/>
        <scheme val="minor"/>
      </rPr>
      <t xml:space="preserve"> en general sean referidas a los hospitales de forma adecuada y oportuna</t>
    </r>
  </si>
  <si>
    <r>
      <t>Incrementar las capacidades diagnósticas y resolutivas</t>
    </r>
    <r>
      <rPr>
        <sz val="11"/>
        <color theme="1"/>
        <rFont val="Calibri"/>
        <family val="2"/>
        <scheme val="minor"/>
      </rPr>
      <t xml:space="preserve"> del personal de salud de las redes</t>
    </r>
  </si>
  <si>
    <t xml:space="preserve">Subcomponente 1.2. </t>
  </si>
  <si>
    <t>OPTIMIZACIÓN Y MEJORA DE LOS PROCESOS GERENCIALES EN LA RED DE SERVICIOS</t>
  </si>
  <si>
    <t>Producto</t>
  </si>
  <si>
    <t>Acciones</t>
  </si>
  <si>
    <r>
      <t xml:space="preserve">Implementar </t>
    </r>
    <r>
      <rPr>
        <b/>
        <sz val="11"/>
        <color theme="1"/>
        <rFont val="Calibri"/>
        <family val="2"/>
        <scheme val="minor"/>
      </rPr>
      <t>cambios organizativos en las estructuras de los (10+5) hospitales</t>
    </r>
    <r>
      <rPr>
        <sz val="11"/>
        <color theme="1"/>
        <rFont val="Calibri"/>
        <family val="2"/>
        <scheme val="minor"/>
      </rPr>
      <t>, así como herramientas de gestión para que sean más eficientes e incrementar la satisfacción de los usuarios</t>
    </r>
  </si>
  <si>
    <r>
      <t xml:space="preserve">Hacer </t>
    </r>
    <r>
      <rPr>
        <b/>
        <sz val="11"/>
        <color theme="1"/>
        <rFont val="Calibri"/>
        <family val="2"/>
        <scheme val="minor"/>
      </rPr>
      <t xml:space="preserve">más eficiente la gestión de salud </t>
    </r>
    <r>
      <rPr>
        <sz val="11"/>
        <color theme="1"/>
        <rFont val="Calibri"/>
        <family val="2"/>
        <scheme val="minor"/>
      </rPr>
      <t>a nivel de las direcciones municipales y las gerencias de red</t>
    </r>
  </si>
  <si>
    <t>4.000.000</t>
  </si>
  <si>
    <r>
      <t xml:space="preserve">Mejorar el </t>
    </r>
    <r>
      <rPr>
        <b/>
        <sz val="11"/>
        <color theme="1"/>
        <rFont val="Calibri"/>
        <family val="2"/>
        <scheme val="minor"/>
      </rPr>
      <t>continuo de atención y la eficiencia</t>
    </r>
    <r>
      <rPr>
        <sz val="11"/>
        <color theme="1"/>
        <rFont val="Calibri"/>
        <family val="2"/>
        <scheme val="minor"/>
      </rPr>
      <t xml:space="preserve"> del sistema hospitalario</t>
    </r>
  </si>
  <si>
    <r>
      <t xml:space="preserve">Contar con una </t>
    </r>
    <r>
      <rPr>
        <b/>
        <sz val="11"/>
        <color theme="1"/>
        <rFont val="Calibri"/>
        <family val="2"/>
        <scheme val="minor"/>
      </rPr>
      <t>información actualizada de las muertes maternas</t>
    </r>
  </si>
  <si>
    <t>Cantidad Sub Producto / Entregable</t>
  </si>
  <si>
    <t>Costo Unitario por Sub Producto / Entregable</t>
  </si>
  <si>
    <t>Otros</t>
  </si>
  <si>
    <t>Cantidad Persona / Firma</t>
  </si>
  <si>
    <t>Costo Producto / Cantidad Entregables</t>
  </si>
  <si>
    <t>Tasa estimada mesual</t>
  </si>
  <si>
    <t>Costo Producto</t>
  </si>
  <si>
    <t>Cantidad días / meses</t>
  </si>
  <si>
    <t>Basada en tarifa horaria para una firma o persona con minimo de 25 a 30$ x hora y hasta 150$ hora por firma internacionales minimo</t>
  </si>
  <si>
    <t>Norma actualizada [1]</t>
  </si>
  <si>
    <t>Taller municipal de configuración CONE </t>
  </si>
  <si>
    <t>Capacitación al Municipio para facturación cartera Ley 475 de nuevas prestaciones</t>
  </si>
  <si>
    <t>Cartera de servicio financiada por la Ley 475 ampliada [1]</t>
  </si>
  <si>
    <t>Guías de atención elaboradas [18]</t>
  </si>
  <si>
    <t>CONE ambulatorio x 6 guías (At preconcepcional, At Planificación Familiar, At prenatal, At al parto, At al posparto, At al RN)</t>
  </si>
  <si>
    <t>CONE Básico x 6 guías</t>
  </si>
  <si>
    <t>CONE Completo  x 6 guías</t>
  </si>
  <si>
    <t>Protocolos implementados en 15 redes (582 centros y 15 hospitales) y seguimiento por 3 años</t>
  </si>
  <si>
    <t>Círculos de mejora continua de la calidad creados en todos los establecimientos de las 15 redes (582 centros y 15 hospitales)</t>
  </si>
  <si>
    <t>Capacitación en la metodología de la mejora continua</t>
  </si>
  <si>
    <t>Metas de calidad definidas</t>
  </si>
  <si>
    <t>Monitoreo de los avances [seguimiento por 3 años]</t>
  </si>
  <si>
    <t>Agentes o plataformas comunitarios constituidas en las comunidades de los 61 municipios</t>
  </si>
  <si>
    <r>
      <rPr>
        <sz val="7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Agentes comunitarios de salud capacitados para actividades de educación y promoción</t>
    </r>
  </si>
  <si>
    <t>Taller municipal con responsables salud y líderes comunarios para explicar y configurar plataformas</t>
  </si>
  <si>
    <t>Monitoreo y soporte de las actividades de promoción [por 3 años]</t>
  </si>
  <si>
    <t>Capacitación de capacitadores para cada municipio (61)</t>
  </si>
  <si>
    <t>Material de divulgación elaborado</t>
  </si>
  <si>
    <t>Intervenciones de mejora de situación nutricional de mujeres embarazadas y neonatos, implementadas</t>
  </si>
  <si>
    <t>Capacitación de 61 enfermeras a nivel municipal</t>
  </si>
  <si>
    <t>Financiación de 61 enfermeras a lo largo del Programa</t>
  </si>
  <si>
    <t>Incorporación de éstas al sistema de salud como ítem al final del Programa</t>
  </si>
  <si>
    <t>Metodología para la cuantificación implementada en las 15 redes (582 centros y 15 hospitales) y el CEAS</t>
  </si>
  <si>
    <t>Capacitación a los responsables de farmacia de 61 municipios y 15 hospitales</t>
  </si>
  <si>
    <t>Sistemas de gestión de medicamentos mejorados en 61 municipios, 15 hospitales y CEAS</t>
  </si>
  <si>
    <r>
      <rPr>
        <sz val="7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Sistema de referencia (SIRECO) implementado en las 15 redes de salud</t>
    </r>
  </si>
  <si>
    <t>Capacitación en emergencias obstétricas al personal de salud de las 15 redes (582 centros y 15 hospitales) [2 por centro y 10 por hospital]</t>
  </si>
  <si>
    <t>Taller municipal para análisis de la problemática de la referencia/contrarreferencia</t>
  </si>
  <si>
    <t>Modelo gerencial hospitalario elaborado [1]</t>
  </si>
  <si>
    <t>Reglamentos hospitalarios actualizados [2]</t>
  </si>
  <si>
    <t>Capacitación de los equipos directivos de 15 hospitales implementada (maestría) [5 por hospital]</t>
  </si>
  <si>
    <t>Consultoría (CI) en hospital de 2do nivel preparando el cambio organizativo y plan de apertura previo a la migración</t>
  </si>
  <si>
    <t>Taller de validación y divulgación nueva estructura y organización por cada hospital</t>
  </si>
  <si>
    <t>Modelo gerencial de la red elaborado [1]</t>
  </si>
  <si>
    <t>Guías de gestión de salud municipal elaboradas [1]</t>
  </si>
  <si>
    <t>Capacitación de los equipos de las 15 coordinaciones de red [3 por red]</t>
  </si>
  <si>
    <t>Capacitación de los 61 responsables de salud municipal [1 por municipio]</t>
  </si>
  <si>
    <t>Sistema de control de gestión municipal y de la red implementado (61 GAMs y 15 coordinaciones de red)</t>
  </si>
  <si>
    <r>
      <rPr>
        <sz val="7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Sistemas de información gerencial y de expediente clínico digital implementado en 15 hospitales</t>
    </r>
  </si>
  <si>
    <t>Sistema de vigilancia epidemiológica de la muerte materna y neonatal implementado en 15 redes de salud</t>
  </si>
  <si>
    <t>Sub-componente 1.3.</t>
  </si>
  <si>
    <t>Rotación o pasantía de personal de segundo nivel en hospitales de 3er nivel</t>
  </si>
  <si>
    <t>Programa de formación clínica a médicos y enfermeras de las 15 redes de salud (582 centros y 15 hospitales) [4 por centro y 20 por hospital]</t>
  </si>
  <si>
    <t>Programa de Formación en gestión hospitalaria destinada a los cuadros directivos de los hospitales, las redes de salud y los SEDES</t>
  </si>
  <si>
    <t>P1. Estrategia CONE implementada en 15 redes de salud</t>
  </si>
  <si>
    <t>P4.Programas de Información, Educación y Comunicación (IEC) para el cambio de comportamiento en relación con la salud sexual y reproductiva y la planificación familiar, implementados</t>
  </si>
  <si>
    <t>P5. Intervenciones de mejora de situación nutricional de mujeres embarazadas y neonatos, implementadas</t>
  </si>
  <si>
    <t>P6. Licenciadas en enfermería obstétrica incorporadas en las Redes a nivel comunitario** (61)</t>
  </si>
  <si>
    <t>P7. Mejoramiento y actualización del sistema de compras centralizada de insumos y medicamentos del sector completado</t>
  </si>
  <si>
    <t>P8. Fortalecimiento del sistema de Bancos/depósitos de Sangre Segura</t>
  </si>
  <si>
    <t>P9. Fortalecimiento de los sistemas de referencia y contrarreferencia</t>
  </si>
  <si>
    <t>P10. Modelo de gestión en los hospitales que incremente la eficiencia y calidad de atención implementado</t>
  </si>
  <si>
    <t>P11. Fortalecimiento de los sistemas de gestión a nivel municipal, coordinaciones de red y departamental</t>
  </si>
  <si>
    <t>P12. Sistemas de información para la gestión clínica implementada</t>
  </si>
  <si>
    <t>P13. Metodología RAMOS o similar de vigilancia de la mortalidad materna implementada</t>
  </si>
  <si>
    <t>P14. Fortalecimiento de capacidades clínico-diagnósticas y terapéuticas del personal de salud a través de programas de formación continua de RHS, completado</t>
  </si>
  <si>
    <t>P15. Formación en gestión hospitalaria destinada a los cuadros directivos de los hospitales, las redes de salud y los SEDES</t>
  </si>
  <si>
    <t>1.1.9</t>
  </si>
  <si>
    <t>1.3.1</t>
  </si>
  <si>
    <t>1.3.2</t>
  </si>
  <si>
    <t>P28. Planes de apertura y/o migración de los nuevos hospitales, elaborados</t>
  </si>
  <si>
    <t>P29. Asistencia técnica para puesta en marcha y acompañamiento de hospitales 2do y 3er nivel, completada</t>
  </si>
  <si>
    <t>2.4.1</t>
  </si>
  <si>
    <t>2.4.2</t>
  </si>
  <si>
    <t>Auditorías (anuales y finales) AISEM</t>
  </si>
  <si>
    <t>3.1.4</t>
  </si>
  <si>
    <t>Componente 1. Estrategia CONE, gestión y formación de Recurso Humano (US$16,6 MM)</t>
  </si>
  <si>
    <t>Sub Componente 1.1 Modelo de atención CONE (US$9,656 MM)</t>
  </si>
  <si>
    <t>Sub Componente 1.2 Gestión y sistemas de información (US$5,334 MM)</t>
  </si>
  <si>
    <t>Sub-componente 1.3: Formación de RHS (US$1,61 MM</t>
  </si>
  <si>
    <t>Componente 2. Infraestructura y equipamiento (US$249,7 MM)</t>
  </si>
  <si>
    <t>Sub-componente 2.1. Cobertura de brechas de equipamiento (US$49,5 MM)</t>
  </si>
  <si>
    <t>Sub-componente 2.2. Fortalecimiento del segundo nivel de atención en redes priorizadas (US$128,5MM)</t>
  </si>
  <si>
    <t>Sub-componente 2.3. Fortalecimiento del tercer nivel en el municipio El Alto (US$69 MM)</t>
  </si>
  <si>
    <t>Sub-componente 2.4. Puesta en marcha de los nuevos hospitales (US$2,7MM)</t>
  </si>
  <si>
    <t>Componente 3: Auditorias, administración, y monitoreo y evaluación (US$8,7 MM)</t>
  </si>
  <si>
    <t>Sub Componente 3.2 Auditoría, administracion, monitoreo y evaluación - AISEM</t>
  </si>
  <si>
    <t>3.2.2</t>
  </si>
  <si>
    <t>UEP MS</t>
  </si>
  <si>
    <t>Sub Componente 3.1 Auditoría, administracion, monitoreo y evaluación - UEP MS</t>
  </si>
  <si>
    <t>Fiscal de Obras 7</t>
  </si>
  <si>
    <t>Fiscal de Obras 8</t>
  </si>
  <si>
    <t>Fiscal de Obras 9</t>
  </si>
  <si>
    <t>Fiscal de Obras 10</t>
  </si>
  <si>
    <t>Fiscal de Obras 11</t>
  </si>
  <si>
    <t>Fiscal de Obras 12</t>
  </si>
  <si>
    <t>Fiscal de Obras 13</t>
  </si>
  <si>
    <t>Fiscal de Obras 14</t>
  </si>
  <si>
    <t>Fiscal de Obras 15</t>
  </si>
  <si>
    <t>Servicios apoyo UEP MS</t>
  </si>
  <si>
    <t>Auditorías (anuales y finales) UEP MS</t>
  </si>
  <si>
    <t>Especialista Infraestructura Hospitalaria</t>
  </si>
  <si>
    <t>Fiscal de Obras 16</t>
  </si>
  <si>
    <t>Fiscal de Obras 17</t>
  </si>
  <si>
    <t>Fiscal de Obras 18</t>
  </si>
  <si>
    <t>Fiscal de Obras 19</t>
  </si>
  <si>
    <t>Fiscal de Obras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</si>
</sst>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0.0%"/>
    <numFmt numFmtId="167" formatCode="_-* #,##0.0_-;\-* #,##0.0_-;_-* &quot;-&quot;??_-;_-@_-"/>
    <numFmt numFmtId="168" formatCode="_(* #,##0_);_(* \(#,##0\);_(* &quot;-&quot;??_);_(@_)"/>
    <numFmt numFmtId="169" formatCode="_-* #,##0.000_-;\-* #,##0.000_-;_-* &quot;-&quot;??_-;_-@_-"/>
    <numFmt numFmtId="170" formatCode="_-* #,##0.0000_-;\-* #,##0.0000_-;_-* &quot;-&quot;??_-;_-@_-"/>
    <numFmt numFmtId="171" formatCode="#,##0.0"/>
    <numFmt numFmtId="172" formatCode="_(* #,##0.0_);_(* \(#,##0.0\);_(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Verdana"/>
      <family val="2"/>
    </font>
    <font>
      <b/>
      <sz val="8"/>
      <name val="Calibri"/>
      <family val="2"/>
    </font>
    <font>
      <sz val="8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Symbol"/>
      <family val="1"/>
      <charset val="2"/>
    </font>
    <font>
      <sz val="7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theme="4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2"/>
      </bottom>
      <diagonal/>
    </border>
    <border>
      <left/>
      <right/>
      <top style="medium">
        <color indexed="64"/>
      </top>
      <bottom style="thin">
        <color indexed="62"/>
      </bottom>
      <diagonal/>
    </border>
    <border>
      <left/>
      <right style="medium">
        <color indexed="64"/>
      </right>
      <top style="medium">
        <color indexed="64"/>
      </top>
      <bottom style="thin">
        <color indexed="62"/>
      </bottom>
      <diagonal/>
    </border>
    <border>
      <left style="medium">
        <color indexed="64"/>
      </left>
      <right style="thin">
        <color indexed="62"/>
      </right>
      <top style="thin">
        <color indexed="62"/>
      </top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medium">
        <color indexed="64"/>
      </right>
      <top style="thin">
        <color indexed="62"/>
      </top>
      <bottom/>
      <diagonal/>
    </border>
    <border>
      <left style="medium">
        <color indexed="64"/>
      </left>
      <right style="thin">
        <color indexed="62"/>
      </right>
      <top/>
      <bottom style="thin">
        <color indexed="62"/>
      </bottom>
      <diagonal/>
    </border>
    <border>
      <left style="thin">
        <color indexed="62"/>
      </left>
      <right style="thin">
        <color indexed="62"/>
      </right>
      <top/>
      <bottom style="thin">
        <color indexed="62"/>
      </bottom>
      <diagonal/>
    </border>
    <border>
      <left style="thin">
        <color indexed="62"/>
      </left>
      <right style="medium">
        <color indexed="64"/>
      </right>
      <top/>
      <bottom style="thin">
        <color indexed="62"/>
      </bottom>
      <diagonal/>
    </border>
    <border>
      <left style="medium">
        <color indexed="64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medium">
        <color indexed="64"/>
      </right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5" fillId="0" borderId="0"/>
  </cellStyleXfs>
  <cellXfs count="435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wrapText="1"/>
    </xf>
    <xf numFmtId="3" fontId="5" fillId="0" borderId="0" xfId="0" applyNumberFormat="1" applyFont="1"/>
    <xf numFmtId="3" fontId="4" fillId="0" borderId="0" xfId="0" applyNumberFormat="1" applyFont="1" applyAlignment="1"/>
    <xf numFmtId="3" fontId="4" fillId="0" borderId="0" xfId="0" applyNumberFormat="1" applyFont="1"/>
    <xf numFmtId="43" fontId="0" fillId="0" borderId="0" xfId="0" applyNumberFormat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/>
    <xf numFmtId="43" fontId="3" fillId="0" borderId="1" xfId="1" applyFont="1" applyBorder="1" applyAlignment="1"/>
    <xf numFmtId="43" fontId="0" fillId="0" borderId="1" xfId="0" applyNumberFormat="1" applyBorder="1"/>
    <xf numFmtId="0" fontId="4" fillId="0" borderId="1" xfId="0" applyFont="1" applyBorder="1" applyAlignment="1"/>
    <xf numFmtId="43" fontId="2" fillId="0" borderId="1" xfId="0" applyNumberFormat="1" applyFont="1" applyBorder="1"/>
    <xf numFmtId="10" fontId="0" fillId="0" borderId="1" xfId="2" applyNumberFormat="1" applyFont="1" applyBorder="1"/>
    <xf numFmtId="10" fontId="3" fillId="0" borderId="1" xfId="2" applyNumberFormat="1" applyFont="1" applyBorder="1" applyAlignment="1"/>
    <xf numFmtId="0" fontId="0" fillId="0" borderId="1" xfId="0" applyBorder="1"/>
    <xf numFmtId="10" fontId="0" fillId="0" borderId="1" xfId="0" applyNumberFormat="1" applyBorder="1"/>
    <xf numFmtId="165" fontId="0" fillId="0" borderId="0" xfId="1" applyNumberFormat="1" applyFont="1"/>
    <xf numFmtId="165" fontId="0" fillId="0" borderId="0" xfId="0" applyNumberFormat="1"/>
    <xf numFmtId="3" fontId="0" fillId="0" borderId="0" xfId="0" applyNumberFormat="1"/>
    <xf numFmtId="165" fontId="0" fillId="0" borderId="3" xfId="1" applyNumberFormat="1" applyFont="1" applyBorder="1" applyAlignment="1">
      <alignment wrapText="1"/>
    </xf>
    <xf numFmtId="0" fontId="0" fillId="0" borderId="4" xfId="0" applyBorder="1"/>
    <xf numFmtId="0" fontId="0" fillId="0" borderId="5" xfId="0" applyBorder="1"/>
    <xf numFmtId="165" fontId="0" fillId="0" borderId="6" xfId="1" applyNumberFormat="1" applyFont="1" applyBorder="1"/>
    <xf numFmtId="0" fontId="0" fillId="0" borderId="0" xfId="0" applyBorder="1"/>
    <xf numFmtId="165" fontId="0" fillId="0" borderId="8" xfId="1" applyNumberFormat="1" applyFont="1" applyBorder="1"/>
    <xf numFmtId="165" fontId="0" fillId="0" borderId="11" xfId="1" applyNumberFormat="1" applyFont="1" applyBorder="1"/>
    <xf numFmtId="165" fontId="0" fillId="0" borderId="2" xfId="1" applyNumberFormat="1" applyFont="1" applyBorder="1"/>
    <xf numFmtId="0" fontId="3" fillId="0" borderId="0" xfId="0" applyFont="1" applyFill="1" applyBorder="1" applyAlignment="1"/>
    <xf numFmtId="165" fontId="3" fillId="0" borderId="0" xfId="1" applyNumberFormat="1" applyFont="1" applyBorder="1" applyAlignment="1"/>
    <xf numFmtId="164" fontId="0" fillId="0" borderId="0" xfId="0" applyNumberFormat="1"/>
    <xf numFmtId="9" fontId="0" fillId="0" borderId="0" xfId="2" applyFont="1"/>
    <xf numFmtId="10" fontId="0" fillId="0" borderId="0" xfId="2" applyNumberFormat="1" applyFont="1"/>
    <xf numFmtId="43" fontId="0" fillId="0" borderId="0" xfId="1" applyFont="1"/>
    <xf numFmtId="0" fontId="0" fillId="0" borderId="0" xfId="0" applyAlignment="1">
      <alignment wrapText="1"/>
    </xf>
    <xf numFmtId="0" fontId="2" fillId="0" borderId="14" xfId="0" applyFont="1" applyBorder="1" applyAlignment="1">
      <alignment horizontal="center"/>
    </xf>
    <xf numFmtId="0" fontId="0" fillId="0" borderId="14" xfId="0" applyBorder="1"/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wrapText="1"/>
    </xf>
    <xf numFmtId="0" fontId="0" fillId="0" borderId="15" xfId="0" applyBorder="1"/>
    <xf numFmtId="0" fontId="0" fillId="0" borderId="17" xfId="0" applyBorder="1"/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2" fillId="0" borderId="24" xfId="0" applyFont="1" applyBorder="1"/>
    <xf numFmtId="0" fontId="0" fillId="0" borderId="24" xfId="0" applyBorder="1"/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2" fillId="0" borderId="14" xfId="0" applyFont="1" applyBorder="1" applyAlignment="1">
      <alignment horizontal="center" wrapText="1"/>
    </xf>
    <xf numFmtId="4" fontId="0" fillId="0" borderId="14" xfId="1" applyNumberFormat="1" applyFont="1" applyBorder="1" applyAlignment="1">
      <alignment horizontal="right"/>
    </xf>
    <xf numFmtId="4" fontId="0" fillId="0" borderId="14" xfId="0" applyNumberFormat="1" applyBorder="1"/>
    <xf numFmtId="43" fontId="0" fillId="0" borderId="20" xfId="1" applyFont="1" applyBorder="1"/>
    <xf numFmtId="43" fontId="0" fillId="0" borderId="18" xfId="1" applyFont="1" applyBorder="1"/>
    <xf numFmtId="43" fontId="2" fillId="0" borderId="25" xfId="1" applyFont="1" applyBorder="1"/>
    <xf numFmtId="0" fontId="4" fillId="0" borderId="0" xfId="0" applyFont="1" applyAlignment="1">
      <alignment horizontal="center" wrapText="1"/>
    </xf>
    <xf numFmtId="3" fontId="3" fillId="0" borderId="0" xfId="0" applyNumberFormat="1" applyFont="1" applyAlignment="1">
      <alignment horizontal="center"/>
    </xf>
    <xf numFmtId="0" fontId="3" fillId="6" borderId="0" xfId="0" applyFont="1" applyFill="1" applyBorder="1" applyAlignment="1"/>
    <xf numFmtId="0" fontId="0" fillId="6" borderId="0" xfId="0" applyFill="1"/>
    <xf numFmtId="165" fontId="0" fillId="6" borderId="0" xfId="1" applyNumberFormat="1" applyFont="1" applyFill="1"/>
    <xf numFmtId="43" fontId="3" fillId="0" borderId="0" xfId="1" applyFont="1"/>
    <xf numFmtId="43" fontId="3" fillId="0" borderId="0" xfId="0" applyNumberFormat="1" applyFont="1"/>
    <xf numFmtId="43" fontId="4" fillId="0" borderId="0" xfId="0" applyNumberFormat="1" applyFont="1"/>
    <xf numFmtId="9" fontId="2" fillId="7" borderId="0" xfId="2" applyFont="1" applyFill="1"/>
    <xf numFmtId="0" fontId="0" fillId="7" borderId="0" xfId="0" applyFill="1"/>
    <xf numFmtId="0" fontId="4" fillId="7" borderId="0" xfId="0" applyFont="1" applyFill="1"/>
    <xf numFmtId="165" fontId="4" fillId="0" borderId="0" xfId="1" applyNumberFormat="1" applyFont="1" applyAlignment="1">
      <alignment horizontal="center" wrapText="1"/>
    </xf>
    <xf numFmtId="0" fontId="4" fillId="7" borderId="0" xfId="0" applyFont="1" applyFill="1" applyAlignment="1">
      <alignment horizontal="center" wrapText="1"/>
    </xf>
    <xf numFmtId="0" fontId="4" fillId="0" borderId="0" xfId="0" applyFont="1" applyAlignment="1">
      <alignment horizontal="right"/>
    </xf>
    <xf numFmtId="43" fontId="2" fillId="0" borderId="0" xfId="1" applyFont="1"/>
    <xf numFmtId="43" fontId="0" fillId="0" borderId="26" xfId="0" applyNumberFormat="1" applyFill="1" applyBorder="1"/>
    <xf numFmtId="43" fontId="3" fillId="0" borderId="0" xfId="1" applyFont="1" applyAlignment="1">
      <alignment horizontal="center"/>
    </xf>
    <xf numFmtId="43" fontId="7" fillId="0" borderId="0" xfId="1" applyFont="1"/>
    <xf numFmtId="43" fontId="8" fillId="0" borderId="0" xfId="1" applyFont="1" applyBorder="1"/>
    <xf numFmtId="0" fontId="4" fillId="9" borderId="1" xfId="0" applyFont="1" applyFill="1" applyBorder="1" applyAlignment="1">
      <alignment horizontal="center"/>
    </xf>
    <xf numFmtId="0" fontId="4" fillId="9" borderId="1" xfId="0" applyFont="1" applyFill="1" applyBorder="1" applyAlignment="1"/>
    <xf numFmtId="43" fontId="2" fillId="9" borderId="1" xfId="0" applyNumberFormat="1" applyFont="1" applyFill="1" applyBorder="1"/>
    <xf numFmtId="10" fontId="2" fillId="9" borderId="1" xfId="0" applyNumberFormat="1" applyFont="1" applyFill="1" applyBorder="1"/>
    <xf numFmtId="0" fontId="4" fillId="0" borderId="13" xfId="0" applyFont="1" applyBorder="1" applyAlignment="1">
      <alignment horizontal="left"/>
    </xf>
    <xf numFmtId="0" fontId="4" fillId="0" borderId="27" xfId="0" applyFont="1" applyBorder="1" applyAlignment="1">
      <alignment horizontal="center"/>
    </xf>
    <xf numFmtId="0" fontId="3" fillId="0" borderId="13" xfId="0" applyFont="1" applyBorder="1" applyAlignment="1">
      <alignment horizontal="left" indent="1"/>
    </xf>
    <xf numFmtId="43" fontId="3" fillId="0" borderId="27" xfId="1" applyFont="1" applyBorder="1" applyAlignment="1"/>
    <xf numFmtId="0" fontId="4" fillId="0" borderId="13" xfId="0" applyFont="1" applyBorder="1" applyAlignment="1"/>
    <xf numFmtId="0" fontId="3" fillId="0" borderId="13" xfId="0" applyFont="1" applyBorder="1" applyAlignment="1"/>
    <xf numFmtId="43" fontId="2" fillId="0" borderId="1" xfId="0" applyNumberFormat="1" applyFont="1" applyBorder="1" applyAlignment="1">
      <alignment horizontal="right"/>
    </xf>
    <xf numFmtId="43" fontId="0" fillId="0" borderId="1" xfId="0" applyNumberFormat="1" applyBorder="1" applyAlignment="1">
      <alignment horizontal="right"/>
    </xf>
    <xf numFmtId="43" fontId="3" fillId="0" borderId="0" xfId="1" applyFont="1" applyBorder="1" applyAlignment="1"/>
    <xf numFmtId="0" fontId="3" fillId="0" borderId="0" xfId="0" applyFont="1" applyFill="1" applyAlignment="1"/>
    <xf numFmtId="43" fontId="2" fillId="0" borderId="0" xfId="0" applyNumberFormat="1" applyFont="1"/>
    <xf numFmtId="0" fontId="10" fillId="0" borderId="0" xfId="0" applyFont="1" applyFill="1" applyBorder="1" applyAlignment="1"/>
    <xf numFmtId="43" fontId="3" fillId="5" borderId="0" xfId="1" applyFont="1" applyFill="1"/>
    <xf numFmtId="0" fontId="3" fillId="10" borderId="0" xfId="0" applyFont="1" applyFill="1" applyAlignment="1"/>
    <xf numFmtId="43" fontId="3" fillId="10" borderId="0" xfId="1" applyFont="1" applyFill="1"/>
    <xf numFmtId="0" fontId="3" fillId="10" borderId="0" xfId="0" applyFont="1" applyFill="1"/>
    <xf numFmtId="43" fontId="3" fillId="10" borderId="0" xfId="1" applyFont="1" applyFill="1" applyAlignment="1"/>
    <xf numFmtId="43" fontId="1" fillId="10" borderId="0" xfId="1" applyFont="1" applyFill="1"/>
    <xf numFmtId="43" fontId="9" fillId="10" borderId="0" xfId="1" applyFont="1" applyFill="1"/>
    <xf numFmtId="43" fontId="3" fillId="10" borderId="0" xfId="0" applyNumberFormat="1" applyFont="1" applyFill="1"/>
    <xf numFmtId="43" fontId="0" fillId="10" borderId="0" xfId="1" applyFont="1" applyFill="1"/>
    <xf numFmtId="43" fontId="4" fillId="10" borderId="0" xfId="0" applyNumberFormat="1" applyFont="1" applyFill="1"/>
    <xf numFmtId="166" fontId="3" fillId="10" borderId="0" xfId="2" applyNumberFormat="1" applyFont="1" applyFill="1"/>
    <xf numFmtId="43" fontId="0" fillId="10" borderId="0" xfId="0" applyNumberFormat="1" applyFill="1"/>
    <xf numFmtId="0" fontId="0" fillId="10" borderId="0" xfId="0" applyFill="1"/>
    <xf numFmtId="43" fontId="4" fillId="11" borderId="0" xfId="1" applyFont="1" applyFill="1"/>
    <xf numFmtId="43" fontId="4" fillId="7" borderId="0" xfId="1" applyFont="1" applyFill="1"/>
    <xf numFmtId="164" fontId="3" fillId="7" borderId="0" xfId="0" applyNumberFormat="1" applyFont="1" applyFill="1"/>
    <xf numFmtId="164" fontId="4" fillId="7" borderId="0" xfId="0" applyNumberFormat="1" applyFont="1" applyFill="1"/>
    <xf numFmtId="0" fontId="4" fillId="5" borderId="0" xfId="0" applyFont="1" applyFill="1" applyAlignment="1">
      <alignment horizontal="center" wrapText="1"/>
    </xf>
    <xf numFmtId="43" fontId="4" fillId="5" borderId="0" xfId="1" applyFont="1" applyFill="1"/>
    <xf numFmtId="43" fontId="4" fillId="13" borderId="0" xfId="0" applyNumberFormat="1" applyFont="1" applyFill="1"/>
    <xf numFmtId="43" fontId="4" fillId="12" borderId="0" xfId="1" applyFont="1" applyFill="1"/>
    <xf numFmtId="0" fontId="0" fillId="6" borderId="0" xfId="0" applyFill="1" applyAlignment="1">
      <alignment wrapText="1"/>
    </xf>
    <xf numFmtId="3" fontId="4" fillId="0" borderId="0" xfId="0" applyNumberFormat="1" applyFont="1" applyAlignment="1">
      <alignment horizontal="right"/>
    </xf>
    <xf numFmtId="0" fontId="2" fillId="0" borderId="0" xfId="0" applyFont="1"/>
    <xf numFmtId="165" fontId="2" fillId="0" borderId="0" xfId="1" applyNumberFormat="1" applyFont="1"/>
    <xf numFmtId="166" fontId="2" fillId="0" borderId="0" xfId="2" applyNumberFormat="1" applyFont="1"/>
    <xf numFmtId="0" fontId="2" fillId="5" borderId="0" xfId="0" applyFont="1" applyFill="1" applyAlignment="1">
      <alignment horizontal="center"/>
    </xf>
    <xf numFmtId="167" fontId="0" fillId="0" borderId="0" xfId="1" applyNumberFormat="1" applyFont="1"/>
    <xf numFmtId="165" fontId="3" fillId="2" borderId="0" xfId="1" applyNumberFormat="1" applyFont="1" applyFill="1"/>
    <xf numFmtId="165" fontId="0" fillId="2" borderId="0" xfId="0" applyNumberFormat="1" applyFill="1"/>
    <xf numFmtId="43" fontId="0" fillId="0" borderId="0" xfId="1" applyFont="1" applyFill="1"/>
    <xf numFmtId="166" fontId="0" fillId="0" borderId="0" xfId="2" applyNumberFormat="1" applyFont="1"/>
    <xf numFmtId="43" fontId="3" fillId="0" borderId="0" xfId="1" applyFont="1" applyFill="1"/>
    <xf numFmtId="0" fontId="0" fillId="0" borderId="0" xfId="0" applyFill="1"/>
    <xf numFmtId="0" fontId="0" fillId="0" borderId="6" xfId="0" applyBorder="1"/>
    <xf numFmtId="166" fontId="0" fillId="0" borderId="0" xfId="2" applyNumberFormat="1" applyFont="1" applyBorder="1"/>
    <xf numFmtId="164" fontId="0" fillId="0" borderId="7" xfId="0" applyNumberFormat="1" applyBorder="1"/>
    <xf numFmtId="0" fontId="0" fillId="2" borderId="7" xfId="0" applyFill="1" applyBorder="1"/>
    <xf numFmtId="0" fontId="0" fillId="0" borderId="7" xfId="0" applyBorder="1"/>
    <xf numFmtId="0" fontId="0" fillId="0" borderId="28" xfId="0" applyBorder="1"/>
    <xf numFmtId="0" fontId="0" fillId="0" borderId="29" xfId="0" applyBorder="1"/>
    <xf numFmtId="164" fontId="0" fillId="0" borderId="29" xfId="0" applyNumberFormat="1" applyBorder="1"/>
    <xf numFmtId="166" fontId="0" fillId="0" borderId="29" xfId="2" applyNumberFormat="1" applyFont="1" applyBorder="1"/>
    <xf numFmtId="164" fontId="0" fillId="2" borderId="30" xfId="2" applyNumberFormat="1" applyFont="1" applyFill="1" applyBorder="1"/>
    <xf numFmtId="0" fontId="0" fillId="0" borderId="5" xfId="0" applyFill="1" applyBorder="1"/>
    <xf numFmtId="0" fontId="0" fillId="0" borderId="30" xfId="0" applyBorder="1"/>
    <xf numFmtId="43" fontId="0" fillId="0" borderId="3" xfId="0" quotePrefix="1" applyNumberFormat="1" applyFill="1" applyBorder="1"/>
    <xf numFmtId="165" fontId="0" fillId="2" borderId="0" xfId="1" applyNumberFormat="1" applyFont="1" applyFill="1" applyBorder="1"/>
    <xf numFmtId="0" fontId="0" fillId="0" borderId="10" xfId="0" applyBorder="1"/>
    <xf numFmtId="0" fontId="0" fillId="0" borderId="12" xfId="0" applyBorder="1"/>
    <xf numFmtId="168" fontId="0" fillId="2" borderId="11" xfId="0" applyNumberFormat="1" applyFill="1" applyBorder="1"/>
    <xf numFmtId="0" fontId="0" fillId="0" borderId="11" xfId="0" applyBorder="1"/>
    <xf numFmtId="168" fontId="0" fillId="0" borderId="12" xfId="0" applyNumberFormat="1" applyBorder="1"/>
    <xf numFmtId="166" fontId="0" fillId="0" borderId="11" xfId="2" applyNumberFormat="1" applyFont="1" applyBorder="1"/>
    <xf numFmtId="166" fontId="0" fillId="0" borderId="12" xfId="2" applyNumberFormat="1" applyFont="1" applyBorder="1"/>
    <xf numFmtId="0" fontId="0" fillId="0" borderId="8" xfId="0" applyBorder="1"/>
    <xf numFmtId="0" fontId="0" fillId="0" borderId="9" xfId="0" applyBorder="1"/>
    <xf numFmtId="0" fontId="2" fillId="0" borderId="3" xfId="0" applyFont="1" applyBorder="1"/>
    <xf numFmtId="0" fontId="2" fillId="0" borderId="5" xfId="0" applyFont="1" applyBorder="1"/>
    <xf numFmtId="164" fontId="2" fillId="0" borderId="4" xfId="0" applyNumberFormat="1" applyFont="1" applyBorder="1"/>
    <xf numFmtId="168" fontId="2" fillId="0" borderId="10" xfId="0" applyNumberFormat="1" applyFont="1" applyBorder="1"/>
    <xf numFmtId="166" fontId="2" fillId="0" borderId="4" xfId="2" applyNumberFormat="1" applyFont="1" applyBorder="1"/>
    <xf numFmtId="0" fontId="2" fillId="0" borderId="28" xfId="0" applyFont="1" applyBorder="1"/>
    <xf numFmtId="0" fontId="2" fillId="0" borderId="30" xfId="0" applyFont="1" applyBorder="1"/>
    <xf numFmtId="0" fontId="2" fillId="0" borderId="29" xfId="0" applyFont="1" applyBorder="1"/>
    <xf numFmtId="0" fontId="2" fillId="0" borderId="12" xfId="0" applyFont="1" applyBorder="1"/>
    <xf numFmtId="166" fontId="2" fillId="0" borderId="29" xfId="2" applyNumberFormat="1" applyFont="1" applyBorder="1"/>
    <xf numFmtId="166" fontId="2" fillId="0" borderId="10" xfId="2" applyNumberFormat="1" applyFont="1" applyBorder="1"/>
    <xf numFmtId="164" fontId="2" fillId="0" borderId="5" xfId="0" applyNumberFormat="1" applyFont="1" applyBorder="1"/>
    <xf numFmtId="0" fontId="0" fillId="0" borderId="0" xfId="0" applyAlignment="1">
      <alignment horizontal="center"/>
    </xf>
    <xf numFmtId="0" fontId="4" fillId="14" borderId="0" xfId="0" applyFont="1" applyFill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right"/>
    </xf>
    <xf numFmtId="3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3" fontId="4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/>
    <xf numFmtId="4" fontId="3" fillId="0" borderId="0" xfId="1" applyNumberFormat="1" applyFont="1" applyBorder="1" applyAlignment="1">
      <alignment horizontal="right"/>
    </xf>
    <xf numFmtId="4" fontId="3" fillId="0" borderId="0" xfId="0" applyNumberFormat="1" applyFont="1" applyBorder="1"/>
    <xf numFmtId="0" fontId="4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 wrapText="1"/>
    </xf>
    <xf numFmtId="3" fontId="4" fillId="4" borderId="0" xfId="0" applyNumberFormat="1" applyFont="1" applyFill="1" applyAlignment="1"/>
    <xf numFmtId="3" fontId="4" fillId="4" borderId="0" xfId="0" applyNumberFormat="1" applyFont="1" applyFill="1" applyAlignment="1">
      <alignment horizontal="right"/>
    </xf>
    <xf numFmtId="0" fontId="4" fillId="0" borderId="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3" fillId="0" borderId="0" xfId="0" applyFont="1" applyAlignment="1">
      <alignment horizontal="right"/>
    </xf>
    <xf numFmtId="167" fontId="4" fillId="0" borderId="0" xfId="1" applyNumberFormat="1" applyFont="1"/>
    <xf numFmtId="0" fontId="10" fillId="15" borderId="0" xfId="0" applyFont="1" applyFill="1" applyAlignment="1">
      <alignment horizontal="right"/>
    </xf>
    <xf numFmtId="0" fontId="10" fillId="15" borderId="0" xfId="0" applyFont="1" applyFill="1"/>
    <xf numFmtId="3" fontId="10" fillId="15" borderId="0" xfId="0" applyNumberFormat="1" applyFont="1" applyFill="1"/>
    <xf numFmtId="0" fontId="10" fillId="0" borderId="0" xfId="0" applyFont="1"/>
    <xf numFmtId="3" fontId="3" fillId="0" borderId="13" xfId="0" applyNumberFormat="1" applyFont="1" applyBorder="1" applyAlignment="1">
      <alignment horizontal="left" indent="1"/>
    </xf>
    <xf numFmtId="165" fontId="2" fillId="14" borderId="0" xfId="0" applyNumberFormat="1" applyFont="1" applyFill="1"/>
    <xf numFmtId="165" fontId="3" fillId="0" borderId="0" xfId="1" applyNumberFormat="1" applyFont="1"/>
    <xf numFmtId="4" fontId="0" fillId="0" borderId="0" xfId="0" applyNumberFormat="1"/>
    <xf numFmtId="169" fontId="0" fillId="0" borderId="0" xfId="0" applyNumberFormat="1"/>
    <xf numFmtId="0" fontId="2" fillId="5" borderId="0" xfId="0" applyFont="1" applyFill="1" applyAlignment="1"/>
    <xf numFmtId="0" fontId="4" fillId="5" borderId="0" xfId="0" applyFont="1" applyFill="1" applyAlignment="1"/>
    <xf numFmtId="9" fontId="2" fillId="5" borderId="0" xfId="2" applyFont="1" applyFill="1" applyAlignment="1"/>
    <xf numFmtId="167" fontId="3" fillId="0" borderId="0" xfId="1" applyNumberFormat="1" applyFont="1"/>
    <xf numFmtId="43" fontId="3" fillId="0" borderId="0" xfId="1" applyNumberFormat="1" applyFont="1"/>
    <xf numFmtId="170" fontId="2" fillId="0" borderId="25" xfId="1" applyNumberFormat="1" applyFont="1" applyBorder="1"/>
    <xf numFmtId="3" fontId="3" fillId="0" borderId="0" xfId="0" applyNumberFormat="1" applyFont="1"/>
    <xf numFmtId="0" fontId="4" fillId="0" borderId="0" xfId="0" applyFont="1" applyAlignment="1">
      <alignment wrapText="1"/>
    </xf>
    <xf numFmtId="165" fontId="4" fillId="0" borderId="0" xfId="1" applyNumberFormat="1" applyFont="1" applyAlignment="1">
      <alignment wrapText="1"/>
    </xf>
    <xf numFmtId="43" fontId="3" fillId="0" borderId="0" xfId="1" applyNumberFormat="1" applyFont="1" applyBorder="1" applyAlignment="1"/>
    <xf numFmtId="3" fontId="2" fillId="0" borderId="0" xfId="0" applyNumberFormat="1" applyFont="1"/>
    <xf numFmtId="3" fontId="4" fillId="0" borderId="0" xfId="0" applyNumberFormat="1" applyFont="1" applyAlignment="1">
      <alignment wrapText="1"/>
    </xf>
    <xf numFmtId="167" fontId="3" fillId="0" borderId="0" xfId="0" applyNumberFormat="1" applyFont="1"/>
    <xf numFmtId="0" fontId="4" fillId="0" borderId="0" xfId="0" applyFont="1" applyAlignment="1"/>
    <xf numFmtId="0" fontId="0" fillId="0" borderId="0" xfId="0" applyAlignment="1"/>
    <xf numFmtId="0" fontId="0" fillId="16" borderId="0" xfId="0" applyFill="1"/>
    <xf numFmtId="0" fontId="4" fillId="16" borderId="0" xfId="0" applyFont="1" applyFill="1" applyAlignment="1">
      <alignment wrapText="1"/>
    </xf>
    <xf numFmtId="165" fontId="2" fillId="16" borderId="0" xfId="0" applyNumberFormat="1" applyFont="1" applyFill="1"/>
    <xf numFmtId="167" fontId="4" fillId="0" borderId="0" xfId="1" applyNumberFormat="1" applyFont="1" applyAlignment="1">
      <alignment wrapText="1"/>
    </xf>
    <xf numFmtId="171" fontId="4" fillId="0" borderId="0" xfId="0" applyNumberFormat="1" applyFont="1" applyAlignment="1">
      <alignment wrapText="1"/>
    </xf>
    <xf numFmtId="0" fontId="10" fillId="0" borderId="0" xfId="0" applyFont="1" applyAlignment="1">
      <alignment vertical="center" wrapText="1"/>
    </xf>
    <xf numFmtId="3" fontId="10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 wrapText="1"/>
    </xf>
    <xf numFmtId="165" fontId="4" fillId="0" borderId="0" xfId="1" applyNumberFormat="1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0" fillId="17" borderId="0" xfId="0" applyFill="1"/>
    <xf numFmtId="3" fontId="16" fillId="18" borderId="41" xfId="4" applyNumberFormat="1" applyFont="1" applyFill="1" applyBorder="1" applyAlignment="1">
      <alignment horizontal="right" vertical="center" wrapText="1"/>
    </xf>
    <xf numFmtId="3" fontId="16" fillId="18" borderId="36" xfId="4" applyNumberFormat="1" applyFont="1" applyFill="1" applyBorder="1" applyAlignment="1">
      <alignment horizontal="left" vertical="center" wrapText="1"/>
    </xf>
    <xf numFmtId="168" fontId="16" fillId="18" borderId="36" xfId="1" applyNumberFormat="1" applyFont="1" applyFill="1" applyBorder="1" applyAlignment="1">
      <alignment horizontal="right" vertical="center" wrapText="1"/>
    </xf>
    <xf numFmtId="10" fontId="16" fillId="18" borderId="42" xfId="1" applyNumberFormat="1" applyFont="1" applyFill="1" applyBorder="1" applyAlignment="1">
      <alignment horizontal="center" vertical="center" wrapText="1"/>
    </xf>
    <xf numFmtId="3" fontId="16" fillId="19" borderId="36" xfId="4" applyNumberFormat="1" applyFont="1" applyFill="1" applyBorder="1" applyAlignment="1">
      <alignment horizontal="left" vertical="center" wrapText="1"/>
    </xf>
    <xf numFmtId="168" fontId="16" fillId="19" borderId="36" xfId="1" applyNumberFormat="1" applyFont="1" applyFill="1" applyBorder="1" applyAlignment="1">
      <alignment horizontal="right" vertical="center" wrapText="1"/>
    </xf>
    <xf numFmtId="10" fontId="16" fillId="19" borderId="42" xfId="1" applyNumberFormat="1" applyFont="1" applyFill="1" applyBorder="1" applyAlignment="1">
      <alignment horizontal="center" vertical="center" wrapText="1"/>
    </xf>
    <xf numFmtId="0" fontId="17" fillId="0" borderId="41" xfId="4" applyFont="1" applyFill="1" applyBorder="1" applyAlignment="1">
      <alignment horizontal="right" vertical="center" wrapText="1"/>
    </xf>
    <xf numFmtId="0" fontId="17" fillId="0" borderId="36" xfId="4" applyFont="1" applyFill="1" applyBorder="1" applyAlignment="1">
      <alignment horizontal="left" vertical="center" wrapText="1"/>
    </xf>
    <xf numFmtId="168" fontId="17" fillId="0" borderId="36" xfId="1" applyNumberFormat="1" applyFont="1" applyFill="1" applyBorder="1" applyAlignment="1">
      <alignment horizontal="right" vertical="center" wrapText="1"/>
    </xf>
    <xf numFmtId="10" fontId="17" fillId="0" borderId="42" xfId="1" applyNumberFormat="1" applyFont="1" applyFill="1" applyBorder="1" applyAlignment="1">
      <alignment horizontal="center" vertical="center" wrapText="1"/>
    </xf>
    <xf numFmtId="171" fontId="16" fillId="19" borderId="41" xfId="4" applyNumberFormat="1" applyFont="1" applyFill="1" applyBorder="1" applyAlignment="1">
      <alignment horizontal="right" vertical="center" wrapText="1"/>
    </xf>
    <xf numFmtId="0" fontId="18" fillId="0" borderId="43" xfId="0" applyFont="1" applyFill="1" applyBorder="1" applyAlignment="1">
      <alignment wrapText="1"/>
    </xf>
    <xf numFmtId="10" fontId="19" fillId="0" borderId="43" xfId="0" applyNumberFormat="1" applyFont="1" applyFill="1" applyBorder="1" applyAlignment="1">
      <alignment horizontal="center" vertical="center" wrapText="1"/>
    </xf>
    <xf numFmtId="0" fontId="10" fillId="0" borderId="3" xfId="0" applyFont="1" applyBorder="1"/>
    <xf numFmtId="0" fontId="10" fillId="0" borderId="6" xfId="0" applyFont="1" applyBorder="1"/>
    <xf numFmtId="0" fontId="10" fillId="0" borderId="28" xfId="0" applyFont="1" applyBorder="1"/>
    <xf numFmtId="0" fontId="0" fillId="0" borderId="7" xfId="0" applyBorder="1" applyAlignment="1"/>
    <xf numFmtId="0" fontId="0" fillId="0" borderId="30" xfId="0" applyBorder="1" applyAlignment="1">
      <alignment horizontal="left"/>
    </xf>
    <xf numFmtId="43" fontId="0" fillId="0" borderId="7" xfId="1" applyFont="1" applyBorder="1" applyAlignment="1">
      <alignment horizontal="left" vertical="center"/>
    </xf>
    <xf numFmtId="0" fontId="0" fillId="0" borderId="5" xfId="0" applyBorder="1" applyAlignment="1">
      <alignment wrapText="1"/>
    </xf>
    <xf numFmtId="168" fontId="14" fillId="20" borderId="36" xfId="1" applyNumberFormat="1" applyFont="1" applyFill="1" applyBorder="1" applyAlignment="1">
      <alignment horizontal="center" vertical="center" wrapText="1"/>
    </xf>
    <xf numFmtId="168" fontId="14" fillId="20" borderId="36" xfId="1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left" wrapText="1" indent="1"/>
    </xf>
    <xf numFmtId="3" fontId="3" fillId="0" borderId="0" xfId="0" applyNumberFormat="1" applyFont="1" applyAlignment="1">
      <alignment horizontal="right"/>
    </xf>
    <xf numFmtId="0" fontId="20" fillId="0" borderId="0" xfId="0" applyFont="1" applyFill="1"/>
    <xf numFmtId="3" fontId="17" fillId="0" borderId="36" xfId="4" applyNumberFormat="1" applyFont="1" applyFill="1" applyBorder="1" applyAlignment="1">
      <alignment horizontal="left" vertical="center" wrapText="1"/>
    </xf>
    <xf numFmtId="2" fontId="0" fillId="0" borderId="0" xfId="0" applyNumberFormat="1"/>
    <xf numFmtId="0" fontId="16" fillId="0" borderId="36" xfId="4" applyFont="1" applyFill="1" applyBorder="1" applyAlignment="1">
      <alignment horizontal="left" vertical="center" wrapText="1"/>
    </xf>
    <xf numFmtId="168" fontId="16" fillId="0" borderId="36" xfId="1" applyNumberFormat="1" applyFont="1" applyFill="1" applyBorder="1" applyAlignment="1">
      <alignment horizontal="right" vertical="center" wrapText="1"/>
    </xf>
    <xf numFmtId="0" fontId="0" fillId="21" borderId="12" xfId="0" applyFill="1" applyBorder="1" applyAlignment="1">
      <alignment vertical="center" wrapText="1"/>
    </xf>
    <xf numFmtId="0" fontId="0" fillId="21" borderId="30" xfId="0" applyFill="1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0" fillId="22" borderId="30" xfId="0" applyFill="1" applyBorder="1" applyAlignment="1">
      <alignment vertical="center" wrapText="1"/>
    </xf>
    <xf numFmtId="0" fontId="0" fillId="21" borderId="30" xfId="0" applyFill="1" applyBorder="1" applyAlignment="1">
      <alignment horizontal="right" vertical="center" wrapText="1"/>
    </xf>
    <xf numFmtId="0" fontId="0" fillId="22" borderId="30" xfId="0" applyFill="1" applyBorder="1" applyAlignment="1">
      <alignment horizontal="right" vertical="center" wrapText="1"/>
    </xf>
    <xf numFmtId="0" fontId="0" fillId="22" borderId="12" xfId="0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3" fontId="3" fillId="0" borderId="3" xfId="0" applyNumberFormat="1" applyFont="1" applyBorder="1" applyAlignment="1">
      <alignment horizontal="right"/>
    </xf>
    <xf numFmtId="3" fontId="3" fillId="0" borderId="4" xfId="0" applyNumberFormat="1" applyFont="1" applyBorder="1" applyAlignment="1">
      <alignment horizontal="right"/>
    </xf>
    <xf numFmtId="3" fontId="3" fillId="0" borderId="4" xfId="0" applyNumberFormat="1" applyFont="1" applyBorder="1" applyAlignment="1"/>
    <xf numFmtId="3" fontId="3" fillId="0" borderId="4" xfId="0" applyNumberFormat="1" applyFont="1" applyBorder="1" applyAlignment="1">
      <alignment horizontal="center"/>
    </xf>
    <xf numFmtId="3" fontId="3" fillId="0" borderId="6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/>
    <xf numFmtId="3" fontId="3" fillId="0" borderId="0" xfId="0" applyNumberFormat="1" applyFont="1" applyBorder="1" applyAlignment="1">
      <alignment horizontal="center"/>
    </xf>
    <xf numFmtId="3" fontId="3" fillId="0" borderId="0" xfId="0" applyNumberFormat="1" applyFont="1" applyFill="1" applyBorder="1" applyAlignment="1">
      <alignment horizontal="right"/>
    </xf>
    <xf numFmtId="3" fontId="3" fillId="0" borderId="4" xfId="0" applyNumberFormat="1" applyFont="1" applyFill="1" applyBorder="1" applyAlignment="1">
      <alignment horizontal="right"/>
    </xf>
    <xf numFmtId="0" fontId="0" fillId="0" borderId="28" xfId="0" applyFill="1" applyBorder="1" applyAlignment="1">
      <alignment vertical="center" wrapText="1"/>
    </xf>
    <xf numFmtId="3" fontId="3" fillId="0" borderId="0" xfId="0" applyNumberFormat="1" applyFont="1" applyFill="1" applyBorder="1" applyAlignment="1"/>
    <xf numFmtId="3" fontId="3" fillId="0" borderId="28" xfId="0" applyNumberFormat="1" applyFont="1" applyBorder="1" applyAlignment="1">
      <alignment horizontal="right"/>
    </xf>
    <xf numFmtId="3" fontId="3" fillId="0" borderId="29" xfId="0" applyNumberFormat="1" applyFont="1" applyFill="1" applyBorder="1" applyAlignment="1">
      <alignment horizontal="right"/>
    </xf>
    <xf numFmtId="3" fontId="3" fillId="0" borderId="29" xfId="0" applyNumberFormat="1" applyFont="1" applyFill="1" applyBorder="1" applyAlignment="1"/>
    <xf numFmtId="3" fontId="3" fillId="0" borderId="29" xfId="0" applyNumberFormat="1" applyFont="1" applyBorder="1" applyAlignment="1">
      <alignment horizontal="center"/>
    </xf>
    <xf numFmtId="3" fontId="3" fillId="0" borderId="29" xfId="0" applyNumberFormat="1" applyFont="1" applyFill="1" applyBorder="1" applyAlignment="1">
      <alignment horizontal="center"/>
    </xf>
    <xf numFmtId="0" fontId="21" fillId="0" borderId="28" xfId="0" applyFont="1" applyFill="1" applyBorder="1" applyAlignment="1">
      <alignment horizontal="left" vertical="center" wrapText="1" indent="5"/>
    </xf>
    <xf numFmtId="3" fontId="3" fillId="0" borderId="4" xfId="0" applyNumberFormat="1" applyFont="1" applyFill="1" applyBorder="1" applyAlignment="1"/>
    <xf numFmtId="0" fontId="4" fillId="19" borderId="8" xfId="0" applyFont="1" applyFill="1" applyBorder="1" applyAlignment="1">
      <alignment horizontal="center" vertical="center" wrapText="1"/>
    </xf>
    <xf numFmtId="0" fontId="4" fillId="19" borderId="44" xfId="0" applyFont="1" applyFill="1" applyBorder="1" applyAlignment="1">
      <alignment horizontal="center" vertical="center" wrapText="1"/>
    </xf>
    <xf numFmtId="0" fontId="4" fillId="19" borderId="44" xfId="0" applyFont="1" applyFill="1" applyBorder="1" applyAlignment="1">
      <alignment horizontal="center" vertical="center"/>
    </xf>
    <xf numFmtId="0" fontId="4" fillId="19" borderId="2" xfId="0" applyFont="1" applyFill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0" fontId="0" fillId="0" borderId="0" xfId="0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right" vertical="center"/>
    </xf>
    <xf numFmtId="3" fontId="3" fillId="0" borderId="44" xfId="0" applyNumberFormat="1" applyFont="1" applyFill="1" applyBorder="1" applyAlignment="1">
      <alignment vertical="center"/>
    </xf>
    <xf numFmtId="3" fontId="3" fillId="0" borderId="8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3" fontId="3" fillId="0" borderId="44" xfId="0" applyNumberFormat="1" applyFont="1" applyFill="1" applyBorder="1" applyAlignment="1">
      <alignment horizontal="right" vertical="center"/>
    </xf>
    <xf numFmtId="3" fontId="3" fillId="0" borderId="44" xfId="0" applyNumberFormat="1" applyFont="1" applyBorder="1" applyAlignment="1">
      <alignment horizontal="right" vertical="center"/>
    </xf>
    <xf numFmtId="3" fontId="0" fillId="0" borderId="30" xfId="0" applyNumberFormat="1" applyBorder="1" applyAlignment="1">
      <alignment horizontal="right" vertical="center" wrapText="1"/>
    </xf>
    <xf numFmtId="0" fontId="0" fillId="21" borderId="30" xfId="0" applyFont="1" applyFill="1" applyBorder="1" applyAlignment="1">
      <alignment vertical="center" wrapText="1"/>
    </xf>
    <xf numFmtId="0" fontId="0" fillId="22" borderId="10" xfId="0" applyFont="1" applyFill="1" applyBorder="1" applyAlignment="1">
      <alignment horizontal="left" vertical="center" wrapText="1" indent="1"/>
    </xf>
    <xf numFmtId="0" fontId="0" fillId="22" borderId="11" xfId="0" applyFont="1" applyFill="1" applyBorder="1" applyAlignment="1">
      <alignment horizontal="left" vertical="center" wrapText="1" indent="1"/>
    </xf>
    <xf numFmtId="3" fontId="3" fillId="0" borderId="0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horizontal="center" vertical="center"/>
    </xf>
    <xf numFmtId="3" fontId="3" fillId="4" borderId="0" xfId="0" applyNumberFormat="1" applyFont="1" applyFill="1" applyBorder="1" applyAlignment="1">
      <alignment horizontal="right" vertical="center"/>
    </xf>
    <xf numFmtId="3" fontId="3" fillId="4" borderId="0" xfId="0" applyNumberFormat="1" applyFont="1" applyFill="1" applyBorder="1" applyAlignment="1">
      <alignment vertical="center"/>
    </xf>
    <xf numFmtId="3" fontId="3" fillId="4" borderId="0" xfId="0" applyNumberFormat="1" applyFont="1" applyFill="1" applyBorder="1" applyAlignment="1">
      <alignment horizontal="center" vertical="center"/>
    </xf>
    <xf numFmtId="0" fontId="0" fillId="22" borderId="11" xfId="0" applyFont="1" applyFill="1" applyBorder="1" applyAlignment="1">
      <alignment horizontal="left" vertical="center" wrapText="1" indent="2"/>
    </xf>
    <xf numFmtId="0" fontId="0" fillId="22" borderId="12" xfId="0" applyFont="1" applyFill="1" applyBorder="1" applyAlignment="1">
      <alignment horizontal="left" vertical="center" wrapText="1" indent="1"/>
    </xf>
    <xf numFmtId="0" fontId="0" fillId="0" borderId="29" xfId="0" applyFill="1" applyBorder="1"/>
    <xf numFmtId="0" fontId="0" fillId="0" borderId="10" xfId="0" applyFont="1" applyBorder="1" applyAlignment="1">
      <alignment horizontal="left" vertical="center" wrapText="1" indent="1"/>
    </xf>
    <xf numFmtId="0" fontId="0" fillId="0" borderId="11" xfId="0" applyFont="1" applyBorder="1" applyAlignment="1">
      <alignment horizontal="left" vertical="center" wrapText="1" indent="1"/>
    </xf>
    <xf numFmtId="0" fontId="0" fillId="0" borderId="12" xfId="0" applyFont="1" applyBorder="1" applyAlignment="1">
      <alignment horizontal="left" vertical="center" wrapText="1" indent="1"/>
    </xf>
    <xf numFmtId="0" fontId="0" fillId="0" borderId="7" xfId="0" applyFont="1" applyBorder="1" applyAlignment="1">
      <alignment horizontal="left" vertical="center" wrapText="1" indent="1"/>
    </xf>
    <xf numFmtId="0" fontId="0" fillId="0" borderId="30" xfId="0" applyFont="1" applyBorder="1" applyAlignment="1">
      <alignment horizontal="left" vertical="center" wrapText="1" indent="1"/>
    </xf>
    <xf numFmtId="165" fontId="0" fillId="0" borderId="11" xfId="1" applyNumberFormat="1" applyFont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3" fontId="3" fillId="0" borderId="30" xfId="0" applyNumberFormat="1" applyFont="1" applyBorder="1" applyAlignment="1">
      <alignment horizontal="center" vertical="center"/>
    </xf>
    <xf numFmtId="0" fontId="0" fillId="22" borderId="7" xfId="0" applyFont="1" applyFill="1" applyBorder="1" applyAlignment="1">
      <alignment horizontal="left" vertical="center" wrapText="1" indent="1"/>
    </xf>
    <xf numFmtId="0" fontId="0" fillId="22" borderId="30" xfId="0" applyFont="1" applyFill="1" applyBorder="1" applyAlignment="1">
      <alignment horizontal="left" vertical="center" wrapText="1" indent="1"/>
    </xf>
    <xf numFmtId="0" fontId="0" fillId="22" borderId="30" xfId="0" applyFont="1" applyFill="1" applyBorder="1" applyAlignment="1">
      <alignment vertical="center" wrapText="1"/>
    </xf>
    <xf numFmtId="3" fontId="3" fillId="0" borderId="28" xfId="0" applyNumberFormat="1" applyFont="1" applyBorder="1" applyAlignment="1">
      <alignment horizontal="right" vertical="center"/>
    </xf>
    <xf numFmtId="3" fontId="3" fillId="0" borderId="29" xfId="0" applyNumberFormat="1" applyFont="1" applyBorder="1" applyAlignment="1">
      <alignment horizontal="right" vertical="center"/>
    </xf>
    <xf numFmtId="3" fontId="3" fillId="0" borderId="29" xfId="0" applyNumberFormat="1" applyFont="1" applyBorder="1" applyAlignment="1"/>
    <xf numFmtId="0" fontId="0" fillId="0" borderId="10" xfId="0" applyBorder="1" applyAlignment="1">
      <alignment horizontal="left" vertical="center" wrapText="1"/>
    </xf>
    <xf numFmtId="165" fontId="0" fillId="0" borderId="10" xfId="1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 vertical="center"/>
    </xf>
    <xf numFmtId="3" fontId="3" fillId="0" borderId="4" xfId="0" applyNumberFormat="1" applyFont="1" applyBorder="1" applyAlignment="1">
      <alignment vertical="center"/>
    </xf>
    <xf numFmtId="3" fontId="3" fillId="0" borderId="4" xfId="0" applyNumberFormat="1" applyFont="1" applyBorder="1" applyAlignment="1">
      <alignment horizontal="center" vertical="center"/>
    </xf>
    <xf numFmtId="165" fontId="0" fillId="0" borderId="0" xfId="1" applyNumberFormat="1" applyFont="1" applyBorder="1" applyAlignment="1">
      <alignment vertical="center"/>
    </xf>
    <xf numFmtId="0" fontId="0" fillId="0" borderId="6" xfId="0" applyFill="1" applyBorder="1" applyAlignment="1">
      <alignment vertical="center" wrapText="1"/>
    </xf>
    <xf numFmtId="0" fontId="0" fillId="0" borderId="29" xfId="0" applyBorder="1" applyAlignment="1">
      <alignment vertical="center"/>
    </xf>
    <xf numFmtId="0" fontId="0" fillId="0" borderId="30" xfId="0" applyFont="1" applyBorder="1" applyAlignment="1">
      <alignment vertical="center" wrapText="1"/>
    </xf>
    <xf numFmtId="3" fontId="3" fillId="0" borderId="5" xfId="0" applyNumberFormat="1" applyFont="1" applyBorder="1" applyAlignment="1">
      <alignment horizontal="center" vertical="center"/>
    </xf>
    <xf numFmtId="3" fontId="3" fillId="0" borderId="29" xfId="0" applyNumberFormat="1" applyFont="1" applyFill="1" applyBorder="1" applyAlignment="1">
      <alignment vertical="center"/>
    </xf>
    <xf numFmtId="3" fontId="0" fillId="0" borderId="10" xfId="0" applyNumberFormat="1" applyBorder="1" applyAlignment="1">
      <alignment horizontal="center" vertical="center" wrapText="1"/>
    </xf>
    <xf numFmtId="3" fontId="3" fillId="23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165" fontId="2" fillId="0" borderId="1" xfId="0" applyNumberFormat="1" applyFont="1" applyBorder="1" applyAlignment="1">
      <alignment horizontal="right"/>
    </xf>
    <xf numFmtId="172" fontId="16" fillId="18" borderId="36" xfId="1" applyNumberFormat="1" applyFont="1" applyFill="1" applyBorder="1" applyAlignment="1">
      <alignment horizontal="right" vertical="center" wrapText="1"/>
    </xf>
    <xf numFmtId="165" fontId="0" fillId="0" borderId="1" xfId="0" applyNumberFormat="1" applyBorder="1" applyAlignment="1">
      <alignment horizontal="right"/>
    </xf>
    <xf numFmtId="165" fontId="2" fillId="9" borderId="1" xfId="0" applyNumberFormat="1" applyFont="1" applyFill="1" applyBorder="1" applyAlignment="1">
      <alignment horizontal="right"/>
    </xf>
    <xf numFmtId="168" fontId="0" fillId="3" borderId="1" xfId="0" applyNumberFormat="1" applyFill="1" applyBorder="1"/>
    <xf numFmtId="171" fontId="3" fillId="0" borderId="0" xfId="0" applyNumberFormat="1" applyFont="1" applyAlignment="1">
      <alignment horizontal="right"/>
    </xf>
    <xf numFmtId="0" fontId="18" fillId="0" borderId="0" xfId="0" applyFont="1" applyFill="1" applyAlignment="1">
      <alignment horizontal="left" wrapText="1"/>
    </xf>
    <xf numFmtId="0" fontId="13" fillId="20" borderId="31" xfId="0" applyFont="1" applyFill="1" applyBorder="1" applyAlignment="1">
      <alignment horizontal="center" vertical="center"/>
    </xf>
    <xf numFmtId="0" fontId="13" fillId="20" borderId="32" xfId="0" applyFont="1" applyFill="1" applyBorder="1" applyAlignment="1">
      <alignment horizontal="center" vertical="center"/>
    </xf>
    <xf numFmtId="0" fontId="13" fillId="20" borderId="33" xfId="0" applyFont="1" applyFill="1" applyBorder="1" applyAlignment="1">
      <alignment horizontal="center" vertical="center"/>
    </xf>
    <xf numFmtId="0" fontId="14" fillId="20" borderId="34" xfId="3" applyFont="1" applyFill="1" applyBorder="1" applyAlignment="1">
      <alignment horizontal="right" vertical="center" wrapText="1"/>
    </xf>
    <xf numFmtId="0" fontId="14" fillId="20" borderId="38" xfId="3" applyFont="1" applyFill="1" applyBorder="1" applyAlignment="1">
      <alignment horizontal="right" vertical="center" wrapText="1"/>
    </xf>
    <xf numFmtId="0" fontId="14" fillId="20" borderId="35" xfId="3" applyFont="1" applyFill="1" applyBorder="1" applyAlignment="1">
      <alignment horizontal="left" vertical="center" wrapText="1"/>
    </xf>
    <xf numFmtId="0" fontId="14" fillId="20" borderId="39" xfId="3" applyFont="1" applyFill="1" applyBorder="1" applyAlignment="1">
      <alignment horizontal="left" vertical="center" wrapText="1"/>
    </xf>
    <xf numFmtId="10" fontId="14" fillId="20" borderId="37" xfId="1" applyNumberFormat="1" applyFont="1" applyFill="1" applyBorder="1" applyAlignment="1">
      <alignment horizontal="center" vertical="center" wrapText="1"/>
    </xf>
    <xf numFmtId="10" fontId="14" fillId="20" borderId="40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8" borderId="0" xfId="0" applyFont="1" applyFill="1" applyAlignment="1">
      <alignment horizontal="center" vertical="center" wrapText="1"/>
    </xf>
    <xf numFmtId="0" fontId="4" fillId="12" borderId="0" xfId="0" applyFont="1" applyFill="1" applyAlignment="1">
      <alignment horizontal="center" vertical="center" wrapText="1"/>
    </xf>
    <xf numFmtId="0" fontId="4" fillId="13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2" fillId="16" borderId="0" xfId="0" applyFont="1" applyFill="1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0" xfId="0" applyBorder="1" applyAlignment="1">
      <alignment horizontal="right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2" xfId="0" applyBorder="1" applyAlignment="1">
      <alignment horizontal="right" vertical="center" wrapText="1"/>
    </xf>
    <xf numFmtId="0" fontId="0" fillId="22" borderId="10" xfId="0" applyFill="1" applyBorder="1" applyAlignment="1">
      <alignment vertical="center" wrapText="1"/>
    </xf>
    <xf numFmtId="0" fontId="0" fillId="22" borderId="11" xfId="0" applyFill="1" applyBorder="1" applyAlignment="1">
      <alignment vertical="center" wrapText="1"/>
    </xf>
    <xf numFmtId="0" fontId="0" fillId="22" borderId="12" xfId="0" applyFill="1" applyBorder="1" applyAlignment="1">
      <alignment vertical="center" wrapText="1"/>
    </xf>
    <xf numFmtId="0" fontId="0" fillId="22" borderId="10" xfId="0" applyFill="1" applyBorder="1" applyAlignment="1">
      <alignment horizontal="right" vertical="center" wrapText="1"/>
    </xf>
    <xf numFmtId="0" fontId="0" fillId="22" borderId="11" xfId="0" applyFill="1" applyBorder="1" applyAlignment="1">
      <alignment horizontal="right" vertical="center" wrapText="1"/>
    </xf>
    <xf numFmtId="0" fontId="0" fillId="22" borderId="12" xfId="0" applyFill="1" applyBorder="1" applyAlignment="1">
      <alignment horizontal="right" vertical="center" wrapText="1"/>
    </xf>
    <xf numFmtId="3" fontId="0" fillId="0" borderId="10" xfId="0" applyNumberFormat="1" applyBorder="1" applyAlignment="1">
      <alignment horizontal="right" vertical="center" wrapText="1"/>
    </xf>
    <xf numFmtId="0" fontId="2" fillId="21" borderId="3" xfId="0" applyFont="1" applyFill="1" applyBorder="1" applyAlignment="1">
      <alignment vertical="center" wrapText="1"/>
    </xf>
    <xf numFmtId="0" fontId="2" fillId="21" borderId="4" xfId="0" applyFont="1" applyFill="1" applyBorder="1" applyAlignment="1">
      <alignment vertical="center" wrapText="1"/>
    </xf>
    <xf numFmtId="0" fontId="2" fillId="21" borderId="5" xfId="0" applyFont="1" applyFill="1" applyBorder="1" applyAlignment="1">
      <alignment vertical="center" wrapText="1"/>
    </xf>
    <xf numFmtId="0" fontId="2" fillId="21" borderId="28" xfId="0" applyFont="1" applyFill="1" applyBorder="1" applyAlignment="1">
      <alignment vertical="center" wrapText="1"/>
    </xf>
    <xf numFmtId="0" fontId="2" fillId="21" borderId="29" xfId="0" applyFont="1" applyFill="1" applyBorder="1" applyAlignment="1">
      <alignment vertical="center" wrapText="1"/>
    </xf>
    <xf numFmtId="0" fontId="2" fillId="21" borderId="30" xfId="0" applyFont="1" applyFill="1" applyBorder="1" applyAlignment="1">
      <alignment vertical="center" wrapText="1"/>
    </xf>
    <xf numFmtId="3" fontId="0" fillId="22" borderId="10" xfId="0" applyNumberFormat="1" applyFill="1" applyBorder="1" applyAlignment="1">
      <alignment horizontal="right" vertical="center" wrapText="1"/>
    </xf>
    <xf numFmtId="3" fontId="0" fillId="22" borderId="11" xfId="0" applyNumberFormat="1" applyFill="1" applyBorder="1" applyAlignment="1">
      <alignment horizontal="right" vertical="center" wrapText="1"/>
    </xf>
    <xf numFmtId="0" fontId="2" fillId="22" borderId="3" xfId="0" applyFont="1" applyFill="1" applyBorder="1" applyAlignment="1">
      <alignment vertical="center" wrapText="1"/>
    </xf>
    <xf numFmtId="0" fontId="2" fillId="22" borderId="6" xfId="0" applyFont="1" applyFill="1" applyBorder="1" applyAlignment="1">
      <alignment vertical="center" wrapText="1"/>
    </xf>
    <xf numFmtId="0" fontId="2" fillId="22" borderId="28" xfId="0" applyFont="1" applyFill="1" applyBorder="1" applyAlignment="1">
      <alignment vertical="center" wrapText="1"/>
    </xf>
    <xf numFmtId="3" fontId="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71" fontId="0" fillId="0" borderId="5" xfId="0" applyNumberFormat="1" applyBorder="1" applyAlignment="1">
      <alignment horizontal="center" vertical="center"/>
    </xf>
    <xf numFmtId="171" fontId="0" fillId="0" borderId="7" xfId="0" applyNumberFormat="1" applyBorder="1" applyAlignment="1">
      <alignment horizontal="center" vertical="center"/>
    </xf>
    <xf numFmtId="171" fontId="0" fillId="0" borderId="30" xfId="0" applyNumberFormat="1" applyBorder="1" applyAlignment="1">
      <alignment horizontal="center" vertical="center"/>
    </xf>
    <xf numFmtId="165" fontId="0" fillId="0" borderId="3" xfId="1" applyNumberFormat="1" applyFont="1" applyBorder="1" applyAlignment="1">
      <alignment horizontal="center" vertical="center"/>
    </xf>
    <xf numFmtId="165" fontId="0" fillId="0" borderId="28" xfId="1" applyNumberFormat="1" applyFon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2" fillId="22" borderId="10" xfId="0" applyFont="1" applyFill="1" applyBorder="1" applyAlignment="1">
      <alignment vertical="center" wrapText="1"/>
    </xf>
    <xf numFmtId="0" fontId="2" fillId="22" borderId="11" xfId="0" applyFont="1" applyFill="1" applyBorder="1" applyAlignment="1">
      <alignment vertical="center" wrapText="1"/>
    </xf>
    <xf numFmtId="0" fontId="2" fillId="22" borderId="12" xfId="0" applyFont="1" applyFill="1" applyBorder="1" applyAlignment="1">
      <alignment vertical="center" wrapText="1"/>
    </xf>
    <xf numFmtId="3" fontId="0" fillId="0" borderId="11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165" fontId="0" fillId="0" borderId="10" xfId="1" applyNumberFormat="1" applyFont="1" applyBorder="1" applyAlignment="1">
      <alignment horizontal="center" vertical="center" wrapText="1"/>
    </xf>
    <xf numFmtId="165" fontId="0" fillId="0" borderId="12" xfId="1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</cellXfs>
  <cellStyles count="5">
    <cellStyle name="Comma" xfId="1" builtinId="3"/>
    <cellStyle name="Normal" xfId="0" builtinId="0"/>
    <cellStyle name="Normal 7" xfId="4" xr:uid="{160BBAE9-202E-4127-852F-12325C8B35B4}"/>
    <cellStyle name="Normal_PEP" xfId="3" xr:uid="{F735B651-5EB4-4834-9817-B437BCB66F6E}"/>
    <cellStyle name="Percent" xfId="2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57424F73-BC97-4B7C-B938-250488B5A6C2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33" Type="http://schemas.openxmlformats.org/officeDocument/2006/relationships/customXml" Target="../customXml/item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32" Type="http://schemas.openxmlformats.org/officeDocument/2006/relationships/customXml" Target="../customXml/item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30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A962C-51D8-4B82-BDCF-F151B728B96F}">
  <sheetPr>
    <tabColor theme="9" tint="-0.249977111117893"/>
  </sheetPr>
  <dimension ref="B1:C5"/>
  <sheetViews>
    <sheetView workbookViewId="0">
      <selection activeCell="C3" sqref="C3"/>
    </sheetView>
  </sheetViews>
  <sheetFormatPr defaultRowHeight="15" x14ac:dyDescent="0.25"/>
  <cols>
    <col min="2" max="2" width="20.42578125" customWidth="1"/>
    <col min="3" max="3" width="67.7109375" customWidth="1"/>
  </cols>
  <sheetData>
    <row r="1" spans="2:3" ht="15.75" thickBot="1" x14ac:dyDescent="0.3"/>
    <row r="2" spans="2:3" ht="30" x14ac:dyDescent="0.25">
      <c r="B2" s="239" t="s">
        <v>298</v>
      </c>
      <c r="C2" s="245" t="s">
        <v>301</v>
      </c>
    </row>
    <row r="3" spans="2:3" ht="15.75" x14ac:dyDescent="0.25">
      <c r="B3" s="240" t="s">
        <v>299</v>
      </c>
      <c r="C3" s="242" t="s">
        <v>302</v>
      </c>
    </row>
    <row r="4" spans="2:3" ht="15.75" x14ac:dyDescent="0.25">
      <c r="B4" s="240" t="s">
        <v>300</v>
      </c>
      <c r="C4" s="244">
        <f>Resumen!C42</f>
        <v>275000000</v>
      </c>
    </row>
    <row r="5" spans="2:3" ht="16.5" thickBot="1" x14ac:dyDescent="0.3">
      <c r="B5" s="241" t="s">
        <v>303</v>
      </c>
      <c r="C5" s="243">
        <v>5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141CE-D6D9-42C9-9E6A-4BFBC758E988}">
  <sheetPr>
    <tabColor theme="9" tint="0.39997558519241921"/>
  </sheetPr>
  <dimension ref="B2:L41"/>
  <sheetViews>
    <sheetView topLeftCell="A7" workbookViewId="0">
      <selection activeCell="D37" sqref="D37"/>
    </sheetView>
  </sheetViews>
  <sheetFormatPr defaultRowHeight="12.75" x14ac:dyDescent="0.2"/>
  <cols>
    <col min="1" max="1" width="9.140625" style="159"/>
    <col min="2" max="2" width="28.42578125" style="159" customWidth="1"/>
    <col min="3" max="3" width="41.140625" style="159" customWidth="1"/>
    <col min="4" max="4" width="12.42578125" style="159" bestFit="1" customWidth="1"/>
    <col min="5" max="5" width="12.85546875" style="159" customWidth="1"/>
    <col min="6" max="6" width="10" style="159" customWidth="1"/>
    <col min="7" max="7" width="13.5703125" style="159" customWidth="1"/>
    <col min="8" max="16384" width="9.140625" style="159"/>
  </cols>
  <sheetData>
    <row r="2" spans="2:7" x14ac:dyDescent="0.2">
      <c r="B2" s="160" t="s">
        <v>142</v>
      </c>
    </row>
    <row r="3" spans="2:7" x14ac:dyDescent="0.2">
      <c r="B3" s="425"/>
      <c r="C3" s="425"/>
      <c r="D3" s="162"/>
      <c r="E3" s="183"/>
      <c r="F3" s="183"/>
      <c r="G3" s="183"/>
    </row>
    <row r="4" spans="2:7" x14ac:dyDescent="0.2">
      <c r="B4" s="426"/>
      <c r="C4" s="163"/>
      <c r="D4" s="164"/>
      <c r="E4" s="165"/>
      <c r="F4" s="165"/>
      <c r="G4" s="166"/>
    </row>
    <row r="5" spans="2:7" x14ac:dyDescent="0.2">
      <c r="B5" s="426"/>
      <c r="C5" s="163"/>
      <c r="D5" s="164"/>
      <c r="E5" s="165"/>
      <c r="F5" s="165"/>
      <c r="G5" s="166"/>
    </row>
    <row r="6" spans="2:7" x14ac:dyDescent="0.2">
      <c r="B6" s="426"/>
      <c r="C6" s="163"/>
      <c r="D6" s="164"/>
      <c r="E6" s="165"/>
      <c r="F6" s="165"/>
      <c r="G6" s="166"/>
    </row>
    <row r="7" spans="2:7" x14ac:dyDescent="0.2">
      <c r="B7" s="426"/>
      <c r="C7" s="163"/>
      <c r="D7" s="164"/>
      <c r="E7" s="165"/>
      <c r="F7" s="165"/>
      <c r="G7" s="166"/>
    </row>
    <row r="8" spans="2:7" x14ac:dyDescent="0.2">
      <c r="B8" s="167"/>
      <c r="C8" s="168"/>
      <c r="D8" s="163"/>
      <c r="E8" s="165"/>
      <c r="F8" s="165"/>
      <c r="G8" s="169"/>
    </row>
    <row r="9" spans="2:7" ht="29.25" customHeight="1" x14ac:dyDescent="0.2">
      <c r="B9" s="170"/>
      <c r="C9" s="163"/>
      <c r="D9" s="164"/>
      <c r="E9" s="165"/>
      <c r="F9" s="165"/>
      <c r="G9" s="166"/>
    </row>
    <row r="10" spans="2:7" x14ac:dyDescent="0.2">
      <c r="B10" s="171"/>
      <c r="C10" s="168"/>
      <c r="D10" s="163"/>
      <c r="E10" s="165"/>
      <c r="F10" s="165"/>
      <c r="G10" s="169"/>
    </row>
    <row r="11" spans="2:7" x14ac:dyDescent="0.2">
      <c r="B11" s="171"/>
      <c r="C11" s="168"/>
      <c r="D11" s="163"/>
      <c r="E11" s="165"/>
      <c r="F11" s="165"/>
      <c r="G11" s="169"/>
    </row>
    <row r="12" spans="2:7" x14ac:dyDescent="0.2">
      <c r="B12" s="171"/>
      <c r="C12" s="163"/>
      <c r="D12" s="163"/>
      <c r="E12" s="165"/>
      <c r="F12" s="165"/>
      <c r="G12" s="172"/>
    </row>
    <row r="13" spans="2:7" x14ac:dyDescent="0.2">
      <c r="B13" s="175"/>
      <c r="C13" s="176"/>
      <c r="D13" s="176"/>
      <c r="E13" s="177"/>
      <c r="F13" s="177"/>
      <c r="G13" s="178"/>
    </row>
    <row r="14" spans="2:7" x14ac:dyDescent="0.2">
      <c r="B14" s="160"/>
    </row>
    <row r="15" spans="2:7" x14ac:dyDescent="0.2">
      <c r="B15" s="425"/>
      <c r="C15" s="425"/>
      <c r="D15" s="162"/>
      <c r="E15" s="183"/>
      <c r="F15" s="183"/>
      <c r="G15" s="183"/>
    </row>
    <row r="16" spans="2:7" x14ac:dyDescent="0.2">
      <c r="B16" s="426"/>
      <c r="C16" s="163"/>
      <c r="D16" s="164"/>
      <c r="E16" s="165"/>
      <c r="F16" s="165"/>
      <c r="G16" s="166"/>
    </row>
    <row r="17" spans="2:7" x14ac:dyDescent="0.2">
      <c r="B17" s="426"/>
      <c r="C17" s="163"/>
      <c r="D17" s="164"/>
      <c r="E17" s="165"/>
      <c r="F17" s="165"/>
      <c r="G17" s="166"/>
    </row>
    <row r="18" spans="2:7" x14ac:dyDescent="0.2">
      <c r="B18" s="426"/>
      <c r="C18" s="163"/>
      <c r="D18" s="164"/>
      <c r="E18" s="165"/>
      <c r="F18" s="165"/>
      <c r="G18" s="166"/>
    </row>
    <row r="19" spans="2:7" x14ac:dyDescent="0.2">
      <c r="B19" s="426"/>
      <c r="C19" s="163"/>
      <c r="D19" s="164"/>
      <c r="E19" s="165"/>
      <c r="F19" s="165"/>
      <c r="G19" s="166"/>
    </row>
    <row r="20" spans="2:7" x14ac:dyDescent="0.2">
      <c r="B20" s="167"/>
      <c r="C20" s="168"/>
      <c r="D20" s="163"/>
      <c r="E20" s="165"/>
      <c r="F20" s="165"/>
      <c r="G20" s="169"/>
    </row>
    <row r="23" spans="2:7" x14ac:dyDescent="0.2">
      <c r="B23" s="160" t="s">
        <v>143</v>
      </c>
    </row>
    <row r="24" spans="2:7" x14ac:dyDescent="0.2">
      <c r="B24" s="425" t="s">
        <v>10</v>
      </c>
      <c r="C24" s="425"/>
      <c r="D24" s="162" t="s">
        <v>11</v>
      </c>
      <c r="E24" s="173" t="s">
        <v>79</v>
      </c>
      <c r="F24" s="183" t="s">
        <v>13</v>
      </c>
      <c r="G24" s="183" t="s">
        <v>68</v>
      </c>
    </row>
    <row r="25" spans="2:7" x14ac:dyDescent="0.2">
      <c r="B25" s="170" t="s">
        <v>144</v>
      </c>
      <c r="C25" s="163" t="s">
        <v>84</v>
      </c>
      <c r="D25" s="164" t="s">
        <v>83</v>
      </c>
      <c r="E25" s="165">
        <f>10113860</f>
        <v>10113860</v>
      </c>
      <c r="F25" s="165">
        <v>1</v>
      </c>
      <c r="G25" s="166">
        <f>E25*F25</f>
        <v>10113860</v>
      </c>
    </row>
    <row r="26" spans="2:7" x14ac:dyDescent="0.2">
      <c r="B26" s="171"/>
      <c r="C26" s="168" t="s">
        <v>68</v>
      </c>
      <c r="D26" s="163"/>
      <c r="E26" s="165"/>
      <c r="F26" s="165"/>
      <c r="G26" s="169">
        <f>G25</f>
        <v>10113860</v>
      </c>
    </row>
    <row r="30" spans="2:7" ht="10.5" customHeight="1" x14ac:dyDescent="0.2">
      <c r="B30" s="159" t="s">
        <v>124</v>
      </c>
    </row>
    <row r="31" spans="2:7" ht="25.5" customHeight="1" x14ac:dyDescent="0.2">
      <c r="B31" s="425" t="s">
        <v>10</v>
      </c>
      <c r="C31" s="425"/>
      <c r="D31" s="162" t="s">
        <v>11</v>
      </c>
      <c r="E31" s="173" t="s">
        <v>79</v>
      </c>
      <c r="F31" s="183" t="s">
        <v>13</v>
      </c>
      <c r="G31" s="183" t="s">
        <v>68</v>
      </c>
    </row>
    <row r="32" spans="2:7" ht="25.5" x14ac:dyDescent="0.2">
      <c r="B32" s="426" t="s">
        <v>145</v>
      </c>
      <c r="C32" s="174" t="s">
        <v>137</v>
      </c>
      <c r="D32" s="164" t="s">
        <v>83</v>
      </c>
      <c r="E32" s="165">
        <v>230000</v>
      </c>
      <c r="F32" s="165">
        <v>1</v>
      </c>
      <c r="G32" s="166">
        <f>E32*F32</f>
        <v>230000</v>
      </c>
    </row>
    <row r="33" spans="2:12" x14ac:dyDescent="0.2">
      <c r="B33" s="426"/>
      <c r="C33" s="163"/>
      <c r="D33" s="164"/>
      <c r="E33" s="165"/>
      <c r="F33" s="165"/>
      <c r="G33" s="166"/>
    </row>
    <row r="34" spans="2:12" x14ac:dyDescent="0.2">
      <c r="B34" s="426"/>
      <c r="C34" s="163"/>
      <c r="D34" s="164"/>
      <c r="E34" s="165"/>
      <c r="F34" s="165"/>
      <c r="G34" s="166"/>
    </row>
    <row r="35" spans="2:12" x14ac:dyDescent="0.2">
      <c r="B35" s="426"/>
      <c r="C35" s="163"/>
      <c r="D35" s="164"/>
      <c r="E35" s="165"/>
      <c r="F35" s="165"/>
      <c r="G35" s="166"/>
    </row>
    <row r="36" spans="2:12" x14ac:dyDescent="0.2">
      <c r="B36" s="167"/>
      <c r="C36" s="168" t="s">
        <v>68</v>
      </c>
      <c r="D36" s="163"/>
      <c r="E36" s="165"/>
      <c r="F36" s="165"/>
      <c r="G36" s="169">
        <f>SUM(G32:G35)</f>
        <v>230000</v>
      </c>
    </row>
    <row r="39" spans="2:12" x14ac:dyDescent="0.2">
      <c r="C39" s="66" t="s">
        <v>138</v>
      </c>
      <c r="G39" s="5">
        <f>G36+G26+G20+G11</f>
        <v>10343860</v>
      </c>
    </row>
    <row r="41" spans="2:12" ht="15.75" x14ac:dyDescent="0.25">
      <c r="C41" s="189" t="s">
        <v>146</v>
      </c>
      <c r="D41" s="190"/>
      <c r="E41" s="190"/>
      <c r="F41" s="190"/>
      <c r="G41" s="191">
        <f>G36+G26</f>
        <v>10343860</v>
      </c>
      <c r="L41" s="58"/>
    </row>
  </sheetData>
  <mergeCells count="7">
    <mergeCell ref="B32:B35"/>
    <mergeCell ref="B3:C3"/>
    <mergeCell ref="B4:B7"/>
    <mergeCell ref="B15:C15"/>
    <mergeCell ref="B16:B19"/>
    <mergeCell ref="B24:C24"/>
    <mergeCell ref="B31:C3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F6645-D355-4C6D-9A18-61C506DF5676}">
  <sheetPr>
    <tabColor theme="8" tint="0.39997558519241921"/>
  </sheetPr>
  <dimension ref="B2:L41"/>
  <sheetViews>
    <sheetView topLeftCell="A13" workbookViewId="0">
      <selection activeCell="G42" sqref="G42"/>
    </sheetView>
  </sheetViews>
  <sheetFormatPr defaultRowHeight="12.75" x14ac:dyDescent="0.2"/>
  <cols>
    <col min="1" max="1" width="9.140625" style="159"/>
    <col min="2" max="2" width="28.42578125" style="159" customWidth="1"/>
    <col min="3" max="3" width="41.140625" style="159" customWidth="1"/>
    <col min="4" max="4" width="12.42578125" style="159" bestFit="1" customWidth="1"/>
    <col min="5" max="5" width="12.85546875" style="159" customWidth="1"/>
    <col min="6" max="6" width="10" style="159" customWidth="1"/>
    <col min="7" max="7" width="13.5703125" style="159" customWidth="1"/>
    <col min="8" max="16384" width="9.140625" style="159"/>
  </cols>
  <sheetData>
    <row r="2" spans="2:7" x14ac:dyDescent="0.2">
      <c r="B2" s="160" t="s">
        <v>147</v>
      </c>
    </row>
    <row r="3" spans="2:7" x14ac:dyDescent="0.2">
      <c r="B3" s="425"/>
      <c r="C3" s="425"/>
      <c r="D3" s="162"/>
      <c r="E3" s="183"/>
      <c r="F3" s="183"/>
      <c r="G3" s="183"/>
    </row>
    <row r="4" spans="2:7" x14ac:dyDescent="0.2">
      <c r="B4" s="426"/>
      <c r="C4" s="163"/>
      <c r="D4" s="164"/>
      <c r="E4" s="165"/>
      <c r="F4" s="165"/>
      <c r="G4" s="166"/>
    </row>
    <row r="5" spans="2:7" x14ac:dyDescent="0.2">
      <c r="B5" s="426"/>
      <c r="C5" s="163"/>
      <c r="D5" s="164"/>
      <c r="E5" s="165"/>
      <c r="F5" s="165"/>
      <c r="G5" s="166"/>
    </row>
    <row r="6" spans="2:7" x14ac:dyDescent="0.2">
      <c r="B6" s="426"/>
      <c r="C6" s="163"/>
      <c r="D6" s="164"/>
      <c r="E6" s="165"/>
      <c r="F6" s="165"/>
      <c r="G6" s="166"/>
    </row>
    <row r="7" spans="2:7" x14ac:dyDescent="0.2">
      <c r="B7" s="426"/>
      <c r="C7" s="163"/>
      <c r="D7" s="164"/>
      <c r="E7" s="165"/>
      <c r="F7" s="165"/>
      <c r="G7" s="166"/>
    </row>
    <row r="8" spans="2:7" x14ac:dyDescent="0.2">
      <c r="B8" s="167"/>
      <c r="C8" s="168"/>
      <c r="D8" s="163"/>
      <c r="E8" s="165"/>
      <c r="F8" s="165"/>
      <c r="G8" s="169"/>
    </row>
    <row r="9" spans="2:7" ht="29.25" customHeight="1" x14ac:dyDescent="0.2">
      <c r="B9" s="170"/>
      <c r="C9" s="163"/>
      <c r="D9" s="164"/>
      <c r="E9" s="165"/>
      <c r="F9" s="165"/>
      <c r="G9" s="166"/>
    </row>
    <row r="10" spans="2:7" x14ac:dyDescent="0.2">
      <c r="B10" s="171"/>
      <c r="C10" s="168"/>
      <c r="D10" s="163"/>
      <c r="E10" s="165"/>
      <c r="F10" s="165"/>
      <c r="G10" s="169"/>
    </row>
    <row r="11" spans="2:7" x14ac:dyDescent="0.2">
      <c r="B11" s="171"/>
      <c r="C11" s="168"/>
      <c r="D11" s="163"/>
      <c r="E11" s="165"/>
      <c r="F11" s="165"/>
      <c r="G11" s="169"/>
    </row>
    <row r="12" spans="2:7" x14ac:dyDescent="0.2">
      <c r="B12" s="171"/>
      <c r="C12" s="163"/>
      <c r="D12" s="163"/>
      <c r="E12" s="165"/>
      <c r="F12" s="165"/>
      <c r="G12" s="172"/>
    </row>
    <row r="13" spans="2:7" x14ac:dyDescent="0.2">
      <c r="B13" s="175"/>
      <c r="C13" s="176"/>
      <c r="D13" s="176"/>
      <c r="E13" s="177"/>
      <c r="F13" s="177"/>
      <c r="G13" s="178"/>
    </row>
    <row r="14" spans="2:7" x14ac:dyDescent="0.2">
      <c r="B14" s="160"/>
    </row>
    <row r="15" spans="2:7" x14ac:dyDescent="0.2">
      <c r="B15" s="159" t="s">
        <v>77</v>
      </c>
    </row>
    <row r="16" spans="2:7" x14ac:dyDescent="0.2">
      <c r="B16" s="425" t="s">
        <v>10</v>
      </c>
      <c r="C16" s="425"/>
      <c r="D16" s="162" t="s">
        <v>11</v>
      </c>
      <c r="E16" s="173" t="s">
        <v>79</v>
      </c>
      <c r="F16" s="183" t="s">
        <v>13</v>
      </c>
      <c r="G16" s="183" t="s">
        <v>68</v>
      </c>
    </row>
    <row r="17" spans="2:7" x14ac:dyDescent="0.2">
      <c r="B17" s="426" t="s">
        <v>78</v>
      </c>
      <c r="C17" s="174" t="s">
        <v>152</v>
      </c>
      <c r="D17" s="164" t="s">
        <v>11</v>
      </c>
      <c r="E17" s="165">
        <v>655977</v>
      </c>
      <c r="F17" s="165">
        <v>1</v>
      </c>
      <c r="G17" s="166">
        <f>E17*F17</f>
        <v>655977</v>
      </c>
    </row>
    <row r="18" spans="2:7" x14ac:dyDescent="0.2">
      <c r="B18" s="426"/>
      <c r="C18" s="163" t="s">
        <v>153</v>
      </c>
      <c r="D18" s="164" t="s">
        <v>83</v>
      </c>
      <c r="E18" s="165">
        <v>109329</v>
      </c>
      <c r="F18" s="165">
        <v>1</v>
      </c>
      <c r="G18" s="166">
        <f>E18*F18</f>
        <v>109329</v>
      </c>
    </row>
    <row r="19" spans="2:7" x14ac:dyDescent="0.2">
      <c r="B19" s="426"/>
      <c r="C19" s="163" t="s">
        <v>154</v>
      </c>
      <c r="D19" s="164" t="s">
        <v>83</v>
      </c>
      <c r="E19" s="165">
        <v>212592</v>
      </c>
      <c r="F19" s="165">
        <v>1</v>
      </c>
      <c r="G19" s="166">
        <f>E19*F19</f>
        <v>212592</v>
      </c>
    </row>
    <row r="20" spans="2:7" x14ac:dyDescent="0.2">
      <c r="B20" s="426"/>
      <c r="C20" s="163" t="s">
        <v>155</v>
      </c>
      <c r="D20" s="164" t="s">
        <v>83</v>
      </c>
      <c r="E20" s="165">
        <v>26152</v>
      </c>
      <c r="F20" s="165">
        <v>1</v>
      </c>
      <c r="G20" s="166">
        <f>E20*F20</f>
        <v>26152</v>
      </c>
    </row>
    <row r="21" spans="2:7" ht="15" customHeight="1" x14ac:dyDescent="0.2">
      <c r="B21" s="167"/>
      <c r="C21" s="168" t="s">
        <v>68</v>
      </c>
      <c r="D21" s="163"/>
      <c r="E21" s="165"/>
      <c r="F21" s="165"/>
      <c r="G21" s="169">
        <f>SUM(G17:G20)</f>
        <v>1004050</v>
      </c>
    </row>
    <row r="23" spans="2:7" x14ac:dyDescent="0.2">
      <c r="B23" s="160" t="s">
        <v>148</v>
      </c>
    </row>
    <row r="24" spans="2:7" x14ac:dyDescent="0.2">
      <c r="B24" s="425" t="s">
        <v>10</v>
      </c>
      <c r="C24" s="425"/>
      <c r="D24" s="162" t="s">
        <v>11</v>
      </c>
      <c r="E24" s="173" t="s">
        <v>79</v>
      </c>
      <c r="F24" s="183" t="s">
        <v>13</v>
      </c>
      <c r="G24" s="183" t="s">
        <v>68</v>
      </c>
    </row>
    <row r="25" spans="2:7" x14ac:dyDescent="0.2">
      <c r="B25" s="170" t="s">
        <v>149</v>
      </c>
      <c r="C25" s="163" t="s">
        <v>84</v>
      </c>
      <c r="D25" s="164" t="s">
        <v>83</v>
      </c>
      <c r="E25" s="165">
        <v>30000000</v>
      </c>
      <c r="F25" s="165">
        <v>1</v>
      </c>
      <c r="G25" s="166">
        <f>E25*F25</f>
        <v>30000000</v>
      </c>
    </row>
    <row r="26" spans="2:7" x14ac:dyDescent="0.2">
      <c r="B26" s="171"/>
      <c r="C26" s="168" t="s">
        <v>68</v>
      </c>
      <c r="D26" s="163"/>
      <c r="E26" s="165"/>
      <c r="F26" s="165"/>
      <c r="G26" s="169">
        <f>G25</f>
        <v>30000000</v>
      </c>
    </row>
    <row r="30" spans="2:7" ht="10.5" customHeight="1" x14ac:dyDescent="0.2">
      <c r="B30" s="159" t="s">
        <v>124</v>
      </c>
    </row>
    <row r="31" spans="2:7" ht="25.5" customHeight="1" x14ac:dyDescent="0.2">
      <c r="B31" s="425" t="s">
        <v>10</v>
      </c>
      <c r="C31" s="425"/>
      <c r="D31" s="162" t="s">
        <v>11</v>
      </c>
      <c r="E31" s="173" t="s">
        <v>79</v>
      </c>
      <c r="F31" s="183" t="s">
        <v>13</v>
      </c>
      <c r="G31" s="183" t="s">
        <v>68</v>
      </c>
    </row>
    <row r="32" spans="2:7" x14ac:dyDescent="0.2">
      <c r="B32" s="426" t="s">
        <v>150</v>
      </c>
      <c r="C32" s="163" t="s">
        <v>121</v>
      </c>
      <c r="D32" s="164" t="s">
        <v>11</v>
      </c>
      <c r="E32" s="165">
        <v>109330</v>
      </c>
      <c r="F32" s="165">
        <v>1</v>
      </c>
      <c r="G32" s="166">
        <f>E32*F32</f>
        <v>109330</v>
      </c>
    </row>
    <row r="33" spans="2:12" x14ac:dyDescent="0.2">
      <c r="B33" s="426"/>
      <c r="C33" s="163" t="s">
        <v>151</v>
      </c>
      <c r="D33" s="164" t="s">
        <v>11</v>
      </c>
      <c r="E33" s="165">
        <v>51020</v>
      </c>
      <c r="F33" s="165">
        <v>1</v>
      </c>
      <c r="G33" s="166">
        <f>E33*F33</f>
        <v>51020</v>
      </c>
    </row>
    <row r="34" spans="2:12" x14ac:dyDescent="0.2">
      <c r="B34" s="426"/>
      <c r="C34" s="163"/>
      <c r="D34" s="164"/>
      <c r="E34" s="165"/>
      <c r="F34" s="165"/>
      <c r="G34" s="166"/>
    </row>
    <row r="35" spans="2:12" x14ac:dyDescent="0.2">
      <c r="B35" s="426"/>
      <c r="C35" s="163"/>
      <c r="D35" s="164"/>
      <c r="E35" s="165"/>
      <c r="F35" s="165"/>
      <c r="G35" s="166"/>
    </row>
    <row r="36" spans="2:12" x14ac:dyDescent="0.2">
      <c r="B36" s="167"/>
      <c r="C36" s="168" t="s">
        <v>68</v>
      </c>
      <c r="D36" s="163"/>
      <c r="E36" s="165"/>
      <c r="F36" s="165"/>
      <c r="G36" s="169">
        <f>SUM(G32:G35)</f>
        <v>160350</v>
      </c>
    </row>
    <row r="39" spans="2:12" x14ac:dyDescent="0.2">
      <c r="C39" s="66" t="s">
        <v>138</v>
      </c>
      <c r="G39" s="5">
        <f>G36+G26+G20+G11</f>
        <v>30186502</v>
      </c>
    </row>
    <row r="41" spans="2:12" ht="15.75" x14ac:dyDescent="0.25">
      <c r="C41" s="189" t="s">
        <v>146</v>
      </c>
      <c r="D41" s="190"/>
      <c r="E41" s="190"/>
      <c r="F41" s="190"/>
      <c r="G41" s="191">
        <f>G36+G26+G21</f>
        <v>31164400</v>
      </c>
      <c r="L41" s="58"/>
    </row>
  </sheetData>
  <mergeCells count="7">
    <mergeCell ref="B32:B35"/>
    <mergeCell ref="B16:C16"/>
    <mergeCell ref="B17:B20"/>
    <mergeCell ref="B3:C3"/>
    <mergeCell ref="B4:B7"/>
    <mergeCell ref="B24:C24"/>
    <mergeCell ref="B31:C3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/>
  </sheetPr>
  <dimension ref="B2:N45"/>
  <sheetViews>
    <sheetView topLeftCell="A13" zoomScale="115" zoomScaleNormal="115" workbookViewId="0">
      <selection activeCell="H39" sqref="H39"/>
    </sheetView>
  </sheetViews>
  <sheetFormatPr defaultRowHeight="15" x14ac:dyDescent="0.25"/>
  <cols>
    <col min="1" max="1" width="2.42578125" customWidth="1"/>
    <col min="2" max="2" width="20.5703125" style="34" customWidth="1"/>
    <col min="3" max="3" width="47.140625" customWidth="1"/>
    <col min="4" max="4" width="40.28515625" bestFit="1" customWidth="1"/>
    <col min="5" max="5" width="7.28515625" bestFit="1" customWidth="1"/>
    <col min="6" max="6" width="12.140625" customWidth="1"/>
    <col min="7" max="7" width="9.7109375" customWidth="1"/>
    <col min="8" max="8" width="17.7109375" customWidth="1"/>
    <col min="10" max="10" width="14.140625" customWidth="1"/>
    <col min="12" max="12" width="15.28515625" customWidth="1"/>
  </cols>
  <sheetData>
    <row r="2" spans="2:11" ht="18.75" x14ac:dyDescent="0.3">
      <c r="B2" s="432" t="s">
        <v>175</v>
      </c>
      <c r="C2" s="432"/>
      <c r="D2" s="432"/>
      <c r="E2" s="432"/>
      <c r="F2" s="432"/>
      <c r="G2" s="432"/>
      <c r="H2" s="432"/>
    </row>
    <row r="3" spans="2:11" x14ac:dyDescent="0.25">
      <c r="B3" s="47" t="s">
        <v>9</v>
      </c>
      <c r="C3" s="433" t="s">
        <v>10</v>
      </c>
      <c r="D3" s="433"/>
      <c r="E3" s="35" t="s">
        <v>11</v>
      </c>
      <c r="F3" s="35" t="s">
        <v>12</v>
      </c>
      <c r="G3" s="35" t="s">
        <v>13</v>
      </c>
      <c r="H3" s="35" t="s">
        <v>0</v>
      </c>
    </row>
    <row r="4" spans="2:11" x14ac:dyDescent="0.25">
      <c r="B4" s="427" t="s">
        <v>41</v>
      </c>
      <c r="C4" s="434"/>
      <c r="D4" s="36" t="s">
        <v>112</v>
      </c>
      <c r="E4" s="36" t="s">
        <v>14</v>
      </c>
      <c r="F4" s="48">
        <v>820.39</v>
      </c>
      <c r="G4" s="48">
        <v>6750</v>
      </c>
      <c r="H4" s="49">
        <f>F4*G4</f>
        <v>5537632.5</v>
      </c>
      <c r="K4">
        <f>F4/1.19</f>
        <v>689.40336134453787</v>
      </c>
    </row>
    <row r="5" spans="2:11" x14ac:dyDescent="0.25">
      <c r="B5" s="427"/>
      <c r="C5" s="434"/>
      <c r="D5" s="36" t="s">
        <v>16</v>
      </c>
      <c r="E5" s="36" t="s">
        <v>15</v>
      </c>
      <c r="F5" s="48">
        <v>250</v>
      </c>
      <c r="G5" s="48">
        <v>550</v>
      </c>
      <c r="H5" s="49">
        <f>F5*G5</f>
        <v>137500</v>
      </c>
    </row>
    <row r="6" spans="2:11" x14ac:dyDescent="0.25">
      <c r="B6" s="427"/>
      <c r="C6" s="434"/>
      <c r="D6" s="36" t="s">
        <v>17</v>
      </c>
      <c r="E6" s="36" t="s">
        <v>15</v>
      </c>
      <c r="F6" s="48">
        <v>10.1</v>
      </c>
      <c r="G6" s="48">
        <v>200</v>
      </c>
      <c r="H6" s="49">
        <f>F6*G6</f>
        <v>2020</v>
      </c>
    </row>
    <row r="7" spans="2:11" ht="6" customHeight="1" x14ac:dyDescent="0.25">
      <c r="B7" s="45"/>
      <c r="C7" s="46"/>
      <c r="D7" s="36"/>
      <c r="E7" s="36"/>
      <c r="F7" s="48"/>
      <c r="G7" s="48"/>
      <c r="H7" s="49"/>
    </row>
    <row r="8" spans="2:11" x14ac:dyDescent="0.25">
      <c r="B8" s="45" t="s">
        <v>42</v>
      </c>
      <c r="C8" s="36" t="s">
        <v>113</v>
      </c>
      <c r="D8" s="36" t="s">
        <v>18</v>
      </c>
      <c r="E8" s="36" t="s">
        <v>15</v>
      </c>
      <c r="F8" s="48">
        <v>84.51</v>
      </c>
      <c r="G8" s="48">
        <v>1274.25</v>
      </c>
      <c r="H8" s="49">
        <f>F8*G8</f>
        <v>107686.86750000001</v>
      </c>
    </row>
    <row r="9" spans="2:11" ht="4.5" customHeight="1" x14ac:dyDescent="0.25">
      <c r="B9" s="45"/>
      <c r="C9" s="36"/>
      <c r="D9" s="36"/>
      <c r="E9" s="36"/>
      <c r="F9" s="48"/>
      <c r="G9" s="48"/>
      <c r="H9" s="49"/>
    </row>
    <row r="10" spans="2:11" ht="19.5" customHeight="1" x14ac:dyDescent="0.25">
      <c r="B10" s="37" t="s">
        <v>22</v>
      </c>
      <c r="C10" s="36" t="s">
        <v>19</v>
      </c>
      <c r="D10" s="36" t="s">
        <v>20</v>
      </c>
      <c r="E10" s="36" t="s">
        <v>21</v>
      </c>
      <c r="F10" s="48">
        <v>42.38</v>
      </c>
      <c r="G10" s="48">
        <v>1760.65</v>
      </c>
      <c r="H10" s="49">
        <f>F10*G10</f>
        <v>74616.347000000009</v>
      </c>
    </row>
    <row r="11" spans="2:11" ht="4.5" customHeight="1" x14ac:dyDescent="0.25">
      <c r="B11" s="37"/>
      <c r="C11" s="36"/>
      <c r="D11" s="36"/>
      <c r="E11" s="36"/>
      <c r="F11" s="48"/>
      <c r="G11" s="48"/>
      <c r="H11" s="49"/>
    </row>
    <row r="12" spans="2:11" ht="15" customHeight="1" x14ac:dyDescent="0.25">
      <c r="B12" s="427" t="s">
        <v>26</v>
      </c>
      <c r="C12" s="36" t="s">
        <v>23</v>
      </c>
      <c r="D12" s="36"/>
      <c r="E12" s="36" t="s">
        <v>15</v>
      </c>
      <c r="F12" s="48">
        <v>0</v>
      </c>
      <c r="G12" s="48"/>
      <c r="H12" s="49">
        <f>F12*G12</f>
        <v>0</v>
      </c>
    </row>
    <row r="13" spans="2:11" x14ac:dyDescent="0.25">
      <c r="B13" s="427"/>
      <c r="C13" s="36" t="s">
        <v>24</v>
      </c>
      <c r="D13" s="36"/>
      <c r="E13" s="36" t="s">
        <v>27</v>
      </c>
      <c r="F13" s="48">
        <v>0</v>
      </c>
      <c r="G13" s="48"/>
      <c r="H13" s="49">
        <f>F13*G13</f>
        <v>0</v>
      </c>
    </row>
    <row r="14" spans="2:11" x14ac:dyDescent="0.25">
      <c r="B14" s="427"/>
      <c r="C14" s="36" t="s">
        <v>25</v>
      </c>
      <c r="D14" s="36"/>
      <c r="E14" s="36" t="s">
        <v>15</v>
      </c>
      <c r="F14" s="48">
        <v>0</v>
      </c>
      <c r="G14" s="48"/>
      <c r="H14" s="49">
        <f>F14*G14</f>
        <v>0</v>
      </c>
    </row>
    <row r="15" spans="2:11" ht="6" customHeight="1" x14ac:dyDescent="0.25">
      <c r="B15" s="45"/>
      <c r="C15" s="36"/>
      <c r="D15" s="36"/>
      <c r="E15" s="36"/>
      <c r="F15" s="48"/>
      <c r="G15" s="48"/>
      <c r="H15" s="49"/>
    </row>
    <row r="16" spans="2:11" x14ac:dyDescent="0.25">
      <c r="B16" s="427" t="s">
        <v>28</v>
      </c>
      <c r="C16" s="36" t="s">
        <v>29</v>
      </c>
      <c r="D16" s="36"/>
      <c r="E16" s="36" t="s">
        <v>31</v>
      </c>
      <c r="F16" s="48">
        <v>128100</v>
      </c>
      <c r="G16" s="48">
        <v>1</v>
      </c>
      <c r="H16" s="49">
        <f t="shared" ref="H16:H21" si="0">F16*G16</f>
        <v>128100</v>
      </c>
    </row>
    <row r="17" spans="2:10" x14ac:dyDescent="0.25">
      <c r="B17" s="427"/>
      <c r="C17" s="36" t="s">
        <v>131</v>
      </c>
      <c r="D17" s="36"/>
      <c r="E17" s="36" t="s">
        <v>31</v>
      </c>
      <c r="F17" s="48">
        <v>139230</v>
      </c>
      <c r="G17" s="48">
        <v>1</v>
      </c>
      <c r="H17" s="49">
        <f t="shared" si="0"/>
        <v>139230</v>
      </c>
    </row>
    <row r="18" spans="2:10" x14ac:dyDescent="0.25">
      <c r="B18" s="427"/>
      <c r="C18" s="36" t="s">
        <v>30</v>
      </c>
      <c r="D18" s="36"/>
      <c r="E18" s="36" t="s">
        <v>31</v>
      </c>
      <c r="F18" s="48">
        <v>108000</v>
      </c>
      <c r="G18" s="48">
        <v>1</v>
      </c>
      <c r="H18" s="49">
        <f t="shared" si="0"/>
        <v>108000</v>
      </c>
    </row>
    <row r="19" spans="2:10" x14ac:dyDescent="0.25">
      <c r="B19" s="427"/>
      <c r="C19" s="36" t="s">
        <v>32</v>
      </c>
      <c r="D19" s="36"/>
      <c r="E19" s="36" t="s">
        <v>31</v>
      </c>
      <c r="F19" s="48">
        <v>256000</v>
      </c>
      <c r="G19" s="48">
        <v>1</v>
      </c>
      <c r="H19" s="49">
        <f t="shared" si="0"/>
        <v>256000</v>
      </c>
    </row>
    <row r="20" spans="2:10" x14ac:dyDescent="0.25">
      <c r="B20" s="427"/>
      <c r="C20" s="36" t="s">
        <v>33</v>
      </c>
      <c r="D20" s="36"/>
      <c r="E20" s="36" t="s">
        <v>11</v>
      </c>
      <c r="F20" s="48">
        <v>20000</v>
      </c>
      <c r="G20" s="48">
        <v>2</v>
      </c>
      <c r="H20" s="49">
        <f t="shared" si="0"/>
        <v>40000</v>
      </c>
    </row>
    <row r="21" spans="2:10" x14ac:dyDescent="0.25">
      <c r="B21" s="427"/>
      <c r="C21" s="36" t="s">
        <v>34</v>
      </c>
      <c r="D21" s="36"/>
      <c r="E21" s="36" t="s">
        <v>31</v>
      </c>
      <c r="F21" s="48">
        <v>180000</v>
      </c>
      <c r="G21" s="48">
        <v>1</v>
      </c>
      <c r="H21" s="49">
        <f t="shared" si="0"/>
        <v>180000</v>
      </c>
    </row>
    <row r="22" spans="2:10" x14ac:dyDescent="0.25">
      <c r="B22" s="427"/>
      <c r="C22" s="36"/>
      <c r="D22" s="36"/>
      <c r="E22" s="36"/>
      <c r="F22" s="48"/>
      <c r="G22" s="48"/>
      <c r="H22" s="49"/>
    </row>
    <row r="23" spans="2:10" x14ac:dyDescent="0.25">
      <c r="B23" s="427"/>
      <c r="C23" s="36"/>
      <c r="D23" s="36"/>
      <c r="E23" s="36"/>
      <c r="F23" s="48">
        <v>0</v>
      </c>
      <c r="G23" s="48">
        <v>0</v>
      </c>
      <c r="H23" s="49">
        <f t="shared" ref="H23:H28" si="1">F23*G23</f>
        <v>0</v>
      </c>
    </row>
    <row r="24" spans="2:10" x14ac:dyDescent="0.25">
      <c r="B24" s="427"/>
      <c r="C24" s="36" t="s">
        <v>115</v>
      </c>
      <c r="D24" s="36"/>
      <c r="E24" s="36" t="s">
        <v>11</v>
      </c>
      <c r="F24" s="48">
        <v>55000</v>
      </c>
      <c r="G24" s="48">
        <v>1</v>
      </c>
      <c r="H24" s="49">
        <f t="shared" si="1"/>
        <v>55000</v>
      </c>
    </row>
    <row r="25" spans="2:10" x14ac:dyDescent="0.25">
      <c r="B25" s="427"/>
      <c r="C25" s="36" t="s">
        <v>35</v>
      </c>
      <c r="D25" s="36"/>
      <c r="E25" s="36" t="s">
        <v>31</v>
      </c>
      <c r="F25" s="48">
        <v>109200</v>
      </c>
      <c r="G25" s="48">
        <v>1</v>
      </c>
      <c r="H25" s="49">
        <f t="shared" si="1"/>
        <v>109200</v>
      </c>
    </row>
    <row r="26" spans="2:10" x14ac:dyDescent="0.25">
      <c r="B26" s="427"/>
      <c r="C26" s="36"/>
      <c r="D26" s="36"/>
      <c r="E26" s="36"/>
      <c r="F26" s="48"/>
      <c r="G26" s="48"/>
      <c r="H26" s="49">
        <f t="shared" si="1"/>
        <v>0</v>
      </c>
    </row>
    <row r="27" spans="2:10" x14ac:dyDescent="0.25">
      <c r="B27" s="427"/>
      <c r="C27" s="36"/>
      <c r="D27" s="36"/>
      <c r="E27" s="36"/>
      <c r="F27" s="48"/>
      <c r="G27" s="48"/>
      <c r="H27" s="49">
        <f t="shared" si="1"/>
        <v>0</v>
      </c>
    </row>
    <row r="28" spans="2:10" x14ac:dyDescent="0.25">
      <c r="B28" s="427"/>
      <c r="C28" s="36"/>
      <c r="D28" s="36"/>
      <c r="E28" s="36"/>
      <c r="F28" s="48"/>
      <c r="G28" s="48"/>
      <c r="H28" s="49">
        <f t="shared" si="1"/>
        <v>0</v>
      </c>
    </row>
    <row r="29" spans="2:10" ht="6.75" customHeight="1" thickBot="1" x14ac:dyDescent="0.3">
      <c r="B29" s="38"/>
      <c r="C29" s="39"/>
      <c r="D29" s="39"/>
      <c r="E29" s="39"/>
      <c r="F29" s="39"/>
      <c r="G29" s="39"/>
      <c r="H29" s="39"/>
    </row>
    <row r="30" spans="2:10" x14ac:dyDescent="0.25">
      <c r="B30" s="428"/>
      <c r="C30" s="40" t="s">
        <v>36</v>
      </c>
      <c r="D30" s="40"/>
      <c r="E30" s="40"/>
      <c r="F30" s="431" t="s">
        <v>39</v>
      </c>
      <c r="G30" s="431"/>
      <c r="H30" s="51">
        <f>SUM(H4:H28)</f>
        <v>6874985.7144999998</v>
      </c>
      <c r="J30" s="6">
        <f>H30-H4</f>
        <v>1337353.2144999998</v>
      </c>
    </row>
    <row r="31" spans="2:10" x14ac:dyDescent="0.25">
      <c r="B31" s="429"/>
      <c r="C31" s="36" t="s">
        <v>37</v>
      </c>
      <c r="D31" s="36"/>
      <c r="E31" s="36"/>
      <c r="F31" s="36"/>
      <c r="G31" s="36">
        <v>0.05</v>
      </c>
      <c r="H31" s="50">
        <f>G31*H30</f>
        <v>343749.28572500002</v>
      </c>
    </row>
    <row r="32" spans="2:10" x14ac:dyDescent="0.25">
      <c r="B32" s="429"/>
      <c r="C32" s="36" t="s">
        <v>55</v>
      </c>
      <c r="D32" s="36"/>
      <c r="E32" s="36"/>
      <c r="F32" s="36"/>
      <c r="G32" s="36">
        <v>0.05</v>
      </c>
      <c r="H32" s="50">
        <f>G32*H30</f>
        <v>343749.28572500002</v>
      </c>
    </row>
    <row r="33" spans="2:14" x14ac:dyDescent="0.25">
      <c r="B33" s="429"/>
      <c r="C33" s="36" t="s">
        <v>57</v>
      </c>
      <c r="D33" s="36"/>
      <c r="E33" s="36"/>
      <c r="F33" s="36"/>
      <c r="G33" s="36"/>
      <c r="H33" s="50">
        <v>0</v>
      </c>
    </row>
    <row r="34" spans="2:14" x14ac:dyDescent="0.25">
      <c r="B34" s="429"/>
      <c r="C34" s="36" t="s">
        <v>40</v>
      </c>
      <c r="D34" s="36"/>
      <c r="E34" s="36"/>
      <c r="F34" s="36"/>
      <c r="G34" s="36">
        <v>0.05</v>
      </c>
      <c r="H34" s="50">
        <f>G34*H30</f>
        <v>343749.28572500002</v>
      </c>
      <c r="J34" t="s">
        <v>173</v>
      </c>
    </row>
    <row r="35" spans="2:14" x14ac:dyDescent="0.25">
      <c r="B35" s="430"/>
      <c r="C35" s="36" t="s">
        <v>38</v>
      </c>
      <c r="D35" s="36"/>
      <c r="E35" s="36"/>
      <c r="F35" s="36"/>
      <c r="G35" s="36">
        <v>0.05</v>
      </c>
      <c r="H35" s="50">
        <f>H30*G35</f>
        <v>343749.28572500002</v>
      </c>
      <c r="J35" s="196">
        <f>G4+G5+G6</f>
        <v>7500</v>
      </c>
    </row>
    <row r="36" spans="2:14" ht="17.25" customHeight="1" x14ac:dyDescent="0.25">
      <c r="B36" s="41"/>
      <c r="C36" s="36" t="s">
        <v>51</v>
      </c>
      <c r="D36" s="36"/>
      <c r="E36" s="36"/>
      <c r="F36" s="36"/>
      <c r="G36" s="36"/>
      <c r="H36" s="50">
        <v>17.142600000000002</v>
      </c>
      <c r="J36" t="s">
        <v>172</v>
      </c>
    </row>
    <row r="37" spans="2:14" ht="15.75" thickBot="1" x14ac:dyDescent="0.3">
      <c r="B37" s="42"/>
      <c r="C37" s="43" t="s">
        <v>0</v>
      </c>
      <c r="D37" s="44"/>
      <c r="E37" s="44"/>
      <c r="F37" s="44"/>
      <c r="G37" s="44"/>
      <c r="H37" s="203">
        <f>SUM(H30:H36)</f>
        <v>8250000.0000000009</v>
      </c>
      <c r="J37" s="6">
        <f>H37/J35</f>
        <v>1100.0000000000002</v>
      </c>
      <c r="K37">
        <f>H37/H30</f>
        <v>1.2000024934742723</v>
      </c>
      <c r="L37" s="6">
        <f>8250000-H37</f>
        <v>0</v>
      </c>
      <c r="M37" s="6">
        <f>L37/K37</f>
        <v>0</v>
      </c>
      <c r="N37" s="6">
        <f>M37/G4</f>
        <v>0</v>
      </c>
    </row>
    <row r="38" spans="2:14" x14ac:dyDescent="0.25">
      <c r="H38" s="6">
        <f>H37-H30</f>
        <v>1375014.2855000012</v>
      </c>
    </row>
    <row r="39" spans="2:14" x14ac:dyDescent="0.25">
      <c r="C39" t="s">
        <v>114</v>
      </c>
      <c r="E39" t="s">
        <v>83</v>
      </c>
      <c r="H39" s="86">
        <f>5439759</f>
        <v>5439759</v>
      </c>
      <c r="I39">
        <f>H39/H30</f>
        <v>0.79123931683625615</v>
      </c>
    </row>
    <row r="42" spans="2:14" x14ac:dyDescent="0.25">
      <c r="H42" s="86">
        <f>H39+H37</f>
        <v>13689759</v>
      </c>
    </row>
    <row r="43" spans="2:14" x14ac:dyDescent="0.25">
      <c r="F43" s="111" t="s">
        <v>59</v>
      </c>
      <c r="H43" s="6">
        <f>15086000-H42-Resumen!D53-Resumen!E53-Resumen!H53</f>
        <v>0</v>
      </c>
    </row>
    <row r="45" spans="2:14" x14ac:dyDescent="0.25">
      <c r="D45">
        <f>14276000*0.02</f>
        <v>285520</v>
      </c>
    </row>
  </sheetData>
  <mergeCells count="8">
    <mergeCell ref="B16:B28"/>
    <mergeCell ref="B30:B35"/>
    <mergeCell ref="F30:G30"/>
    <mergeCell ref="B2:H2"/>
    <mergeCell ref="C3:D3"/>
    <mergeCell ref="B4:B6"/>
    <mergeCell ref="C4:C6"/>
    <mergeCell ref="B12:B14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-0.249977111117893"/>
  </sheetPr>
  <dimension ref="B2:I45"/>
  <sheetViews>
    <sheetView topLeftCell="A16" zoomScale="130" zoomScaleNormal="130" workbookViewId="0">
      <selection activeCell="H36" sqref="H36"/>
    </sheetView>
  </sheetViews>
  <sheetFormatPr defaultRowHeight="15" x14ac:dyDescent="0.25"/>
  <cols>
    <col min="1" max="1" width="2.42578125" customWidth="1"/>
    <col min="2" max="2" width="20.5703125" style="34" customWidth="1"/>
    <col min="3" max="3" width="47.140625" customWidth="1"/>
    <col min="4" max="4" width="40.28515625" bestFit="1" customWidth="1"/>
    <col min="5" max="5" width="7.28515625" bestFit="1" customWidth="1"/>
    <col min="6" max="6" width="12.140625" customWidth="1"/>
    <col min="7" max="7" width="9.7109375" customWidth="1"/>
    <col min="8" max="8" width="15.28515625" customWidth="1"/>
  </cols>
  <sheetData>
    <row r="2" spans="2:8" ht="18.75" x14ac:dyDescent="0.3">
      <c r="B2" s="432" t="s">
        <v>174</v>
      </c>
      <c r="C2" s="432"/>
      <c r="D2" s="432"/>
      <c r="E2" s="432"/>
      <c r="F2" s="432"/>
      <c r="G2" s="432"/>
      <c r="H2" s="432"/>
    </row>
    <row r="3" spans="2:8" x14ac:dyDescent="0.25">
      <c r="B3" s="47" t="s">
        <v>9</v>
      </c>
      <c r="C3" s="433" t="s">
        <v>10</v>
      </c>
      <c r="D3" s="433"/>
      <c r="E3" s="184" t="s">
        <v>11</v>
      </c>
      <c r="F3" s="184" t="s">
        <v>12</v>
      </c>
      <c r="G3" s="184" t="s">
        <v>13</v>
      </c>
      <c r="H3" s="184" t="s">
        <v>0</v>
      </c>
    </row>
    <row r="4" spans="2:8" x14ac:dyDescent="0.25">
      <c r="B4" s="427" t="s">
        <v>41</v>
      </c>
      <c r="C4" s="434"/>
      <c r="D4" s="36" t="s">
        <v>112</v>
      </c>
      <c r="E4" s="36" t="s">
        <v>14</v>
      </c>
      <c r="F4" s="48">
        <v>820.39</v>
      </c>
      <c r="G4" s="48">
        <v>6750</v>
      </c>
      <c r="H4" s="49">
        <f>F4*G4</f>
        <v>5537632.5</v>
      </c>
    </row>
    <row r="5" spans="2:8" x14ac:dyDescent="0.25">
      <c r="B5" s="427"/>
      <c r="C5" s="434"/>
      <c r="D5" s="36" t="s">
        <v>16</v>
      </c>
      <c r="E5" s="36" t="s">
        <v>15</v>
      </c>
      <c r="F5" s="48">
        <v>250</v>
      </c>
      <c r="G5" s="48">
        <v>550</v>
      </c>
      <c r="H5" s="49">
        <f>F5*G5</f>
        <v>137500</v>
      </c>
    </row>
    <row r="6" spans="2:8" x14ac:dyDescent="0.25">
      <c r="B6" s="427"/>
      <c r="C6" s="434"/>
      <c r="D6" s="36" t="s">
        <v>17</v>
      </c>
      <c r="E6" s="36" t="s">
        <v>15</v>
      </c>
      <c r="F6" s="48">
        <v>10.1</v>
      </c>
      <c r="G6" s="48">
        <v>200</v>
      </c>
      <c r="H6" s="49">
        <f>F6*G6</f>
        <v>2020</v>
      </c>
    </row>
    <row r="7" spans="2:8" ht="6" customHeight="1" x14ac:dyDescent="0.25">
      <c r="B7" s="185"/>
      <c r="C7" s="186"/>
      <c r="D7" s="36"/>
      <c r="E7" s="36"/>
      <c r="F7" s="48"/>
      <c r="G7" s="48"/>
      <c r="H7" s="49"/>
    </row>
    <row r="8" spans="2:8" x14ac:dyDescent="0.25">
      <c r="B8" s="185" t="s">
        <v>42</v>
      </c>
      <c r="C8" s="36" t="s">
        <v>113</v>
      </c>
      <c r="D8" s="36" t="s">
        <v>18</v>
      </c>
      <c r="E8" s="36" t="s">
        <v>15</v>
      </c>
      <c r="F8" s="48">
        <v>84.51</v>
      </c>
      <c r="G8" s="48">
        <v>1274.25</v>
      </c>
      <c r="H8" s="49">
        <f>F8*G8</f>
        <v>107686.86750000001</v>
      </c>
    </row>
    <row r="9" spans="2:8" ht="4.5" customHeight="1" x14ac:dyDescent="0.25">
      <c r="B9" s="185"/>
      <c r="C9" s="36"/>
      <c r="D9" s="36"/>
      <c r="E9" s="36"/>
      <c r="F9" s="48"/>
      <c r="G9" s="48"/>
      <c r="H9" s="49"/>
    </row>
    <row r="10" spans="2:8" ht="19.5" customHeight="1" x14ac:dyDescent="0.25">
      <c r="B10" s="37" t="s">
        <v>22</v>
      </c>
      <c r="C10" s="36" t="s">
        <v>19</v>
      </c>
      <c r="D10" s="36" t="s">
        <v>20</v>
      </c>
      <c r="E10" s="36" t="s">
        <v>21</v>
      </c>
      <c r="F10" s="48">
        <v>42.38</v>
      </c>
      <c r="G10" s="48">
        <v>1760.65</v>
      </c>
      <c r="H10" s="49">
        <f>F10*G10</f>
        <v>74616.347000000009</v>
      </c>
    </row>
    <row r="11" spans="2:8" ht="4.5" customHeight="1" x14ac:dyDescent="0.25">
      <c r="B11" s="37"/>
      <c r="C11" s="36"/>
      <c r="D11" s="36"/>
      <c r="E11" s="36"/>
      <c r="F11" s="48"/>
      <c r="G11" s="48"/>
      <c r="H11" s="49"/>
    </row>
    <row r="12" spans="2:8" ht="15" customHeight="1" x14ac:dyDescent="0.25">
      <c r="B12" s="427" t="s">
        <v>26</v>
      </c>
      <c r="C12" s="36" t="s">
        <v>23</v>
      </c>
      <c r="D12" s="36"/>
      <c r="E12" s="36" t="s">
        <v>15</v>
      </c>
      <c r="F12" s="48">
        <v>0</v>
      </c>
      <c r="G12" s="48">
        <v>0</v>
      </c>
      <c r="H12" s="49">
        <f>F12*G12</f>
        <v>0</v>
      </c>
    </row>
    <row r="13" spans="2:8" x14ac:dyDescent="0.25">
      <c r="B13" s="427"/>
      <c r="C13" s="36" t="s">
        <v>24</v>
      </c>
      <c r="D13" s="36"/>
      <c r="E13" s="36" t="s">
        <v>27</v>
      </c>
      <c r="F13" s="48">
        <v>0</v>
      </c>
      <c r="G13" s="48">
        <v>14609.1</v>
      </c>
      <c r="H13" s="49">
        <f>F13*G13</f>
        <v>0</v>
      </c>
    </row>
    <row r="14" spans="2:8" x14ac:dyDescent="0.25">
      <c r="B14" s="427"/>
      <c r="C14" s="36" t="s">
        <v>25</v>
      </c>
      <c r="D14" s="36"/>
      <c r="E14" s="36" t="s">
        <v>15</v>
      </c>
      <c r="F14" s="48">
        <v>0</v>
      </c>
      <c r="G14" s="48">
        <v>1321</v>
      </c>
      <c r="H14" s="49">
        <f>F14*G14</f>
        <v>0</v>
      </c>
    </row>
    <row r="15" spans="2:8" ht="6" customHeight="1" x14ac:dyDescent="0.25">
      <c r="B15" s="185"/>
      <c r="C15" s="36"/>
      <c r="D15" s="36"/>
      <c r="E15" s="36"/>
      <c r="F15" s="48"/>
      <c r="G15" s="48"/>
      <c r="H15" s="49"/>
    </row>
    <row r="16" spans="2:8" x14ac:dyDescent="0.25">
      <c r="B16" s="427" t="s">
        <v>28</v>
      </c>
      <c r="C16" s="36" t="s">
        <v>29</v>
      </c>
      <c r="D16" s="36"/>
      <c r="E16" s="36" t="s">
        <v>31</v>
      </c>
      <c r="F16" s="48">
        <v>128100</v>
      </c>
      <c r="G16" s="48">
        <v>1</v>
      </c>
      <c r="H16" s="49">
        <f t="shared" ref="H16:H21" si="0">F16*G16</f>
        <v>128100</v>
      </c>
    </row>
    <row r="17" spans="2:8" x14ac:dyDescent="0.25">
      <c r="B17" s="427"/>
      <c r="C17" s="36" t="s">
        <v>131</v>
      </c>
      <c r="D17" s="36"/>
      <c r="E17" s="36" t="s">
        <v>31</v>
      </c>
      <c r="F17" s="48">
        <v>139230</v>
      </c>
      <c r="G17" s="48">
        <v>1</v>
      </c>
      <c r="H17" s="49">
        <f t="shared" si="0"/>
        <v>139230</v>
      </c>
    </row>
    <row r="18" spans="2:8" x14ac:dyDescent="0.25">
      <c r="B18" s="427"/>
      <c r="C18" s="36" t="s">
        <v>30</v>
      </c>
      <c r="D18" s="36"/>
      <c r="E18" s="36" t="s">
        <v>31</v>
      </c>
      <c r="F18" s="48">
        <v>108000</v>
      </c>
      <c r="G18" s="48">
        <v>1</v>
      </c>
      <c r="H18" s="49">
        <f t="shared" si="0"/>
        <v>108000</v>
      </c>
    </row>
    <row r="19" spans="2:8" x14ac:dyDescent="0.25">
      <c r="B19" s="427"/>
      <c r="C19" s="36" t="s">
        <v>32</v>
      </c>
      <c r="D19" s="36"/>
      <c r="E19" s="36" t="s">
        <v>31</v>
      </c>
      <c r="F19" s="48">
        <v>256000</v>
      </c>
      <c r="G19" s="48">
        <v>1</v>
      </c>
      <c r="H19" s="49">
        <f t="shared" si="0"/>
        <v>256000</v>
      </c>
    </row>
    <row r="20" spans="2:8" x14ac:dyDescent="0.25">
      <c r="B20" s="427"/>
      <c r="C20" s="36" t="s">
        <v>33</v>
      </c>
      <c r="D20" s="36"/>
      <c r="E20" s="36" t="s">
        <v>11</v>
      </c>
      <c r="F20" s="48">
        <v>20000</v>
      </c>
      <c r="G20" s="48">
        <v>2</v>
      </c>
      <c r="H20" s="49">
        <f t="shared" si="0"/>
        <v>40000</v>
      </c>
    </row>
    <row r="21" spans="2:8" x14ac:dyDescent="0.25">
      <c r="B21" s="427"/>
      <c r="C21" s="36" t="s">
        <v>34</v>
      </c>
      <c r="D21" s="36"/>
      <c r="E21" s="36" t="s">
        <v>31</v>
      </c>
      <c r="F21" s="48">
        <v>180000</v>
      </c>
      <c r="G21" s="48">
        <v>1</v>
      </c>
      <c r="H21" s="49">
        <f t="shared" si="0"/>
        <v>180000</v>
      </c>
    </row>
    <row r="22" spans="2:8" x14ac:dyDescent="0.25">
      <c r="B22" s="427"/>
      <c r="C22" s="36"/>
      <c r="D22" s="36"/>
      <c r="E22" s="36"/>
      <c r="F22" s="48"/>
      <c r="G22" s="48"/>
      <c r="H22" s="49"/>
    </row>
    <row r="23" spans="2:8" x14ac:dyDescent="0.25">
      <c r="B23" s="427"/>
      <c r="C23" s="36"/>
      <c r="D23" s="36"/>
      <c r="E23" s="36"/>
      <c r="F23" s="48">
        <v>0</v>
      </c>
      <c r="G23" s="48">
        <v>0</v>
      </c>
      <c r="H23" s="49">
        <f t="shared" ref="H23:H28" si="1">F23*G23</f>
        <v>0</v>
      </c>
    </row>
    <row r="24" spans="2:8" x14ac:dyDescent="0.25">
      <c r="B24" s="427"/>
      <c r="C24" s="36" t="s">
        <v>115</v>
      </c>
      <c r="D24" s="36"/>
      <c r="E24" s="36" t="s">
        <v>11</v>
      </c>
      <c r="F24" s="48">
        <v>55000</v>
      </c>
      <c r="G24" s="48">
        <v>1</v>
      </c>
      <c r="H24" s="49">
        <f t="shared" si="1"/>
        <v>55000</v>
      </c>
    </row>
    <row r="25" spans="2:8" x14ac:dyDescent="0.25">
      <c r="B25" s="427"/>
      <c r="C25" s="36" t="s">
        <v>35</v>
      </c>
      <c r="D25" s="36"/>
      <c r="E25" s="36" t="s">
        <v>31</v>
      </c>
      <c r="F25" s="48">
        <v>109200</v>
      </c>
      <c r="G25" s="48">
        <v>1</v>
      </c>
      <c r="H25" s="49">
        <f t="shared" si="1"/>
        <v>109200</v>
      </c>
    </row>
    <row r="26" spans="2:8" x14ac:dyDescent="0.25">
      <c r="B26" s="427"/>
      <c r="C26" s="36"/>
      <c r="D26" s="36"/>
      <c r="E26" s="36"/>
      <c r="F26" s="48"/>
      <c r="G26" s="48"/>
      <c r="H26" s="49">
        <f t="shared" si="1"/>
        <v>0</v>
      </c>
    </row>
    <row r="27" spans="2:8" x14ac:dyDescent="0.25">
      <c r="B27" s="427"/>
      <c r="C27" s="36"/>
      <c r="D27" s="36"/>
      <c r="E27" s="36"/>
      <c r="F27" s="48"/>
      <c r="G27" s="48"/>
      <c r="H27" s="49">
        <f t="shared" si="1"/>
        <v>0</v>
      </c>
    </row>
    <row r="28" spans="2:8" x14ac:dyDescent="0.25">
      <c r="B28" s="427"/>
      <c r="C28" s="36"/>
      <c r="D28" s="36"/>
      <c r="E28" s="36"/>
      <c r="F28" s="48"/>
      <c r="G28" s="48"/>
      <c r="H28" s="49">
        <f t="shared" si="1"/>
        <v>0</v>
      </c>
    </row>
    <row r="29" spans="2:8" ht="6.75" customHeight="1" thickBot="1" x14ac:dyDescent="0.3">
      <c r="B29" s="38"/>
      <c r="C29" s="39"/>
      <c r="D29" s="39"/>
      <c r="E29" s="39"/>
      <c r="F29" s="39"/>
      <c r="G29" s="39"/>
      <c r="H29" s="39"/>
    </row>
    <row r="30" spans="2:8" x14ac:dyDescent="0.25">
      <c r="B30" s="428"/>
      <c r="C30" s="40" t="s">
        <v>36</v>
      </c>
      <c r="D30" s="40"/>
      <c r="E30" s="40"/>
      <c r="F30" s="431" t="s">
        <v>39</v>
      </c>
      <c r="G30" s="431"/>
      <c r="H30" s="51">
        <f>SUM(H4:H28)</f>
        <v>6874985.7144999998</v>
      </c>
    </row>
    <row r="31" spans="2:8" x14ac:dyDescent="0.25">
      <c r="B31" s="429"/>
      <c r="C31" s="36" t="s">
        <v>37</v>
      </c>
      <c r="D31" s="36"/>
      <c r="E31" s="36"/>
      <c r="F31" s="36"/>
      <c r="G31" s="36">
        <v>0.05</v>
      </c>
      <c r="H31" s="50">
        <f>G31*H30</f>
        <v>343749.28572500002</v>
      </c>
    </row>
    <row r="32" spans="2:8" x14ac:dyDescent="0.25">
      <c r="B32" s="429"/>
      <c r="C32" s="36" t="s">
        <v>55</v>
      </c>
      <c r="D32" s="36"/>
      <c r="E32" s="36"/>
      <c r="F32" s="36"/>
      <c r="G32" s="36">
        <v>0.05</v>
      </c>
      <c r="H32" s="50">
        <f>G32*H30</f>
        <v>343749.28572500002</v>
      </c>
    </row>
    <row r="33" spans="2:9" x14ac:dyDescent="0.25">
      <c r="B33" s="429"/>
      <c r="C33" s="36" t="s">
        <v>57</v>
      </c>
      <c r="D33" s="36"/>
      <c r="E33" s="36"/>
      <c r="F33" s="36"/>
      <c r="G33" s="36"/>
      <c r="H33" s="50">
        <v>0</v>
      </c>
    </row>
    <row r="34" spans="2:9" x14ac:dyDescent="0.25">
      <c r="B34" s="429"/>
      <c r="C34" s="36" t="s">
        <v>40</v>
      </c>
      <c r="D34" s="36"/>
      <c r="E34" s="36"/>
      <c r="F34" s="36"/>
      <c r="G34" s="36">
        <v>0.05</v>
      </c>
      <c r="H34" s="50">
        <f>G34*H30</f>
        <v>343749.28572500002</v>
      </c>
    </row>
    <row r="35" spans="2:9" x14ac:dyDescent="0.25">
      <c r="B35" s="430"/>
      <c r="C35" s="36" t="s">
        <v>38</v>
      </c>
      <c r="D35" s="36"/>
      <c r="E35" s="36"/>
      <c r="F35" s="36"/>
      <c r="G35" s="36">
        <v>0.05</v>
      </c>
      <c r="H35" s="50">
        <f>H30*G35</f>
        <v>343749.28572500002</v>
      </c>
    </row>
    <row r="36" spans="2:9" ht="17.25" customHeight="1" x14ac:dyDescent="0.25">
      <c r="B36" s="41"/>
      <c r="C36" s="36" t="s">
        <v>176</v>
      </c>
      <c r="D36" s="36"/>
      <c r="E36" s="36"/>
      <c r="F36" s="36"/>
      <c r="G36" s="36"/>
      <c r="H36" s="50">
        <v>17.142600000000002</v>
      </c>
    </row>
    <row r="37" spans="2:9" ht="15.75" thickBot="1" x14ac:dyDescent="0.3">
      <c r="B37" s="42"/>
      <c r="C37" s="43" t="s">
        <v>0</v>
      </c>
      <c r="D37" s="44"/>
      <c r="E37" s="44"/>
      <c r="F37" s="44"/>
      <c r="G37" s="44"/>
      <c r="H37" s="52">
        <f>SUM(H30:H36)</f>
        <v>8250000.0000000009</v>
      </c>
    </row>
    <row r="38" spans="2:9" x14ac:dyDescent="0.25">
      <c r="H38" s="6"/>
    </row>
    <row r="39" spans="2:9" x14ac:dyDescent="0.25">
      <c r="C39" t="s">
        <v>114</v>
      </c>
      <c r="E39" t="s">
        <v>83</v>
      </c>
      <c r="H39" s="86">
        <f>5439759</f>
        <v>5439759</v>
      </c>
      <c r="I39">
        <f>H39/H30</f>
        <v>0.79123931683625615</v>
      </c>
    </row>
    <row r="42" spans="2:9" x14ac:dyDescent="0.25">
      <c r="H42" s="86">
        <f>H39+H37</f>
        <v>13689759</v>
      </c>
    </row>
    <row r="43" spans="2:9" x14ac:dyDescent="0.25">
      <c r="F43" s="111" t="s">
        <v>59</v>
      </c>
      <c r="H43" s="6">
        <f>15086000-H42-Resumen!D53-Resumen!E53-Resumen!H53</f>
        <v>0</v>
      </c>
    </row>
    <row r="45" spans="2:9" x14ac:dyDescent="0.25">
      <c r="D45">
        <f>14276000*0.02</f>
        <v>285520</v>
      </c>
    </row>
  </sheetData>
  <mergeCells count="8">
    <mergeCell ref="B16:B28"/>
    <mergeCell ref="B30:B35"/>
    <mergeCell ref="F30:G30"/>
    <mergeCell ref="B2:H2"/>
    <mergeCell ref="C3:D3"/>
    <mergeCell ref="B4:B6"/>
    <mergeCell ref="C4:C6"/>
    <mergeCell ref="B12:B14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-0.249977111117893"/>
  </sheetPr>
  <dimension ref="B2:I45"/>
  <sheetViews>
    <sheetView topLeftCell="A16" zoomScale="110" zoomScaleNormal="110" workbookViewId="0">
      <selection activeCell="H39" sqref="H39"/>
    </sheetView>
  </sheetViews>
  <sheetFormatPr defaultRowHeight="15" x14ac:dyDescent="0.25"/>
  <cols>
    <col min="1" max="1" width="2.42578125" customWidth="1"/>
    <col min="2" max="2" width="20.5703125" style="34" customWidth="1"/>
    <col min="3" max="3" width="47.140625" customWidth="1"/>
    <col min="4" max="4" width="40.28515625" bestFit="1" customWidth="1"/>
    <col min="5" max="5" width="7.28515625" bestFit="1" customWidth="1"/>
    <col min="6" max="6" width="12.140625" customWidth="1"/>
    <col min="7" max="7" width="9.7109375" customWidth="1"/>
    <col min="8" max="8" width="15.28515625" customWidth="1"/>
  </cols>
  <sheetData>
    <row r="2" spans="2:8" ht="18.75" x14ac:dyDescent="0.3">
      <c r="B2" s="432" t="s">
        <v>162</v>
      </c>
      <c r="C2" s="432"/>
      <c r="D2" s="432"/>
      <c r="E2" s="432"/>
      <c r="F2" s="432"/>
      <c r="G2" s="432"/>
      <c r="H2" s="432"/>
    </row>
    <row r="3" spans="2:8" x14ac:dyDescent="0.25">
      <c r="B3" s="47" t="s">
        <v>9</v>
      </c>
      <c r="C3" s="433" t="s">
        <v>10</v>
      </c>
      <c r="D3" s="433"/>
      <c r="E3" s="184" t="s">
        <v>11</v>
      </c>
      <c r="F3" s="184" t="s">
        <v>12</v>
      </c>
      <c r="G3" s="184" t="s">
        <v>13</v>
      </c>
      <c r="H3" s="184" t="s">
        <v>0</v>
      </c>
    </row>
    <row r="4" spans="2:8" x14ac:dyDescent="0.25">
      <c r="B4" s="427" t="s">
        <v>41</v>
      </c>
      <c r="C4" s="434"/>
      <c r="D4" s="36" t="s">
        <v>112</v>
      </c>
      <c r="E4" s="36" t="s">
        <v>14</v>
      </c>
      <c r="F4" s="48">
        <v>1200</v>
      </c>
      <c r="G4" s="48"/>
      <c r="H4" s="49">
        <f>F4*G4</f>
        <v>0</v>
      </c>
    </row>
    <row r="5" spans="2:8" x14ac:dyDescent="0.25">
      <c r="B5" s="427"/>
      <c r="C5" s="434"/>
      <c r="D5" s="36" t="s">
        <v>16</v>
      </c>
      <c r="E5" s="36" t="s">
        <v>15</v>
      </c>
      <c r="F5" s="48">
        <v>250</v>
      </c>
      <c r="G5" s="48"/>
      <c r="H5" s="49">
        <f>F5*G5</f>
        <v>0</v>
      </c>
    </row>
    <row r="6" spans="2:8" x14ac:dyDescent="0.25">
      <c r="B6" s="427"/>
      <c r="C6" s="434"/>
      <c r="D6" s="36" t="s">
        <v>17</v>
      </c>
      <c r="E6" s="36" t="s">
        <v>15</v>
      </c>
      <c r="F6" s="48">
        <v>10.1</v>
      </c>
      <c r="G6" s="48"/>
      <c r="H6" s="49">
        <f>F6*G6</f>
        <v>0</v>
      </c>
    </row>
    <row r="7" spans="2:8" ht="6" customHeight="1" x14ac:dyDescent="0.25">
      <c r="B7" s="185"/>
      <c r="C7" s="186"/>
      <c r="D7" s="36"/>
      <c r="E7" s="36"/>
      <c r="F7" s="48"/>
      <c r="G7" s="48"/>
      <c r="H7" s="49"/>
    </row>
    <row r="8" spans="2:8" x14ac:dyDescent="0.25">
      <c r="B8" s="185" t="s">
        <v>42</v>
      </c>
      <c r="C8" s="36" t="s">
        <v>113</v>
      </c>
      <c r="D8" s="36" t="s">
        <v>18</v>
      </c>
      <c r="E8" s="36" t="s">
        <v>15</v>
      </c>
      <c r="F8" s="48">
        <v>84.51</v>
      </c>
      <c r="G8" s="48"/>
      <c r="H8" s="49">
        <f>F8*G8</f>
        <v>0</v>
      </c>
    </row>
    <row r="9" spans="2:8" ht="4.5" customHeight="1" x14ac:dyDescent="0.25">
      <c r="B9" s="185"/>
      <c r="C9" s="36"/>
      <c r="D9" s="36"/>
      <c r="E9" s="36"/>
      <c r="F9" s="48"/>
      <c r="G9" s="48"/>
      <c r="H9" s="49"/>
    </row>
    <row r="10" spans="2:8" ht="19.5" customHeight="1" x14ac:dyDescent="0.25">
      <c r="B10" s="37" t="s">
        <v>22</v>
      </c>
      <c r="C10" s="36" t="s">
        <v>19</v>
      </c>
      <c r="D10" s="36" t="s">
        <v>20</v>
      </c>
      <c r="E10" s="36" t="s">
        <v>21</v>
      </c>
      <c r="F10" s="48">
        <v>42.38</v>
      </c>
      <c r="G10" s="48"/>
      <c r="H10" s="49">
        <f>F10*G10</f>
        <v>0</v>
      </c>
    </row>
    <row r="11" spans="2:8" ht="4.5" customHeight="1" x14ac:dyDescent="0.25">
      <c r="B11" s="37"/>
      <c r="C11" s="36"/>
      <c r="D11" s="36"/>
      <c r="E11" s="36"/>
      <c r="F11" s="48"/>
      <c r="G11" s="48"/>
      <c r="H11" s="49"/>
    </row>
    <row r="12" spans="2:8" ht="15" customHeight="1" x14ac:dyDescent="0.25">
      <c r="B12" s="427" t="s">
        <v>26</v>
      </c>
      <c r="C12" s="36" t="s">
        <v>23</v>
      </c>
      <c r="D12" s="36"/>
      <c r="E12" s="36" t="s">
        <v>15</v>
      </c>
      <c r="F12" s="48">
        <v>0</v>
      </c>
      <c r="G12" s="48"/>
      <c r="H12" s="49">
        <f>F12*G12</f>
        <v>0</v>
      </c>
    </row>
    <row r="13" spans="2:8" x14ac:dyDescent="0.25">
      <c r="B13" s="427"/>
      <c r="C13" s="36" t="s">
        <v>24</v>
      </c>
      <c r="D13" s="36"/>
      <c r="E13" s="36" t="s">
        <v>27</v>
      </c>
      <c r="F13" s="48">
        <v>0</v>
      </c>
      <c r="G13" s="48"/>
      <c r="H13" s="49">
        <f>F13*G13</f>
        <v>0</v>
      </c>
    </row>
    <row r="14" spans="2:8" x14ac:dyDescent="0.25">
      <c r="B14" s="427"/>
      <c r="C14" s="36" t="s">
        <v>25</v>
      </c>
      <c r="D14" s="36"/>
      <c r="E14" s="36" t="s">
        <v>15</v>
      </c>
      <c r="F14" s="48">
        <v>0</v>
      </c>
      <c r="G14" s="48"/>
      <c r="H14" s="49">
        <f>F14*G14</f>
        <v>0</v>
      </c>
    </row>
    <row r="15" spans="2:8" ht="6" customHeight="1" x14ac:dyDescent="0.25">
      <c r="B15" s="185"/>
      <c r="C15" s="36"/>
      <c r="D15" s="36"/>
      <c r="E15" s="36"/>
      <c r="F15" s="48"/>
      <c r="G15" s="48"/>
      <c r="H15" s="49"/>
    </row>
    <row r="16" spans="2:8" x14ac:dyDescent="0.25">
      <c r="B16" s="427" t="s">
        <v>28</v>
      </c>
      <c r="C16" s="36" t="s">
        <v>29</v>
      </c>
      <c r="D16" s="36"/>
      <c r="E16" s="36" t="s">
        <v>31</v>
      </c>
      <c r="F16" s="48">
        <v>128100</v>
      </c>
      <c r="G16" s="48"/>
      <c r="H16" s="49">
        <f t="shared" ref="H16:H21" si="0">F16*G16</f>
        <v>0</v>
      </c>
    </row>
    <row r="17" spans="2:8" x14ac:dyDescent="0.25">
      <c r="B17" s="427"/>
      <c r="C17" s="36" t="s">
        <v>131</v>
      </c>
      <c r="D17" s="36"/>
      <c r="E17" s="36" t="s">
        <v>31</v>
      </c>
      <c r="F17" s="48">
        <v>139230</v>
      </c>
      <c r="G17" s="48"/>
      <c r="H17" s="49">
        <f t="shared" si="0"/>
        <v>0</v>
      </c>
    </row>
    <row r="18" spans="2:8" x14ac:dyDescent="0.25">
      <c r="B18" s="427"/>
      <c r="C18" s="36" t="s">
        <v>30</v>
      </c>
      <c r="D18" s="36"/>
      <c r="E18" s="36" t="s">
        <v>31</v>
      </c>
      <c r="F18" s="48">
        <v>108000</v>
      </c>
      <c r="G18" s="48"/>
      <c r="H18" s="49">
        <f t="shared" si="0"/>
        <v>0</v>
      </c>
    </row>
    <row r="19" spans="2:8" x14ac:dyDescent="0.25">
      <c r="B19" s="427"/>
      <c r="C19" s="36" t="s">
        <v>32</v>
      </c>
      <c r="D19" s="36"/>
      <c r="E19" s="36" t="s">
        <v>31</v>
      </c>
      <c r="F19" s="48">
        <v>256000</v>
      </c>
      <c r="G19" s="48"/>
      <c r="H19" s="49">
        <f t="shared" si="0"/>
        <v>0</v>
      </c>
    </row>
    <row r="20" spans="2:8" x14ac:dyDescent="0.25">
      <c r="B20" s="427"/>
      <c r="C20" s="36" t="s">
        <v>33</v>
      </c>
      <c r="D20" s="36"/>
      <c r="E20" s="36" t="s">
        <v>11</v>
      </c>
      <c r="F20" s="48">
        <v>20000</v>
      </c>
      <c r="G20" s="48"/>
      <c r="H20" s="49">
        <f t="shared" si="0"/>
        <v>0</v>
      </c>
    </row>
    <row r="21" spans="2:8" x14ac:dyDescent="0.25">
      <c r="B21" s="427"/>
      <c r="C21" s="36" t="s">
        <v>34</v>
      </c>
      <c r="D21" s="36"/>
      <c r="E21" s="36" t="s">
        <v>31</v>
      </c>
      <c r="F21" s="48">
        <v>180000</v>
      </c>
      <c r="G21" s="48"/>
      <c r="H21" s="49">
        <f t="shared" si="0"/>
        <v>0</v>
      </c>
    </row>
    <row r="22" spans="2:8" x14ac:dyDescent="0.25">
      <c r="B22" s="427"/>
      <c r="C22" s="36"/>
      <c r="D22" s="36"/>
      <c r="E22" s="36"/>
      <c r="F22" s="48"/>
      <c r="G22" s="48"/>
      <c r="H22" s="49"/>
    </row>
    <row r="23" spans="2:8" x14ac:dyDescent="0.25">
      <c r="B23" s="427"/>
      <c r="C23" s="36"/>
      <c r="D23" s="36"/>
      <c r="E23" s="36"/>
      <c r="F23" s="48">
        <v>0</v>
      </c>
      <c r="G23" s="48"/>
      <c r="H23" s="49">
        <f t="shared" ref="H23:H28" si="1">F23*G23</f>
        <v>0</v>
      </c>
    </row>
    <row r="24" spans="2:8" x14ac:dyDescent="0.25">
      <c r="B24" s="427"/>
      <c r="C24" s="36" t="s">
        <v>115</v>
      </c>
      <c r="D24" s="36"/>
      <c r="E24" s="36" t="s">
        <v>11</v>
      </c>
      <c r="F24" s="48">
        <v>55000</v>
      </c>
      <c r="G24" s="48"/>
      <c r="H24" s="49">
        <f t="shared" si="1"/>
        <v>0</v>
      </c>
    </row>
    <row r="25" spans="2:8" x14ac:dyDescent="0.25">
      <c r="B25" s="427"/>
      <c r="C25" s="36" t="s">
        <v>35</v>
      </c>
      <c r="D25" s="36"/>
      <c r="E25" s="36" t="s">
        <v>31</v>
      </c>
      <c r="F25" s="48">
        <v>109200</v>
      </c>
      <c r="G25" s="48"/>
      <c r="H25" s="49">
        <f t="shared" si="1"/>
        <v>0</v>
      </c>
    </row>
    <row r="26" spans="2:8" x14ac:dyDescent="0.25">
      <c r="B26" s="427"/>
      <c r="C26" s="36"/>
      <c r="D26" s="36"/>
      <c r="E26" s="36"/>
      <c r="F26" s="48"/>
      <c r="G26" s="48"/>
      <c r="H26" s="49">
        <f t="shared" si="1"/>
        <v>0</v>
      </c>
    </row>
    <row r="27" spans="2:8" x14ac:dyDescent="0.25">
      <c r="B27" s="427"/>
      <c r="C27" s="36"/>
      <c r="D27" s="36"/>
      <c r="E27" s="36"/>
      <c r="F27" s="48"/>
      <c r="G27" s="48"/>
      <c r="H27" s="49">
        <f t="shared" si="1"/>
        <v>0</v>
      </c>
    </row>
    <row r="28" spans="2:8" x14ac:dyDescent="0.25">
      <c r="B28" s="427"/>
      <c r="C28" s="36"/>
      <c r="D28" s="36"/>
      <c r="E28" s="36"/>
      <c r="F28" s="48"/>
      <c r="G28" s="48"/>
      <c r="H28" s="49">
        <f t="shared" si="1"/>
        <v>0</v>
      </c>
    </row>
    <row r="29" spans="2:8" ht="6.75" customHeight="1" thickBot="1" x14ac:dyDescent="0.3">
      <c r="B29" s="38"/>
      <c r="C29" s="39"/>
      <c r="D29" s="39"/>
      <c r="E29" s="39"/>
      <c r="F29" s="39"/>
      <c r="G29" s="39"/>
      <c r="H29" s="39"/>
    </row>
    <row r="30" spans="2:8" x14ac:dyDescent="0.25">
      <c r="B30" s="428"/>
      <c r="C30" s="40" t="s">
        <v>36</v>
      </c>
      <c r="D30" s="40"/>
      <c r="E30" s="40"/>
      <c r="F30" s="431" t="s">
        <v>39</v>
      </c>
      <c r="G30" s="431"/>
      <c r="H30" s="51">
        <f>SUM(H4:H28)</f>
        <v>0</v>
      </c>
    </row>
    <row r="31" spans="2:8" x14ac:dyDescent="0.25">
      <c r="B31" s="429"/>
      <c r="C31" s="36" t="s">
        <v>37</v>
      </c>
      <c r="D31" s="36"/>
      <c r="E31" s="36"/>
      <c r="F31" s="36"/>
      <c r="G31" s="36">
        <v>0.04</v>
      </c>
      <c r="H31" s="50">
        <f>G31*H30</f>
        <v>0</v>
      </c>
    </row>
    <row r="32" spans="2:8" x14ac:dyDescent="0.25">
      <c r="B32" s="429"/>
      <c r="C32" s="36" t="s">
        <v>55</v>
      </c>
      <c r="D32" s="36"/>
      <c r="E32" s="36"/>
      <c r="F32" s="36"/>
      <c r="G32" s="36">
        <v>0.05</v>
      </c>
      <c r="H32" s="50">
        <f>G32*H30</f>
        <v>0</v>
      </c>
    </row>
    <row r="33" spans="2:9" x14ac:dyDescent="0.25">
      <c r="B33" s="429"/>
      <c r="C33" s="36" t="s">
        <v>57</v>
      </c>
      <c r="D33" s="36"/>
      <c r="E33" s="36"/>
      <c r="F33" s="36"/>
      <c r="G33" s="36"/>
      <c r="H33" s="50">
        <v>0</v>
      </c>
    </row>
    <row r="34" spans="2:9" x14ac:dyDescent="0.25">
      <c r="B34" s="429"/>
      <c r="C34" s="36" t="s">
        <v>40</v>
      </c>
      <c r="D34" s="36"/>
      <c r="E34" s="36"/>
      <c r="F34" s="36"/>
      <c r="G34" s="36">
        <v>0.05</v>
      </c>
      <c r="H34" s="50">
        <f>G34*H30</f>
        <v>0</v>
      </c>
    </row>
    <row r="35" spans="2:9" x14ac:dyDescent="0.25">
      <c r="B35" s="430"/>
      <c r="C35" s="36" t="s">
        <v>38</v>
      </c>
      <c r="D35" s="36"/>
      <c r="E35" s="36"/>
      <c r="F35" s="36"/>
      <c r="G35" s="36">
        <v>0.05</v>
      </c>
      <c r="H35" s="50">
        <f>H30*G35</f>
        <v>0</v>
      </c>
    </row>
    <row r="36" spans="2:9" ht="17.25" customHeight="1" x14ac:dyDescent="0.25">
      <c r="B36" s="41"/>
      <c r="C36" s="36" t="s">
        <v>51</v>
      </c>
      <c r="D36" s="36"/>
      <c r="E36" s="36"/>
      <c r="F36" s="36"/>
      <c r="G36" s="36"/>
      <c r="H36" s="50"/>
    </row>
    <row r="37" spans="2:9" ht="15.75" thickBot="1" x14ac:dyDescent="0.3">
      <c r="B37" s="42"/>
      <c r="C37" s="43" t="s">
        <v>0</v>
      </c>
      <c r="D37" s="44"/>
      <c r="E37" s="44"/>
      <c r="F37" s="44"/>
      <c r="G37" s="44"/>
      <c r="H37" s="52">
        <f>SUM(H30:H36)</f>
        <v>0</v>
      </c>
    </row>
    <row r="38" spans="2:9" x14ac:dyDescent="0.25">
      <c r="H38" s="6"/>
    </row>
    <row r="39" spans="2:9" x14ac:dyDescent="0.25">
      <c r="C39" t="s">
        <v>114</v>
      </c>
      <c r="E39" t="s">
        <v>83</v>
      </c>
      <c r="H39" s="86">
        <f>5439759</f>
        <v>5439759</v>
      </c>
      <c r="I39" t="e">
        <f>H39/H30</f>
        <v>#DIV/0!</v>
      </c>
    </row>
    <row r="42" spans="2:9" x14ac:dyDescent="0.25">
      <c r="H42" s="86">
        <f>H39+H37</f>
        <v>5439759</v>
      </c>
    </row>
    <row r="43" spans="2:9" x14ac:dyDescent="0.25">
      <c r="F43" s="111" t="s">
        <v>59</v>
      </c>
      <c r="H43" s="6">
        <f>14276000-H42-Resumen!D53-Resumen!E53-Resumen!H53</f>
        <v>7440000</v>
      </c>
    </row>
    <row r="45" spans="2:9" x14ac:dyDescent="0.25">
      <c r="D45">
        <f>14276000*0.02</f>
        <v>285520</v>
      </c>
    </row>
  </sheetData>
  <mergeCells count="8">
    <mergeCell ref="B16:B28"/>
    <mergeCell ref="B30:B35"/>
    <mergeCell ref="F30:G30"/>
    <mergeCell ref="B2:H2"/>
    <mergeCell ref="C3:D3"/>
    <mergeCell ref="B4:B6"/>
    <mergeCell ref="C4:C6"/>
    <mergeCell ref="B12:B1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-0.249977111117893"/>
  </sheetPr>
  <dimension ref="B2:I45"/>
  <sheetViews>
    <sheetView topLeftCell="A13" zoomScale="120" zoomScaleNormal="120" workbookViewId="0">
      <selection activeCell="H36" sqref="H36"/>
    </sheetView>
  </sheetViews>
  <sheetFormatPr defaultRowHeight="15" x14ac:dyDescent="0.25"/>
  <cols>
    <col min="1" max="1" width="2.42578125" customWidth="1"/>
    <col min="2" max="2" width="20.5703125" style="34" customWidth="1"/>
    <col min="3" max="3" width="47.140625" customWidth="1"/>
    <col min="4" max="4" width="40.28515625" bestFit="1" customWidth="1"/>
    <col min="5" max="5" width="7.28515625" bestFit="1" customWidth="1"/>
    <col min="6" max="6" width="12.140625" customWidth="1"/>
    <col min="7" max="7" width="9.7109375" customWidth="1"/>
    <col min="8" max="8" width="15.28515625" customWidth="1"/>
  </cols>
  <sheetData>
    <row r="2" spans="2:8" ht="18.75" x14ac:dyDescent="0.3">
      <c r="B2" s="432" t="s">
        <v>163</v>
      </c>
      <c r="C2" s="432"/>
      <c r="D2" s="432"/>
      <c r="E2" s="432"/>
      <c r="F2" s="432"/>
      <c r="G2" s="432"/>
      <c r="H2" s="432"/>
    </row>
    <row r="3" spans="2:8" x14ac:dyDescent="0.25">
      <c r="B3" s="47" t="s">
        <v>9</v>
      </c>
      <c r="C3" s="433" t="s">
        <v>10</v>
      </c>
      <c r="D3" s="433"/>
      <c r="E3" s="184" t="s">
        <v>11</v>
      </c>
      <c r="F3" s="184" t="s">
        <v>12</v>
      </c>
      <c r="G3" s="184" t="s">
        <v>13</v>
      </c>
      <c r="H3" s="184" t="s">
        <v>0</v>
      </c>
    </row>
    <row r="4" spans="2:8" x14ac:dyDescent="0.25">
      <c r="B4" s="427" t="s">
        <v>41</v>
      </c>
      <c r="C4" s="434"/>
      <c r="D4" s="36" t="s">
        <v>112</v>
      </c>
      <c r="E4" s="36" t="s">
        <v>14</v>
      </c>
      <c r="F4" s="48">
        <v>820.39</v>
      </c>
      <c r="G4" s="48">
        <v>6750</v>
      </c>
      <c r="H4" s="49">
        <f>F4*G4</f>
        <v>5537632.5</v>
      </c>
    </row>
    <row r="5" spans="2:8" x14ac:dyDescent="0.25">
      <c r="B5" s="427"/>
      <c r="C5" s="434"/>
      <c r="D5" s="36" t="s">
        <v>16</v>
      </c>
      <c r="E5" s="36" t="s">
        <v>15</v>
      </c>
      <c r="F5" s="48">
        <v>250</v>
      </c>
      <c r="G5" s="48">
        <v>550</v>
      </c>
      <c r="H5" s="49">
        <f>F5*G5</f>
        <v>137500</v>
      </c>
    </row>
    <row r="6" spans="2:8" x14ac:dyDescent="0.25">
      <c r="B6" s="427"/>
      <c r="C6" s="434"/>
      <c r="D6" s="36" t="s">
        <v>17</v>
      </c>
      <c r="E6" s="36" t="s">
        <v>15</v>
      </c>
      <c r="F6" s="48">
        <v>10.1</v>
      </c>
      <c r="G6" s="48">
        <v>200</v>
      </c>
      <c r="H6" s="49">
        <f>F6*G6</f>
        <v>2020</v>
      </c>
    </row>
    <row r="7" spans="2:8" ht="6" customHeight="1" x14ac:dyDescent="0.25">
      <c r="B7" s="185"/>
      <c r="C7" s="186"/>
      <c r="D7" s="36"/>
      <c r="E7" s="36"/>
      <c r="F7" s="48"/>
      <c r="G7" s="48"/>
      <c r="H7" s="49"/>
    </row>
    <row r="8" spans="2:8" x14ac:dyDescent="0.25">
      <c r="B8" s="185" t="s">
        <v>42</v>
      </c>
      <c r="C8" s="36" t="s">
        <v>113</v>
      </c>
      <c r="D8" s="36" t="s">
        <v>18</v>
      </c>
      <c r="E8" s="36" t="s">
        <v>15</v>
      </c>
      <c r="F8" s="48">
        <v>84.51</v>
      </c>
      <c r="G8" s="48">
        <v>1274.25</v>
      </c>
      <c r="H8" s="49">
        <f>F8*G8</f>
        <v>107686.86750000001</v>
      </c>
    </row>
    <row r="9" spans="2:8" ht="4.5" customHeight="1" x14ac:dyDescent="0.25">
      <c r="B9" s="185"/>
      <c r="C9" s="36"/>
      <c r="D9" s="36"/>
      <c r="E9" s="36"/>
      <c r="F9" s="48"/>
      <c r="G9" s="48"/>
      <c r="H9" s="49"/>
    </row>
    <row r="10" spans="2:8" ht="19.5" customHeight="1" x14ac:dyDescent="0.25">
      <c r="B10" s="37" t="s">
        <v>22</v>
      </c>
      <c r="C10" s="36" t="s">
        <v>19</v>
      </c>
      <c r="D10" s="36" t="s">
        <v>20</v>
      </c>
      <c r="E10" s="36" t="s">
        <v>21</v>
      </c>
      <c r="F10" s="48">
        <v>42.38</v>
      </c>
      <c r="G10" s="48">
        <v>1760.65</v>
      </c>
      <c r="H10" s="49">
        <f>F10*G10</f>
        <v>74616.347000000009</v>
      </c>
    </row>
    <row r="11" spans="2:8" ht="4.5" customHeight="1" x14ac:dyDescent="0.25">
      <c r="B11" s="37"/>
      <c r="C11" s="36"/>
      <c r="D11" s="36"/>
      <c r="E11" s="36"/>
      <c r="F11" s="48"/>
      <c r="G11" s="48"/>
      <c r="H11" s="49"/>
    </row>
    <row r="12" spans="2:8" ht="15" customHeight="1" x14ac:dyDescent="0.25">
      <c r="B12" s="427" t="s">
        <v>26</v>
      </c>
      <c r="C12" s="36" t="s">
        <v>23</v>
      </c>
      <c r="D12" s="36"/>
      <c r="E12" s="36" t="s">
        <v>15</v>
      </c>
      <c r="F12" s="48">
        <v>0</v>
      </c>
      <c r="G12" s="48">
        <v>0</v>
      </c>
      <c r="H12" s="49">
        <f>F12*G12</f>
        <v>0</v>
      </c>
    </row>
    <row r="13" spans="2:8" x14ac:dyDescent="0.25">
      <c r="B13" s="427"/>
      <c r="C13" s="36" t="s">
        <v>24</v>
      </c>
      <c r="D13" s="36"/>
      <c r="E13" s="36" t="s">
        <v>27</v>
      </c>
      <c r="F13" s="48">
        <v>0</v>
      </c>
      <c r="G13" s="48">
        <v>14609.1</v>
      </c>
      <c r="H13" s="49">
        <f>F13*G13</f>
        <v>0</v>
      </c>
    </row>
    <row r="14" spans="2:8" x14ac:dyDescent="0.25">
      <c r="B14" s="427"/>
      <c r="C14" s="36" t="s">
        <v>25</v>
      </c>
      <c r="D14" s="36"/>
      <c r="E14" s="36" t="s">
        <v>15</v>
      </c>
      <c r="F14" s="48">
        <v>0</v>
      </c>
      <c r="G14" s="48">
        <v>1321</v>
      </c>
      <c r="H14" s="49">
        <f>F14*G14</f>
        <v>0</v>
      </c>
    </row>
    <row r="15" spans="2:8" ht="6" customHeight="1" x14ac:dyDescent="0.25">
      <c r="B15" s="185"/>
      <c r="C15" s="36"/>
      <c r="D15" s="36"/>
      <c r="E15" s="36"/>
      <c r="F15" s="48"/>
      <c r="G15" s="48"/>
      <c r="H15" s="49"/>
    </row>
    <row r="16" spans="2:8" x14ac:dyDescent="0.25">
      <c r="B16" s="427" t="s">
        <v>28</v>
      </c>
      <c r="C16" s="36" t="s">
        <v>29</v>
      </c>
      <c r="D16" s="36"/>
      <c r="E16" s="36" t="s">
        <v>31</v>
      </c>
      <c r="F16" s="48">
        <v>128100</v>
      </c>
      <c r="G16" s="48">
        <v>1</v>
      </c>
      <c r="H16" s="49">
        <f t="shared" ref="H16:H21" si="0">F16*G16</f>
        <v>128100</v>
      </c>
    </row>
    <row r="17" spans="2:8" x14ac:dyDescent="0.25">
      <c r="B17" s="427"/>
      <c r="C17" s="36" t="s">
        <v>131</v>
      </c>
      <c r="D17" s="36"/>
      <c r="E17" s="36" t="s">
        <v>31</v>
      </c>
      <c r="F17" s="48">
        <v>139230</v>
      </c>
      <c r="G17" s="48">
        <v>1</v>
      </c>
      <c r="H17" s="49">
        <f t="shared" si="0"/>
        <v>139230</v>
      </c>
    </row>
    <row r="18" spans="2:8" x14ac:dyDescent="0.25">
      <c r="B18" s="427"/>
      <c r="C18" s="36" t="s">
        <v>30</v>
      </c>
      <c r="D18" s="36"/>
      <c r="E18" s="36" t="s">
        <v>31</v>
      </c>
      <c r="F18" s="48">
        <v>108000</v>
      </c>
      <c r="G18" s="48">
        <v>1</v>
      </c>
      <c r="H18" s="49">
        <f t="shared" si="0"/>
        <v>108000</v>
      </c>
    </row>
    <row r="19" spans="2:8" x14ac:dyDescent="0.25">
      <c r="B19" s="427"/>
      <c r="C19" s="36" t="s">
        <v>32</v>
      </c>
      <c r="D19" s="36"/>
      <c r="E19" s="36" t="s">
        <v>31</v>
      </c>
      <c r="F19" s="48">
        <v>256000</v>
      </c>
      <c r="G19" s="48">
        <v>1</v>
      </c>
      <c r="H19" s="49">
        <f t="shared" si="0"/>
        <v>256000</v>
      </c>
    </row>
    <row r="20" spans="2:8" x14ac:dyDescent="0.25">
      <c r="B20" s="427"/>
      <c r="C20" s="36" t="s">
        <v>33</v>
      </c>
      <c r="D20" s="36"/>
      <c r="E20" s="36" t="s">
        <v>11</v>
      </c>
      <c r="F20" s="48">
        <v>20000</v>
      </c>
      <c r="G20" s="48">
        <v>2</v>
      </c>
      <c r="H20" s="49">
        <f t="shared" si="0"/>
        <v>40000</v>
      </c>
    </row>
    <row r="21" spans="2:8" x14ac:dyDescent="0.25">
      <c r="B21" s="427"/>
      <c r="C21" s="36" t="s">
        <v>34</v>
      </c>
      <c r="D21" s="36"/>
      <c r="E21" s="36" t="s">
        <v>31</v>
      </c>
      <c r="F21" s="48">
        <v>180000</v>
      </c>
      <c r="G21" s="48">
        <v>1</v>
      </c>
      <c r="H21" s="49">
        <f t="shared" si="0"/>
        <v>180000</v>
      </c>
    </row>
    <row r="22" spans="2:8" x14ac:dyDescent="0.25">
      <c r="B22" s="427"/>
      <c r="C22" s="36"/>
      <c r="D22" s="36"/>
      <c r="E22" s="36"/>
      <c r="F22" s="48"/>
      <c r="G22" s="48"/>
      <c r="H22" s="49"/>
    </row>
    <row r="23" spans="2:8" x14ac:dyDescent="0.25">
      <c r="B23" s="427"/>
      <c r="C23" s="36"/>
      <c r="D23" s="36"/>
      <c r="E23" s="36"/>
      <c r="F23" s="48">
        <v>0</v>
      </c>
      <c r="G23" s="48">
        <v>0</v>
      </c>
      <c r="H23" s="49">
        <f t="shared" ref="H23:H28" si="1">F23*G23</f>
        <v>0</v>
      </c>
    </row>
    <row r="24" spans="2:8" x14ac:dyDescent="0.25">
      <c r="B24" s="427"/>
      <c r="C24" s="36" t="s">
        <v>115</v>
      </c>
      <c r="D24" s="36"/>
      <c r="E24" s="36" t="s">
        <v>11</v>
      </c>
      <c r="F24" s="48">
        <v>55000</v>
      </c>
      <c r="G24" s="48">
        <v>1</v>
      </c>
      <c r="H24" s="49">
        <f t="shared" si="1"/>
        <v>55000</v>
      </c>
    </row>
    <row r="25" spans="2:8" x14ac:dyDescent="0.25">
      <c r="B25" s="427"/>
      <c r="C25" s="36" t="s">
        <v>35</v>
      </c>
      <c r="D25" s="36"/>
      <c r="E25" s="36" t="s">
        <v>31</v>
      </c>
      <c r="F25" s="48">
        <v>109200</v>
      </c>
      <c r="G25" s="48">
        <v>1</v>
      </c>
      <c r="H25" s="49">
        <f t="shared" si="1"/>
        <v>109200</v>
      </c>
    </row>
    <row r="26" spans="2:8" x14ac:dyDescent="0.25">
      <c r="B26" s="427"/>
      <c r="C26" s="36"/>
      <c r="D26" s="36"/>
      <c r="E26" s="36"/>
      <c r="F26" s="48"/>
      <c r="G26" s="48"/>
      <c r="H26" s="49">
        <f t="shared" si="1"/>
        <v>0</v>
      </c>
    </row>
    <row r="27" spans="2:8" x14ac:dyDescent="0.25">
      <c r="B27" s="427"/>
      <c r="C27" s="36"/>
      <c r="D27" s="36"/>
      <c r="E27" s="36"/>
      <c r="F27" s="48"/>
      <c r="G27" s="48"/>
      <c r="H27" s="49">
        <f t="shared" si="1"/>
        <v>0</v>
      </c>
    </row>
    <row r="28" spans="2:8" x14ac:dyDescent="0.25">
      <c r="B28" s="427"/>
      <c r="C28" s="36"/>
      <c r="D28" s="36"/>
      <c r="E28" s="36"/>
      <c r="F28" s="48"/>
      <c r="G28" s="48"/>
      <c r="H28" s="49">
        <f t="shared" si="1"/>
        <v>0</v>
      </c>
    </row>
    <row r="29" spans="2:8" ht="6.75" customHeight="1" thickBot="1" x14ac:dyDescent="0.3">
      <c r="B29" s="38"/>
      <c r="C29" s="39"/>
      <c r="D29" s="39"/>
      <c r="E29" s="39"/>
      <c r="F29" s="39"/>
      <c r="G29" s="39"/>
      <c r="H29" s="39"/>
    </row>
    <row r="30" spans="2:8" x14ac:dyDescent="0.25">
      <c r="B30" s="428"/>
      <c r="C30" s="40" t="s">
        <v>36</v>
      </c>
      <c r="D30" s="40"/>
      <c r="E30" s="40"/>
      <c r="F30" s="431" t="s">
        <v>39</v>
      </c>
      <c r="G30" s="431"/>
      <c r="H30" s="51">
        <f>SUM(H4:H28)</f>
        <v>6874985.7144999998</v>
      </c>
    </row>
    <row r="31" spans="2:8" x14ac:dyDescent="0.25">
      <c r="B31" s="429"/>
      <c r="C31" s="36" t="s">
        <v>37</v>
      </c>
      <c r="D31" s="36"/>
      <c r="E31" s="36"/>
      <c r="F31" s="36"/>
      <c r="G31" s="36">
        <v>0.05</v>
      </c>
      <c r="H31" s="50">
        <f>G31*H30</f>
        <v>343749.28572500002</v>
      </c>
    </row>
    <row r="32" spans="2:8" x14ac:dyDescent="0.25">
      <c r="B32" s="429"/>
      <c r="C32" s="36" t="s">
        <v>55</v>
      </c>
      <c r="D32" s="36"/>
      <c r="E32" s="36"/>
      <c r="F32" s="36"/>
      <c r="G32" s="36">
        <v>0.05</v>
      </c>
      <c r="H32" s="50">
        <f>G32*H30</f>
        <v>343749.28572500002</v>
      </c>
    </row>
    <row r="33" spans="2:9" x14ac:dyDescent="0.25">
      <c r="B33" s="429"/>
      <c r="C33" s="36" t="s">
        <v>57</v>
      </c>
      <c r="D33" s="36"/>
      <c r="E33" s="36"/>
      <c r="F33" s="36"/>
      <c r="G33" s="36"/>
      <c r="H33" s="50">
        <v>0</v>
      </c>
    </row>
    <row r="34" spans="2:9" x14ac:dyDescent="0.25">
      <c r="B34" s="429"/>
      <c r="C34" s="36" t="s">
        <v>40</v>
      </c>
      <c r="D34" s="36"/>
      <c r="E34" s="36"/>
      <c r="F34" s="36"/>
      <c r="G34" s="36">
        <v>0.05</v>
      </c>
      <c r="H34" s="50">
        <f>G34*H30</f>
        <v>343749.28572500002</v>
      </c>
    </row>
    <row r="35" spans="2:9" x14ac:dyDescent="0.25">
      <c r="B35" s="430"/>
      <c r="C35" s="36" t="s">
        <v>38</v>
      </c>
      <c r="D35" s="36"/>
      <c r="E35" s="36"/>
      <c r="F35" s="36"/>
      <c r="G35" s="36">
        <v>0.05</v>
      </c>
      <c r="H35" s="50">
        <f>H30*G35</f>
        <v>343749.28572500002</v>
      </c>
    </row>
    <row r="36" spans="2:9" ht="17.25" customHeight="1" x14ac:dyDescent="0.25">
      <c r="B36" s="41"/>
      <c r="C36" s="36" t="s">
        <v>51</v>
      </c>
      <c r="D36" s="36"/>
      <c r="E36" s="36"/>
      <c r="F36" s="36"/>
      <c r="G36" s="36"/>
      <c r="H36" s="50">
        <v>17.142600000000002</v>
      </c>
    </row>
    <row r="37" spans="2:9" ht="15.75" thickBot="1" x14ac:dyDescent="0.3">
      <c r="B37" s="42"/>
      <c r="C37" s="43" t="s">
        <v>0</v>
      </c>
      <c r="D37" s="44"/>
      <c r="E37" s="44"/>
      <c r="F37" s="44"/>
      <c r="G37" s="44"/>
      <c r="H37" s="52">
        <f>SUM(H30:H36)</f>
        <v>8250000.0000000009</v>
      </c>
    </row>
    <row r="38" spans="2:9" x14ac:dyDescent="0.25">
      <c r="H38" s="6"/>
    </row>
    <row r="39" spans="2:9" x14ac:dyDescent="0.25">
      <c r="C39" t="s">
        <v>114</v>
      </c>
      <c r="E39" t="s">
        <v>83</v>
      </c>
      <c r="H39" s="86">
        <f>5439759</f>
        <v>5439759</v>
      </c>
      <c r="I39">
        <f>H39/H30</f>
        <v>0.79123931683625615</v>
      </c>
    </row>
    <row r="42" spans="2:9" x14ac:dyDescent="0.25">
      <c r="H42" s="86">
        <f>H39+H37</f>
        <v>13689759</v>
      </c>
    </row>
    <row r="43" spans="2:9" x14ac:dyDescent="0.25">
      <c r="F43" s="111" t="s">
        <v>59</v>
      </c>
      <c r="H43" s="6">
        <f>15086000-H42-Resumen!D53-Resumen!E53-Resumen!H53</f>
        <v>0</v>
      </c>
    </row>
    <row r="45" spans="2:9" x14ac:dyDescent="0.25">
      <c r="D45">
        <f>14276000*0.02</f>
        <v>285520</v>
      </c>
    </row>
  </sheetData>
  <mergeCells count="8">
    <mergeCell ref="B16:B28"/>
    <mergeCell ref="B30:B35"/>
    <mergeCell ref="F30:G30"/>
    <mergeCell ref="B2:H2"/>
    <mergeCell ref="C3:D3"/>
    <mergeCell ref="B4:B6"/>
    <mergeCell ref="C4:C6"/>
    <mergeCell ref="B12:B1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-0.249977111117893"/>
  </sheetPr>
  <dimension ref="B2:I45"/>
  <sheetViews>
    <sheetView topLeftCell="A22" zoomScale="130" zoomScaleNormal="130" workbookViewId="0">
      <selection activeCell="H43" sqref="H43"/>
    </sheetView>
  </sheetViews>
  <sheetFormatPr defaultRowHeight="15" x14ac:dyDescent="0.25"/>
  <cols>
    <col min="1" max="1" width="2.42578125" customWidth="1"/>
    <col min="2" max="2" width="20.5703125" style="34" customWidth="1"/>
    <col min="3" max="3" width="47.140625" customWidth="1"/>
    <col min="4" max="4" width="40.28515625" bestFit="1" customWidth="1"/>
    <col min="5" max="5" width="7.28515625" bestFit="1" customWidth="1"/>
    <col min="6" max="6" width="12.140625" customWidth="1"/>
    <col min="7" max="7" width="9.7109375" customWidth="1"/>
    <col min="8" max="8" width="15.28515625" customWidth="1"/>
  </cols>
  <sheetData>
    <row r="2" spans="2:8" ht="18.75" x14ac:dyDescent="0.3">
      <c r="B2" s="432" t="s">
        <v>164</v>
      </c>
      <c r="C2" s="432"/>
      <c r="D2" s="432"/>
      <c r="E2" s="432"/>
      <c r="F2" s="432"/>
      <c r="G2" s="432"/>
      <c r="H2" s="432"/>
    </row>
    <row r="3" spans="2:8" x14ac:dyDescent="0.25">
      <c r="B3" s="47" t="s">
        <v>9</v>
      </c>
      <c r="C3" s="433" t="s">
        <v>10</v>
      </c>
      <c r="D3" s="433"/>
      <c r="E3" s="184" t="s">
        <v>11</v>
      </c>
      <c r="F3" s="184" t="s">
        <v>12</v>
      </c>
      <c r="G3" s="184" t="s">
        <v>13</v>
      </c>
      <c r="H3" s="184" t="s">
        <v>0</v>
      </c>
    </row>
    <row r="4" spans="2:8" x14ac:dyDescent="0.25">
      <c r="B4" s="427" t="s">
        <v>41</v>
      </c>
      <c r="C4" s="434"/>
      <c r="D4" s="36" t="s">
        <v>112</v>
      </c>
      <c r="E4" s="36" t="s">
        <v>14</v>
      </c>
      <c r="F4" s="48">
        <v>820.39</v>
      </c>
      <c r="G4" s="48">
        <v>6750</v>
      </c>
      <c r="H4" s="49">
        <f>F4*G4</f>
        <v>5537632.5</v>
      </c>
    </row>
    <row r="5" spans="2:8" x14ac:dyDescent="0.25">
      <c r="B5" s="427"/>
      <c r="C5" s="434"/>
      <c r="D5" s="36" t="s">
        <v>16</v>
      </c>
      <c r="E5" s="36" t="s">
        <v>15</v>
      </c>
      <c r="F5" s="48">
        <v>250</v>
      </c>
      <c r="G5" s="48">
        <v>550</v>
      </c>
      <c r="H5" s="49">
        <f>F5*G5</f>
        <v>137500</v>
      </c>
    </row>
    <row r="6" spans="2:8" x14ac:dyDescent="0.25">
      <c r="B6" s="427"/>
      <c r="C6" s="434"/>
      <c r="D6" s="36" t="s">
        <v>17</v>
      </c>
      <c r="E6" s="36" t="s">
        <v>15</v>
      </c>
      <c r="F6" s="48">
        <v>10.1</v>
      </c>
      <c r="G6" s="48">
        <v>200</v>
      </c>
      <c r="H6" s="49">
        <f>F6*G6</f>
        <v>2020</v>
      </c>
    </row>
    <row r="7" spans="2:8" ht="6" customHeight="1" x14ac:dyDescent="0.25">
      <c r="B7" s="185"/>
      <c r="C7" s="186"/>
      <c r="D7" s="36"/>
      <c r="E7" s="36"/>
      <c r="F7" s="48"/>
      <c r="G7" s="48"/>
      <c r="H7" s="49"/>
    </row>
    <row r="8" spans="2:8" x14ac:dyDescent="0.25">
      <c r="B8" s="185" t="s">
        <v>42</v>
      </c>
      <c r="C8" s="36" t="s">
        <v>113</v>
      </c>
      <c r="D8" s="36" t="s">
        <v>18</v>
      </c>
      <c r="E8" s="36" t="s">
        <v>15</v>
      </c>
      <c r="F8" s="48">
        <v>84.51</v>
      </c>
      <c r="G8" s="48">
        <v>1274.25</v>
      </c>
      <c r="H8" s="49">
        <f>F8*G8</f>
        <v>107686.86750000001</v>
      </c>
    </row>
    <row r="9" spans="2:8" ht="4.5" customHeight="1" x14ac:dyDescent="0.25">
      <c r="B9" s="185"/>
      <c r="C9" s="36"/>
      <c r="D9" s="36"/>
      <c r="E9" s="36"/>
      <c r="F9" s="48"/>
      <c r="G9" s="48"/>
      <c r="H9" s="49"/>
    </row>
    <row r="10" spans="2:8" ht="19.5" customHeight="1" x14ac:dyDescent="0.25">
      <c r="B10" s="37" t="s">
        <v>22</v>
      </c>
      <c r="C10" s="36" t="s">
        <v>19</v>
      </c>
      <c r="D10" s="36" t="s">
        <v>20</v>
      </c>
      <c r="E10" s="36" t="s">
        <v>21</v>
      </c>
      <c r="F10" s="48">
        <v>42.38</v>
      </c>
      <c r="G10" s="48">
        <v>1760.65</v>
      </c>
      <c r="H10" s="49">
        <f>F10*G10</f>
        <v>74616.347000000009</v>
      </c>
    </row>
    <row r="11" spans="2:8" ht="4.5" customHeight="1" x14ac:dyDescent="0.25">
      <c r="B11" s="37"/>
      <c r="C11" s="36"/>
      <c r="D11" s="36"/>
      <c r="E11" s="36"/>
      <c r="F11" s="48"/>
      <c r="G11" s="48"/>
      <c r="H11" s="49"/>
    </row>
    <row r="12" spans="2:8" ht="15" customHeight="1" x14ac:dyDescent="0.25">
      <c r="B12" s="427" t="s">
        <v>26</v>
      </c>
      <c r="C12" s="36" t="s">
        <v>23</v>
      </c>
      <c r="D12" s="36"/>
      <c r="E12" s="36" t="s">
        <v>15</v>
      </c>
      <c r="F12" s="48">
        <v>0</v>
      </c>
      <c r="G12" s="48">
        <v>0</v>
      </c>
      <c r="H12" s="49">
        <f>F12*G12</f>
        <v>0</v>
      </c>
    </row>
    <row r="13" spans="2:8" x14ac:dyDescent="0.25">
      <c r="B13" s="427"/>
      <c r="C13" s="36" t="s">
        <v>24</v>
      </c>
      <c r="D13" s="36"/>
      <c r="E13" s="36" t="s">
        <v>27</v>
      </c>
      <c r="F13" s="48">
        <v>0</v>
      </c>
      <c r="G13" s="48">
        <v>14609.1</v>
      </c>
      <c r="H13" s="49">
        <f>F13*G13</f>
        <v>0</v>
      </c>
    </row>
    <row r="14" spans="2:8" x14ac:dyDescent="0.25">
      <c r="B14" s="427"/>
      <c r="C14" s="36" t="s">
        <v>25</v>
      </c>
      <c r="D14" s="36"/>
      <c r="E14" s="36" t="s">
        <v>15</v>
      </c>
      <c r="F14" s="48">
        <v>0</v>
      </c>
      <c r="G14" s="48">
        <v>1321</v>
      </c>
      <c r="H14" s="49">
        <f>F14*G14</f>
        <v>0</v>
      </c>
    </row>
    <row r="15" spans="2:8" ht="6" customHeight="1" x14ac:dyDescent="0.25">
      <c r="B15" s="185"/>
      <c r="C15" s="36"/>
      <c r="D15" s="36"/>
      <c r="E15" s="36"/>
      <c r="F15" s="48"/>
      <c r="G15" s="48"/>
      <c r="H15" s="49"/>
    </row>
    <row r="16" spans="2:8" x14ac:dyDescent="0.25">
      <c r="B16" s="427" t="s">
        <v>28</v>
      </c>
      <c r="C16" s="36" t="s">
        <v>29</v>
      </c>
      <c r="D16" s="36"/>
      <c r="E16" s="36" t="s">
        <v>31</v>
      </c>
      <c r="F16" s="48">
        <v>128100</v>
      </c>
      <c r="G16" s="48">
        <v>1</v>
      </c>
      <c r="H16" s="49">
        <f t="shared" ref="H16:H21" si="0">F16*G16</f>
        <v>128100</v>
      </c>
    </row>
    <row r="17" spans="2:8" x14ac:dyDescent="0.25">
      <c r="B17" s="427"/>
      <c r="C17" s="36" t="s">
        <v>131</v>
      </c>
      <c r="D17" s="36"/>
      <c r="E17" s="36" t="s">
        <v>31</v>
      </c>
      <c r="F17" s="48">
        <v>139230</v>
      </c>
      <c r="G17" s="48">
        <v>1</v>
      </c>
      <c r="H17" s="49">
        <f t="shared" si="0"/>
        <v>139230</v>
      </c>
    </row>
    <row r="18" spans="2:8" x14ac:dyDescent="0.25">
      <c r="B18" s="427"/>
      <c r="C18" s="36" t="s">
        <v>30</v>
      </c>
      <c r="D18" s="36"/>
      <c r="E18" s="36" t="s">
        <v>31</v>
      </c>
      <c r="F18" s="48">
        <v>108000</v>
      </c>
      <c r="G18" s="48">
        <v>1</v>
      </c>
      <c r="H18" s="49">
        <f t="shared" si="0"/>
        <v>108000</v>
      </c>
    </row>
    <row r="19" spans="2:8" x14ac:dyDescent="0.25">
      <c r="B19" s="427"/>
      <c r="C19" s="36" t="s">
        <v>32</v>
      </c>
      <c r="D19" s="36"/>
      <c r="E19" s="36" t="s">
        <v>31</v>
      </c>
      <c r="F19" s="48">
        <v>256000</v>
      </c>
      <c r="G19" s="48">
        <v>1</v>
      </c>
      <c r="H19" s="49">
        <f t="shared" si="0"/>
        <v>256000</v>
      </c>
    </row>
    <row r="20" spans="2:8" x14ac:dyDescent="0.25">
      <c r="B20" s="427"/>
      <c r="C20" s="36" t="s">
        <v>33</v>
      </c>
      <c r="D20" s="36"/>
      <c r="E20" s="36" t="s">
        <v>11</v>
      </c>
      <c r="F20" s="48">
        <v>20000</v>
      </c>
      <c r="G20" s="48">
        <v>2</v>
      </c>
      <c r="H20" s="49">
        <f t="shared" si="0"/>
        <v>40000</v>
      </c>
    </row>
    <row r="21" spans="2:8" x14ac:dyDescent="0.25">
      <c r="B21" s="427"/>
      <c r="C21" s="36" t="s">
        <v>34</v>
      </c>
      <c r="D21" s="36"/>
      <c r="E21" s="36" t="s">
        <v>31</v>
      </c>
      <c r="F21" s="48">
        <v>180000</v>
      </c>
      <c r="G21" s="48">
        <v>1</v>
      </c>
      <c r="H21" s="49">
        <f t="shared" si="0"/>
        <v>180000</v>
      </c>
    </row>
    <row r="22" spans="2:8" x14ac:dyDescent="0.25">
      <c r="B22" s="427"/>
      <c r="C22" s="36"/>
      <c r="D22" s="36"/>
      <c r="E22" s="36"/>
      <c r="F22" s="48"/>
      <c r="G22" s="48"/>
      <c r="H22" s="49"/>
    </row>
    <row r="23" spans="2:8" x14ac:dyDescent="0.25">
      <c r="B23" s="427"/>
      <c r="C23" s="36"/>
      <c r="D23" s="36"/>
      <c r="E23" s="36"/>
      <c r="F23" s="48">
        <v>0</v>
      </c>
      <c r="G23" s="48">
        <v>0</v>
      </c>
      <c r="H23" s="49">
        <f t="shared" ref="H23:H28" si="1">F23*G23</f>
        <v>0</v>
      </c>
    </row>
    <row r="24" spans="2:8" x14ac:dyDescent="0.25">
      <c r="B24" s="427"/>
      <c r="C24" s="36" t="s">
        <v>115</v>
      </c>
      <c r="D24" s="36"/>
      <c r="E24" s="36" t="s">
        <v>11</v>
      </c>
      <c r="F24" s="48">
        <v>55000</v>
      </c>
      <c r="G24" s="48">
        <v>1</v>
      </c>
      <c r="H24" s="49">
        <f t="shared" si="1"/>
        <v>55000</v>
      </c>
    </row>
    <row r="25" spans="2:8" x14ac:dyDescent="0.25">
      <c r="B25" s="427"/>
      <c r="C25" s="36" t="s">
        <v>35</v>
      </c>
      <c r="D25" s="36"/>
      <c r="E25" s="36" t="s">
        <v>31</v>
      </c>
      <c r="F25" s="48">
        <v>109200</v>
      </c>
      <c r="G25" s="48">
        <v>1</v>
      </c>
      <c r="H25" s="49">
        <f t="shared" si="1"/>
        <v>109200</v>
      </c>
    </row>
    <row r="26" spans="2:8" x14ac:dyDescent="0.25">
      <c r="B26" s="427"/>
      <c r="C26" s="36"/>
      <c r="D26" s="36"/>
      <c r="E26" s="36"/>
      <c r="F26" s="48"/>
      <c r="G26" s="48"/>
      <c r="H26" s="49">
        <f t="shared" si="1"/>
        <v>0</v>
      </c>
    </row>
    <row r="27" spans="2:8" x14ac:dyDescent="0.25">
      <c r="B27" s="427"/>
      <c r="C27" s="36"/>
      <c r="D27" s="36"/>
      <c r="E27" s="36"/>
      <c r="F27" s="48"/>
      <c r="G27" s="48"/>
      <c r="H27" s="49">
        <f t="shared" si="1"/>
        <v>0</v>
      </c>
    </row>
    <row r="28" spans="2:8" x14ac:dyDescent="0.25">
      <c r="B28" s="427"/>
      <c r="C28" s="36"/>
      <c r="D28" s="36"/>
      <c r="E28" s="36"/>
      <c r="F28" s="48"/>
      <c r="G28" s="48"/>
      <c r="H28" s="49">
        <f t="shared" si="1"/>
        <v>0</v>
      </c>
    </row>
    <row r="29" spans="2:8" ht="6.75" customHeight="1" thickBot="1" x14ac:dyDescent="0.3">
      <c r="B29" s="38"/>
      <c r="C29" s="39"/>
      <c r="D29" s="39"/>
      <c r="E29" s="39"/>
      <c r="F29" s="39"/>
      <c r="G29" s="39"/>
      <c r="H29" s="39"/>
    </row>
    <row r="30" spans="2:8" x14ac:dyDescent="0.25">
      <c r="B30" s="428"/>
      <c r="C30" s="40" t="s">
        <v>36</v>
      </c>
      <c r="D30" s="40"/>
      <c r="E30" s="40"/>
      <c r="F30" s="431" t="s">
        <v>39</v>
      </c>
      <c r="G30" s="431"/>
      <c r="H30" s="51">
        <f>SUM(H4:H28)</f>
        <v>6874985.7144999998</v>
      </c>
    </row>
    <row r="31" spans="2:8" x14ac:dyDescent="0.25">
      <c r="B31" s="429"/>
      <c r="C31" s="36" t="s">
        <v>37</v>
      </c>
      <c r="D31" s="36"/>
      <c r="E31" s="36"/>
      <c r="F31" s="36"/>
      <c r="G31" s="36">
        <v>0.05</v>
      </c>
      <c r="H31" s="50">
        <f>G31*H30</f>
        <v>343749.28572500002</v>
      </c>
    </row>
    <row r="32" spans="2:8" x14ac:dyDescent="0.25">
      <c r="B32" s="429"/>
      <c r="C32" s="36" t="s">
        <v>55</v>
      </c>
      <c r="D32" s="36"/>
      <c r="E32" s="36"/>
      <c r="F32" s="36"/>
      <c r="G32" s="36">
        <v>0.05</v>
      </c>
      <c r="H32" s="50">
        <f>G32*H30</f>
        <v>343749.28572500002</v>
      </c>
    </row>
    <row r="33" spans="2:9" x14ac:dyDescent="0.25">
      <c r="B33" s="429"/>
      <c r="C33" s="36" t="s">
        <v>57</v>
      </c>
      <c r="D33" s="36"/>
      <c r="E33" s="36"/>
      <c r="F33" s="36"/>
      <c r="G33" s="36"/>
      <c r="H33" s="50">
        <v>0</v>
      </c>
    </row>
    <row r="34" spans="2:9" x14ac:dyDescent="0.25">
      <c r="B34" s="429"/>
      <c r="C34" s="36" t="s">
        <v>40</v>
      </c>
      <c r="D34" s="36"/>
      <c r="E34" s="36"/>
      <c r="F34" s="36"/>
      <c r="G34" s="36">
        <v>0.05</v>
      </c>
      <c r="H34" s="50">
        <f>G34*H30</f>
        <v>343749.28572500002</v>
      </c>
    </row>
    <row r="35" spans="2:9" x14ac:dyDescent="0.25">
      <c r="B35" s="430"/>
      <c r="C35" s="36" t="s">
        <v>38</v>
      </c>
      <c r="D35" s="36"/>
      <c r="E35" s="36"/>
      <c r="F35" s="36"/>
      <c r="G35" s="36">
        <v>0.05</v>
      </c>
      <c r="H35" s="50">
        <f>H30*G35</f>
        <v>343749.28572500002</v>
      </c>
    </row>
    <row r="36" spans="2:9" ht="17.25" customHeight="1" x14ac:dyDescent="0.25">
      <c r="B36" s="41"/>
      <c r="C36" s="36" t="s">
        <v>51</v>
      </c>
      <c r="D36" s="36"/>
      <c r="E36" s="36"/>
      <c r="F36" s="36"/>
      <c r="G36" s="36"/>
      <c r="H36" s="50">
        <v>17.142600000000002</v>
      </c>
    </row>
    <row r="37" spans="2:9" ht="15.75" thickBot="1" x14ac:dyDescent="0.3">
      <c r="B37" s="42"/>
      <c r="C37" s="43" t="s">
        <v>0</v>
      </c>
      <c r="D37" s="44"/>
      <c r="E37" s="44"/>
      <c r="F37" s="44"/>
      <c r="G37" s="44"/>
      <c r="H37" s="52">
        <f>SUM(H30:H36)</f>
        <v>8250000.0000000009</v>
      </c>
    </row>
    <row r="38" spans="2:9" x14ac:dyDescent="0.25">
      <c r="H38" s="6"/>
    </row>
    <row r="39" spans="2:9" x14ac:dyDescent="0.25">
      <c r="C39" t="s">
        <v>114</v>
      </c>
      <c r="E39" t="s">
        <v>83</v>
      </c>
      <c r="H39" s="86">
        <f>5439759</f>
        <v>5439759</v>
      </c>
      <c r="I39">
        <f>H39/H30</f>
        <v>0.79123931683625615</v>
      </c>
    </row>
    <row r="42" spans="2:9" x14ac:dyDescent="0.25">
      <c r="H42" s="86">
        <f>H39+H37</f>
        <v>13689759</v>
      </c>
    </row>
    <row r="43" spans="2:9" x14ac:dyDescent="0.25">
      <c r="F43" s="111" t="s">
        <v>59</v>
      </c>
      <c r="H43" s="6">
        <f>15086000-H42-Resumen!D53-Resumen!E53-Resumen!H53</f>
        <v>0</v>
      </c>
    </row>
    <row r="45" spans="2:9" x14ac:dyDescent="0.25">
      <c r="D45">
        <f>14276000*0.02</f>
        <v>285520</v>
      </c>
    </row>
  </sheetData>
  <mergeCells count="8">
    <mergeCell ref="B16:B28"/>
    <mergeCell ref="B30:B35"/>
    <mergeCell ref="F30:G30"/>
    <mergeCell ref="B2:H2"/>
    <mergeCell ref="C3:D3"/>
    <mergeCell ref="B4:B6"/>
    <mergeCell ref="C4:C6"/>
    <mergeCell ref="B12:B14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-0.249977111117893"/>
  </sheetPr>
  <dimension ref="B2:I45"/>
  <sheetViews>
    <sheetView topLeftCell="A25" zoomScale="140" zoomScaleNormal="140" workbookViewId="0">
      <selection activeCell="H36" sqref="H36"/>
    </sheetView>
  </sheetViews>
  <sheetFormatPr defaultRowHeight="15" x14ac:dyDescent="0.25"/>
  <cols>
    <col min="1" max="1" width="2.42578125" customWidth="1"/>
    <col min="2" max="2" width="20.5703125" style="34" customWidth="1"/>
    <col min="3" max="3" width="47.140625" customWidth="1"/>
    <col min="4" max="4" width="40.28515625" bestFit="1" customWidth="1"/>
    <col min="5" max="5" width="7.28515625" bestFit="1" customWidth="1"/>
    <col min="6" max="6" width="12.140625" customWidth="1"/>
    <col min="7" max="7" width="9.7109375" customWidth="1"/>
    <col min="8" max="8" width="15.28515625" customWidth="1"/>
  </cols>
  <sheetData>
    <row r="2" spans="2:8" ht="18.75" x14ac:dyDescent="0.3">
      <c r="B2" s="432" t="s">
        <v>165</v>
      </c>
      <c r="C2" s="432"/>
      <c r="D2" s="432"/>
      <c r="E2" s="432"/>
      <c r="F2" s="432"/>
      <c r="G2" s="432"/>
      <c r="H2" s="432"/>
    </row>
    <row r="3" spans="2:8" x14ac:dyDescent="0.25">
      <c r="B3" s="47" t="s">
        <v>9</v>
      </c>
      <c r="C3" s="433" t="s">
        <v>10</v>
      </c>
      <c r="D3" s="433"/>
      <c r="E3" s="184" t="s">
        <v>11</v>
      </c>
      <c r="F3" s="184" t="s">
        <v>12</v>
      </c>
      <c r="G3" s="184" t="s">
        <v>13</v>
      </c>
      <c r="H3" s="184" t="s">
        <v>0</v>
      </c>
    </row>
    <row r="4" spans="2:8" x14ac:dyDescent="0.25">
      <c r="B4" s="427" t="s">
        <v>41</v>
      </c>
      <c r="C4" s="434"/>
      <c r="D4" s="36" t="s">
        <v>112</v>
      </c>
      <c r="E4" s="36" t="s">
        <v>14</v>
      </c>
      <c r="F4" s="48">
        <v>820.39</v>
      </c>
      <c r="G4" s="48">
        <v>6750</v>
      </c>
      <c r="H4" s="49">
        <f>F4*G4</f>
        <v>5537632.5</v>
      </c>
    </row>
    <row r="5" spans="2:8" x14ac:dyDescent="0.25">
      <c r="B5" s="427"/>
      <c r="C5" s="434"/>
      <c r="D5" s="36" t="s">
        <v>16</v>
      </c>
      <c r="E5" s="36" t="s">
        <v>15</v>
      </c>
      <c r="F5" s="48">
        <v>250</v>
      </c>
      <c r="G5" s="48">
        <v>550</v>
      </c>
      <c r="H5" s="49">
        <f>F5*G5</f>
        <v>137500</v>
      </c>
    </row>
    <row r="6" spans="2:8" x14ac:dyDescent="0.25">
      <c r="B6" s="427"/>
      <c r="C6" s="434"/>
      <c r="D6" s="36" t="s">
        <v>17</v>
      </c>
      <c r="E6" s="36" t="s">
        <v>15</v>
      </c>
      <c r="F6" s="48">
        <v>10.1</v>
      </c>
      <c r="G6" s="48">
        <v>200</v>
      </c>
      <c r="H6" s="49">
        <f>F6*G6</f>
        <v>2020</v>
      </c>
    </row>
    <row r="7" spans="2:8" ht="6" customHeight="1" x14ac:dyDescent="0.25">
      <c r="B7" s="185"/>
      <c r="C7" s="186"/>
      <c r="D7" s="36"/>
      <c r="E7" s="36"/>
      <c r="F7" s="48"/>
      <c r="G7" s="48"/>
      <c r="H7" s="49"/>
    </row>
    <row r="8" spans="2:8" x14ac:dyDescent="0.25">
      <c r="B8" s="185" t="s">
        <v>42</v>
      </c>
      <c r="C8" s="36" t="s">
        <v>113</v>
      </c>
      <c r="D8" s="36" t="s">
        <v>18</v>
      </c>
      <c r="E8" s="36" t="s">
        <v>15</v>
      </c>
      <c r="F8" s="48">
        <v>84.51</v>
      </c>
      <c r="G8" s="48">
        <v>1274.25</v>
      </c>
      <c r="H8" s="49">
        <f>F8*G8</f>
        <v>107686.86750000001</v>
      </c>
    </row>
    <row r="9" spans="2:8" ht="4.5" customHeight="1" x14ac:dyDescent="0.25">
      <c r="B9" s="185"/>
      <c r="C9" s="36"/>
      <c r="D9" s="36"/>
      <c r="E9" s="36"/>
      <c r="F9" s="48"/>
      <c r="G9" s="48"/>
      <c r="H9" s="49"/>
    </row>
    <row r="10" spans="2:8" ht="19.5" customHeight="1" x14ac:dyDescent="0.25">
      <c r="B10" s="37" t="s">
        <v>22</v>
      </c>
      <c r="C10" s="36" t="s">
        <v>19</v>
      </c>
      <c r="D10" s="36" t="s">
        <v>20</v>
      </c>
      <c r="E10" s="36" t="s">
        <v>21</v>
      </c>
      <c r="F10" s="48">
        <v>42.38</v>
      </c>
      <c r="G10" s="48">
        <v>1760.65</v>
      </c>
      <c r="H10" s="49">
        <f>F10*G10</f>
        <v>74616.347000000009</v>
      </c>
    </row>
    <row r="11" spans="2:8" ht="4.5" customHeight="1" x14ac:dyDescent="0.25">
      <c r="B11" s="37"/>
      <c r="C11" s="36"/>
      <c r="D11" s="36"/>
      <c r="E11" s="36"/>
      <c r="F11" s="48"/>
      <c r="G11" s="48"/>
      <c r="H11" s="49"/>
    </row>
    <row r="12" spans="2:8" ht="15" customHeight="1" x14ac:dyDescent="0.25">
      <c r="B12" s="427" t="s">
        <v>26</v>
      </c>
      <c r="C12" s="36" t="s">
        <v>23</v>
      </c>
      <c r="D12" s="36"/>
      <c r="E12" s="36" t="s">
        <v>15</v>
      </c>
      <c r="F12" s="48">
        <v>0</v>
      </c>
      <c r="G12" s="48">
        <v>0</v>
      </c>
      <c r="H12" s="49">
        <f>F12*G12</f>
        <v>0</v>
      </c>
    </row>
    <row r="13" spans="2:8" x14ac:dyDescent="0.25">
      <c r="B13" s="427"/>
      <c r="C13" s="36" t="s">
        <v>24</v>
      </c>
      <c r="D13" s="36"/>
      <c r="E13" s="36" t="s">
        <v>27</v>
      </c>
      <c r="F13" s="48">
        <v>0</v>
      </c>
      <c r="G13" s="48">
        <v>14609.1</v>
      </c>
      <c r="H13" s="49">
        <f>F13*G13</f>
        <v>0</v>
      </c>
    </row>
    <row r="14" spans="2:8" x14ac:dyDescent="0.25">
      <c r="B14" s="427"/>
      <c r="C14" s="36" t="s">
        <v>25</v>
      </c>
      <c r="D14" s="36"/>
      <c r="E14" s="36" t="s">
        <v>15</v>
      </c>
      <c r="F14" s="48">
        <v>0</v>
      </c>
      <c r="G14" s="48">
        <v>1321</v>
      </c>
      <c r="H14" s="49">
        <f>F14*G14</f>
        <v>0</v>
      </c>
    </row>
    <row r="15" spans="2:8" ht="6" customHeight="1" x14ac:dyDescent="0.25">
      <c r="B15" s="185"/>
      <c r="C15" s="36"/>
      <c r="D15" s="36"/>
      <c r="E15" s="36"/>
      <c r="F15" s="48"/>
      <c r="G15" s="48"/>
      <c r="H15" s="49"/>
    </row>
    <row r="16" spans="2:8" x14ac:dyDescent="0.25">
      <c r="B16" s="427" t="s">
        <v>28</v>
      </c>
      <c r="C16" s="36" t="s">
        <v>29</v>
      </c>
      <c r="D16" s="36"/>
      <c r="E16" s="36" t="s">
        <v>31</v>
      </c>
      <c r="F16" s="48">
        <v>128100</v>
      </c>
      <c r="G16" s="48">
        <v>1</v>
      </c>
      <c r="H16" s="49">
        <f t="shared" ref="H16:H21" si="0">F16*G16</f>
        <v>128100</v>
      </c>
    </row>
    <row r="17" spans="2:8" x14ac:dyDescent="0.25">
      <c r="B17" s="427"/>
      <c r="C17" s="36" t="s">
        <v>131</v>
      </c>
      <c r="D17" s="36"/>
      <c r="E17" s="36" t="s">
        <v>31</v>
      </c>
      <c r="F17" s="48">
        <v>139230</v>
      </c>
      <c r="G17" s="48">
        <v>1</v>
      </c>
      <c r="H17" s="49">
        <f t="shared" si="0"/>
        <v>139230</v>
      </c>
    </row>
    <row r="18" spans="2:8" x14ac:dyDescent="0.25">
      <c r="B18" s="427"/>
      <c r="C18" s="36" t="s">
        <v>30</v>
      </c>
      <c r="D18" s="36"/>
      <c r="E18" s="36" t="s">
        <v>31</v>
      </c>
      <c r="F18" s="48">
        <v>108000</v>
      </c>
      <c r="G18" s="48">
        <v>1</v>
      </c>
      <c r="H18" s="49">
        <f t="shared" si="0"/>
        <v>108000</v>
      </c>
    </row>
    <row r="19" spans="2:8" x14ac:dyDescent="0.25">
      <c r="B19" s="427"/>
      <c r="C19" s="36" t="s">
        <v>32</v>
      </c>
      <c r="D19" s="36"/>
      <c r="E19" s="36" t="s">
        <v>31</v>
      </c>
      <c r="F19" s="48">
        <v>256000</v>
      </c>
      <c r="G19" s="48">
        <v>1</v>
      </c>
      <c r="H19" s="49">
        <f t="shared" si="0"/>
        <v>256000</v>
      </c>
    </row>
    <row r="20" spans="2:8" x14ac:dyDescent="0.25">
      <c r="B20" s="427"/>
      <c r="C20" s="36" t="s">
        <v>33</v>
      </c>
      <c r="D20" s="36"/>
      <c r="E20" s="36" t="s">
        <v>11</v>
      </c>
      <c r="F20" s="48">
        <v>20000</v>
      </c>
      <c r="G20" s="48">
        <v>2</v>
      </c>
      <c r="H20" s="49">
        <f t="shared" si="0"/>
        <v>40000</v>
      </c>
    </row>
    <row r="21" spans="2:8" x14ac:dyDescent="0.25">
      <c r="B21" s="427"/>
      <c r="C21" s="36" t="s">
        <v>34</v>
      </c>
      <c r="D21" s="36"/>
      <c r="E21" s="36" t="s">
        <v>31</v>
      </c>
      <c r="F21" s="48">
        <v>180000</v>
      </c>
      <c r="G21" s="48">
        <v>1</v>
      </c>
      <c r="H21" s="49">
        <f t="shared" si="0"/>
        <v>180000</v>
      </c>
    </row>
    <row r="22" spans="2:8" x14ac:dyDescent="0.25">
      <c r="B22" s="427"/>
      <c r="C22" s="36"/>
      <c r="D22" s="36"/>
      <c r="E22" s="36"/>
      <c r="F22" s="48"/>
      <c r="G22" s="48"/>
      <c r="H22" s="49"/>
    </row>
    <row r="23" spans="2:8" x14ac:dyDescent="0.25">
      <c r="B23" s="427"/>
      <c r="C23" s="36"/>
      <c r="D23" s="36"/>
      <c r="E23" s="36"/>
      <c r="F23" s="48">
        <v>0</v>
      </c>
      <c r="G23" s="48">
        <v>0</v>
      </c>
      <c r="H23" s="49">
        <f t="shared" ref="H23:H28" si="1">F23*G23</f>
        <v>0</v>
      </c>
    </row>
    <row r="24" spans="2:8" x14ac:dyDescent="0.25">
      <c r="B24" s="427"/>
      <c r="C24" s="36" t="s">
        <v>115</v>
      </c>
      <c r="D24" s="36"/>
      <c r="E24" s="36" t="s">
        <v>11</v>
      </c>
      <c r="F24" s="48">
        <v>55000</v>
      </c>
      <c r="G24" s="48">
        <v>1</v>
      </c>
      <c r="H24" s="49">
        <f t="shared" si="1"/>
        <v>55000</v>
      </c>
    </row>
    <row r="25" spans="2:8" x14ac:dyDescent="0.25">
      <c r="B25" s="427"/>
      <c r="C25" s="36" t="s">
        <v>35</v>
      </c>
      <c r="D25" s="36"/>
      <c r="E25" s="36" t="s">
        <v>31</v>
      </c>
      <c r="F25" s="48">
        <v>109200</v>
      </c>
      <c r="G25" s="48">
        <v>1</v>
      </c>
      <c r="H25" s="49">
        <f t="shared" si="1"/>
        <v>109200</v>
      </c>
    </row>
    <row r="26" spans="2:8" x14ac:dyDescent="0.25">
      <c r="B26" s="427"/>
      <c r="C26" s="36"/>
      <c r="D26" s="36"/>
      <c r="E26" s="36"/>
      <c r="F26" s="48"/>
      <c r="G26" s="48"/>
      <c r="H26" s="49">
        <f t="shared" si="1"/>
        <v>0</v>
      </c>
    </row>
    <row r="27" spans="2:8" x14ac:dyDescent="0.25">
      <c r="B27" s="427"/>
      <c r="C27" s="36"/>
      <c r="D27" s="36"/>
      <c r="E27" s="36"/>
      <c r="F27" s="48"/>
      <c r="G27" s="48"/>
      <c r="H27" s="49">
        <f t="shared" si="1"/>
        <v>0</v>
      </c>
    </row>
    <row r="28" spans="2:8" x14ac:dyDescent="0.25">
      <c r="B28" s="427"/>
      <c r="C28" s="36"/>
      <c r="D28" s="36"/>
      <c r="E28" s="36"/>
      <c r="F28" s="48"/>
      <c r="G28" s="48"/>
      <c r="H28" s="49">
        <f t="shared" si="1"/>
        <v>0</v>
      </c>
    </row>
    <row r="29" spans="2:8" ht="6.75" customHeight="1" thickBot="1" x14ac:dyDescent="0.3">
      <c r="B29" s="38"/>
      <c r="C29" s="39"/>
      <c r="D29" s="39"/>
      <c r="E29" s="39"/>
      <c r="F29" s="39"/>
      <c r="G29" s="39"/>
      <c r="H29" s="39"/>
    </row>
    <row r="30" spans="2:8" x14ac:dyDescent="0.25">
      <c r="B30" s="428"/>
      <c r="C30" s="40" t="s">
        <v>36</v>
      </c>
      <c r="D30" s="40"/>
      <c r="E30" s="40"/>
      <c r="F30" s="431" t="s">
        <v>39</v>
      </c>
      <c r="G30" s="431"/>
      <c r="H30" s="51">
        <f>SUM(H4:H28)</f>
        <v>6874985.7144999998</v>
      </c>
    </row>
    <row r="31" spans="2:8" x14ac:dyDescent="0.25">
      <c r="B31" s="429"/>
      <c r="C31" s="36" t="s">
        <v>37</v>
      </c>
      <c r="D31" s="36"/>
      <c r="E31" s="36"/>
      <c r="F31" s="36"/>
      <c r="G31" s="36">
        <v>0.05</v>
      </c>
      <c r="H31" s="50">
        <f>G31*H30</f>
        <v>343749.28572500002</v>
      </c>
    </row>
    <row r="32" spans="2:8" x14ac:dyDescent="0.25">
      <c r="B32" s="429"/>
      <c r="C32" s="36" t="s">
        <v>55</v>
      </c>
      <c r="D32" s="36"/>
      <c r="E32" s="36"/>
      <c r="F32" s="36"/>
      <c r="G32" s="36">
        <v>0.05</v>
      </c>
      <c r="H32" s="50">
        <f>G32*H30</f>
        <v>343749.28572500002</v>
      </c>
    </row>
    <row r="33" spans="2:9" x14ac:dyDescent="0.25">
      <c r="B33" s="429"/>
      <c r="C33" s="36" t="s">
        <v>57</v>
      </c>
      <c r="D33" s="36"/>
      <c r="E33" s="36"/>
      <c r="F33" s="36"/>
      <c r="G33" s="36"/>
      <c r="H33" s="50">
        <v>0</v>
      </c>
    </row>
    <row r="34" spans="2:9" x14ac:dyDescent="0.25">
      <c r="B34" s="429"/>
      <c r="C34" s="36" t="s">
        <v>40</v>
      </c>
      <c r="D34" s="36"/>
      <c r="E34" s="36"/>
      <c r="F34" s="36"/>
      <c r="G34" s="36">
        <v>0.05</v>
      </c>
      <c r="H34" s="50">
        <f>G34*H30</f>
        <v>343749.28572500002</v>
      </c>
    </row>
    <row r="35" spans="2:9" x14ac:dyDescent="0.25">
      <c r="B35" s="430"/>
      <c r="C35" s="36" t="s">
        <v>38</v>
      </c>
      <c r="D35" s="36"/>
      <c r="E35" s="36"/>
      <c r="F35" s="36"/>
      <c r="G35" s="36">
        <v>0.05</v>
      </c>
      <c r="H35" s="50">
        <f>H30*G35</f>
        <v>343749.28572500002</v>
      </c>
    </row>
    <row r="36" spans="2:9" ht="17.25" customHeight="1" x14ac:dyDescent="0.25">
      <c r="B36" s="41"/>
      <c r="C36" s="36" t="s">
        <v>51</v>
      </c>
      <c r="D36" s="36"/>
      <c r="E36" s="36"/>
      <c r="F36" s="36"/>
      <c r="G36" s="36"/>
      <c r="H36" s="50">
        <v>17.142600000000002</v>
      </c>
    </row>
    <row r="37" spans="2:9" ht="15.75" thickBot="1" x14ac:dyDescent="0.3">
      <c r="B37" s="42"/>
      <c r="C37" s="43" t="s">
        <v>0</v>
      </c>
      <c r="D37" s="44"/>
      <c r="E37" s="44"/>
      <c r="F37" s="44"/>
      <c r="G37" s="44"/>
      <c r="H37" s="52">
        <f>SUM(H30:H36)</f>
        <v>8250000.0000000009</v>
      </c>
    </row>
    <row r="38" spans="2:9" x14ac:dyDescent="0.25">
      <c r="H38" s="6"/>
    </row>
    <row r="39" spans="2:9" x14ac:dyDescent="0.25">
      <c r="C39" t="s">
        <v>114</v>
      </c>
      <c r="E39" t="s">
        <v>83</v>
      </c>
      <c r="H39" s="86">
        <f>5439759</f>
        <v>5439759</v>
      </c>
      <c r="I39">
        <f>H39/H30</f>
        <v>0.79123931683625615</v>
      </c>
    </row>
    <row r="42" spans="2:9" x14ac:dyDescent="0.25">
      <c r="H42" s="86">
        <f>H39+H37</f>
        <v>13689759</v>
      </c>
    </row>
    <row r="43" spans="2:9" x14ac:dyDescent="0.25">
      <c r="F43" s="111" t="s">
        <v>59</v>
      </c>
      <c r="H43" s="6">
        <f>15086000-H42-Resumen!D53-Resumen!E53-Resumen!H53</f>
        <v>0</v>
      </c>
    </row>
    <row r="45" spans="2:9" x14ac:dyDescent="0.25">
      <c r="D45">
        <f>14276000*0.02</f>
        <v>285520</v>
      </c>
    </row>
  </sheetData>
  <mergeCells count="8">
    <mergeCell ref="B16:B28"/>
    <mergeCell ref="B30:B35"/>
    <mergeCell ref="F30:G30"/>
    <mergeCell ref="B2:H2"/>
    <mergeCell ref="C3:D3"/>
    <mergeCell ref="B4:B6"/>
    <mergeCell ref="C4:C6"/>
    <mergeCell ref="B12:B1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B2:I45"/>
  <sheetViews>
    <sheetView topLeftCell="A25" zoomScale="130" zoomScaleNormal="130" workbookViewId="0">
      <selection activeCell="G32" sqref="G32"/>
    </sheetView>
  </sheetViews>
  <sheetFormatPr defaultRowHeight="15" x14ac:dyDescent="0.25"/>
  <cols>
    <col min="1" max="1" width="2.42578125" customWidth="1"/>
    <col min="2" max="2" width="20.5703125" style="34" customWidth="1"/>
    <col min="3" max="3" width="47.140625" customWidth="1"/>
    <col min="4" max="4" width="40.28515625" bestFit="1" customWidth="1"/>
    <col min="5" max="5" width="7.28515625" bestFit="1" customWidth="1"/>
    <col min="6" max="6" width="12.140625" customWidth="1"/>
    <col min="7" max="7" width="9.7109375" customWidth="1"/>
    <col min="8" max="8" width="15.28515625" customWidth="1"/>
  </cols>
  <sheetData>
    <row r="2" spans="2:8" ht="18.75" x14ac:dyDescent="0.3">
      <c r="B2" s="432" t="s">
        <v>166</v>
      </c>
      <c r="C2" s="432"/>
      <c r="D2" s="432"/>
      <c r="E2" s="432"/>
      <c r="F2" s="432"/>
      <c r="G2" s="432"/>
      <c r="H2" s="432"/>
    </row>
    <row r="3" spans="2:8" x14ac:dyDescent="0.25">
      <c r="B3" s="47" t="s">
        <v>9</v>
      </c>
      <c r="C3" s="433" t="s">
        <v>10</v>
      </c>
      <c r="D3" s="433"/>
      <c r="E3" s="184" t="s">
        <v>11</v>
      </c>
      <c r="F3" s="184" t="s">
        <v>12</v>
      </c>
      <c r="G3" s="184" t="s">
        <v>13</v>
      </c>
      <c r="H3" s="184" t="s">
        <v>0</v>
      </c>
    </row>
    <row r="4" spans="2:8" x14ac:dyDescent="0.25">
      <c r="B4" s="427" t="s">
        <v>41</v>
      </c>
      <c r="C4" s="434"/>
      <c r="D4" s="36" t="s">
        <v>112</v>
      </c>
      <c r="E4" s="36" t="s">
        <v>14</v>
      </c>
      <c r="F4" s="48">
        <v>820.39</v>
      </c>
      <c r="G4" s="48">
        <v>6750</v>
      </c>
      <c r="H4" s="49">
        <f>F4*G4</f>
        <v>5537632.5</v>
      </c>
    </row>
    <row r="5" spans="2:8" x14ac:dyDescent="0.25">
      <c r="B5" s="427"/>
      <c r="C5" s="434"/>
      <c r="D5" s="36" t="s">
        <v>16</v>
      </c>
      <c r="E5" s="36" t="s">
        <v>15</v>
      </c>
      <c r="F5" s="48">
        <v>250</v>
      </c>
      <c r="G5" s="48">
        <v>550</v>
      </c>
      <c r="H5" s="49">
        <f>F5*G5</f>
        <v>137500</v>
      </c>
    </row>
    <row r="6" spans="2:8" x14ac:dyDescent="0.25">
      <c r="B6" s="427"/>
      <c r="C6" s="434"/>
      <c r="D6" s="36" t="s">
        <v>17</v>
      </c>
      <c r="E6" s="36" t="s">
        <v>15</v>
      </c>
      <c r="F6" s="48">
        <v>10.1</v>
      </c>
      <c r="G6" s="48">
        <v>200</v>
      </c>
      <c r="H6" s="49">
        <f>F6*G6</f>
        <v>2020</v>
      </c>
    </row>
    <row r="7" spans="2:8" ht="6" customHeight="1" x14ac:dyDescent="0.25">
      <c r="B7" s="185"/>
      <c r="C7" s="186"/>
      <c r="D7" s="36"/>
      <c r="E7" s="36"/>
      <c r="F7" s="48"/>
      <c r="G7" s="48"/>
      <c r="H7" s="49"/>
    </row>
    <row r="8" spans="2:8" x14ac:dyDescent="0.25">
      <c r="B8" s="185" t="s">
        <v>42</v>
      </c>
      <c r="C8" s="36" t="s">
        <v>113</v>
      </c>
      <c r="D8" s="36" t="s">
        <v>18</v>
      </c>
      <c r="E8" s="36" t="s">
        <v>15</v>
      </c>
      <c r="F8" s="48">
        <v>84.51</v>
      </c>
      <c r="G8" s="48">
        <v>1274.25</v>
      </c>
      <c r="H8" s="49">
        <f>F8*G8</f>
        <v>107686.86750000001</v>
      </c>
    </row>
    <row r="9" spans="2:8" ht="4.5" customHeight="1" x14ac:dyDescent="0.25">
      <c r="B9" s="185"/>
      <c r="C9" s="36"/>
      <c r="D9" s="36"/>
      <c r="E9" s="36"/>
      <c r="F9" s="48"/>
      <c r="G9" s="48"/>
      <c r="H9" s="49"/>
    </row>
    <row r="10" spans="2:8" ht="19.5" customHeight="1" x14ac:dyDescent="0.25">
      <c r="B10" s="37" t="s">
        <v>22</v>
      </c>
      <c r="C10" s="36" t="s">
        <v>19</v>
      </c>
      <c r="D10" s="36" t="s">
        <v>20</v>
      </c>
      <c r="E10" s="36" t="s">
        <v>21</v>
      </c>
      <c r="F10" s="48">
        <v>42.38</v>
      </c>
      <c r="G10" s="48">
        <v>1760.65</v>
      </c>
      <c r="H10" s="49">
        <f>F10*G10</f>
        <v>74616.347000000009</v>
      </c>
    </row>
    <row r="11" spans="2:8" ht="4.5" customHeight="1" x14ac:dyDescent="0.25">
      <c r="B11" s="37"/>
      <c r="C11" s="36"/>
      <c r="D11" s="36"/>
      <c r="E11" s="36"/>
      <c r="F11" s="48"/>
      <c r="G11" s="48"/>
      <c r="H11" s="49"/>
    </row>
    <row r="12" spans="2:8" ht="15" customHeight="1" x14ac:dyDescent="0.25">
      <c r="B12" s="427" t="s">
        <v>26</v>
      </c>
      <c r="C12" s="36" t="s">
        <v>23</v>
      </c>
      <c r="D12" s="36"/>
      <c r="E12" s="36" t="s">
        <v>15</v>
      </c>
      <c r="F12" s="48">
        <v>0</v>
      </c>
      <c r="G12" s="48">
        <v>0</v>
      </c>
      <c r="H12" s="49">
        <f>F12*G12</f>
        <v>0</v>
      </c>
    </row>
    <row r="13" spans="2:8" x14ac:dyDescent="0.25">
      <c r="B13" s="427"/>
      <c r="C13" s="36" t="s">
        <v>24</v>
      </c>
      <c r="D13" s="36"/>
      <c r="E13" s="36" t="s">
        <v>27</v>
      </c>
      <c r="F13" s="48">
        <v>0</v>
      </c>
      <c r="G13" s="48">
        <v>14609.1</v>
      </c>
      <c r="H13" s="49">
        <f>F13*G13</f>
        <v>0</v>
      </c>
    </row>
    <row r="14" spans="2:8" x14ac:dyDescent="0.25">
      <c r="B14" s="427"/>
      <c r="C14" s="36" t="s">
        <v>25</v>
      </c>
      <c r="D14" s="36"/>
      <c r="E14" s="36" t="s">
        <v>15</v>
      </c>
      <c r="F14" s="48">
        <v>0</v>
      </c>
      <c r="G14" s="48">
        <v>1321</v>
      </c>
      <c r="H14" s="49">
        <f>F14*G14</f>
        <v>0</v>
      </c>
    </row>
    <row r="15" spans="2:8" ht="6" customHeight="1" x14ac:dyDescent="0.25">
      <c r="B15" s="185"/>
      <c r="C15" s="36"/>
      <c r="D15" s="36"/>
      <c r="E15" s="36"/>
      <c r="F15" s="48"/>
      <c r="G15" s="48"/>
      <c r="H15" s="49"/>
    </row>
    <row r="16" spans="2:8" x14ac:dyDescent="0.25">
      <c r="B16" s="427" t="s">
        <v>28</v>
      </c>
      <c r="C16" s="36" t="s">
        <v>29</v>
      </c>
      <c r="D16" s="36"/>
      <c r="E16" s="36" t="s">
        <v>31</v>
      </c>
      <c r="F16" s="48">
        <v>128100</v>
      </c>
      <c r="G16" s="48">
        <v>1</v>
      </c>
      <c r="H16" s="49">
        <f t="shared" ref="H16:H21" si="0">F16*G16</f>
        <v>128100</v>
      </c>
    </row>
    <row r="17" spans="2:8" x14ac:dyDescent="0.25">
      <c r="B17" s="427"/>
      <c r="C17" s="36" t="s">
        <v>131</v>
      </c>
      <c r="D17" s="36"/>
      <c r="E17" s="36" t="s">
        <v>31</v>
      </c>
      <c r="F17" s="48">
        <v>139230</v>
      </c>
      <c r="G17" s="48">
        <v>1</v>
      </c>
      <c r="H17" s="49">
        <f t="shared" si="0"/>
        <v>139230</v>
      </c>
    </row>
    <row r="18" spans="2:8" x14ac:dyDescent="0.25">
      <c r="B18" s="427"/>
      <c r="C18" s="36" t="s">
        <v>30</v>
      </c>
      <c r="D18" s="36"/>
      <c r="E18" s="36" t="s">
        <v>31</v>
      </c>
      <c r="F18" s="48">
        <v>108000</v>
      </c>
      <c r="G18" s="48">
        <v>1</v>
      </c>
      <c r="H18" s="49">
        <f t="shared" si="0"/>
        <v>108000</v>
      </c>
    </row>
    <row r="19" spans="2:8" x14ac:dyDescent="0.25">
      <c r="B19" s="427"/>
      <c r="C19" s="36" t="s">
        <v>32</v>
      </c>
      <c r="D19" s="36"/>
      <c r="E19" s="36" t="s">
        <v>31</v>
      </c>
      <c r="F19" s="48">
        <v>256000</v>
      </c>
      <c r="G19" s="48">
        <v>1</v>
      </c>
      <c r="H19" s="49">
        <f t="shared" si="0"/>
        <v>256000</v>
      </c>
    </row>
    <row r="20" spans="2:8" x14ac:dyDescent="0.25">
      <c r="B20" s="427"/>
      <c r="C20" s="36" t="s">
        <v>33</v>
      </c>
      <c r="D20" s="36"/>
      <c r="E20" s="36" t="s">
        <v>11</v>
      </c>
      <c r="F20" s="48">
        <v>20000</v>
      </c>
      <c r="G20" s="48">
        <v>2</v>
      </c>
      <c r="H20" s="49">
        <f t="shared" si="0"/>
        <v>40000</v>
      </c>
    </row>
    <row r="21" spans="2:8" x14ac:dyDescent="0.25">
      <c r="B21" s="427"/>
      <c r="C21" s="36" t="s">
        <v>34</v>
      </c>
      <c r="D21" s="36"/>
      <c r="E21" s="36" t="s">
        <v>31</v>
      </c>
      <c r="F21" s="48">
        <v>180000</v>
      </c>
      <c r="G21" s="48">
        <v>1</v>
      </c>
      <c r="H21" s="49">
        <f t="shared" si="0"/>
        <v>180000</v>
      </c>
    </row>
    <row r="22" spans="2:8" x14ac:dyDescent="0.25">
      <c r="B22" s="427"/>
      <c r="C22" s="36"/>
      <c r="D22" s="36"/>
      <c r="E22" s="36"/>
      <c r="F22" s="48"/>
      <c r="G22" s="48"/>
      <c r="H22" s="49"/>
    </row>
    <row r="23" spans="2:8" x14ac:dyDescent="0.25">
      <c r="B23" s="427"/>
      <c r="C23" s="36"/>
      <c r="D23" s="36"/>
      <c r="E23" s="36"/>
      <c r="F23" s="48">
        <v>0</v>
      </c>
      <c r="G23" s="48">
        <v>0</v>
      </c>
      <c r="H23" s="49">
        <f t="shared" ref="H23:H28" si="1">F23*G23</f>
        <v>0</v>
      </c>
    </row>
    <row r="24" spans="2:8" x14ac:dyDescent="0.25">
      <c r="B24" s="427"/>
      <c r="C24" s="36" t="s">
        <v>115</v>
      </c>
      <c r="D24" s="36"/>
      <c r="E24" s="36" t="s">
        <v>11</v>
      </c>
      <c r="F24" s="48">
        <v>55000</v>
      </c>
      <c r="G24" s="48">
        <v>1</v>
      </c>
      <c r="H24" s="49">
        <f t="shared" si="1"/>
        <v>55000</v>
      </c>
    </row>
    <row r="25" spans="2:8" x14ac:dyDescent="0.25">
      <c r="B25" s="427"/>
      <c r="C25" s="36" t="s">
        <v>35</v>
      </c>
      <c r="D25" s="36"/>
      <c r="E25" s="36" t="s">
        <v>31</v>
      </c>
      <c r="F25" s="48">
        <v>109200</v>
      </c>
      <c r="G25" s="48">
        <v>1</v>
      </c>
      <c r="H25" s="49">
        <f t="shared" si="1"/>
        <v>109200</v>
      </c>
    </row>
    <row r="26" spans="2:8" x14ac:dyDescent="0.25">
      <c r="B26" s="427"/>
      <c r="C26" s="36"/>
      <c r="D26" s="36"/>
      <c r="E26" s="36"/>
      <c r="F26" s="48"/>
      <c r="G26" s="48"/>
      <c r="H26" s="49">
        <f t="shared" si="1"/>
        <v>0</v>
      </c>
    </row>
    <row r="27" spans="2:8" x14ac:dyDescent="0.25">
      <c r="B27" s="427"/>
      <c r="C27" s="36"/>
      <c r="D27" s="36"/>
      <c r="E27" s="36"/>
      <c r="F27" s="48"/>
      <c r="G27" s="48"/>
      <c r="H27" s="49">
        <f t="shared" si="1"/>
        <v>0</v>
      </c>
    </row>
    <row r="28" spans="2:8" x14ac:dyDescent="0.25">
      <c r="B28" s="427"/>
      <c r="C28" s="36"/>
      <c r="D28" s="36"/>
      <c r="E28" s="36"/>
      <c r="F28" s="48"/>
      <c r="G28" s="48"/>
      <c r="H28" s="49">
        <f t="shared" si="1"/>
        <v>0</v>
      </c>
    </row>
    <row r="29" spans="2:8" ht="6.75" customHeight="1" thickBot="1" x14ac:dyDescent="0.3">
      <c r="B29" s="38"/>
      <c r="C29" s="39"/>
      <c r="D29" s="39"/>
      <c r="E29" s="39"/>
      <c r="F29" s="39"/>
      <c r="G29" s="39"/>
      <c r="H29" s="39"/>
    </row>
    <row r="30" spans="2:8" x14ac:dyDescent="0.25">
      <c r="B30" s="428"/>
      <c r="C30" s="40" t="s">
        <v>36</v>
      </c>
      <c r="D30" s="40"/>
      <c r="E30" s="40"/>
      <c r="F30" s="431" t="s">
        <v>39</v>
      </c>
      <c r="G30" s="431"/>
      <c r="H30" s="51">
        <f>SUM(H4:H28)</f>
        <v>6874985.7144999998</v>
      </c>
    </row>
    <row r="31" spans="2:8" x14ac:dyDescent="0.25">
      <c r="B31" s="429"/>
      <c r="C31" s="36" t="s">
        <v>37</v>
      </c>
      <c r="D31" s="36"/>
      <c r="E31" s="36"/>
      <c r="F31" s="36"/>
      <c r="G31" s="36">
        <v>0.05</v>
      </c>
      <c r="H31" s="50">
        <f>G31*H30</f>
        <v>343749.28572500002</v>
      </c>
    </row>
    <row r="32" spans="2:8" x14ac:dyDescent="0.25">
      <c r="B32" s="429"/>
      <c r="C32" s="36" t="s">
        <v>55</v>
      </c>
      <c r="D32" s="36"/>
      <c r="E32" s="36"/>
      <c r="F32" s="36"/>
      <c r="G32" s="36">
        <v>0.05</v>
      </c>
      <c r="H32" s="50">
        <f>G32*H30</f>
        <v>343749.28572500002</v>
      </c>
    </row>
    <row r="33" spans="2:9" x14ac:dyDescent="0.25">
      <c r="B33" s="429"/>
      <c r="C33" s="36" t="s">
        <v>57</v>
      </c>
      <c r="D33" s="36"/>
      <c r="E33" s="36"/>
      <c r="F33" s="36"/>
      <c r="G33" s="36"/>
      <c r="H33" s="50">
        <v>0</v>
      </c>
    </row>
    <row r="34" spans="2:9" x14ac:dyDescent="0.25">
      <c r="B34" s="429"/>
      <c r="C34" s="36" t="s">
        <v>40</v>
      </c>
      <c r="D34" s="36"/>
      <c r="E34" s="36"/>
      <c r="F34" s="36"/>
      <c r="G34" s="36">
        <v>0.05</v>
      </c>
      <c r="H34" s="50">
        <f>G34*H30</f>
        <v>343749.28572500002</v>
      </c>
    </row>
    <row r="35" spans="2:9" x14ac:dyDescent="0.25">
      <c r="B35" s="430"/>
      <c r="C35" s="36" t="s">
        <v>38</v>
      </c>
      <c r="D35" s="36"/>
      <c r="E35" s="36"/>
      <c r="F35" s="36"/>
      <c r="G35" s="36">
        <v>0.05</v>
      </c>
      <c r="H35" s="50">
        <f>H30*G35</f>
        <v>343749.28572500002</v>
      </c>
    </row>
    <row r="36" spans="2:9" ht="17.25" customHeight="1" x14ac:dyDescent="0.25">
      <c r="B36" s="41"/>
      <c r="C36" s="36" t="s">
        <v>51</v>
      </c>
      <c r="D36" s="36"/>
      <c r="E36" s="36"/>
      <c r="F36" s="36"/>
      <c r="G36" s="36"/>
      <c r="H36" s="50">
        <v>17.142600000000002</v>
      </c>
    </row>
    <row r="37" spans="2:9" ht="15.75" thickBot="1" x14ac:dyDescent="0.3">
      <c r="B37" s="42"/>
      <c r="C37" s="43" t="s">
        <v>0</v>
      </c>
      <c r="D37" s="44"/>
      <c r="E37" s="44"/>
      <c r="F37" s="44"/>
      <c r="G37" s="44"/>
      <c r="H37" s="52">
        <f>SUM(H30:H36)</f>
        <v>8250000.0000000009</v>
      </c>
    </row>
    <row r="38" spans="2:9" x14ac:dyDescent="0.25">
      <c r="H38" s="6"/>
    </row>
    <row r="39" spans="2:9" x14ac:dyDescent="0.25">
      <c r="C39" t="s">
        <v>114</v>
      </c>
      <c r="E39" t="s">
        <v>83</v>
      </c>
      <c r="H39" s="86">
        <f>5439759</f>
        <v>5439759</v>
      </c>
      <c r="I39">
        <f>H39/H30</f>
        <v>0.79123931683625615</v>
      </c>
    </row>
    <row r="42" spans="2:9" x14ac:dyDescent="0.25">
      <c r="H42" s="86">
        <f>H39+H37</f>
        <v>13689759</v>
      </c>
    </row>
    <row r="43" spans="2:9" x14ac:dyDescent="0.25">
      <c r="F43" s="111" t="s">
        <v>59</v>
      </c>
      <c r="H43" s="6">
        <f>15086000-H42-Resumen!D53-Resumen!E53-Resumen!H53</f>
        <v>0</v>
      </c>
    </row>
    <row r="45" spans="2:9" x14ac:dyDescent="0.25">
      <c r="D45">
        <f>14276000*0.02</f>
        <v>285520</v>
      </c>
    </row>
  </sheetData>
  <mergeCells count="8">
    <mergeCell ref="B16:B28"/>
    <mergeCell ref="B30:B35"/>
    <mergeCell ref="F30:G30"/>
    <mergeCell ref="B2:H2"/>
    <mergeCell ref="C3:D3"/>
    <mergeCell ref="B4:B6"/>
    <mergeCell ref="C4:C6"/>
    <mergeCell ref="B12:B1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7030A0"/>
  </sheetPr>
  <dimension ref="B2:I45"/>
  <sheetViews>
    <sheetView topLeftCell="A28" zoomScale="140" zoomScaleNormal="140" workbookViewId="0">
      <selection activeCell="H36" sqref="H36"/>
    </sheetView>
  </sheetViews>
  <sheetFormatPr defaultRowHeight="15" x14ac:dyDescent="0.25"/>
  <cols>
    <col min="1" max="1" width="2.42578125" customWidth="1"/>
    <col min="2" max="2" width="20.5703125" style="34" customWidth="1"/>
    <col min="3" max="3" width="47.140625" customWidth="1"/>
    <col min="4" max="4" width="40.28515625" bestFit="1" customWidth="1"/>
    <col min="5" max="5" width="7.28515625" bestFit="1" customWidth="1"/>
    <col min="6" max="6" width="12.140625" customWidth="1"/>
    <col min="7" max="7" width="9.7109375" customWidth="1"/>
    <col min="8" max="8" width="15.28515625" customWidth="1"/>
  </cols>
  <sheetData>
    <row r="2" spans="2:8" ht="18.75" x14ac:dyDescent="0.3">
      <c r="B2" s="432" t="s">
        <v>167</v>
      </c>
      <c r="C2" s="432"/>
      <c r="D2" s="432"/>
      <c r="E2" s="432"/>
      <c r="F2" s="432"/>
      <c r="G2" s="432"/>
      <c r="H2" s="432"/>
    </row>
    <row r="3" spans="2:8" x14ac:dyDescent="0.25">
      <c r="B3" s="47" t="s">
        <v>9</v>
      </c>
      <c r="C3" s="433" t="s">
        <v>10</v>
      </c>
      <c r="D3" s="433"/>
      <c r="E3" s="184" t="s">
        <v>11</v>
      </c>
      <c r="F3" s="184" t="s">
        <v>12</v>
      </c>
      <c r="G3" s="184" t="s">
        <v>13</v>
      </c>
      <c r="H3" s="184" t="s">
        <v>0</v>
      </c>
    </row>
    <row r="4" spans="2:8" x14ac:dyDescent="0.25">
      <c r="B4" s="427" t="s">
        <v>41</v>
      </c>
      <c r="C4" s="434"/>
      <c r="D4" s="36" t="s">
        <v>112</v>
      </c>
      <c r="E4" s="36" t="s">
        <v>14</v>
      </c>
      <c r="F4" s="48">
        <v>820.39</v>
      </c>
      <c r="G4" s="48">
        <v>6750</v>
      </c>
      <c r="H4" s="49">
        <f>F4*G4</f>
        <v>5537632.5</v>
      </c>
    </row>
    <row r="5" spans="2:8" x14ac:dyDescent="0.25">
      <c r="B5" s="427"/>
      <c r="C5" s="434"/>
      <c r="D5" s="36" t="s">
        <v>16</v>
      </c>
      <c r="E5" s="36" t="s">
        <v>15</v>
      </c>
      <c r="F5" s="48">
        <v>250</v>
      </c>
      <c r="G5" s="48">
        <v>550</v>
      </c>
      <c r="H5" s="49">
        <f>F5*G5</f>
        <v>137500</v>
      </c>
    </row>
    <row r="6" spans="2:8" x14ac:dyDescent="0.25">
      <c r="B6" s="427"/>
      <c r="C6" s="434"/>
      <c r="D6" s="36" t="s">
        <v>17</v>
      </c>
      <c r="E6" s="36" t="s">
        <v>15</v>
      </c>
      <c r="F6" s="48">
        <v>10.1</v>
      </c>
      <c r="G6" s="48">
        <v>200</v>
      </c>
      <c r="H6" s="49">
        <f>F6*G6</f>
        <v>2020</v>
      </c>
    </row>
    <row r="7" spans="2:8" ht="6" customHeight="1" x14ac:dyDescent="0.25">
      <c r="B7" s="185"/>
      <c r="C7" s="186"/>
      <c r="D7" s="36"/>
      <c r="E7" s="36"/>
      <c r="F7" s="48"/>
      <c r="G7" s="48"/>
      <c r="H7" s="49"/>
    </row>
    <row r="8" spans="2:8" x14ac:dyDescent="0.25">
      <c r="B8" s="185" t="s">
        <v>42</v>
      </c>
      <c r="C8" s="36" t="s">
        <v>113</v>
      </c>
      <c r="D8" s="36" t="s">
        <v>18</v>
      </c>
      <c r="E8" s="36" t="s">
        <v>15</v>
      </c>
      <c r="F8" s="48">
        <v>84.51</v>
      </c>
      <c r="G8" s="48">
        <v>1274.25</v>
      </c>
      <c r="H8" s="49">
        <f>F8*G8</f>
        <v>107686.86750000001</v>
      </c>
    </row>
    <row r="9" spans="2:8" ht="4.5" customHeight="1" x14ac:dyDescent="0.25">
      <c r="B9" s="185"/>
      <c r="C9" s="36"/>
      <c r="D9" s="36"/>
      <c r="E9" s="36"/>
      <c r="F9" s="48"/>
      <c r="G9" s="48"/>
      <c r="H9" s="49"/>
    </row>
    <row r="10" spans="2:8" ht="19.5" customHeight="1" x14ac:dyDescent="0.25">
      <c r="B10" s="37" t="s">
        <v>22</v>
      </c>
      <c r="C10" s="36" t="s">
        <v>19</v>
      </c>
      <c r="D10" s="36" t="s">
        <v>20</v>
      </c>
      <c r="E10" s="36" t="s">
        <v>21</v>
      </c>
      <c r="F10" s="48">
        <v>42.38</v>
      </c>
      <c r="G10" s="48">
        <v>1760.65</v>
      </c>
      <c r="H10" s="49">
        <f>F10*G10</f>
        <v>74616.347000000009</v>
      </c>
    </row>
    <row r="11" spans="2:8" ht="4.5" customHeight="1" x14ac:dyDescent="0.25">
      <c r="B11" s="37"/>
      <c r="C11" s="36"/>
      <c r="D11" s="36"/>
      <c r="E11" s="36"/>
      <c r="F11" s="48"/>
      <c r="G11" s="48"/>
      <c r="H11" s="49"/>
    </row>
    <row r="12" spans="2:8" ht="15" customHeight="1" x14ac:dyDescent="0.25">
      <c r="B12" s="427" t="s">
        <v>26</v>
      </c>
      <c r="C12" s="36" t="s">
        <v>23</v>
      </c>
      <c r="D12" s="36"/>
      <c r="E12" s="36" t="s">
        <v>15</v>
      </c>
      <c r="F12" s="48">
        <v>0</v>
      </c>
      <c r="G12" s="48">
        <v>0</v>
      </c>
      <c r="H12" s="49">
        <f>F12*G12</f>
        <v>0</v>
      </c>
    </row>
    <row r="13" spans="2:8" x14ac:dyDescent="0.25">
      <c r="B13" s="427"/>
      <c r="C13" s="36" t="s">
        <v>24</v>
      </c>
      <c r="D13" s="36"/>
      <c r="E13" s="36" t="s">
        <v>27</v>
      </c>
      <c r="F13" s="48">
        <v>0</v>
      </c>
      <c r="G13" s="48">
        <v>14609.1</v>
      </c>
      <c r="H13" s="49">
        <f>F13*G13</f>
        <v>0</v>
      </c>
    </row>
    <row r="14" spans="2:8" x14ac:dyDescent="0.25">
      <c r="B14" s="427"/>
      <c r="C14" s="36" t="s">
        <v>25</v>
      </c>
      <c r="D14" s="36"/>
      <c r="E14" s="36" t="s">
        <v>15</v>
      </c>
      <c r="F14" s="48">
        <v>0</v>
      </c>
      <c r="G14" s="48">
        <v>1321</v>
      </c>
      <c r="H14" s="49">
        <f>F14*G14</f>
        <v>0</v>
      </c>
    </row>
    <row r="15" spans="2:8" ht="6" customHeight="1" x14ac:dyDescent="0.25">
      <c r="B15" s="185"/>
      <c r="C15" s="36"/>
      <c r="D15" s="36"/>
      <c r="E15" s="36"/>
      <c r="F15" s="48"/>
      <c r="G15" s="48"/>
      <c r="H15" s="49"/>
    </row>
    <row r="16" spans="2:8" x14ac:dyDescent="0.25">
      <c r="B16" s="427" t="s">
        <v>28</v>
      </c>
      <c r="C16" s="36" t="s">
        <v>29</v>
      </c>
      <c r="D16" s="36"/>
      <c r="E16" s="36" t="s">
        <v>31</v>
      </c>
      <c r="F16" s="48">
        <v>128100</v>
      </c>
      <c r="G16" s="48">
        <v>1</v>
      </c>
      <c r="H16" s="49">
        <f t="shared" ref="H16:H21" si="0">F16*G16</f>
        <v>128100</v>
      </c>
    </row>
    <row r="17" spans="2:8" x14ac:dyDescent="0.25">
      <c r="B17" s="427"/>
      <c r="C17" s="36" t="s">
        <v>131</v>
      </c>
      <c r="D17" s="36"/>
      <c r="E17" s="36" t="s">
        <v>31</v>
      </c>
      <c r="F17" s="48">
        <v>139230</v>
      </c>
      <c r="G17" s="48">
        <v>1</v>
      </c>
      <c r="H17" s="49">
        <f t="shared" si="0"/>
        <v>139230</v>
      </c>
    </row>
    <row r="18" spans="2:8" x14ac:dyDescent="0.25">
      <c r="B18" s="427"/>
      <c r="C18" s="36" t="s">
        <v>30</v>
      </c>
      <c r="D18" s="36"/>
      <c r="E18" s="36" t="s">
        <v>31</v>
      </c>
      <c r="F18" s="48">
        <v>108000</v>
      </c>
      <c r="G18" s="48">
        <v>1</v>
      </c>
      <c r="H18" s="49">
        <f t="shared" si="0"/>
        <v>108000</v>
      </c>
    </row>
    <row r="19" spans="2:8" x14ac:dyDescent="0.25">
      <c r="B19" s="427"/>
      <c r="C19" s="36" t="s">
        <v>32</v>
      </c>
      <c r="D19" s="36"/>
      <c r="E19" s="36" t="s">
        <v>31</v>
      </c>
      <c r="F19" s="48">
        <v>256000</v>
      </c>
      <c r="G19" s="48">
        <v>1</v>
      </c>
      <c r="H19" s="49">
        <f t="shared" si="0"/>
        <v>256000</v>
      </c>
    </row>
    <row r="20" spans="2:8" x14ac:dyDescent="0.25">
      <c r="B20" s="427"/>
      <c r="C20" s="36" t="s">
        <v>33</v>
      </c>
      <c r="D20" s="36"/>
      <c r="E20" s="36" t="s">
        <v>11</v>
      </c>
      <c r="F20" s="48">
        <v>20000</v>
      </c>
      <c r="G20" s="48">
        <v>2</v>
      </c>
      <c r="H20" s="49">
        <f t="shared" si="0"/>
        <v>40000</v>
      </c>
    </row>
    <row r="21" spans="2:8" x14ac:dyDescent="0.25">
      <c r="B21" s="427"/>
      <c r="C21" s="36" t="s">
        <v>34</v>
      </c>
      <c r="D21" s="36"/>
      <c r="E21" s="36" t="s">
        <v>31</v>
      </c>
      <c r="F21" s="48">
        <v>180000</v>
      </c>
      <c r="G21" s="48">
        <v>1</v>
      </c>
      <c r="H21" s="49">
        <f t="shared" si="0"/>
        <v>180000</v>
      </c>
    </row>
    <row r="22" spans="2:8" x14ac:dyDescent="0.25">
      <c r="B22" s="427"/>
      <c r="C22" s="36"/>
      <c r="D22" s="36"/>
      <c r="E22" s="36"/>
      <c r="F22" s="48"/>
      <c r="G22" s="48"/>
      <c r="H22" s="49"/>
    </row>
    <row r="23" spans="2:8" x14ac:dyDescent="0.25">
      <c r="B23" s="427"/>
      <c r="C23" s="36"/>
      <c r="D23" s="36"/>
      <c r="E23" s="36"/>
      <c r="F23" s="48">
        <v>0</v>
      </c>
      <c r="G23" s="48">
        <v>0</v>
      </c>
      <c r="H23" s="49">
        <f t="shared" ref="H23:H28" si="1">F23*G23</f>
        <v>0</v>
      </c>
    </row>
    <row r="24" spans="2:8" x14ac:dyDescent="0.25">
      <c r="B24" s="427"/>
      <c r="C24" s="36" t="s">
        <v>115</v>
      </c>
      <c r="D24" s="36"/>
      <c r="E24" s="36" t="s">
        <v>11</v>
      </c>
      <c r="F24" s="48">
        <v>55000</v>
      </c>
      <c r="G24" s="48">
        <v>1</v>
      </c>
      <c r="H24" s="49">
        <f t="shared" si="1"/>
        <v>55000</v>
      </c>
    </row>
    <row r="25" spans="2:8" x14ac:dyDescent="0.25">
      <c r="B25" s="427"/>
      <c r="C25" s="36" t="s">
        <v>35</v>
      </c>
      <c r="D25" s="36"/>
      <c r="E25" s="36" t="s">
        <v>31</v>
      </c>
      <c r="F25" s="48">
        <v>109200</v>
      </c>
      <c r="G25" s="48">
        <v>1</v>
      </c>
      <c r="H25" s="49">
        <f t="shared" si="1"/>
        <v>109200</v>
      </c>
    </row>
    <row r="26" spans="2:8" x14ac:dyDescent="0.25">
      <c r="B26" s="427"/>
      <c r="C26" s="36"/>
      <c r="D26" s="36"/>
      <c r="E26" s="36"/>
      <c r="F26" s="48"/>
      <c r="G26" s="48"/>
      <c r="H26" s="49">
        <f t="shared" si="1"/>
        <v>0</v>
      </c>
    </row>
    <row r="27" spans="2:8" x14ac:dyDescent="0.25">
      <c r="B27" s="427"/>
      <c r="C27" s="36"/>
      <c r="D27" s="36"/>
      <c r="E27" s="36"/>
      <c r="F27" s="48"/>
      <c r="G27" s="48"/>
      <c r="H27" s="49">
        <f t="shared" si="1"/>
        <v>0</v>
      </c>
    </row>
    <row r="28" spans="2:8" x14ac:dyDescent="0.25">
      <c r="B28" s="427"/>
      <c r="C28" s="36"/>
      <c r="D28" s="36"/>
      <c r="E28" s="36"/>
      <c r="F28" s="48"/>
      <c r="G28" s="48"/>
      <c r="H28" s="49">
        <f t="shared" si="1"/>
        <v>0</v>
      </c>
    </row>
    <row r="29" spans="2:8" ht="6.75" customHeight="1" thickBot="1" x14ac:dyDescent="0.3">
      <c r="B29" s="38"/>
      <c r="C29" s="39"/>
      <c r="D29" s="39"/>
      <c r="E29" s="39"/>
      <c r="F29" s="39"/>
      <c r="G29" s="39"/>
      <c r="H29" s="39"/>
    </row>
    <row r="30" spans="2:8" x14ac:dyDescent="0.25">
      <c r="B30" s="428"/>
      <c r="C30" s="40" t="s">
        <v>36</v>
      </c>
      <c r="D30" s="40"/>
      <c r="E30" s="40"/>
      <c r="F30" s="431" t="s">
        <v>39</v>
      </c>
      <c r="G30" s="431"/>
      <c r="H30" s="51">
        <f>SUM(H4:H28)</f>
        <v>6874985.7144999998</v>
      </c>
    </row>
    <row r="31" spans="2:8" x14ac:dyDescent="0.25">
      <c r="B31" s="429"/>
      <c r="C31" s="36" t="s">
        <v>37</v>
      </c>
      <c r="D31" s="36"/>
      <c r="E31" s="36"/>
      <c r="F31" s="36"/>
      <c r="G31" s="36">
        <v>0.05</v>
      </c>
      <c r="H31" s="50">
        <f>G31*H30</f>
        <v>343749.28572500002</v>
      </c>
    </row>
    <row r="32" spans="2:8" x14ac:dyDescent="0.25">
      <c r="B32" s="429"/>
      <c r="C32" s="36" t="s">
        <v>55</v>
      </c>
      <c r="D32" s="36"/>
      <c r="E32" s="36"/>
      <c r="F32" s="36"/>
      <c r="G32" s="36">
        <v>0.05</v>
      </c>
      <c r="H32" s="50">
        <f>G32*H30</f>
        <v>343749.28572500002</v>
      </c>
    </row>
    <row r="33" spans="2:9" x14ac:dyDescent="0.25">
      <c r="B33" s="429"/>
      <c r="C33" s="36" t="s">
        <v>57</v>
      </c>
      <c r="D33" s="36"/>
      <c r="E33" s="36"/>
      <c r="F33" s="36"/>
      <c r="G33" s="36"/>
      <c r="H33" s="50">
        <v>0</v>
      </c>
    </row>
    <row r="34" spans="2:9" x14ac:dyDescent="0.25">
      <c r="B34" s="429"/>
      <c r="C34" s="36" t="s">
        <v>40</v>
      </c>
      <c r="D34" s="36"/>
      <c r="E34" s="36"/>
      <c r="F34" s="36"/>
      <c r="G34" s="36">
        <v>0.05</v>
      </c>
      <c r="H34" s="50">
        <f>G34*H30</f>
        <v>343749.28572500002</v>
      </c>
    </row>
    <row r="35" spans="2:9" x14ac:dyDescent="0.25">
      <c r="B35" s="430"/>
      <c r="C35" s="36" t="s">
        <v>38</v>
      </c>
      <c r="D35" s="36"/>
      <c r="E35" s="36"/>
      <c r="F35" s="36"/>
      <c r="G35" s="36">
        <v>0.05</v>
      </c>
      <c r="H35" s="50">
        <f>H30*G35</f>
        <v>343749.28572500002</v>
      </c>
    </row>
    <row r="36" spans="2:9" ht="17.25" customHeight="1" x14ac:dyDescent="0.25">
      <c r="B36" s="41"/>
      <c r="C36" s="36" t="s">
        <v>51</v>
      </c>
      <c r="D36" s="36"/>
      <c r="E36" s="36"/>
      <c r="F36" s="36"/>
      <c r="G36" s="36"/>
      <c r="H36" s="50">
        <v>17.142600000000002</v>
      </c>
    </row>
    <row r="37" spans="2:9" ht="15.75" thickBot="1" x14ac:dyDescent="0.3">
      <c r="B37" s="42"/>
      <c r="C37" s="43" t="s">
        <v>0</v>
      </c>
      <c r="D37" s="44"/>
      <c r="E37" s="44"/>
      <c r="F37" s="44"/>
      <c r="G37" s="44"/>
      <c r="H37" s="52">
        <f>SUM(H30:H36)</f>
        <v>8250000.0000000009</v>
      </c>
    </row>
    <row r="38" spans="2:9" x14ac:dyDescent="0.25">
      <c r="H38" s="6"/>
    </row>
    <row r="39" spans="2:9" x14ac:dyDescent="0.25">
      <c r="C39" t="s">
        <v>114</v>
      </c>
      <c r="E39" t="s">
        <v>83</v>
      </c>
      <c r="H39" s="86">
        <f>5439759</f>
        <v>5439759</v>
      </c>
      <c r="I39">
        <f>H39/H30</f>
        <v>0.79123931683625615</v>
      </c>
    </row>
    <row r="42" spans="2:9" x14ac:dyDescent="0.25">
      <c r="H42" s="86">
        <f>H39+H37</f>
        <v>13689759</v>
      </c>
    </row>
    <row r="43" spans="2:9" x14ac:dyDescent="0.25">
      <c r="F43" s="111" t="s">
        <v>59</v>
      </c>
      <c r="H43" s="6">
        <f>15086000-H42-Resumen!D53-Resumen!E53-Resumen!H53</f>
        <v>0</v>
      </c>
    </row>
    <row r="45" spans="2:9" x14ac:dyDescent="0.25">
      <c r="D45">
        <f>14276000*0.02</f>
        <v>285520</v>
      </c>
    </row>
  </sheetData>
  <mergeCells count="8">
    <mergeCell ref="B16:B28"/>
    <mergeCell ref="B30:B35"/>
    <mergeCell ref="F30:G30"/>
    <mergeCell ref="B2:H2"/>
    <mergeCell ref="C3:D3"/>
    <mergeCell ref="B4:B6"/>
    <mergeCell ref="C4:C6"/>
    <mergeCell ref="B12:B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7B2DC-F90C-49C2-A0E5-4F7E81AF194D}">
  <sheetPr>
    <tabColor rgb="FF00B050"/>
  </sheetPr>
  <dimension ref="A1:F61"/>
  <sheetViews>
    <sheetView topLeftCell="A43" zoomScale="140" zoomScaleNormal="140" workbookViewId="0">
      <selection activeCell="C53" sqref="C53"/>
    </sheetView>
  </sheetViews>
  <sheetFormatPr defaultRowHeight="15" x14ac:dyDescent="0.25"/>
  <cols>
    <col min="2" max="2" width="56.7109375" customWidth="1"/>
    <col min="3" max="3" width="14" customWidth="1"/>
    <col min="4" max="4" width="11.7109375" customWidth="1"/>
    <col min="5" max="5" width="11.42578125" customWidth="1"/>
    <col min="6" max="6" width="11.7109375" customWidth="1"/>
  </cols>
  <sheetData>
    <row r="1" spans="1:6" ht="15.75" thickBot="1" x14ac:dyDescent="0.3"/>
    <row r="2" spans="1:6" x14ac:dyDescent="0.25">
      <c r="A2" s="354" t="s">
        <v>297</v>
      </c>
      <c r="B2" s="355"/>
      <c r="C2" s="355"/>
      <c r="D2" s="355"/>
      <c r="E2" s="355"/>
      <c r="F2" s="356"/>
    </row>
    <row r="3" spans="1:6" ht="22.5" x14ac:dyDescent="0.25">
      <c r="A3" s="357">
        <v>0</v>
      </c>
      <c r="B3" s="359" t="str">
        <f>DatosGenerales!C2</f>
        <v>Programa de Mejora en la Accesibilidad a los Servicios de Salud Materna y Neonatal en Bolivia (BO-L1198)</v>
      </c>
      <c r="C3" s="246" t="s">
        <v>0</v>
      </c>
      <c r="D3" s="246" t="s">
        <v>294</v>
      </c>
      <c r="E3" s="246" t="s">
        <v>295</v>
      </c>
      <c r="F3" s="361" t="s">
        <v>296</v>
      </c>
    </row>
    <row r="4" spans="1:6" x14ac:dyDescent="0.25">
      <c r="A4" s="358"/>
      <c r="B4" s="360"/>
      <c r="C4" s="247">
        <f>C5+C24+C43</f>
        <v>275000000.1466099</v>
      </c>
      <c r="D4" s="247">
        <f>D5+D24+D43</f>
        <v>275000000.1466099</v>
      </c>
      <c r="E4" s="247"/>
      <c r="F4" s="362"/>
    </row>
    <row r="5" spans="1:6" ht="22.5" x14ac:dyDescent="0.25">
      <c r="A5" s="225">
        <v>1</v>
      </c>
      <c r="B5" s="226" t="str">
        <f>'Componente 1'!B2:D2</f>
        <v>Componente 1. Estrategia CONE, gestión y formación de Recurso Humano (US$16,6 MM)</v>
      </c>
      <c r="C5" s="348">
        <f>C6+C16+C21</f>
        <v>16599999.962199999</v>
      </c>
      <c r="D5" s="227">
        <f>D6+D16+D21</f>
        <v>16599999.962199999</v>
      </c>
      <c r="E5" s="227"/>
      <c r="F5" s="228">
        <f>C5/$C$4</f>
        <v>6.0363636194000335E-2</v>
      </c>
    </row>
    <row r="6" spans="1:6" ht="27" customHeight="1" x14ac:dyDescent="0.25">
      <c r="A6" s="236">
        <v>1.1000000000000001</v>
      </c>
      <c r="B6" s="229" t="str">
        <f>'Componente 1'!B3:D3</f>
        <v>Sub Componente 1.1 Modelo de atención CONE (US$9,656 MM)</v>
      </c>
      <c r="C6" s="230">
        <f>SUM(C7:C15)</f>
        <v>9656000.2221999988</v>
      </c>
      <c r="D6" s="230">
        <f>SUM(D7:D15)</f>
        <v>9656000.2221999988</v>
      </c>
      <c r="E6" s="230"/>
      <c r="F6" s="231">
        <f>C6/$C$4</f>
        <v>3.5112728062007728E-2</v>
      </c>
    </row>
    <row r="7" spans="1:6" x14ac:dyDescent="0.25">
      <c r="A7" s="232" t="s">
        <v>304</v>
      </c>
      <c r="B7" s="233" t="str">
        <f>'Componente 1'!B4</f>
        <v>P1. Estrategia CONE implementada en 15 redes de salud</v>
      </c>
      <c r="C7" s="234">
        <f>'Componente 1'!AA5</f>
        <v>1199999.9523999998</v>
      </c>
      <c r="D7" s="234">
        <f>C7</f>
        <v>1199999.9523999998</v>
      </c>
      <c r="E7" s="234"/>
      <c r="F7" s="235">
        <f>C7/$C$4</f>
        <v>4.3636361882190824E-3</v>
      </c>
    </row>
    <row r="8" spans="1:6" ht="22.5" x14ac:dyDescent="0.25">
      <c r="A8" s="232" t="s">
        <v>305</v>
      </c>
      <c r="B8" s="233" t="str">
        <f>'Componente 1'!B15</f>
        <v>P2. Programa de mejora continua de la calidad en CONE, elaborado e implementado</v>
      </c>
      <c r="C8" s="234">
        <f>'Componente 1'!AA15</f>
        <v>1499999.9789999998</v>
      </c>
      <c r="D8" s="234">
        <f t="shared" ref="D8:D15" si="0">C8</f>
        <v>1499999.9789999998</v>
      </c>
      <c r="E8" s="234"/>
      <c r="F8" s="235">
        <f t="shared" ref="F8:F15" si="1">C8/$C$4</f>
        <v>5.4545453752738527E-3</v>
      </c>
    </row>
    <row r="9" spans="1:6" ht="22.5" x14ac:dyDescent="0.25">
      <c r="A9" s="232" t="s">
        <v>306</v>
      </c>
      <c r="B9" s="233" t="str">
        <f>'Componente 1'!B23</f>
        <v>P3. Plataformas comunitarias de captación y control de embarazadas, desarrolladas y funcionando</v>
      </c>
      <c r="C9" s="234">
        <f>'Componente 1'!AA20</f>
        <v>1499999.9683999999</v>
      </c>
      <c r="D9" s="234">
        <f t="shared" si="0"/>
        <v>1499999.9683999999</v>
      </c>
      <c r="E9" s="234"/>
      <c r="F9" s="235">
        <f t="shared" si="1"/>
        <v>5.4545453367283985E-3</v>
      </c>
    </row>
    <row r="10" spans="1:6" ht="33.75" x14ac:dyDescent="0.25">
      <c r="A10" s="232" t="s">
        <v>307</v>
      </c>
      <c r="B10" s="233" t="str">
        <f>'Componente 1'!B31</f>
        <v>P4.Programas de Información, Educación y Comunicación (IEC) para el cambio de comportamiento en relación con la salud sexual y reproductiva y la planificación familiar, implementados</v>
      </c>
      <c r="C10" s="234">
        <f>'Componente 1'!AA24</f>
        <v>250000.1</v>
      </c>
      <c r="D10" s="234">
        <f t="shared" si="0"/>
        <v>250000.1</v>
      </c>
      <c r="E10" s="234"/>
      <c r="F10" s="235">
        <f t="shared" si="1"/>
        <v>9.090912722426117E-4</v>
      </c>
    </row>
    <row r="11" spans="1:6" ht="23.25" customHeight="1" x14ac:dyDescent="0.25">
      <c r="A11" s="232" t="s">
        <v>308</v>
      </c>
      <c r="B11" s="233" t="str">
        <f>'Componente 1'!O26</f>
        <v>P5. Intervenciones de mejora de situación nutricional de mujeres embarazadas y neonatos, implementadas</v>
      </c>
      <c r="C11" s="234">
        <f>'Componente 1'!AA26</f>
        <v>250000</v>
      </c>
      <c r="D11" s="234">
        <f t="shared" si="0"/>
        <v>250000</v>
      </c>
      <c r="E11" s="234"/>
      <c r="F11" s="235">
        <f t="shared" si="1"/>
        <v>9.0909090860624828E-4</v>
      </c>
    </row>
    <row r="12" spans="1:6" ht="22.5" x14ac:dyDescent="0.25">
      <c r="A12" s="232" t="s">
        <v>309</v>
      </c>
      <c r="B12" s="233" t="str">
        <f>'Componente 1'!B39</f>
        <v>P6. Licenciadas en enfermería obstétrica incorporadas en las Redes a nivel comunitario** (61)</v>
      </c>
      <c r="C12" s="234">
        <f>'Componente 1'!AA27</f>
        <v>2160000</v>
      </c>
      <c r="D12" s="234">
        <f t="shared" si="0"/>
        <v>2160000</v>
      </c>
      <c r="E12" s="234"/>
      <c r="F12" s="235">
        <f t="shared" si="1"/>
        <v>7.8545454503579845E-3</v>
      </c>
    </row>
    <row r="13" spans="1:6" ht="22.5" x14ac:dyDescent="0.25">
      <c r="A13" s="232" t="s">
        <v>310</v>
      </c>
      <c r="B13" s="233" t="str">
        <f>'Componente 1'!O30</f>
        <v>P7. Mejoramiento y actualización del sistema de compras centralizada de insumos y medicamentos del sector completado</v>
      </c>
      <c r="C13" s="234">
        <f>'Componente 1'!AA30</f>
        <v>200000</v>
      </c>
      <c r="D13" s="234">
        <f t="shared" si="0"/>
        <v>200000</v>
      </c>
      <c r="E13" s="234"/>
      <c r="F13" s="235">
        <f t="shared" si="1"/>
        <v>7.2727272688499864E-4</v>
      </c>
    </row>
    <row r="14" spans="1:6" x14ac:dyDescent="0.25">
      <c r="A14" s="232" t="s">
        <v>311</v>
      </c>
      <c r="B14" s="233" t="str">
        <f>'Componente 1'!O37</f>
        <v>P8. Fortalecimiento del sistema de Bancos/depósitos de Sangre Segura</v>
      </c>
      <c r="C14" s="234">
        <f>'Componente 1'!AA37</f>
        <v>1221000</v>
      </c>
      <c r="D14" s="234">
        <f t="shared" si="0"/>
        <v>1221000</v>
      </c>
      <c r="E14" s="234"/>
      <c r="F14" s="235">
        <f t="shared" si="1"/>
        <v>4.4399999976329164E-3</v>
      </c>
    </row>
    <row r="15" spans="1:6" x14ac:dyDescent="0.25">
      <c r="A15" s="232" t="s">
        <v>476</v>
      </c>
      <c r="B15" s="251" t="str">
        <f>'Componente 1'!O34</f>
        <v>P9. Fortalecimiento de los sistemas de referencia y contrarreferencia</v>
      </c>
      <c r="C15" s="234">
        <f>'Componente 1'!AA34</f>
        <v>1375000.2223999999</v>
      </c>
      <c r="D15" s="234">
        <f t="shared" si="0"/>
        <v>1375000.2223999999</v>
      </c>
      <c r="E15" s="234"/>
      <c r="F15" s="235">
        <f t="shared" si="1"/>
        <v>5.0000008060616368E-3</v>
      </c>
    </row>
    <row r="16" spans="1:6" x14ac:dyDescent="0.25">
      <c r="A16" s="236">
        <v>1.2</v>
      </c>
      <c r="B16" s="229" t="str">
        <f>'Componente 1'!B71:D71</f>
        <v>Sub Componente 1.2 Gestión y sistemas de información (US$5,334 MM)</v>
      </c>
      <c r="C16" s="230">
        <f>SUM(C17:C20)</f>
        <v>5334000.0600000005</v>
      </c>
      <c r="D16" s="230">
        <f>SUM(D17:D20)</f>
        <v>5334000.0600000005</v>
      </c>
      <c r="E16" s="230"/>
      <c r="F16" s="231">
        <f>C16/$C$4</f>
        <v>1.9396363844204734E-2</v>
      </c>
    </row>
    <row r="17" spans="1:6" ht="22.5" x14ac:dyDescent="0.25">
      <c r="A17" s="232" t="s">
        <v>312</v>
      </c>
      <c r="B17" s="233" t="str">
        <f>'Componente 1'!O41</f>
        <v>P10. Modelo de gestión en los hospitales que incremente la eficiencia y calidad de atención implementado</v>
      </c>
      <c r="C17" s="234">
        <f>'Componente 1'!AA41</f>
        <v>749999.7</v>
      </c>
      <c r="D17" s="234">
        <f>C17</f>
        <v>749999.7</v>
      </c>
      <c r="E17" s="234"/>
      <c r="F17" s="235">
        <f>C17/$C$4</f>
        <v>2.7272716349096542E-3</v>
      </c>
    </row>
    <row r="18" spans="1:6" ht="22.5" x14ac:dyDescent="0.25">
      <c r="A18" s="232" t="s">
        <v>313</v>
      </c>
      <c r="B18" s="233" t="str">
        <f>'Componente 1'!O46</f>
        <v>P11. Fortalecimiento de los sistemas de gestión a nivel municipal, coordinaciones de red y departamental</v>
      </c>
      <c r="C18" s="234">
        <f>'Componente 1'!AA46</f>
        <v>375000</v>
      </c>
      <c r="D18" s="234">
        <f t="shared" ref="D18:D22" si="2">C18</f>
        <v>375000</v>
      </c>
      <c r="E18" s="234"/>
      <c r="F18" s="235">
        <f t="shared" ref="F18:F23" si="3">C18/$C$4</f>
        <v>1.3636363629093724E-3</v>
      </c>
    </row>
    <row r="19" spans="1:6" x14ac:dyDescent="0.25">
      <c r="A19" s="232" t="s">
        <v>314</v>
      </c>
      <c r="B19" s="233" t="str">
        <f>'Componente 1'!O52</f>
        <v>P12. Sistemas de información para la gestión clínica implementada</v>
      </c>
      <c r="C19" s="234">
        <f>'Componente 1'!AA52</f>
        <v>4000000.3600000003</v>
      </c>
      <c r="D19" s="234">
        <f t="shared" si="2"/>
        <v>4000000.3600000003</v>
      </c>
      <c r="E19" s="234"/>
      <c r="F19" s="235">
        <f t="shared" si="3"/>
        <v>1.4545455846790881E-2</v>
      </c>
    </row>
    <row r="20" spans="1:6" ht="21.75" customHeight="1" x14ac:dyDescent="0.25">
      <c r="A20" s="232" t="s">
        <v>315</v>
      </c>
      <c r="B20" s="233" t="str">
        <f>'Componente 1'!O53</f>
        <v>P13. Metodología RAMOS o similar de vigilancia de la mortalidad materna implementada</v>
      </c>
      <c r="C20" s="234">
        <f>'Componente 1'!AA53</f>
        <v>209000</v>
      </c>
      <c r="D20" s="234">
        <f t="shared" si="2"/>
        <v>209000</v>
      </c>
      <c r="E20" s="234"/>
      <c r="F20" s="235">
        <f t="shared" si="3"/>
        <v>7.599999995948235E-4</v>
      </c>
    </row>
    <row r="21" spans="1:6" ht="21.75" customHeight="1" x14ac:dyDescent="0.25">
      <c r="A21" s="236">
        <v>1.3</v>
      </c>
      <c r="B21" s="229" t="str">
        <f>'Componente 1'!O55</f>
        <v>Sub-componente 1.3: Formación de RHS (US$1,61 MM</v>
      </c>
      <c r="C21" s="230">
        <f>SUM(C22:C23)</f>
        <v>1609999.6800000002</v>
      </c>
      <c r="D21" s="230">
        <f>SUM(D22:D23)</f>
        <v>1609999.6800000002</v>
      </c>
      <c r="E21" s="230"/>
      <c r="F21" s="231">
        <f>C21/$C$4</f>
        <v>5.8545442877878766E-3</v>
      </c>
    </row>
    <row r="22" spans="1:6" ht="21.75" customHeight="1" x14ac:dyDescent="0.25">
      <c r="A22" s="232" t="s">
        <v>477</v>
      </c>
      <c r="B22" s="233" t="str">
        <f>'Componente 1'!O57</f>
        <v>P14. Fortalecimiento de capacidades clínico-diagnósticas y terapéuticas del personal de salud a través de programas de formación continua de RHS, completado</v>
      </c>
      <c r="C22" s="234">
        <f>'Componente 1'!AA57</f>
        <v>1257499.6800000002</v>
      </c>
      <c r="D22" s="234">
        <f t="shared" si="2"/>
        <v>1257499.6800000002</v>
      </c>
      <c r="E22" s="234"/>
      <c r="F22" s="235">
        <f t="shared" si="3"/>
        <v>4.5727261066530666E-3</v>
      </c>
    </row>
    <row r="23" spans="1:6" ht="21.75" customHeight="1" x14ac:dyDescent="0.25">
      <c r="A23" s="232" t="s">
        <v>478</v>
      </c>
      <c r="B23" s="233" t="str">
        <f>'Componente 1'!O59</f>
        <v>P15. Formación en gestión hospitalaria destinada a los cuadros directivos de los hospitales, las redes de salud y los SEDES</v>
      </c>
      <c r="C23" s="234">
        <f>'Componente 1'!AA59</f>
        <v>352500</v>
      </c>
      <c r="D23" s="234">
        <f>C23</f>
        <v>352500</v>
      </c>
      <c r="E23" s="234"/>
      <c r="F23" s="235">
        <f t="shared" si="3"/>
        <v>1.2818181811348099E-3</v>
      </c>
    </row>
    <row r="24" spans="1:6" x14ac:dyDescent="0.25">
      <c r="A24" s="225">
        <v>2</v>
      </c>
      <c r="B24" s="226" t="str">
        <f>'Componente 2'!B1:D1</f>
        <v>Componente 2. Infraestructura y equipamiento (US$249,7 MM)</v>
      </c>
      <c r="C24" s="227">
        <f>C25+C31+C35+C40</f>
        <v>249700000.14968807</v>
      </c>
      <c r="D24" s="227">
        <f>D25+D31+D35+D40</f>
        <v>249700000.14968807</v>
      </c>
      <c r="E24" s="227"/>
      <c r="F24" s="228">
        <f>C24/$C$4</f>
        <v>0.90800000006024095</v>
      </c>
    </row>
    <row r="25" spans="1:6" x14ac:dyDescent="0.25">
      <c r="A25" s="236">
        <v>2.1</v>
      </c>
      <c r="B25" s="229" t="str">
        <f>'Componente 2'!B3:D3</f>
        <v>Sub-componente 2.1. Cobertura de brechas de equipamiento (US$49,5 MM)</v>
      </c>
      <c r="C25" s="230">
        <f>SUM(C26:C30)</f>
        <v>49500000.148688048</v>
      </c>
      <c r="D25" s="230">
        <f>SUM(D26:D30)</f>
        <v>49500000.148688048</v>
      </c>
      <c r="E25" s="230"/>
      <c r="F25" s="231">
        <f>C25/$C$4</f>
        <v>0.18000000044472098</v>
      </c>
    </row>
    <row r="26" spans="1:6" x14ac:dyDescent="0.25">
      <c r="A26" s="232" t="s">
        <v>316</v>
      </c>
      <c r="B26" s="233" t="str">
        <f>'Componente 2'!B5</f>
        <v>P13. Equipamiento del Hospital El Alto Norte completado</v>
      </c>
      <c r="C26" s="234">
        <f>'Componente 2'!H5</f>
        <v>1302362.1486880467</v>
      </c>
      <c r="D26" s="234">
        <f>C26</f>
        <v>1302362.1486880467</v>
      </c>
      <c r="E26" s="234"/>
      <c r="F26" s="235">
        <f>C26/$C$4</f>
        <v>4.7358623563408088E-3</v>
      </c>
    </row>
    <row r="27" spans="1:6" x14ac:dyDescent="0.25">
      <c r="A27" s="232" t="s">
        <v>320</v>
      </c>
      <c r="B27" s="233" t="str">
        <f>'Componente 2'!B6</f>
        <v>P14. Equipamiento del Hospital El Alto Sur completado</v>
      </c>
      <c r="C27" s="234">
        <f>'Componente 2'!H6</f>
        <v>1019619</v>
      </c>
      <c r="D27" s="234">
        <f t="shared" ref="D27:D30" si="4">C27</f>
        <v>1019619</v>
      </c>
      <c r="E27" s="234"/>
      <c r="F27" s="235">
        <f t="shared" ref="F27:F30" si="5">C27/$C$4</f>
        <v>3.7077054525687771E-3</v>
      </c>
    </row>
    <row r="28" spans="1:6" x14ac:dyDescent="0.25">
      <c r="A28" s="232" t="s">
        <v>321</v>
      </c>
      <c r="B28" s="233" t="str">
        <f>'Componente 2'!B7</f>
        <v>P15. Equipamiento del Hospital de Ocurí completado</v>
      </c>
      <c r="C28" s="234">
        <f>'Componente 2'!H7</f>
        <v>5669759</v>
      </c>
      <c r="D28" s="234">
        <f t="shared" si="4"/>
        <v>5669759</v>
      </c>
      <c r="E28" s="234"/>
      <c r="F28" s="235">
        <f t="shared" si="5"/>
        <v>2.0617305443553814E-2</v>
      </c>
    </row>
    <row r="29" spans="1:6" x14ac:dyDescent="0.25">
      <c r="A29" s="232" t="s">
        <v>322</v>
      </c>
      <c r="B29" s="233" t="str">
        <f>'Componente 2'!B8</f>
        <v>P16. Equipamiento del Hospital de Llallagua completado</v>
      </c>
      <c r="C29" s="234">
        <f>'Componente 2'!H8</f>
        <v>10343860</v>
      </c>
      <c r="D29" s="234">
        <f t="shared" si="4"/>
        <v>10343860</v>
      </c>
      <c r="E29" s="234"/>
      <c r="F29" s="235">
        <f t="shared" si="5"/>
        <v>3.7614036343583311E-2</v>
      </c>
    </row>
    <row r="30" spans="1:6" x14ac:dyDescent="0.25">
      <c r="A30" s="232" t="s">
        <v>323</v>
      </c>
      <c r="B30" s="233" t="str">
        <f>'Componente 2'!B9</f>
        <v>P17. Equipamiento de Hospital Tercer Nivel de Potosí, completado</v>
      </c>
      <c r="C30" s="234">
        <f>'Componente 2'!H9</f>
        <v>31164400</v>
      </c>
      <c r="D30" s="234">
        <f t="shared" si="4"/>
        <v>31164400</v>
      </c>
      <c r="E30" s="234"/>
      <c r="F30" s="235">
        <f t="shared" si="5"/>
        <v>0.11332509084867426</v>
      </c>
    </row>
    <row r="31" spans="1:6" ht="22.5" x14ac:dyDescent="0.25">
      <c r="A31" s="236">
        <v>2.2000000000000002</v>
      </c>
      <c r="B31" s="229" t="str">
        <f>'Componente 2'!B18:D18</f>
        <v>Sub-componente 2.2. Fortalecimiento del segundo nivel de atención en redes priorizadas (US$128,5MM)</v>
      </c>
      <c r="C31" s="230">
        <f>SUM(C32:C34)</f>
        <v>128500000.00000001</v>
      </c>
      <c r="D31" s="230">
        <f>SUM(D32:D34)</f>
        <v>128500000.00000001</v>
      </c>
      <c r="E31" s="230"/>
      <c r="F31" s="231">
        <f>C31/$C$4</f>
        <v>0.46727272702361167</v>
      </c>
    </row>
    <row r="32" spans="1:6" x14ac:dyDescent="0.25">
      <c r="A32" s="232" t="s">
        <v>324</v>
      </c>
      <c r="B32" s="233" t="str">
        <f>'Componente 2'!B20</f>
        <v>P18. Hospitales de segundo nivel, construidos, equipados y operando</v>
      </c>
      <c r="C32" s="234">
        <f>'Componente 2'!H20</f>
        <v>120688000.00000001</v>
      </c>
      <c r="D32" s="234">
        <f>C32</f>
        <v>120688000.00000001</v>
      </c>
      <c r="E32" s="234"/>
      <c r="F32" s="235">
        <f>C32/$C$4</f>
        <v>0.4388654543114836</v>
      </c>
    </row>
    <row r="33" spans="1:6" x14ac:dyDescent="0.25">
      <c r="A33" s="232" t="s">
        <v>325</v>
      </c>
      <c r="B33" s="233" t="str">
        <f>'Componente 2'!B29</f>
        <v>P19. Hospital de segundo nivel Puerto Suarez, equipado y operando</v>
      </c>
      <c r="C33" s="234">
        <f>'Componente 2'!H29</f>
        <v>5439759</v>
      </c>
      <c r="D33" s="234">
        <f t="shared" ref="D33:D34" si="6">C33</f>
        <v>5439759</v>
      </c>
      <c r="E33" s="234"/>
      <c r="F33" s="235">
        <f t="shared" ref="F33:F54" si="7">C33/$C$4</f>
        <v>1.9780941807636065E-2</v>
      </c>
    </row>
    <row r="34" spans="1:6" x14ac:dyDescent="0.25">
      <c r="A34" s="232" t="s">
        <v>326</v>
      </c>
      <c r="B34" s="233" t="str">
        <f>'Componente 2'!B30</f>
        <v>P20. Equipamiento en centros de salud de las redes **</v>
      </c>
      <c r="C34" s="234">
        <f>'Componente 2'!H30</f>
        <v>2372241</v>
      </c>
      <c r="D34" s="234">
        <f t="shared" si="6"/>
        <v>2372241</v>
      </c>
      <c r="E34" s="234"/>
      <c r="F34" s="235">
        <f t="shared" si="7"/>
        <v>8.6263309044919793E-3</v>
      </c>
    </row>
    <row r="35" spans="1:6" ht="22.5" x14ac:dyDescent="0.25">
      <c r="A35" s="236">
        <v>2.2999999999999998</v>
      </c>
      <c r="B35" s="229" t="str">
        <f>'Componente 2'!B35:D35</f>
        <v>Sub-componente 2.3. Fortalecimiento del tercer nivel en el municipio El Alto (US$69 MM)</v>
      </c>
      <c r="C35" s="230">
        <f>SUM(C36:C39)</f>
        <v>69000000</v>
      </c>
      <c r="D35" s="230">
        <f>SUM(D36:D39)</f>
        <v>69000000</v>
      </c>
      <c r="E35" s="230"/>
      <c r="F35" s="231">
        <f>C35/$C$4</f>
        <v>0.25090909077532453</v>
      </c>
    </row>
    <row r="36" spans="1:6" x14ac:dyDescent="0.25">
      <c r="A36" s="232" t="s">
        <v>327</v>
      </c>
      <c r="B36" s="233" t="str">
        <f>'Componente 2'!B37</f>
        <v>P21. Estudios de preinversión elaborados y completados HTNPEA</v>
      </c>
      <c r="C36" s="234">
        <f>'Componente 2'!H37</f>
        <v>902520</v>
      </c>
      <c r="D36" s="234">
        <f>C36</f>
        <v>902520</v>
      </c>
      <c r="E36" s="234"/>
      <c r="F36" s="235">
        <f t="shared" si="7"/>
        <v>3.2818909073412447E-3</v>
      </c>
    </row>
    <row r="37" spans="1:6" x14ac:dyDescent="0.25">
      <c r="A37" s="232" t="s">
        <v>328</v>
      </c>
      <c r="B37" s="233" t="str">
        <f>'Componente 2'!B38</f>
        <v>P22. Construcción del hospital completada</v>
      </c>
      <c r="C37" s="234">
        <f>'Componente 2'!H38+'Componente 2'!G40+'Componente 2'!H42</f>
        <v>39747880</v>
      </c>
      <c r="D37" s="234">
        <f t="shared" ref="D37:D38" si="8">C37</f>
        <v>39747880</v>
      </c>
      <c r="E37" s="234"/>
      <c r="F37" s="235">
        <f t="shared" si="7"/>
        <v>0.14453774537748848</v>
      </c>
    </row>
    <row r="38" spans="1:6" x14ac:dyDescent="0.25">
      <c r="A38" s="232" t="s">
        <v>317</v>
      </c>
      <c r="B38" s="233" t="str">
        <f>'Componente 2'!B39</f>
        <v>P23. Equipamiento del hospital instalado y funcionando</v>
      </c>
      <c r="C38" s="234">
        <f>'Componente 2'!H39</f>
        <v>26780000</v>
      </c>
      <c r="D38" s="234">
        <f t="shared" si="8"/>
        <v>26780000</v>
      </c>
      <c r="E38" s="234"/>
      <c r="F38" s="235">
        <f t="shared" si="7"/>
        <v>9.7381818129901307E-2</v>
      </c>
    </row>
    <row r="39" spans="1:6" x14ac:dyDescent="0.25">
      <c r="A39" s="232" t="s">
        <v>329</v>
      </c>
      <c r="B39" s="233" t="str">
        <f>'Componente 2'!B41</f>
        <v>P24. Supervisión de los diseños, construcción y equipamiento, realizado</v>
      </c>
      <c r="C39" s="234">
        <f>'Componente 2'!H41</f>
        <v>1569600</v>
      </c>
      <c r="D39" s="234">
        <f>C39</f>
        <v>1569600</v>
      </c>
      <c r="E39" s="234"/>
      <c r="F39" s="235">
        <f t="shared" si="7"/>
        <v>5.7076363605934695E-3</v>
      </c>
    </row>
    <row r="40" spans="1:6" ht="23.25" customHeight="1" x14ac:dyDescent="0.25">
      <c r="A40" s="236">
        <v>2.4</v>
      </c>
      <c r="B40" s="229" t="str">
        <f>'Componente 2'!B48:D48</f>
        <v>Sub-componente 2.4. Puesta en marcha de los nuevos hospitales (US$2,7MM)</v>
      </c>
      <c r="C40" s="230">
        <f>SUM(C41:C42)</f>
        <v>2700000.0010000002</v>
      </c>
      <c r="D40" s="230">
        <f>SUM(D41:D42)</f>
        <v>2700000.0010000002</v>
      </c>
      <c r="E40" s="230"/>
      <c r="F40" s="231">
        <f>C40/$C$4</f>
        <v>9.8181818165838462E-3</v>
      </c>
    </row>
    <row r="41" spans="1:6" x14ac:dyDescent="0.25">
      <c r="A41" s="232" t="s">
        <v>481</v>
      </c>
      <c r="B41" s="233" t="str">
        <f>'Componente 2'!B50</f>
        <v>P28. Planes de apertura y/o migración de los nuevos hospitales, elaborados</v>
      </c>
      <c r="C41" s="234">
        <f>'Componente 2'!H50</f>
        <v>100000</v>
      </c>
      <c r="D41" s="234">
        <f>C41</f>
        <v>100000</v>
      </c>
      <c r="E41" s="234"/>
      <c r="F41" s="235">
        <f t="shared" si="7"/>
        <v>3.6363636344249932E-4</v>
      </c>
    </row>
    <row r="42" spans="1:6" ht="20.25" customHeight="1" x14ac:dyDescent="0.25">
      <c r="A42" s="232" t="s">
        <v>482</v>
      </c>
      <c r="B42" s="233" t="str">
        <f>'Componente 2'!B51</f>
        <v>P29. Asistencia técnica para puesta en marcha y acompañamiento de hospitales 2do y 3er nivel, completada</v>
      </c>
      <c r="C42" s="234">
        <f>'Componente 2'!H51</f>
        <v>2600000.0010000002</v>
      </c>
      <c r="D42" s="234">
        <f>C42</f>
        <v>2600000.0010000002</v>
      </c>
      <c r="E42" s="234"/>
      <c r="F42" s="235">
        <f t="shared" si="7"/>
        <v>9.4545454531413456E-3</v>
      </c>
    </row>
    <row r="43" spans="1:6" ht="22.5" x14ac:dyDescent="0.25">
      <c r="A43" s="225">
        <v>3</v>
      </c>
      <c r="B43" s="226" t="str">
        <f>'Componente 3'!B2</f>
        <v>Componente 3: Auditorias, administración, y monitoreo y evaluación (US$8,7 MM)</v>
      </c>
      <c r="C43" s="227">
        <f>C44+C50+C55</f>
        <v>8700000.0347218402</v>
      </c>
      <c r="D43" s="227">
        <f>D44+D50+D55</f>
        <v>8700000.0347218402</v>
      </c>
      <c r="E43" s="227"/>
      <c r="F43" s="228">
        <f>C43/$C$4</f>
        <v>3.1636363745758678E-2</v>
      </c>
    </row>
    <row r="44" spans="1:6" ht="22.5" customHeight="1" x14ac:dyDescent="0.25">
      <c r="A44" s="236">
        <v>3.1</v>
      </c>
      <c r="B44" s="229" t="str">
        <f>'Componente 3'!B3</f>
        <v>Sub Componente 3.1 Auditoría, administracion, monitoreo y evaluación - UEP MS</v>
      </c>
      <c r="C44" s="230">
        <f>SUM(C45:C49)</f>
        <v>3600000.1846528742</v>
      </c>
      <c r="D44" s="230">
        <f>SUM(D45:D49)</f>
        <v>3600000.1846528742</v>
      </c>
      <c r="E44" s="230"/>
      <c r="F44" s="231">
        <f>C44/$C$4</f>
        <v>1.3090909755394972E-2</v>
      </c>
    </row>
    <row r="45" spans="1:6" ht="22.5" x14ac:dyDescent="0.25">
      <c r="A45" s="232" t="s">
        <v>376</v>
      </c>
      <c r="B45" s="233" t="str">
        <f>'Componente 3'!B5</f>
        <v>Equipos ejecutores del programa contratados (Especialistas técnicos, sociales y ambientales, contratados)</v>
      </c>
      <c r="C45" s="234">
        <f>'Componente 3'!H6+'Componente 3'!H25</f>
        <v>2150000.1846528742</v>
      </c>
      <c r="D45" s="234">
        <f>C45</f>
        <v>2150000.1846528742</v>
      </c>
      <c r="E45" s="234"/>
      <c r="F45" s="235">
        <f t="shared" si="7"/>
        <v>7.8181824854787318E-3</v>
      </c>
    </row>
    <row r="46" spans="1:6" hidden="1" x14ac:dyDescent="0.25">
      <c r="A46" s="232"/>
      <c r="B46" s="251"/>
      <c r="C46" s="234">
        <f>'Componente 3'!H84</f>
        <v>0</v>
      </c>
      <c r="D46" s="234">
        <f t="shared" ref="D46:D49" si="9">C46</f>
        <v>0</v>
      </c>
      <c r="E46" s="234"/>
      <c r="F46" s="235">
        <f t="shared" si="7"/>
        <v>0</v>
      </c>
    </row>
    <row r="47" spans="1:6" x14ac:dyDescent="0.25">
      <c r="A47" s="232" t="s">
        <v>377</v>
      </c>
      <c r="B47" s="233" t="str">
        <f>'Componente 3'!B121</f>
        <v>Auditorías (anuales y finales) UEP MS</v>
      </c>
      <c r="C47" s="234">
        <f>'Componente 3'!H121</f>
        <v>250000</v>
      </c>
      <c r="D47" s="234">
        <f t="shared" si="9"/>
        <v>250000</v>
      </c>
      <c r="E47" s="234"/>
      <c r="F47" s="235">
        <f t="shared" si="7"/>
        <v>9.0909090860624828E-4</v>
      </c>
    </row>
    <row r="48" spans="1:6" x14ac:dyDescent="0.25">
      <c r="A48" s="232" t="s">
        <v>378</v>
      </c>
      <c r="B48" s="233" t="str">
        <f>'Componente 3'!B127</f>
        <v>Estudios de evaluación y monitoreo</v>
      </c>
      <c r="C48" s="234">
        <f>'Componente 3'!D127</f>
        <v>300000</v>
      </c>
      <c r="D48" s="234">
        <f t="shared" si="9"/>
        <v>300000</v>
      </c>
      <c r="E48" s="234"/>
      <c r="F48" s="235">
        <f t="shared" si="7"/>
        <v>1.0909090903274978E-3</v>
      </c>
    </row>
    <row r="49" spans="1:6" x14ac:dyDescent="0.25">
      <c r="A49" s="232" t="s">
        <v>484</v>
      </c>
      <c r="B49" s="233" t="str">
        <f>'Componente 3'!B135</f>
        <v>Evaluación de impacto</v>
      </c>
      <c r="C49" s="234">
        <f>'Componente 3'!D135</f>
        <v>900000</v>
      </c>
      <c r="D49" s="234">
        <f t="shared" si="9"/>
        <v>900000</v>
      </c>
      <c r="E49" s="234"/>
      <c r="F49" s="235">
        <f t="shared" si="7"/>
        <v>3.2727272709824938E-3</v>
      </c>
    </row>
    <row r="50" spans="1:6" x14ac:dyDescent="0.25">
      <c r="A50" s="236">
        <v>3.2</v>
      </c>
      <c r="B50" s="229" t="str">
        <f>'Componente 3'!B4</f>
        <v>Sub Componente 3.2 Auditoría, administracion, monitoreo y evaluación - AISEM</v>
      </c>
      <c r="C50" s="230">
        <f>SUM(C51:C54)</f>
        <v>5099999.8500689659</v>
      </c>
      <c r="D50" s="230">
        <f>SUM(D51:D54)</f>
        <v>5099999.8500689659</v>
      </c>
      <c r="E50" s="230"/>
      <c r="F50" s="231">
        <f>C50/$C$4</f>
        <v>1.8545453990363704E-2</v>
      </c>
    </row>
    <row r="51" spans="1:6" ht="23.25" customHeight="1" x14ac:dyDescent="0.25">
      <c r="A51" s="232" t="s">
        <v>379</v>
      </c>
      <c r="B51" s="233" t="str">
        <f>'Componente 3'!B5</f>
        <v>Equipos ejecutores del programa contratados (Especialistas técnicos, sociales y ambientales, contratados)</v>
      </c>
      <c r="C51" s="234">
        <f>'Componente 3'!H32+'Componente 3'!H65</f>
        <v>4549999.8500689659</v>
      </c>
      <c r="D51" s="234">
        <f t="shared" ref="D51:D55" si="10">C51</f>
        <v>4549999.8500689659</v>
      </c>
      <c r="E51" s="234"/>
      <c r="F51" s="235">
        <f t="shared" si="7"/>
        <v>1.6545453991429957E-2</v>
      </c>
    </row>
    <row r="52" spans="1:6" ht="23.25" hidden="1" customHeight="1" x14ac:dyDescent="0.25">
      <c r="A52" s="232"/>
      <c r="B52" s="233"/>
      <c r="C52" s="234"/>
      <c r="D52" s="234"/>
      <c r="E52" s="234"/>
      <c r="F52" s="235"/>
    </row>
    <row r="53" spans="1:6" x14ac:dyDescent="0.25">
      <c r="A53" s="232" t="s">
        <v>496</v>
      </c>
      <c r="B53" s="233" t="str">
        <f>'Componente 3'!B74</f>
        <v>Asistencia para incrementar capacidades técnicas de la AISEM</v>
      </c>
      <c r="C53" s="234">
        <f>'Componente 3'!H73+'Componente 3'!H84</f>
        <v>300000</v>
      </c>
      <c r="D53" s="234">
        <f t="shared" si="10"/>
        <v>300000</v>
      </c>
      <c r="E53" s="234"/>
      <c r="F53" s="235">
        <f t="shared" si="7"/>
        <v>1.0909090903274978E-3</v>
      </c>
    </row>
    <row r="54" spans="1:6" x14ac:dyDescent="0.25">
      <c r="A54" s="232" t="s">
        <v>381</v>
      </c>
      <c r="B54" s="233" t="str">
        <f>'Componente 3'!B117</f>
        <v>Auditorías (anuales y finales) AISEM</v>
      </c>
      <c r="C54" s="234">
        <f>'Componente 3'!H117</f>
        <v>250000</v>
      </c>
      <c r="D54" s="234">
        <f t="shared" si="10"/>
        <v>250000</v>
      </c>
      <c r="E54" s="234"/>
      <c r="F54" s="235">
        <f t="shared" si="7"/>
        <v>9.0909090860624828E-4</v>
      </c>
    </row>
    <row r="55" spans="1:6" ht="14.25" hidden="1" customHeight="1" x14ac:dyDescent="0.25">
      <c r="A55" s="232"/>
      <c r="B55" s="253"/>
      <c r="C55" s="254"/>
      <c r="D55" s="254">
        <f t="shared" si="10"/>
        <v>0</v>
      </c>
      <c r="E55" s="234"/>
      <c r="F55" s="235"/>
    </row>
    <row r="56" spans="1:6" x14ac:dyDescent="0.25">
      <c r="A56" s="225"/>
      <c r="B56" s="226"/>
      <c r="C56" s="227"/>
      <c r="D56" s="227"/>
      <c r="E56" s="227"/>
      <c r="F56" s="228"/>
    </row>
    <row r="57" spans="1:6" x14ac:dyDescent="0.25">
      <c r="A57" s="121"/>
      <c r="B57" s="237"/>
      <c r="C57" s="237"/>
      <c r="D57" s="237"/>
      <c r="E57" s="237"/>
      <c r="F57" s="238">
        <f>F56+F43+F24+F5</f>
        <v>1</v>
      </c>
    </row>
    <row r="58" spans="1:6" x14ac:dyDescent="0.25">
      <c r="A58" s="121"/>
      <c r="B58" s="353"/>
      <c r="C58" s="353"/>
      <c r="D58" s="353"/>
      <c r="E58" s="353"/>
      <c r="F58" s="353"/>
    </row>
    <row r="59" spans="1:6" x14ac:dyDescent="0.25">
      <c r="A59" s="121"/>
      <c r="B59" s="353"/>
      <c r="C59" s="353"/>
      <c r="D59" s="353"/>
      <c r="E59" s="353"/>
      <c r="F59" s="353"/>
    </row>
    <row r="60" spans="1:6" x14ac:dyDescent="0.25">
      <c r="A60" s="121"/>
      <c r="B60" s="353"/>
      <c r="C60" s="353"/>
      <c r="D60" s="353"/>
      <c r="E60" s="353"/>
      <c r="F60" s="353"/>
    </row>
    <row r="61" spans="1:6" x14ac:dyDescent="0.25">
      <c r="A61" s="121"/>
      <c r="B61" s="353"/>
      <c r="C61" s="353"/>
      <c r="D61" s="353"/>
      <c r="E61" s="353"/>
      <c r="F61" s="353"/>
    </row>
  </sheetData>
  <mergeCells count="8">
    <mergeCell ref="B59:F59"/>
    <mergeCell ref="B60:F60"/>
    <mergeCell ref="B61:F61"/>
    <mergeCell ref="A2:F2"/>
    <mergeCell ref="A3:A4"/>
    <mergeCell ref="B3:B4"/>
    <mergeCell ref="F3:F4"/>
    <mergeCell ref="B58:F58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000"/>
  </sheetPr>
  <dimension ref="B2:I45"/>
  <sheetViews>
    <sheetView topLeftCell="A10" workbookViewId="0">
      <selection activeCell="H36" sqref="H36"/>
    </sheetView>
  </sheetViews>
  <sheetFormatPr defaultRowHeight="15" x14ac:dyDescent="0.25"/>
  <cols>
    <col min="1" max="1" width="2.42578125" customWidth="1"/>
    <col min="2" max="2" width="20.5703125" style="34" customWidth="1"/>
    <col min="3" max="3" width="47.140625" customWidth="1"/>
    <col min="4" max="4" width="40.28515625" bestFit="1" customWidth="1"/>
    <col min="5" max="5" width="7.28515625" bestFit="1" customWidth="1"/>
    <col min="6" max="6" width="12.140625" customWidth="1"/>
    <col min="7" max="7" width="9.7109375" customWidth="1"/>
    <col min="8" max="8" width="15.28515625" customWidth="1"/>
  </cols>
  <sheetData>
    <row r="2" spans="2:8" ht="18.75" x14ac:dyDescent="0.3">
      <c r="B2" s="432" t="s">
        <v>167</v>
      </c>
      <c r="C2" s="432"/>
      <c r="D2" s="432"/>
      <c r="E2" s="432"/>
      <c r="F2" s="432"/>
      <c r="G2" s="432"/>
      <c r="H2" s="432"/>
    </row>
    <row r="3" spans="2:8" x14ac:dyDescent="0.25">
      <c r="B3" s="47" t="s">
        <v>9</v>
      </c>
      <c r="C3" s="433" t="s">
        <v>10</v>
      </c>
      <c r="D3" s="433"/>
      <c r="E3" s="184" t="s">
        <v>11</v>
      </c>
      <c r="F3" s="184" t="s">
        <v>12</v>
      </c>
      <c r="G3" s="184" t="s">
        <v>13</v>
      </c>
      <c r="H3" s="184" t="s">
        <v>0</v>
      </c>
    </row>
    <row r="4" spans="2:8" x14ac:dyDescent="0.25">
      <c r="B4" s="427" t="s">
        <v>41</v>
      </c>
      <c r="C4" s="434"/>
      <c r="D4" s="36" t="s">
        <v>112</v>
      </c>
      <c r="E4" s="36" t="s">
        <v>14</v>
      </c>
      <c r="F4" s="48">
        <v>820.39</v>
      </c>
      <c r="G4" s="48">
        <v>6750</v>
      </c>
      <c r="H4" s="49">
        <f>F4*G4</f>
        <v>5537632.5</v>
      </c>
    </row>
    <row r="5" spans="2:8" x14ac:dyDescent="0.25">
      <c r="B5" s="427"/>
      <c r="C5" s="434"/>
      <c r="D5" s="36" t="s">
        <v>16</v>
      </c>
      <c r="E5" s="36" t="s">
        <v>15</v>
      </c>
      <c r="F5" s="48">
        <v>250</v>
      </c>
      <c r="G5" s="48">
        <v>550</v>
      </c>
      <c r="H5" s="49">
        <f>F5*G5</f>
        <v>137500</v>
      </c>
    </row>
    <row r="6" spans="2:8" x14ac:dyDescent="0.25">
      <c r="B6" s="427"/>
      <c r="C6" s="434"/>
      <c r="D6" s="36" t="s">
        <v>17</v>
      </c>
      <c r="E6" s="36" t="s">
        <v>15</v>
      </c>
      <c r="F6" s="48">
        <v>10.1</v>
      </c>
      <c r="G6" s="48">
        <v>200</v>
      </c>
      <c r="H6" s="49">
        <f>F6*G6</f>
        <v>2020</v>
      </c>
    </row>
    <row r="7" spans="2:8" ht="6" customHeight="1" x14ac:dyDescent="0.25">
      <c r="B7" s="185"/>
      <c r="C7" s="186"/>
      <c r="D7" s="36"/>
      <c r="E7" s="36"/>
      <c r="F7" s="48"/>
      <c r="G7" s="48"/>
      <c r="H7" s="49"/>
    </row>
    <row r="8" spans="2:8" x14ac:dyDescent="0.25">
      <c r="B8" s="185" t="s">
        <v>42</v>
      </c>
      <c r="C8" s="36" t="s">
        <v>113</v>
      </c>
      <c r="D8" s="36" t="s">
        <v>18</v>
      </c>
      <c r="E8" s="36" t="s">
        <v>15</v>
      </c>
      <c r="F8" s="48">
        <v>84.51</v>
      </c>
      <c r="G8" s="48">
        <v>1274.25</v>
      </c>
      <c r="H8" s="49">
        <f>F8*G8</f>
        <v>107686.86750000001</v>
      </c>
    </row>
    <row r="9" spans="2:8" ht="4.5" customHeight="1" x14ac:dyDescent="0.25">
      <c r="B9" s="185"/>
      <c r="C9" s="36"/>
      <c r="D9" s="36"/>
      <c r="E9" s="36"/>
      <c r="F9" s="48"/>
      <c r="G9" s="48"/>
      <c r="H9" s="49"/>
    </row>
    <row r="10" spans="2:8" ht="19.5" customHeight="1" x14ac:dyDescent="0.25">
      <c r="B10" s="37" t="s">
        <v>22</v>
      </c>
      <c r="C10" s="36" t="s">
        <v>19</v>
      </c>
      <c r="D10" s="36" t="s">
        <v>20</v>
      </c>
      <c r="E10" s="36" t="s">
        <v>21</v>
      </c>
      <c r="F10" s="48">
        <v>42.38</v>
      </c>
      <c r="G10" s="48">
        <v>1760.65</v>
      </c>
      <c r="H10" s="49">
        <f>F10*G10</f>
        <v>74616.347000000009</v>
      </c>
    </row>
    <row r="11" spans="2:8" ht="4.5" customHeight="1" x14ac:dyDescent="0.25">
      <c r="B11" s="37"/>
      <c r="C11" s="36"/>
      <c r="D11" s="36"/>
      <c r="E11" s="36"/>
      <c r="F11" s="48"/>
      <c r="G11" s="48"/>
      <c r="H11" s="49"/>
    </row>
    <row r="12" spans="2:8" ht="15" customHeight="1" x14ac:dyDescent="0.25">
      <c r="B12" s="427" t="s">
        <v>26</v>
      </c>
      <c r="C12" s="36" t="s">
        <v>23</v>
      </c>
      <c r="D12" s="36"/>
      <c r="E12" s="36" t="s">
        <v>15</v>
      </c>
      <c r="F12" s="48">
        <v>0</v>
      </c>
      <c r="G12" s="48">
        <v>0</v>
      </c>
      <c r="H12" s="49">
        <f>F12*G12</f>
        <v>0</v>
      </c>
    </row>
    <row r="13" spans="2:8" x14ac:dyDescent="0.25">
      <c r="B13" s="427"/>
      <c r="C13" s="36" t="s">
        <v>24</v>
      </c>
      <c r="D13" s="36"/>
      <c r="E13" s="36" t="s">
        <v>27</v>
      </c>
      <c r="F13" s="48">
        <v>0</v>
      </c>
      <c r="G13" s="48">
        <v>14609.1</v>
      </c>
      <c r="H13" s="49">
        <f>F13*G13</f>
        <v>0</v>
      </c>
    </row>
    <row r="14" spans="2:8" x14ac:dyDescent="0.25">
      <c r="B14" s="427"/>
      <c r="C14" s="36" t="s">
        <v>25</v>
      </c>
      <c r="D14" s="36"/>
      <c r="E14" s="36" t="s">
        <v>15</v>
      </c>
      <c r="F14" s="48">
        <v>0</v>
      </c>
      <c r="G14" s="48">
        <v>1321</v>
      </c>
      <c r="H14" s="49">
        <f>F14*G14</f>
        <v>0</v>
      </c>
    </row>
    <row r="15" spans="2:8" ht="6" customHeight="1" x14ac:dyDescent="0.25">
      <c r="B15" s="185"/>
      <c r="C15" s="36"/>
      <c r="D15" s="36"/>
      <c r="E15" s="36"/>
      <c r="F15" s="48"/>
      <c r="G15" s="48"/>
      <c r="H15" s="49"/>
    </row>
    <row r="16" spans="2:8" x14ac:dyDescent="0.25">
      <c r="B16" s="427" t="s">
        <v>28</v>
      </c>
      <c r="C16" s="36" t="s">
        <v>29</v>
      </c>
      <c r="D16" s="36"/>
      <c r="E16" s="36" t="s">
        <v>31</v>
      </c>
      <c r="F16" s="48">
        <v>128100</v>
      </c>
      <c r="G16" s="48">
        <v>1</v>
      </c>
      <c r="H16" s="49">
        <f t="shared" ref="H16:H21" si="0">F16*G16</f>
        <v>128100</v>
      </c>
    </row>
    <row r="17" spans="2:8" x14ac:dyDescent="0.25">
      <c r="B17" s="427"/>
      <c r="C17" s="36" t="s">
        <v>131</v>
      </c>
      <c r="D17" s="36"/>
      <c r="E17" s="36" t="s">
        <v>31</v>
      </c>
      <c r="F17" s="48">
        <v>139230</v>
      </c>
      <c r="G17" s="48">
        <v>1</v>
      </c>
      <c r="H17" s="49">
        <f t="shared" si="0"/>
        <v>139230</v>
      </c>
    </row>
    <row r="18" spans="2:8" x14ac:dyDescent="0.25">
      <c r="B18" s="427"/>
      <c r="C18" s="36" t="s">
        <v>30</v>
      </c>
      <c r="D18" s="36"/>
      <c r="E18" s="36" t="s">
        <v>31</v>
      </c>
      <c r="F18" s="48">
        <v>108000</v>
      </c>
      <c r="G18" s="48">
        <v>1</v>
      </c>
      <c r="H18" s="49">
        <f t="shared" si="0"/>
        <v>108000</v>
      </c>
    </row>
    <row r="19" spans="2:8" x14ac:dyDescent="0.25">
      <c r="B19" s="427"/>
      <c r="C19" s="36" t="s">
        <v>32</v>
      </c>
      <c r="D19" s="36"/>
      <c r="E19" s="36" t="s">
        <v>31</v>
      </c>
      <c r="F19" s="48">
        <v>256000</v>
      </c>
      <c r="G19" s="48">
        <v>1</v>
      </c>
      <c r="H19" s="49">
        <f t="shared" si="0"/>
        <v>256000</v>
      </c>
    </row>
    <row r="20" spans="2:8" x14ac:dyDescent="0.25">
      <c r="B20" s="427"/>
      <c r="C20" s="36" t="s">
        <v>33</v>
      </c>
      <c r="D20" s="36"/>
      <c r="E20" s="36" t="s">
        <v>11</v>
      </c>
      <c r="F20" s="48">
        <v>20000</v>
      </c>
      <c r="G20" s="48">
        <v>2</v>
      </c>
      <c r="H20" s="49">
        <f t="shared" si="0"/>
        <v>40000</v>
      </c>
    </row>
    <row r="21" spans="2:8" x14ac:dyDescent="0.25">
      <c r="B21" s="427"/>
      <c r="C21" s="36" t="s">
        <v>34</v>
      </c>
      <c r="D21" s="36"/>
      <c r="E21" s="36" t="s">
        <v>31</v>
      </c>
      <c r="F21" s="48">
        <v>180000</v>
      </c>
      <c r="G21" s="48">
        <v>1</v>
      </c>
      <c r="H21" s="49">
        <f t="shared" si="0"/>
        <v>180000</v>
      </c>
    </row>
    <row r="22" spans="2:8" x14ac:dyDescent="0.25">
      <c r="B22" s="427"/>
      <c r="C22" s="36"/>
      <c r="D22" s="36"/>
      <c r="E22" s="36"/>
      <c r="F22" s="48"/>
      <c r="G22" s="48"/>
      <c r="H22" s="49"/>
    </row>
    <row r="23" spans="2:8" x14ac:dyDescent="0.25">
      <c r="B23" s="427"/>
      <c r="C23" s="36"/>
      <c r="D23" s="36"/>
      <c r="E23" s="36"/>
      <c r="F23" s="48">
        <v>0</v>
      </c>
      <c r="G23" s="48">
        <v>0</v>
      </c>
      <c r="H23" s="49">
        <f t="shared" ref="H23:H28" si="1">F23*G23</f>
        <v>0</v>
      </c>
    </row>
    <row r="24" spans="2:8" x14ac:dyDescent="0.25">
      <c r="B24" s="427"/>
      <c r="C24" s="36" t="s">
        <v>115</v>
      </c>
      <c r="D24" s="36"/>
      <c r="E24" s="36" t="s">
        <v>11</v>
      </c>
      <c r="F24" s="48">
        <v>55000</v>
      </c>
      <c r="G24" s="48">
        <v>1</v>
      </c>
      <c r="H24" s="49">
        <f t="shared" si="1"/>
        <v>55000</v>
      </c>
    </row>
    <row r="25" spans="2:8" x14ac:dyDescent="0.25">
      <c r="B25" s="427"/>
      <c r="C25" s="36" t="s">
        <v>35</v>
      </c>
      <c r="D25" s="36"/>
      <c r="E25" s="36" t="s">
        <v>31</v>
      </c>
      <c r="F25" s="48">
        <v>109200</v>
      </c>
      <c r="G25" s="48">
        <v>1</v>
      </c>
      <c r="H25" s="49">
        <f t="shared" si="1"/>
        <v>109200</v>
      </c>
    </row>
    <row r="26" spans="2:8" x14ac:dyDescent="0.25">
      <c r="B26" s="427"/>
      <c r="C26" s="36"/>
      <c r="D26" s="36"/>
      <c r="E26" s="36"/>
      <c r="F26" s="48"/>
      <c r="G26" s="48"/>
      <c r="H26" s="49">
        <f t="shared" si="1"/>
        <v>0</v>
      </c>
    </row>
    <row r="27" spans="2:8" x14ac:dyDescent="0.25">
      <c r="B27" s="427"/>
      <c r="C27" s="36"/>
      <c r="D27" s="36"/>
      <c r="E27" s="36"/>
      <c r="F27" s="48"/>
      <c r="G27" s="48"/>
      <c r="H27" s="49">
        <f t="shared" si="1"/>
        <v>0</v>
      </c>
    </row>
    <row r="28" spans="2:8" x14ac:dyDescent="0.25">
      <c r="B28" s="427"/>
      <c r="C28" s="36"/>
      <c r="D28" s="36"/>
      <c r="E28" s="36"/>
      <c r="F28" s="48"/>
      <c r="G28" s="48"/>
      <c r="H28" s="49">
        <f t="shared" si="1"/>
        <v>0</v>
      </c>
    </row>
    <row r="29" spans="2:8" ht="6.75" customHeight="1" thickBot="1" x14ac:dyDescent="0.3">
      <c r="B29" s="38"/>
      <c r="C29" s="39"/>
      <c r="D29" s="39"/>
      <c r="E29" s="39"/>
      <c r="F29" s="39"/>
      <c r="G29" s="39"/>
      <c r="H29" s="39"/>
    </row>
    <row r="30" spans="2:8" x14ac:dyDescent="0.25">
      <c r="B30" s="428"/>
      <c r="C30" s="40" t="s">
        <v>36</v>
      </c>
      <c r="D30" s="40"/>
      <c r="E30" s="40"/>
      <c r="F30" s="431" t="s">
        <v>39</v>
      </c>
      <c r="G30" s="431"/>
      <c r="H30" s="51">
        <f>SUM(H4:H28)</f>
        <v>6874985.7144999998</v>
      </c>
    </row>
    <row r="31" spans="2:8" x14ac:dyDescent="0.25">
      <c r="B31" s="429"/>
      <c r="C31" s="36" t="s">
        <v>37</v>
      </c>
      <c r="D31" s="36"/>
      <c r="E31" s="36"/>
      <c r="F31" s="36"/>
      <c r="G31" s="36">
        <v>0.05</v>
      </c>
      <c r="H31" s="50">
        <f>G31*H30</f>
        <v>343749.28572500002</v>
      </c>
    </row>
    <row r="32" spans="2:8" x14ac:dyDescent="0.25">
      <c r="B32" s="429"/>
      <c r="C32" s="36" t="s">
        <v>55</v>
      </c>
      <c r="D32" s="36"/>
      <c r="E32" s="36"/>
      <c r="F32" s="36"/>
      <c r="G32" s="36">
        <v>0.05</v>
      </c>
      <c r="H32" s="50">
        <f>G32*H30</f>
        <v>343749.28572500002</v>
      </c>
    </row>
    <row r="33" spans="2:9" x14ac:dyDescent="0.25">
      <c r="B33" s="429"/>
      <c r="C33" s="36" t="s">
        <v>57</v>
      </c>
      <c r="D33" s="36"/>
      <c r="E33" s="36"/>
      <c r="F33" s="36"/>
      <c r="G33" s="36"/>
      <c r="H33" s="50">
        <v>0</v>
      </c>
    </row>
    <row r="34" spans="2:9" x14ac:dyDescent="0.25">
      <c r="B34" s="429"/>
      <c r="C34" s="36" t="s">
        <v>40</v>
      </c>
      <c r="D34" s="36"/>
      <c r="E34" s="36"/>
      <c r="F34" s="36"/>
      <c r="G34" s="36">
        <v>0.05</v>
      </c>
      <c r="H34" s="50">
        <f>G34*H30</f>
        <v>343749.28572500002</v>
      </c>
    </row>
    <row r="35" spans="2:9" x14ac:dyDescent="0.25">
      <c r="B35" s="430"/>
      <c r="C35" s="36" t="s">
        <v>38</v>
      </c>
      <c r="D35" s="36"/>
      <c r="E35" s="36"/>
      <c r="F35" s="36"/>
      <c r="G35" s="36">
        <v>0.05</v>
      </c>
      <c r="H35" s="50">
        <f>H30*G35</f>
        <v>343749.28572500002</v>
      </c>
    </row>
    <row r="36" spans="2:9" ht="17.25" customHeight="1" x14ac:dyDescent="0.25">
      <c r="B36" s="41"/>
      <c r="C36" s="36" t="s">
        <v>51</v>
      </c>
      <c r="D36" s="36"/>
      <c r="E36" s="36"/>
      <c r="F36" s="36"/>
      <c r="G36" s="36"/>
      <c r="H36" s="50">
        <v>17.142600000000002</v>
      </c>
    </row>
    <row r="37" spans="2:9" ht="15.75" thickBot="1" x14ac:dyDescent="0.3">
      <c r="B37" s="42"/>
      <c r="C37" s="43" t="s">
        <v>0</v>
      </c>
      <c r="D37" s="44"/>
      <c r="E37" s="44"/>
      <c r="F37" s="44"/>
      <c r="G37" s="44"/>
      <c r="H37" s="52">
        <f>SUM(H30:H36)</f>
        <v>8250000.0000000009</v>
      </c>
    </row>
    <row r="38" spans="2:9" x14ac:dyDescent="0.25">
      <c r="H38" s="6"/>
    </row>
    <row r="39" spans="2:9" x14ac:dyDescent="0.25">
      <c r="C39" t="s">
        <v>114</v>
      </c>
      <c r="E39" t="s">
        <v>83</v>
      </c>
      <c r="H39" s="86">
        <f>5439759</f>
        <v>5439759</v>
      </c>
      <c r="I39">
        <f>H39/H30</f>
        <v>0.79123931683625615</v>
      </c>
    </row>
    <row r="42" spans="2:9" x14ac:dyDescent="0.25">
      <c r="H42" s="86">
        <f>H39+H37</f>
        <v>13689759</v>
      </c>
    </row>
    <row r="43" spans="2:9" x14ac:dyDescent="0.25">
      <c r="F43" s="111" t="s">
        <v>59</v>
      </c>
      <c r="H43" s="6">
        <f>15086000-H42-Resumen!D53-Resumen!E53-Resumen!H53</f>
        <v>0</v>
      </c>
    </row>
    <row r="45" spans="2:9" x14ac:dyDescent="0.25">
      <c r="D45">
        <f>14276000*0.02</f>
        <v>285520</v>
      </c>
    </row>
  </sheetData>
  <mergeCells count="8">
    <mergeCell ref="B30:B35"/>
    <mergeCell ref="F30:G30"/>
    <mergeCell ref="B2:H2"/>
    <mergeCell ref="C3:D3"/>
    <mergeCell ref="B4:B6"/>
    <mergeCell ref="C4:C6"/>
    <mergeCell ref="B12:B14"/>
    <mergeCell ref="B16:B28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1305A-7DBF-406C-953A-17FAF3A187DC}">
  <dimension ref="A1"/>
  <sheetViews>
    <sheetView workbookViewId="0">
      <selection activeCell="N28" sqref="N28"/>
    </sheetView>
  </sheetViews>
  <sheetFormatPr defaultRowHeight="15" x14ac:dyDescent="0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37401-754D-4DFB-9ABA-669BA4CD72C3}">
  <dimension ref="B2:H32"/>
  <sheetViews>
    <sheetView topLeftCell="A13" workbookViewId="0">
      <selection activeCell="C20" sqref="C20"/>
    </sheetView>
  </sheetViews>
  <sheetFormatPr defaultRowHeight="15" x14ac:dyDescent="0.25"/>
  <cols>
    <col min="2" max="2" width="21.42578125" style="212" customWidth="1"/>
    <col min="3" max="3" width="44.42578125" style="34" customWidth="1"/>
    <col min="4" max="4" width="49.7109375" style="34" customWidth="1"/>
    <col min="5" max="5" width="17.5703125" customWidth="1"/>
    <col min="6" max="6" width="15.5703125" customWidth="1"/>
    <col min="7" max="7" width="16.140625" customWidth="1"/>
    <col min="8" max="8" width="27.28515625" customWidth="1"/>
  </cols>
  <sheetData>
    <row r="2" spans="2:8" x14ac:dyDescent="0.25">
      <c r="E2" t="s">
        <v>215</v>
      </c>
      <c r="H2" t="s">
        <v>216</v>
      </c>
    </row>
    <row r="3" spans="2:8" ht="45" x14ac:dyDescent="0.25">
      <c r="B3" s="212" t="s">
        <v>217</v>
      </c>
      <c r="C3" s="34" t="s">
        <v>218</v>
      </c>
      <c r="E3" t="s">
        <v>222</v>
      </c>
      <c r="H3" t="s">
        <v>223</v>
      </c>
    </row>
    <row r="4" spans="2:8" x14ac:dyDescent="0.25">
      <c r="C4" s="34" t="s">
        <v>219</v>
      </c>
    </row>
    <row r="5" spans="2:8" x14ac:dyDescent="0.25">
      <c r="C5" s="34" t="s">
        <v>220</v>
      </c>
    </row>
    <row r="6" spans="2:8" ht="30" x14ac:dyDescent="0.25">
      <c r="C6" s="34" t="s">
        <v>221</v>
      </c>
    </row>
    <row r="7" spans="2:8" ht="30" x14ac:dyDescent="0.25">
      <c r="C7" s="34" t="s">
        <v>224</v>
      </c>
      <c r="E7" t="s">
        <v>228</v>
      </c>
      <c r="H7" t="s">
        <v>229</v>
      </c>
    </row>
    <row r="8" spans="2:8" x14ac:dyDescent="0.25">
      <c r="C8" s="34" t="s">
        <v>225</v>
      </c>
    </row>
    <row r="9" spans="2:8" x14ac:dyDescent="0.25">
      <c r="C9" s="34" t="s">
        <v>226</v>
      </c>
    </row>
    <row r="10" spans="2:8" x14ac:dyDescent="0.25">
      <c r="C10" s="34" t="s">
        <v>227</v>
      </c>
    </row>
    <row r="11" spans="2:8" x14ac:dyDescent="0.25">
      <c r="B11" s="212" t="s">
        <v>230</v>
      </c>
      <c r="H11" t="s">
        <v>231</v>
      </c>
    </row>
    <row r="13" spans="2:8" x14ac:dyDescent="0.25">
      <c r="B13" s="212" t="s">
        <v>232</v>
      </c>
      <c r="C13" s="34" t="s">
        <v>234</v>
      </c>
      <c r="E13" t="s">
        <v>235</v>
      </c>
      <c r="F13" t="s">
        <v>236</v>
      </c>
      <c r="G13" t="s">
        <v>268</v>
      </c>
    </row>
    <row r="14" spans="2:8" ht="30" x14ac:dyDescent="0.25">
      <c r="B14" s="212" t="s">
        <v>233</v>
      </c>
      <c r="C14" s="34" t="s">
        <v>237</v>
      </c>
      <c r="E14" s="33">
        <v>10742.86</v>
      </c>
      <c r="G14" s="33">
        <v>136852.97</v>
      </c>
      <c r="H14" s="6">
        <f>E14+G14+F14</f>
        <v>147595.83000000002</v>
      </c>
    </row>
    <row r="15" spans="2:8" x14ac:dyDescent="0.25">
      <c r="C15" s="34" t="s">
        <v>239</v>
      </c>
      <c r="E15" s="33">
        <v>22537.14</v>
      </c>
      <c r="H15" s="6">
        <f>E15+G15+F15</f>
        <v>22537.14</v>
      </c>
    </row>
    <row r="16" spans="2:8" x14ac:dyDescent="0.25">
      <c r="C16" s="34" t="s">
        <v>240</v>
      </c>
    </row>
    <row r="17" spans="2:8" x14ac:dyDescent="0.25">
      <c r="C17" s="34" t="s">
        <v>60</v>
      </c>
      <c r="D17" s="34" t="s">
        <v>241</v>
      </c>
      <c r="E17" s="33">
        <v>858074.29</v>
      </c>
      <c r="F17" s="33">
        <v>24900.57</v>
      </c>
      <c r="H17" s="6">
        <f>E17+G17+F17</f>
        <v>882974.86</v>
      </c>
    </row>
    <row r="18" spans="2:8" ht="30" x14ac:dyDescent="0.25">
      <c r="C18" s="34" t="s">
        <v>61</v>
      </c>
      <c r="D18" s="34" t="s">
        <v>242</v>
      </c>
      <c r="E18" s="33">
        <v>433097.4</v>
      </c>
      <c r="F18" s="33"/>
      <c r="G18" s="33">
        <v>287015.25</v>
      </c>
      <c r="H18" s="6">
        <f>E18+G18+F18</f>
        <v>720112.65</v>
      </c>
    </row>
    <row r="19" spans="2:8" ht="30" x14ac:dyDescent="0.25">
      <c r="C19" s="34" t="s">
        <v>243</v>
      </c>
      <c r="D19" s="34" t="s">
        <v>244</v>
      </c>
      <c r="E19" s="33">
        <v>258171.43</v>
      </c>
      <c r="F19" s="33"/>
      <c r="G19" s="33">
        <v>93137.15</v>
      </c>
      <c r="H19" s="33">
        <f>E19+F19+G19</f>
        <v>351308.57999999996</v>
      </c>
    </row>
    <row r="20" spans="2:8" ht="60" x14ac:dyDescent="0.25">
      <c r="D20" s="34" t="s">
        <v>245</v>
      </c>
      <c r="E20" t="s">
        <v>246</v>
      </c>
      <c r="F20" t="s">
        <v>247</v>
      </c>
      <c r="G20" t="s">
        <v>238</v>
      </c>
    </row>
    <row r="21" spans="2:8" ht="30" x14ac:dyDescent="0.25">
      <c r="D21" s="34" t="s">
        <v>248</v>
      </c>
      <c r="E21" t="s">
        <v>249</v>
      </c>
      <c r="F21" t="s">
        <v>238</v>
      </c>
      <c r="G21" t="s">
        <v>238</v>
      </c>
    </row>
    <row r="22" spans="2:8" ht="120" x14ac:dyDescent="0.25">
      <c r="D22" s="34" t="s">
        <v>250</v>
      </c>
      <c r="E22" t="s">
        <v>251</v>
      </c>
      <c r="F22" t="s">
        <v>238</v>
      </c>
      <c r="G22" t="s">
        <v>252</v>
      </c>
    </row>
    <row r="23" spans="2:8" x14ac:dyDescent="0.25">
      <c r="C23" s="34" t="s">
        <v>253</v>
      </c>
    </row>
    <row r="24" spans="2:8" x14ac:dyDescent="0.25">
      <c r="C24" s="34" t="s">
        <v>60</v>
      </c>
      <c r="D24" s="34" t="s">
        <v>254</v>
      </c>
      <c r="E24" t="s">
        <v>238</v>
      </c>
      <c r="F24" t="s">
        <v>238</v>
      </c>
      <c r="G24" t="s">
        <v>238</v>
      </c>
      <c r="H24" t="s">
        <v>255</v>
      </c>
    </row>
    <row r="25" spans="2:8" x14ac:dyDescent="0.25">
      <c r="C25" s="34" t="s">
        <v>61</v>
      </c>
      <c r="D25" s="34" t="s">
        <v>254</v>
      </c>
      <c r="E25" t="s">
        <v>238</v>
      </c>
      <c r="F25" t="s">
        <v>238</v>
      </c>
      <c r="G25" t="s">
        <v>238</v>
      </c>
      <c r="H25" t="s">
        <v>255</v>
      </c>
    </row>
    <row r="26" spans="2:8" ht="30" x14ac:dyDescent="0.25">
      <c r="C26" s="34" t="s">
        <v>243</v>
      </c>
      <c r="D26" s="34" t="s">
        <v>256</v>
      </c>
      <c r="E26" t="s">
        <v>257</v>
      </c>
      <c r="F26" t="s">
        <v>238</v>
      </c>
      <c r="G26" t="s">
        <v>238</v>
      </c>
      <c r="H26" t="s">
        <v>258</v>
      </c>
    </row>
    <row r="27" spans="2:8" x14ac:dyDescent="0.25">
      <c r="B27" s="212" t="s">
        <v>259</v>
      </c>
      <c r="E27" t="s">
        <v>260</v>
      </c>
      <c r="F27" t="s">
        <v>261</v>
      </c>
      <c r="G27" t="s">
        <v>262</v>
      </c>
    </row>
    <row r="28" spans="2:8" x14ac:dyDescent="0.25">
      <c r="B28" s="212" t="s">
        <v>263</v>
      </c>
      <c r="H28" t="s">
        <v>264</v>
      </c>
    </row>
    <row r="29" spans="2:8" x14ac:dyDescent="0.25">
      <c r="B29" s="212" t="s">
        <v>232</v>
      </c>
      <c r="C29" s="34" t="s">
        <v>265</v>
      </c>
    </row>
    <row r="30" spans="2:8" x14ac:dyDescent="0.25">
      <c r="B30" s="212" t="s">
        <v>233</v>
      </c>
      <c r="C30" s="34" t="s">
        <v>60</v>
      </c>
      <c r="D30" s="34" t="s">
        <v>269</v>
      </c>
      <c r="E30" t="s">
        <v>266</v>
      </c>
      <c r="F30" t="s">
        <v>238</v>
      </c>
      <c r="G30" t="s">
        <v>238</v>
      </c>
      <c r="H30" t="s">
        <v>267</v>
      </c>
    </row>
    <row r="31" spans="2:8" x14ac:dyDescent="0.25">
      <c r="B31" s="212" t="s">
        <v>270</v>
      </c>
    </row>
    <row r="32" spans="2:8" x14ac:dyDescent="0.25">
      <c r="B32" s="212" t="s">
        <v>271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Y107"/>
  <sheetViews>
    <sheetView topLeftCell="A55" zoomScale="140" zoomScaleNormal="140" workbookViewId="0">
      <selection activeCell="D58" sqref="D58"/>
    </sheetView>
  </sheetViews>
  <sheetFormatPr defaultRowHeight="15" x14ac:dyDescent="0.25"/>
  <cols>
    <col min="1" max="1" width="2.140625" customWidth="1"/>
    <col min="2" max="2" width="34.28515625" customWidth="1"/>
    <col min="3" max="3" width="16" customWidth="1"/>
    <col min="4" max="4" width="21.5703125" customWidth="1"/>
    <col min="5" max="5" width="15.5703125" customWidth="1"/>
    <col min="6" max="6" width="15" customWidth="1"/>
    <col min="7" max="7" width="21" customWidth="1"/>
    <col min="8" max="8" width="16.5703125" style="17" customWidth="1"/>
    <col min="9" max="9" width="11.5703125" style="17" customWidth="1"/>
    <col min="10" max="10" width="9.5703125" style="17" customWidth="1"/>
    <col min="11" max="11" width="10.28515625" customWidth="1"/>
    <col min="12" max="12" width="8" customWidth="1"/>
    <col min="13" max="13" width="12.85546875" customWidth="1"/>
    <col min="14" max="14" width="13.7109375" customWidth="1"/>
    <col min="15" max="15" width="15.5703125" customWidth="1"/>
    <col min="16" max="16" width="13.7109375" customWidth="1"/>
    <col min="17" max="17" width="15.140625" bestFit="1" customWidth="1"/>
    <col min="18" max="18" width="17" customWidth="1"/>
    <col min="19" max="19" width="15.7109375" customWidth="1"/>
    <col min="20" max="20" width="12.7109375" bestFit="1" customWidth="1"/>
    <col min="21" max="21" width="16" customWidth="1"/>
    <col min="22" max="22" width="18.5703125" customWidth="1"/>
    <col min="23" max="23" width="3.5703125" customWidth="1"/>
    <col min="24" max="24" width="11.42578125" customWidth="1"/>
    <col min="25" max="25" width="15.140625" bestFit="1" customWidth="1"/>
  </cols>
  <sheetData>
    <row r="1" spans="2:15" x14ac:dyDescent="0.25">
      <c r="B1" s="111" t="str">
        <f>DatosGenerales!C2</f>
        <v>Programa de Mejora en la Accesibilidad a los Servicios de Salud Materna y Neonatal en Bolivia (BO-L1198)</v>
      </c>
    </row>
    <row r="3" spans="2:15" ht="15.75" thickBot="1" x14ac:dyDescent="0.3">
      <c r="B3" s="363" t="s">
        <v>95</v>
      </c>
      <c r="C3" s="363"/>
      <c r="D3" s="363"/>
      <c r="E3" s="363"/>
      <c r="F3" s="363"/>
    </row>
    <row r="4" spans="2:15" ht="36.75" customHeight="1" x14ac:dyDescent="0.25">
      <c r="B4" s="179" t="s">
        <v>105</v>
      </c>
      <c r="C4" s="180" t="s">
        <v>92</v>
      </c>
      <c r="D4" s="180" t="s">
        <v>93</v>
      </c>
      <c r="E4" s="180" t="s">
        <v>94</v>
      </c>
      <c r="F4" s="179" t="s">
        <v>0</v>
      </c>
      <c r="G4" s="2"/>
      <c r="K4" s="20"/>
      <c r="L4" s="21"/>
      <c r="M4" s="22"/>
    </row>
    <row r="5" spans="2:15" x14ac:dyDescent="0.25">
      <c r="B5" s="1" t="s">
        <v>96</v>
      </c>
      <c r="C5" s="3">
        <v>15086000</v>
      </c>
      <c r="D5" s="110">
        <v>0</v>
      </c>
      <c r="E5" s="110">
        <v>0</v>
      </c>
      <c r="F5" s="4">
        <f t="shared" ref="F5:F14" si="0">SUM(C5:E5)</f>
        <v>15086000</v>
      </c>
      <c r="G5" s="19"/>
      <c r="K5" s="23"/>
      <c r="L5" s="23"/>
      <c r="M5" s="26"/>
    </row>
    <row r="6" spans="2:15" x14ac:dyDescent="0.25">
      <c r="B6" s="1" t="s">
        <v>97</v>
      </c>
      <c r="C6" s="3">
        <v>15086000</v>
      </c>
      <c r="D6" s="110">
        <v>0</v>
      </c>
      <c r="E6" s="110">
        <v>0</v>
      </c>
      <c r="F6" s="4">
        <f t="shared" si="0"/>
        <v>15086000</v>
      </c>
      <c r="G6" s="19"/>
      <c r="K6" s="23"/>
      <c r="L6" s="23"/>
      <c r="M6" s="26"/>
    </row>
    <row r="7" spans="2:15" x14ac:dyDescent="0.25">
      <c r="B7" s="1" t="s">
        <v>98</v>
      </c>
      <c r="C7" s="3">
        <f>G55</f>
        <v>5439759</v>
      </c>
      <c r="D7" s="110">
        <v>0</v>
      </c>
      <c r="E7" s="110">
        <v>0</v>
      </c>
      <c r="F7" s="4">
        <f t="shared" si="0"/>
        <v>5439759</v>
      </c>
      <c r="G7" s="19"/>
      <c r="K7" s="23"/>
      <c r="L7" s="23"/>
      <c r="M7" s="26"/>
    </row>
    <row r="8" spans="2:15" x14ac:dyDescent="0.25">
      <c r="B8" s="1" t="s">
        <v>99</v>
      </c>
      <c r="C8" s="3">
        <v>15086000</v>
      </c>
      <c r="D8" s="110">
        <v>0</v>
      </c>
      <c r="E8" s="110">
        <v>0</v>
      </c>
      <c r="F8" s="4">
        <f t="shared" si="0"/>
        <v>15086000</v>
      </c>
      <c r="G8" s="19"/>
      <c r="K8" s="23"/>
      <c r="L8" s="23"/>
      <c r="M8" s="26"/>
    </row>
    <row r="9" spans="2:15" x14ac:dyDescent="0.25">
      <c r="B9" s="1" t="s">
        <v>100</v>
      </c>
      <c r="C9" s="3">
        <v>15086000</v>
      </c>
      <c r="D9" s="110">
        <v>0</v>
      </c>
      <c r="E9" s="110">
        <v>0</v>
      </c>
      <c r="F9" s="4">
        <f t="shared" si="0"/>
        <v>15086000</v>
      </c>
      <c r="G9" s="19"/>
      <c r="K9" s="23"/>
      <c r="L9" s="23"/>
      <c r="M9" s="26"/>
      <c r="N9" s="19"/>
      <c r="O9" s="19"/>
    </row>
    <row r="10" spans="2:15" x14ac:dyDescent="0.25">
      <c r="B10" s="1" t="s">
        <v>101</v>
      </c>
      <c r="C10" s="3">
        <v>15086000</v>
      </c>
      <c r="D10" s="110">
        <v>0</v>
      </c>
      <c r="E10" s="110">
        <v>0</v>
      </c>
      <c r="F10" s="4">
        <f t="shared" si="0"/>
        <v>15086000</v>
      </c>
      <c r="G10" s="19"/>
      <c r="K10" s="23"/>
      <c r="L10" s="23"/>
      <c r="M10" s="26"/>
    </row>
    <row r="11" spans="2:15" x14ac:dyDescent="0.25">
      <c r="B11" s="1" t="s">
        <v>102</v>
      </c>
      <c r="C11" s="3">
        <v>15086000</v>
      </c>
      <c r="D11" s="110">
        <v>0</v>
      </c>
      <c r="E11" s="110">
        <v>0</v>
      </c>
      <c r="F11" s="4">
        <f t="shared" si="0"/>
        <v>15086000</v>
      </c>
      <c r="G11" s="19"/>
      <c r="K11" s="23"/>
      <c r="L11" s="23"/>
      <c r="M11" s="26"/>
    </row>
    <row r="12" spans="2:15" x14ac:dyDescent="0.25">
      <c r="B12" s="1" t="s">
        <v>103</v>
      </c>
      <c r="C12" s="3">
        <v>15086000</v>
      </c>
      <c r="D12" s="110">
        <v>0</v>
      </c>
      <c r="E12" s="110">
        <v>0</v>
      </c>
      <c r="F12" s="4">
        <f t="shared" si="0"/>
        <v>15086000</v>
      </c>
      <c r="G12" s="19"/>
      <c r="K12" s="23"/>
      <c r="L12" s="23"/>
      <c r="M12" s="26"/>
      <c r="N12" s="19"/>
      <c r="O12" s="19"/>
    </row>
    <row r="13" spans="2:15" x14ac:dyDescent="0.25">
      <c r="B13" s="1" t="s">
        <v>104</v>
      </c>
      <c r="C13" s="3">
        <v>15086000</v>
      </c>
      <c r="D13" s="110">
        <v>0</v>
      </c>
      <c r="E13" s="110">
        <v>0</v>
      </c>
      <c r="F13" s="4">
        <f t="shared" si="0"/>
        <v>15086000</v>
      </c>
      <c r="G13" s="19"/>
      <c r="K13" s="23"/>
      <c r="L13" s="23"/>
      <c r="M13" s="26"/>
    </row>
    <row r="14" spans="2:15" ht="15.75" thickBot="1" x14ac:dyDescent="0.3">
      <c r="B14" s="1" t="s">
        <v>209</v>
      </c>
      <c r="C14" s="3">
        <f>G62</f>
        <v>2372241</v>
      </c>
      <c r="D14" s="110"/>
      <c r="E14" s="110"/>
      <c r="F14" s="4">
        <f t="shared" si="0"/>
        <v>2372241</v>
      </c>
      <c r="G14" s="19"/>
      <c r="K14" s="23"/>
      <c r="L14" s="23"/>
      <c r="M14" s="26"/>
    </row>
    <row r="15" spans="2:15" ht="15.75" thickBot="1" x14ac:dyDescent="0.3">
      <c r="B15" s="179" t="s">
        <v>1</v>
      </c>
      <c r="C15" s="181">
        <f>SUM(C5:C14)</f>
        <v>128500000</v>
      </c>
      <c r="D15" s="182">
        <f>SUM(D5:D13)</f>
        <v>0</v>
      </c>
      <c r="E15" s="182">
        <v>0</v>
      </c>
      <c r="F15" s="181">
        <f>SUM(F5:F14)</f>
        <v>128500000</v>
      </c>
      <c r="G15" s="4"/>
      <c r="K15" s="25"/>
      <c r="L15" s="25"/>
      <c r="M15" s="27"/>
    </row>
    <row r="17" spans="2:13" x14ac:dyDescent="0.25">
      <c r="L17" s="18"/>
    </row>
    <row r="19" spans="2:13" ht="25.5" x14ac:dyDescent="0.25">
      <c r="B19" s="179" t="s">
        <v>105</v>
      </c>
      <c r="C19" s="180" t="s">
        <v>92</v>
      </c>
      <c r="D19" s="180" t="s">
        <v>93</v>
      </c>
      <c r="E19" s="180" t="s">
        <v>94</v>
      </c>
      <c r="F19" s="179" t="s">
        <v>0</v>
      </c>
    </row>
    <row r="20" spans="2:13" x14ac:dyDescent="0.25">
      <c r="B20" s="1" t="s">
        <v>96</v>
      </c>
      <c r="C20" s="3">
        <v>15086000</v>
      </c>
      <c r="D20" s="110">
        <v>0</v>
      </c>
      <c r="E20" s="110">
        <v>0</v>
      </c>
      <c r="F20" s="4">
        <f>SUM(C20:E20)</f>
        <v>15086000</v>
      </c>
    </row>
    <row r="21" spans="2:13" x14ac:dyDescent="0.25">
      <c r="B21" s="1" t="s">
        <v>97</v>
      </c>
      <c r="C21" s="3">
        <v>15086000</v>
      </c>
      <c r="D21" s="110">
        <v>0</v>
      </c>
      <c r="E21" s="110">
        <v>0</v>
      </c>
      <c r="F21" s="4">
        <f t="shared" ref="F21:F29" si="1">SUM(C21:E21)</f>
        <v>15086000</v>
      </c>
    </row>
    <row r="22" spans="2:13" x14ac:dyDescent="0.25">
      <c r="B22" s="1" t="s">
        <v>98</v>
      </c>
      <c r="C22" s="3">
        <f>C7</f>
        <v>5439759</v>
      </c>
      <c r="D22" s="110">
        <v>0</v>
      </c>
      <c r="E22" s="110">
        <v>0</v>
      </c>
      <c r="F22" s="4">
        <f t="shared" si="1"/>
        <v>5439759</v>
      </c>
    </row>
    <row r="23" spans="2:13" x14ac:dyDescent="0.25">
      <c r="B23" s="1" t="s">
        <v>99</v>
      </c>
      <c r="C23" s="3">
        <v>15086000</v>
      </c>
      <c r="D23" s="110">
        <v>0</v>
      </c>
      <c r="E23" s="110">
        <v>0</v>
      </c>
      <c r="F23" s="4">
        <f t="shared" si="1"/>
        <v>15086000</v>
      </c>
    </row>
    <row r="24" spans="2:13" x14ac:dyDescent="0.25">
      <c r="B24" s="1" t="s">
        <v>100</v>
      </c>
      <c r="C24" s="3">
        <v>15086000</v>
      </c>
      <c r="D24" s="110">
        <v>0</v>
      </c>
      <c r="E24" s="110">
        <v>0</v>
      </c>
      <c r="F24" s="4">
        <f t="shared" si="1"/>
        <v>15086000</v>
      </c>
      <c r="L24" s="32"/>
      <c r="M24" s="32"/>
    </row>
    <row r="25" spans="2:13" x14ac:dyDescent="0.25">
      <c r="B25" s="1" t="s">
        <v>101</v>
      </c>
      <c r="C25" s="3">
        <v>15086000</v>
      </c>
      <c r="D25" s="110">
        <v>0</v>
      </c>
      <c r="E25" s="110">
        <v>0</v>
      </c>
      <c r="F25" s="4">
        <f t="shared" si="1"/>
        <v>15086000</v>
      </c>
    </row>
    <row r="26" spans="2:13" x14ac:dyDescent="0.25">
      <c r="B26" s="1" t="s">
        <v>102</v>
      </c>
      <c r="C26" s="3">
        <v>15086000</v>
      </c>
      <c r="D26" s="110">
        <v>0</v>
      </c>
      <c r="E26" s="110">
        <v>0</v>
      </c>
      <c r="F26" s="4">
        <f t="shared" si="1"/>
        <v>15086000</v>
      </c>
    </row>
    <row r="27" spans="2:13" x14ac:dyDescent="0.25">
      <c r="B27" s="1" t="s">
        <v>103</v>
      </c>
      <c r="C27" s="3">
        <v>15086000</v>
      </c>
      <c r="D27" s="110">
        <v>0</v>
      </c>
      <c r="E27" s="110">
        <v>0</v>
      </c>
      <c r="F27" s="4">
        <f t="shared" si="1"/>
        <v>15086000</v>
      </c>
    </row>
    <row r="28" spans="2:13" x14ac:dyDescent="0.25">
      <c r="B28" s="1" t="s">
        <v>104</v>
      </c>
      <c r="C28" s="3">
        <v>15086000</v>
      </c>
      <c r="D28" s="110">
        <v>0</v>
      </c>
      <c r="E28" s="110">
        <v>0</v>
      </c>
      <c r="F28" s="4">
        <f t="shared" si="1"/>
        <v>15086000</v>
      </c>
    </row>
    <row r="29" spans="2:13" x14ac:dyDescent="0.25">
      <c r="B29" s="1" t="s">
        <v>209</v>
      </c>
      <c r="C29" s="3">
        <f>C14</f>
        <v>2372241</v>
      </c>
      <c r="D29" s="110"/>
      <c r="E29" s="110"/>
      <c r="F29" s="4">
        <f t="shared" si="1"/>
        <v>2372241</v>
      </c>
    </row>
    <row r="30" spans="2:13" x14ac:dyDescent="0.25">
      <c r="B30" s="1" t="s">
        <v>1</v>
      </c>
      <c r="C30" s="4">
        <f>SUM(C20:C29)</f>
        <v>128500000</v>
      </c>
      <c r="D30" s="110">
        <f>SUM(D20:D28)</f>
        <v>0</v>
      </c>
      <c r="E30" s="110">
        <f>SUM(E20:E28)</f>
        <v>0</v>
      </c>
      <c r="F30" s="4">
        <f>SUM(F20:F29)</f>
        <v>128500000</v>
      </c>
    </row>
    <row r="31" spans="2:13" x14ac:dyDescent="0.25">
      <c r="B31" s="1"/>
      <c r="C31" s="1"/>
      <c r="D31" s="1"/>
      <c r="E31" s="1"/>
      <c r="F31" s="1"/>
    </row>
    <row r="32" spans="2:13" x14ac:dyDescent="0.25">
      <c r="B32" s="7" t="s">
        <v>4</v>
      </c>
      <c r="C32" s="7" t="s">
        <v>7</v>
      </c>
      <c r="D32" s="7" t="s">
        <v>8</v>
      </c>
      <c r="E32" s="7" t="s">
        <v>6</v>
      </c>
      <c r="F32" s="7" t="s">
        <v>5</v>
      </c>
      <c r="M32" s="30"/>
    </row>
    <row r="33" spans="2:18" x14ac:dyDescent="0.25">
      <c r="B33" s="8" t="s">
        <v>108</v>
      </c>
      <c r="C33" s="9">
        <f>+F15</f>
        <v>128500000</v>
      </c>
      <c r="D33" s="9">
        <f>+F30</f>
        <v>128500000</v>
      </c>
      <c r="E33" s="14"/>
      <c r="F33" s="13">
        <f>D33/$D$42</f>
        <v>0.44734551784160137</v>
      </c>
      <c r="M33" s="30"/>
    </row>
    <row r="34" spans="2:18" x14ac:dyDescent="0.25">
      <c r="B34" s="8" t="s">
        <v>109</v>
      </c>
      <c r="C34" s="9">
        <v>69000000</v>
      </c>
      <c r="D34" s="9">
        <f>+C34</f>
        <v>69000000</v>
      </c>
      <c r="E34" s="14"/>
      <c r="F34" s="13">
        <f>D34/$D$42</f>
        <v>0.24020887728459531</v>
      </c>
      <c r="M34" s="19"/>
    </row>
    <row r="35" spans="2:18" x14ac:dyDescent="0.25">
      <c r="B35" s="8" t="s">
        <v>106</v>
      </c>
      <c r="C35" s="9">
        <v>0</v>
      </c>
      <c r="D35" s="10">
        <f t="shared" ref="D35:D40" si="2">C35</f>
        <v>0</v>
      </c>
      <c r="E35" s="14">
        <f t="shared" ref="E35:E41" si="3">C35/$C$33</f>
        <v>0</v>
      </c>
      <c r="F35" s="13">
        <f t="shared" ref="F35:F41" si="4">D35/$D$42</f>
        <v>0</v>
      </c>
      <c r="M35" s="30"/>
    </row>
    <row r="36" spans="2:18" x14ac:dyDescent="0.25">
      <c r="B36" s="8"/>
      <c r="C36" s="9">
        <v>0</v>
      </c>
      <c r="D36" s="10">
        <f t="shared" si="2"/>
        <v>0</v>
      </c>
      <c r="E36" s="14">
        <f t="shared" si="3"/>
        <v>0</v>
      </c>
      <c r="F36" s="13">
        <f t="shared" si="4"/>
        <v>0</v>
      </c>
      <c r="M36" s="19"/>
    </row>
    <row r="37" spans="2:18" x14ac:dyDescent="0.25">
      <c r="B37" s="8" t="s">
        <v>110</v>
      </c>
      <c r="C37" s="9">
        <v>15000000</v>
      </c>
      <c r="D37" s="10">
        <f t="shared" si="2"/>
        <v>15000000</v>
      </c>
      <c r="E37" s="14">
        <f t="shared" si="3"/>
        <v>0.11673151750972763</v>
      </c>
      <c r="F37" s="13">
        <f t="shared" si="4"/>
        <v>5.2219321148825062E-2</v>
      </c>
      <c r="M37" s="18"/>
    </row>
    <row r="38" spans="2:18" x14ac:dyDescent="0.25">
      <c r="B38" s="8" t="s">
        <v>107</v>
      </c>
      <c r="C38" s="9">
        <v>49500000</v>
      </c>
      <c r="D38" s="10">
        <f t="shared" si="2"/>
        <v>49500000</v>
      </c>
      <c r="E38" s="14">
        <f t="shared" si="3"/>
        <v>0.38521400778210119</v>
      </c>
      <c r="F38" s="13">
        <f t="shared" si="4"/>
        <v>0.17232375979112272</v>
      </c>
      <c r="M38" s="30"/>
    </row>
    <row r="39" spans="2:18" x14ac:dyDescent="0.25">
      <c r="B39" s="8" t="s">
        <v>111</v>
      </c>
      <c r="C39" s="9">
        <v>13000000</v>
      </c>
      <c r="D39" s="10">
        <f t="shared" si="2"/>
        <v>13000000</v>
      </c>
      <c r="E39" s="14">
        <f t="shared" si="3"/>
        <v>0.10116731517509728</v>
      </c>
      <c r="F39" s="13">
        <f>D39/$D$42</f>
        <v>4.5256744995648392E-2</v>
      </c>
      <c r="M39" s="30"/>
    </row>
    <row r="40" spans="2:18" x14ac:dyDescent="0.25">
      <c r="B40" s="8" t="s">
        <v>2</v>
      </c>
      <c r="C40" s="9">
        <v>0</v>
      </c>
      <c r="D40" s="10">
        <f t="shared" si="2"/>
        <v>0</v>
      </c>
      <c r="E40" s="14">
        <f t="shared" si="3"/>
        <v>0</v>
      </c>
      <c r="F40" s="13">
        <f t="shared" si="4"/>
        <v>0</v>
      </c>
      <c r="M40" s="30"/>
    </row>
    <row r="41" spans="2:18" x14ac:dyDescent="0.25">
      <c r="B41" s="8" t="s">
        <v>3</v>
      </c>
      <c r="C41" s="9">
        <v>0</v>
      </c>
      <c r="D41" s="10">
        <v>12250000</v>
      </c>
      <c r="E41" s="14">
        <f t="shared" si="3"/>
        <v>0</v>
      </c>
      <c r="F41" s="13">
        <f t="shared" si="4"/>
        <v>4.2645778938207139E-2</v>
      </c>
      <c r="G41" s="6">
        <f>F41*D42</f>
        <v>12250000</v>
      </c>
      <c r="M41" s="31"/>
    </row>
    <row r="42" spans="2:18" x14ac:dyDescent="0.25">
      <c r="B42" s="11" t="s">
        <v>0</v>
      </c>
      <c r="C42" s="12">
        <f>SUM(C33:C41)</f>
        <v>275000000</v>
      </c>
      <c r="D42" s="12">
        <f>SUM(D33:D41)</f>
        <v>287250000</v>
      </c>
      <c r="E42" s="15"/>
      <c r="F42" s="16">
        <f>SUM(F33:F41)</f>
        <v>0.99999999999999989</v>
      </c>
      <c r="M42" s="31"/>
    </row>
    <row r="44" spans="2:18" x14ac:dyDescent="0.25">
      <c r="B44" s="28"/>
      <c r="C44" s="207"/>
    </row>
    <row r="45" spans="2:18" x14ac:dyDescent="0.25">
      <c r="B45" s="28"/>
      <c r="C45" s="29"/>
      <c r="D45" s="29"/>
      <c r="E45" s="84"/>
    </row>
    <row r="46" spans="2:18" x14ac:dyDescent="0.25">
      <c r="B46" s="28"/>
      <c r="C46" s="29"/>
      <c r="D46" s="18"/>
    </row>
    <row r="47" spans="2:18" x14ac:dyDescent="0.25">
      <c r="B47" s="28"/>
      <c r="E47" s="6"/>
    </row>
    <row r="48" spans="2:18" x14ac:dyDescent="0.25">
      <c r="B48" s="28"/>
      <c r="C48" s="33"/>
      <c r="D48" s="6"/>
      <c r="I48" s="119"/>
      <c r="R48" s="33">
        <v>15086000</v>
      </c>
    </row>
    <row r="49" spans="1:25" ht="24.75" customHeight="1" x14ac:dyDescent="0.25">
      <c r="B49" s="87" t="s">
        <v>56</v>
      </c>
      <c r="F49" s="111"/>
      <c r="G49" s="111"/>
      <c r="H49" s="112"/>
      <c r="I49" s="113"/>
      <c r="R49" s="6">
        <f>R48-R53</f>
        <v>0</v>
      </c>
    </row>
    <row r="50" spans="1:25" ht="6.75" customHeight="1" x14ac:dyDescent="0.25">
      <c r="A50" s="56"/>
      <c r="B50" s="55"/>
      <c r="C50" s="56"/>
      <c r="D50" s="56"/>
      <c r="E50" s="56"/>
      <c r="F50" s="56"/>
      <c r="G50" s="56"/>
      <c r="H50" s="57"/>
      <c r="I50" s="57"/>
      <c r="J50" s="57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</row>
    <row r="51" spans="1:25" x14ac:dyDescent="0.25">
      <c r="A51" s="56"/>
      <c r="C51" s="63" t="s">
        <v>72</v>
      </c>
      <c r="D51" s="61">
        <v>0.05</v>
      </c>
      <c r="E51" s="61">
        <v>0.09</v>
      </c>
      <c r="F51" s="62"/>
      <c r="G51" s="199" t="s">
        <v>129</v>
      </c>
      <c r="H51" s="200">
        <v>2.92E-2</v>
      </c>
      <c r="I51" s="198"/>
      <c r="J51" s="198"/>
      <c r="K51" s="198"/>
      <c r="L51" s="198"/>
      <c r="M51" s="198"/>
      <c r="N51" s="198"/>
      <c r="O51" s="114"/>
      <c r="P51" s="364" t="s">
        <v>44</v>
      </c>
      <c r="Q51" s="365" t="s">
        <v>43</v>
      </c>
      <c r="R51" s="366" t="s">
        <v>0</v>
      </c>
      <c r="S51" s="366" t="s">
        <v>54</v>
      </c>
      <c r="T51" s="366" t="s">
        <v>37</v>
      </c>
      <c r="U51" s="366" t="s">
        <v>55</v>
      </c>
      <c r="V51" s="366" t="s">
        <v>58</v>
      </c>
      <c r="W51" s="56"/>
    </row>
    <row r="52" spans="1:25" s="34" customFormat="1" ht="26.25" x14ac:dyDescent="0.25">
      <c r="A52" s="109"/>
      <c r="B52" s="53" t="s">
        <v>74</v>
      </c>
      <c r="C52" s="53" t="s">
        <v>73</v>
      </c>
      <c r="D52" s="64" t="s">
        <v>46</v>
      </c>
      <c r="E52" s="53" t="s">
        <v>47</v>
      </c>
      <c r="F52" s="65" t="s">
        <v>45</v>
      </c>
      <c r="G52" s="53" t="s">
        <v>44</v>
      </c>
      <c r="H52" s="53" t="s">
        <v>132</v>
      </c>
      <c r="I52" s="53"/>
      <c r="J52" s="53"/>
      <c r="K52" s="53"/>
      <c r="L52" s="53"/>
      <c r="M52" s="53"/>
      <c r="N52" s="105" t="s">
        <v>133</v>
      </c>
      <c r="O52" s="105" t="s">
        <v>130</v>
      </c>
      <c r="P52" s="364"/>
      <c r="Q52" s="365"/>
      <c r="R52" s="366"/>
      <c r="S52" s="366"/>
      <c r="T52" s="366"/>
      <c r="U52" s="366"/>
      <c r="V52" s="366"/>
      <c r="W52" s="109"/>
    </row>
    <row r="53" spans="1:25" x14ac:dyDescent="0.25">
      <c r="A53" s="56"/>
      <c r="B53" s="1" t="s">
        <v>96</v>
      </c>
      <c r="C53" s="202">
        <f>'Palos Blancos'!H37</f>
        <v>8250000.0000000009</v>
      </c>
      <c r="D53" s="58">
        <f>$D$51*$C53</f>
        <v>412500.00000000006</v>
      </c>
      <c r="E53" s="58">
        <f>$C53*$E$51</f>
        <v>742500</v>
      </c>
      <c r="F53" s="103">
        <f>C53+D53+E53</f>
        <v>9405000.0000000019</v>
      </c>
      <c r="G53" s="69">
        <f>'Palos Blancos'!H39</f>
        <v>5439759</v>
      </c>
      <c r="H53" s="58">
        <f>C53*$H$51+341</f>
        <v>241241.00000000003</v>
      </c>
      <c r="I53" s="58"/>
      <c r="J53" s="58"/>
      <c r="K53" s="58"/>
      <c r="L53" s="58">
        <f>$D$51*(K53)</f>
        <v>0</v>
      </c>
      <c r="M53" s="59">
        <f>K53*$E$51</f>
        <v>0</v>
      </c>
      <c r="N53" s="88">
        <f>SUM(G53:M53)</f>
        <v>5681000</v>
      </c>
      <c r="O53" s="88">
        <f>G53</f>
        <v>5439759</v>
      </c>
      <c r="P53" s="58">
        <f t="shared" ref="P53:P59" si="5">1000000*0</f>
        <v>0</v>
      </c>
      <c r="Q53" s="58"/>
      <c r="R53" s="60">
        <f>F53+N53+P53+Q53</f>
        <v>15086000.000000002</v>
      </c>
      <c r="S53" s="59">
        <f>R53-Q53</f>
        <v>15086000.000000002</v>
      </c>
      <c r="T53" s="116"/>
      <c r="U53" s="117"/>
      <c r="V53" s="6">
        <f>T53+U53</f>
        <v>0</v>
      </c>
      <c r="W53" s="56"/>
      <c r="Y53" s="6"/>
    </row>
    <row r="54" spans="1:25" x14ac:dyDescent="0.25">
      <c r="A54" s="56"/>
      <c r="B54" s="1" t="s">
        <v>97</v>
      </c>
      <c r="C54" s="58">
        <f>Ixiamas!H37</f>
        <v>8250000.0000000009</v>
      </c>
      <c r="D54" s="58">
        <f t="shared" ref="D54:D61" si="6">$D$51*$C54</f>
        <v>412500.00000000006</v>
      </c>
      <c r="E54" s="58">
        <f t="shared" ref="E54:E61" si="7">$C54*$E$51</f>
        <v>742500</v>
      </c>
      <c r="F54" s="103">
        <f t="shared" ref="F54:F64" si="8">C54+D54+E54</f>
        <v>9405000.0000000019</v>
      </c>
      <c r="G54" s="70">
        <f>'Componente 2'!F22</f>
        <v>5439759</v>
      </c>
      <c r="H54" s="58">
        <f t="shared" ref="H54:H61" si="9">C54*$H$51+341</f>
        <v>241241.00000000003</v>
      </c>
      <c r="I54" s="58"/>
      <c r="J54" s="58"/>
      <c r="K54" s="58"/>
      <c r="L54" s="58">
        <f t="shared" ref="L54:L62" si="10">$D$51*(K54)</f>
        <v>0</v>
      </c>
      <c r="M54" s="59">
        <f t="shared" ref="M54:M62" si="11">K54*$E$51</f>
        <v>0</v>
      </c>
      <c r="N54" s="88">
        <f t="shared" ref="N54:N62" si="12">SUM(G54:M54)</f>
        <v>5681000</v>
      </c>
      <c r="O54" s="88">
        <f>G54</f>
        <v>5439759</v>
      </c>
      <c r="P54" s="58">
        <f t="shared" si="5"/>
        <v>0</v>
      </c>
      <c r="Q54" s="58"/>
      <c r="R54" s="60">
        <f t="shared" ref="R54:R64" si="13">F54+N54+P54+Q54</f>
        <v>15086000.000000002</v>
      </c>
      <c r="S54" s="59">
        <f>R54-Q54</f>
        <v>15086000.000000002</v>
      </c>
      <c r="T54" s="116"/>
      <c r="U54" s="117"/>
      <c r="V54" s="6">
        <f t="shared" ref="V54:V62" si="14">T54+U54</f>
        <v>0</v>
      </c>
      <c r="W54" s="56"/>
      <c r="Y54" s="6"/>
    </row>
    <row r="55" spans="1:25" x14ac:dyDescent="0.25">
      <c r="A55" s="56"/>
      <c r="B55" s="1" t="s">
        <v>98</v>
      </c>
      <c r="C55" s="58">
        <f>'Puerto Suarez'!H37</f>
        <v>0</v>
      </c>
      <c r="D55" s="58">
        <f t="shared" si="6"/>
        <v>0</v>
      </c>
      <c r="E55" s="58">
        <f t="shared" si="7"/>
        <v>0</v>
      </c>
      <c r="F55" s="103">
        <f t="shared" si="8"/>
        <v>0</v>
      </c>
      <c r="G55" s="70">
        <f>'Componente 2'!F29</f>
        <v>5439759</v>
      </c>
      <c r="H55" s="58">
        <f>C55*$H$51</f>
        <v>0</v>
      </c>
      <c r="I55" s="58"/>
      <c r="J55" s="58"/>
      <c r="K55" s="58"/>
      <c r="L55" s="58">
        <f t="shared" si="10"/>
        <v>0</v>
      </c>
      <c r="M55" s="59">
        <f t="shared" si="11"/>
        <v>0</v>
      </c>
      <c r="N55" s="88">
        <f t="shared" si="12"/>
        <v>5439759</v>
      </c>
      <c r="O55" s="88">
        <f t="shared" ref="O55:O61" si="15">G55</f>
        <v>5439759</v>
      </c>
      <c r="P55" s="58">
        <f t="shared" si="5"/>
        <v>0</v>
      </c>
      <c r="Q55" s="58">
        <f>750000*0</f>
        <v>0</v>
      </c>
      <c r="R55" s="60">
        <f>F55+N55+P55+Q55</f>
        <v>5439759</v>
      </c>
      <c r="S55" s="59">
        <f t="shared" ref="S55:S62" si="16">R55-Q55</f>
        <v>5439759</v>
      </c>
      <c r="T55" s="116"/>
      <c r="U55" s="117"/>
      <c r="V55" s="6">
        <f t="shared" si="14"/>
        <v>0</v>
      </c>
      <c r="W55" s="56"/>
    </row>
    <row r="56" spans="1:25" x14ac:dyDescent="0.25">
      <c r="A56" s="56"/>
      <c r="B56" s="1" t="s">
        <v>99</v>
      </c>
      <c r="C56" s="58">
        <f>'El Torno'!H37</f>
        <v>8250000.0000000009</v>
      </c>
      <c r="D56" s="58">
        <f t="shared" si="6"/>
        <v>412500.00000000006</v>
      </c>
      <c r="E56" s="58">
        <f t="shared" si="7"/>
        <v>742500</v>
      </c>
      <c r="F56" s="103">
        <f t="shared" si="8"/>
        <v>9405000.0000000019</v>
      </c>
      <c r="G56" s="70">
        <f>'Componente 2'!F23</f>
        <v>5439759</v>
      </c>
      <c r="H56" s="58">
        <f t="shared" si="9"/>
        <v>241241.00000000003</v>
      </c>
      <c r="I56" s="58"/>
      <c r="J56" s="58"/>
      <c r="K56" s="58"/>
      <c r="L56" s="58">
        <f t="shared" si="10"/>
        <v>0</v>
      </c>
      <c r="M56" s="59">
        <f t="shared" si="11"/>
        <v>0</v>
      </c>
      <c r="N56" s="88">
        <f t="shared" si="12"/>
        <v>5681000</v>
      </c>
      <c r="O56" s="88">
        <f t="shared" si="15"/>
        <v>5439759</v>
      </c>
      <c r="P56" s="58">
        <f t="shared" si="5"/>
        <v>0</v>
      </c>
      <c r="Q56" s="58">
        <f>750000*0</f>
        <v>0</v>
      </c>
      <c r="R56" s="60">
        <f t="shared" si="13"/>
        <v>15086000.000000002</v>
      </c>
      <c r="S56" s="59">
        <f t="shared" si="16"/>
        <v>15086000.000000002</v>
      </c>
      <c r="T56" s="116"/>
      <c r="U56" s="117"/>
      <c r="V56" s="6">
        <f t="shared" si="14"/>
        <v>0</v>
      </c>
      <c r="W56" s="56"/>
    </row>
    <row r="57" spans="1:25" x14ac:dyDescent="0.25">
      <c r="A57" s="56"/>
      <c r="B57" s="1" t="s">
        <v>100</v>
      </c>
      <c r="C57" s="58">
        <f>Camiri!H37</f>
        <v>8250000.0000000009</v>
      </c>
      <c r="D57" s="58">
        <f t="shared" si="6"/>
        <v>412500.00000000006</v>
      </c>
      <c r="E57" s="58">
        <f t="shared" si="7"/>
        <v>742500</v>
      </c>
      <c r="F57" s="103">
        <f t="shared" si="8"/>
        <v>9405000.0000000019</v>
      </c>
      <c r="G57" s="70">
        <f>'Componente 2'!F24</f>
        <v>5439759</v>
      </c>
      <c r="H57" s="58">
        <f t="shared" si="9"/>
        <v>241241.00000000003</v>
      </c>
      <c r="I57" s="58"/>
      <c r="J57" s="58"/>
      <c r="K57" s="58"/>
      <c r="L57" s="58">
        <f t="shared" si="10"/>
        <v>0</v>
      </c>
      <c r="M57" s="59">
        <f t="shared" si="11"/>
        <v>0</v>
      </c>
      <c r="N57" s="88">
        <f t="shared" si="12"/>
        <v>5681000</v>
      </c>
      <c r="O57" s="88">
        <f t="shared" si="15"/>
        <v>5439759</v>
      </c>
      <c r="P57" s="58">
        <f t="shared" si="5"/>
        <v>0</v>
      </c>
      <c r="Q57" s="58">
        <f>750000*0</f>
        <v>0</v>
      </c>
      <c r="R57" s="60">
        <f t="shared" si="13"/>
        <v>15086000.000000002</v>
      </c>
      <c r="S57" s="59">
        <f t="shared" si="16"/>
        <v>15086000.000000002</v>
      </c>
      <c r="T57" s="116"/>
      <c r="U57" s="117"/>
      <c r="V57" s="6">
        <f t="shared" si="14"/>
        <v>0</v>
      </c>
      <c r="W57" s="56"/>
    </row>
    <row r="58" spans="1:25" x14ac:dyDescent="0.25">
      <c r="A58" s="56"/>
      <c r="B58" s="1" t="s">
        <v>101</v>
      </c>
      <c r="C58" s="58">
        <f>'San Borja'!H37</f>
        <v>8250000.0000000009</v>
      </c>
      <c r="D58" s="58">
        <f t="shared" si="6"/>
        <v>412500.00000000006</v>
      </c>
      <c r="E58" s="58">
        <f t="shared" si="7"/>
        <v>742500</v>
      </c>
      <c r="F58" s="103">
        <f t="shared" si="8"/>
        <v>9405000.0000000019</v>
      </c>
      <c r="G58" s="70">
        <f>'Componente 2'!F25</f>
        <v>5439759</v>
      </c>
      <c r="H58" s="58">
        <f t="shared" si="9"/>
        <v>241241.00000000003</v>
      </c>
      <c r="I58" s="58"/>
      <c r="J58" s="58"/>
      <c r="K58" s="58"/>
      <c r="L58" s="58">
        <f t="shared" si="10"/>
        <v>0</v>
      </c>
      <c r="M58" s="59">
        <f t="shared" si="11"/>
        <v>0</v>
      </c>
      <c r="N58" s="88">
        <f t="shared" si="12"/>
        <v>5681000</v>
      </c>
      <c r="O58" s="88">
        <f t="shared" si="15"/>
        <v>5439759</v>
      </c>
      <c r="P58" s="58">
        <f t="shared" si="5"/>
        <v>0</v>
      </c>
      <c r="Q58" s="58">
        <f>750000*0</f>
        <v>0</v>
      </c>
      <c r="R58" s="60">
        <f t="shared" si="13"/>
        <v>15086000.000000002</v>
      </c>
      <c r="S58" s="59">
        <f t="shared" si="16"/>
        <v>15086000.000000002</v>
      </c>
      <c r="T58" s="116"/>
      <c r="U58" s="117"/>
      <c r="V58" s="6">
        <f t="shared" si="14"/>
        <v>0</v>
      </c>
      <c r="W58" s="56"/>
      <c r="X58" s="59"/>
    </row>
    <row r="59" spans="1:25" x14ac:dyDescent="0.25">
      <c r="A59" s="56"/>
      <c r="B59" s="1" t="s">
        <v>102</v>
      </c>
      <c r="C59" s="58">
        <f>Monteagudo!H37</f>
        <v>8250000.0000000009</v>
      </c>
      <c r="D59" s="58">
        <f t="shared" si="6"/>
        <v>412500.00000000006</v>
      </c>
      <c r="E59" s="58">
        <f t="shared" si="7"/>
        <v>742500</v>
      </c>
      <c r="F59" s="103">
        <f t="shared" si="8"/>
        <v>9405000.0000000019</v>
      </c>
      <c r="G59" s="70">
        <f>'Componente 2'!F26</f>
        <v>5439759</v>
      </c>
      <c r="H59" s="58">
        <f t="shared" si="9"/>
        <v>241241.00000000003</v>
      </c>
      <c r="I59" s="58"/>
      <c r="J59" s="58"/>
      <c r="K59" s="58"/>
      <c r="L59" s="58">
        <f t="shared" si="10"/>
        <v>0</v>
      </c>
      <c r="M59" s="59"/>
      <c r="N59" s="88">
        <f t="shared" si="12"/>
        <v>5681000</v>
      </c>
      <c r="O59" s="88">
        <f t="shared" si="15"/>
        <v>5439759</v>
      </c>
      <c r="P59" s="58">
        <f t="shared" si="5"/>
        <v>0</v>
      </c>
      <c r="Q59" s="58">
        <f>1000000*0</f>
        <v>0</v>
      </c>
      <c r="R59" s="60">
        <f t="shared" si="13"/>
        <v>15086000.000000002</v>
      </c>
      <c r="S59" s="59">
        <f t="shared" si="16"/>
        <v>15086000.000000002</v>
      </c>
      <c r="T59" s="116"/>
      <c r="U59" s="117"/>
      <c r="V59" s="6">
        <f t="shared" si="14"/>
        <v>0</v>
      </c>
      <c r="W59" s="56"/>
    </row>
    <row r="60" spans="1:25" x14ac:dyDescent="0.25">
      <c r="A60" s="56"/>
      <c r="B60" s="1" t="s">
        <v>103</v>
      </c>
      <c r="C60" s="58">
        <f>Villazón!H37</f>
        <v>8250000.0000000009</v>
      </c>
      <c r="D60" s="58">
        <f t="shared" si="6"/>
        <v>412500.00000000006</v>
      </c>
      <c r="E60" s="58">
        <f t="shared" si="7"/>
        <v>742500</v>
      </c>
      <c r="F60" s="103">
        <f t="shared" si="8"/>
        <v>9405000.0000000019</v>
      </c>
      <c r="G60" s="70">
        <f>'Componente 2'!F27</f>
        <v>5439759</v>
      </c>
      <c r="H60" s="58">
        <f t="shared" si="9"/>
        <v>241241.00000000003</v>
      </c>
      <c r="I60" s="58"/>
      <c r="J60" s="58"/>
      <c r="K60" s="58"/>
      <c r="L60" s="58">
        <f t="shared" si="10"/>
        <v>0</v>
      </c>
      <c r="M60" s="59">
        <f t="shared" si="11"/>
        <v>0</v>
      </c>
      <c r="N60" s="88">
        <f t="shared" si="12"/>
        <v>5681000</v>
      </c>
      <c r="O60" s="88">
        <f t="shared" si="15"/>
        <v>5439759</v>
      </c>
      <c r="P60" s="58">
        <f>500000*0</f>
        <v>0</v>
      </c>
      <c r="Q60" s="58">
        <f>500000*0</f>
        <v>0</v>
      </c>
      <c r="R60" s="60">
        <f t="shared" si="13"/>
        <v>15086000.000000002</v>
      </c>
      <c r="S60" s="59">
        <f t="shared" si="16"/>
        <v>15086000.000000002</v>
      </c>
      <c r="T60" s="116"/>
      <c r="U60" s="117"/>
      <c r="V60" s="6">
        <f t="shared" si="14"/>
        <v>0</v>
      </c>
      <c r="W60" s="56"/>
    </row>
    <row r="61" spans="1:25" x14ac:dyDescent="0.25">
      <c r="A61" s="56"/>
      <c r="B61" s="1" t="s">
        <v>104</v>
      </c>
      <c r="C61" s="58">
        <f>Tupiza!H37</f>
        <v>8250000.0000000009</v>
      </c>
      <c r="D61" s="58">
        <f t="shared" si="6"/>
        <v>412500.00000000006</v>
      </c>
      <c r="E61" s="58">
        <f t="shared" si="7"/>
        <v>742500</v>
      </c>
      <c r="F61" s="103">
        <f t="shared" si="8"/>
        <v>9405000.0000000019</v>
      </c>
      <c r="G61" s="70">
        <f>'Componente 2'!F28</f>
        <v>5439759</v>
      </c>
      <c r="H61" s="58">
        <f t="shared" si="9"/>
        <v>241241.00000000003</v>
      </c>
      <c r="I61" s="58"/>
      <c r="J61" s="58"/>
      <c r="K61" s="58"/>
      <c r="L61" s="58">
        <f t="shared" si="10"/>
        <v>0</v>
      </c>
      <c r="M61" s="59">
        <f t="shared" si="11"/>
        <v>0</v>
      </c>
      <c r="N61" s="88">
        <f t="shared" si="12"/>
        <v>5681000</v>
      </c>
      <c r="O61" s="88">
        <f t="shared" si="15"/>
        <v>5439759</v>
      </c>
      <c r="P61" s="58">
        <f>500000*0</f>
        <v>0</v>
      </c>
      <c r="Q61" s="58">
        <f>500000*0</f>
        <v>0</v>
      </c>
      <c r="R61" s="60">
        <f t="shared" si="13"/>
        <v>15086000.000000002</v>
      </c>
      <c r="S61" s="59">
        <f t="shared" si="16"/>
        <v>15086000.000000002</v>
      </c>
      <c r="T61" s="116"/>
      <c r="U61" s="117"/>
      <c r="V61" s="6">
        <f t="shared" si="14"/>
        <v>0</v>
      </c>
      <c r="W61" s="56"/>
    </row>
    <row r="62" spans="1:25" x14ac:dyDescent="0.25">
      <c r="A62" s="56"/>
      <c r="B62" s="85" t="s">
        <v>177</v>
      </c>
      <c r="C62" s="120"/>
      <c r="D62" s="58"/>
      <c r="E62" s="58"/>
      <c r="F62" s="103">
        <f t="shared" si="8"/>
        <v>0</v>
      </c>
      <c r="G62" s="69">
        <v>2372241</v>
      </c>
      <c r="H62" s="54"/>
      <c r="I62" s="58"/>
      <c r="J62" s="58"/>
      <c r="K62" s="58"/>
      <c r="L62" s="58">
        <f t="shared" si="10"/>
        <v>0</v>
      </c>
      <c r="M62" s="59">
        <f t="shared" si="11"/>
        <v>0</v>
      </c>
      <c r="N62" s="88">
        <f t="shared" si="12"/>
        <v>2372241</v>
      </c>
      <c r="O62" s="88">
        <f t="shared" ref="O62" si="17">N62</f>
        <v>2372241</v>
      </c>
      <c r="P62" s="58">
        <f>1000000*0</f>
        <v>0</v>
      </c>
      <c r="Q62" s="58">
        <f>500000*0</f>
        <v>0</v>
      </c>
      <c r="R62" s="60">
        <f t="shared" si="13"/>
        <v>2372241</v>
      </c>
      <c r="S62" s="59">
        <f t="shared" si="16"/>
        <v>2372241</v>
      </c>
      <c r="T62" s="116"/>
      <c r="U62" s="117"/>
      <c r="V62" s="6">
        <f t="shared" si="14"/>
        <v>0</v>
      </c>
      <c r="W62" s="56"/>
    </row>
    <row r="63" spans="1:25" s="100" customFormat="1" ht="5.25" customHeight="1" x14ac:dyDescent="0.25">
      <c r="A63" s="56"/>
      <c r="B63" s="89"/>
      <c r="C63" s="90"/>
      <c r="D63" s="90"/>
      <c r="E63" s="90"/>
      <c r="F63" s="91"/>
      <c r="G63" s="92"/>
      <c r="H63" s="93"/>
      <c r="I63" s="90"/>
      <c r="J63" s="90"/>
      <c r="K63" s="94"/>
      <c r="L63" s="90"/>
      <c r="M63" s="95"/>
      <c r="N63" s="96"/>
      <c r="O63" s="96"/>
      <c r="P63" s="90"/>
      <c r="Q63" s="90"/>
      <c r="R63" s="97"/>
      <c r="S63" s="95"/>
      <c r="T63" s="98"/>
      <c r="U63" s="99"/>
      <c r="V63" s="99"/>
      <c r="W63" s="56"/>
    </row>
    <row r="64" spans="1:25" ht="17.25" customHeight="1" x14ac:dyDescent="0.25">
      <c r="B64" s="66" t="s">
        <v>48</v>
      </c>
      <c r="C64" s="102">
        <f>SUM(C53:C62)</f>
        <v>66000000.000000007</v>
      </c>
      <c r="D64" s="102">
        <f>SUM(D53:D62)</f>
        <v>3300000.0000000005</v>
      </c>
      <c r="E64" s="102">
        <f>SUM(E53:E62)</f>
        <v>5940000</v>
      </c>
      <c r="F64" s="104">
        <f t="shared" si="8"/>
        <v>75240000.000000015</v>
      </c>
      <c r="G64" s="106">
        <f t="shared" ref="G64:M64" si="18">SUM(G53:G62)</f>
        <v>51330072</v>
      </c>
      <c r="H64" s="106">
        <f t="shared" si="18"/>
        <v>1929928.0000000002</v>
      </c>
      <c r="I64" s="106">
        <f t="shared" si="18"/>
        <v>0</v>
      </c>
      <c r="J64" s="106">
        <f t="shared" si="18"/>
        <v>0</v>
      </c>
      <c r="K64" s="106">
        <f t="shared" si="18"/>
        <v>0</v>
      </c>
      <c r="L64" s="106">
        <f t="shared" si="18"/>
        <v>0</v>
      </c>
      <c r="M64" s="106">
        <f t="shared" si="18"/>
        <v>0</v>
      </c>
      <c r="N64" s="106">
        <f>SUM(G64:M64)</f>
        <v>53260000</v>
      </c>
      <c r="O64" s="106">
        <f>SUM(O53:O62)</f>
        <v>51330072</v>
      </c>
      <c r="P64" s="101">
        <f>SUM(P53:P62)</f>
        <v>0</v>
      </c>
      <c r="Q64" s="108">
        <f>SUM(Q53:Q62)</f>
        <v>0</v>
      </c>
      <c r="R64" s="107">
        <f t="shared" si="13"/>
        <v>128500000.00000001</v>
      </c>
      <c r="S64" s="107">
        <f>R64-Q64</f>
        <v>128500000.00000001</v>
      </c>
      <c r="T64" s="107">
        <f>SUM(T53:T62)</f>
        <v>0</v>
      </c>
      <c r="U64" s="107">
        <f>SUM(U53:U62)</f>
        <v>0</v>
      </c>
      <c r="V64" s="107">
        <f>SUM(V53:V62)</f>
        <v>0</v>
      </c>
      <c r="X64" s="32">
        <f>+V64/R64</f>
        <v>0</v>
      </c>
    </row>
    <row r="65" spans="2:24" x14ac:dyDescent="0.25">
      <c r="G65" s="58"/>
      <c r="I65" s="58"/>
      <c r="J65" s="58"/>
      <c r="R65" s="33">
        <f>J68</f>
        <v>0</v>
      </c>
    </row>
    <row r="66" spans="2:24" x14ac:dyDescent="0.25">
      <c r="C66" s="33"/>
      <c r="D66" s="33"/>
      <c r="E66" s="30"/>
      <c r="G66" s="71"/>
      <c r="I66" s="58"/>
      <c r="J66" s="58"/>
      <c r="R66" s="67">
        <f>R64+R65</f>
        <v>128500000.00000001</v>
      </c>
    </row>
    <row r="67" spans="2:24" x14ac:dyDescent="0.25">
      <c r="B67" s="111" t="s">
        <v>52</v>
      </c>
      <c r="K67" s="6"/>
      <c r="Q67" s="115"/>
      <c r="S67" s="86"/>
    </row>
    <row r="68" spans="2:24" ht="17.25" customHeight="1" x14ac:dyDescent="0.25">
      <c r="B68" s="72" t="s">
        <v>4</v>
      </c>
      <c r="C68" s="72"/>
      <c r="D68" s="72" t="s">
        <v>8</v>
      </c>
      <c r="E68" s="72" t="s">
        <v>6</v>
      </c>
      <c r="F68" s="72" t="s">
        <v>5</v>
      </c>
      <c r="J68" s="33"/>
      <c r="M68" s="59"/>
      <c r="P68" s="121"/>
      <c r="Q68" s="118"/>
      <c r="S68" s="6"/>
    </row>
    <row r="69" spans="2:24" ht="15.75" thickBot="1" x14ac:dyDescent="0.3">
      <c r="B69" s="76" t="s">
        <v>49</v>
      </c>
      <c r="C69" s="77"/>
      <c r="D69" s="347">
        <f>CuadroCostos!C5</f>
        <v>16599999.962199999</v>
      </c>
      <c r="E69" s="7"/>
      <c r="F69" s="13">
        <f>D69/$D$81</f>
        <v>6.0363636194000335E-2</v>
      </c>
      <c r="K69" s="6"/>
      <c r="M69" s="6"/>
      <c r="P69" s="121"/>
      <c r="Q69" s="118"/>
    </row>
    <row r="70" spans="2:24" ht="15.75" thickBot="1" x14ac:dyDescent="0.3">
      <c r="B70" s="78" t="str">
        <f>B37</f>
        <v>Componente 1.1. Implementación CONE…</v>
      </c>
      <c r="C70" s="79"/>
      <c r="D70" s="349">
        <f>CuadroCostos!C7</f>
        <v>1199999.9523999998</v>
      </c>
      <c r="E70" s="13"/>
      <c r="F70" s="13">
        <f>D70/$D$81</f>
        <v>4.3636361882190824E-3</v>
      </c>
      <c r="K70" s="6"/>
      <c r="N70" s="368"/>
      <c r="O70" s="369"/>
      <c r="P70" s="132"/>
      <c r="Q70" s="134"/>
      <c r="R70" s="136"/>
      <c r="S70" s="21"/>
      <c r="T70" s="370"/>
      <c r="U70" s="372"/>
    </row>
    <row r="71" spans="2:24" ht="15.75" thickBot="1" x14ac:dyDescent="0.3">
      <c r="B71" s="80" t="s">
        <v>50</v>
      </c>
      <c r="C71" s="79"/>
      <c r="D71" s="82">
        <f>SUM(D72:D77)</f>
        <v>249700000.14968807</v>
      </c>
      <c r="E71" s="13"/>
      <c r="F71" s="13">
        <f>D71/D81</f>
        <v>0.90800000006024095</v>
      </c>
      <c r="N71" s="127"/>
      <c r="O71" s="143"/>
      <c r="P71" s="144"/>
      <c r="Q71" s="127"/>
      <c r="R71" s="137"/>
      <c r="S71" s="128"/>
      <c r="T71" s="371"/>
      <c r="U71" s="373"/>
    </row>
    <row r="72" spans="2:24" x14ac:dyDescent="0.25">
      <c r="B72" s="78" t="str">
        <f>B38</f>
        <v>Componente 2.1 Equipamiento complementario</v>
      </c>
      <c r="C72" s="79"/>
      <c r="D72" s="349">
        <f>'Componente 2'!H3</f>
        <v>49500000.148688048</v>
      </c>
      <c r="E72" s="13">
        <f>D72/$D$71</f>
        <v>0.19823788593918384</v>
      </c>
      <c r="F72" s="13">
        <f>D72/$D$81</f>
        <v>0.18000000044472098</v>
      </c>
      <c r="G72" s="6"/>
      <c r="N72" s="122"/>
      <c r="O72" s="122"/>
      <c r="P72" s="126"/>
      <c r="Q72" s="135"/>
      <c r="R72" s="138"/>
      <c r="S72" s="123"/>
      <c r="T72" s="141"/>
      <c r="U72" s="124"/>
    </row>
    <row r="73" spans="2:24" ht="15.75" thickBot="1" x14ac:dyDescent="0.3">
      <c r="B73" s="193" t="str">
        <f>B33</f>
        <v>Costos Hospitales 2do nivel y demás</v>
      </c>
      <c r="C73" s="79"/>
      <c r="D73" s="349">
        <f>'Componente 2'!H18</f>
        <v>128500000.00000001</v>
      </c>
      <c r="E73" s="13">
        <f>D73/$D$71</f>
        <v>0.5146175407407606</v>
      </c>
      <c r="F73" s="13">
        <f>D73/$D$81</f>
        <v>0.46727272702361167</v>
      </c>
      <c r="N73" s="122"/>
      <c r="O73" s="122"/>
      <c r="P73" s="126"/>
      <c r="Q73" s="24"/>
      <c r="R73" s="139"/>
      <c r="S73" s="123"/>
      <c r="T73" s="141"/>
      <c r="U73" s="125"/>
    </row>
    <row r="74" spans="2:24" x14ac:dyDescent="0.25">
      <c r="B74" s="78" t="str">
        <f>'Componente 2'!B35:D35</f>
        <v>Sub-componente 2.3. Fortalecimiento del tercer nivel en el municipio El Alto (US$69 MM)</v>
      </c>
      <c r="C74" s="79"/>
      <c r="D74" s="349">
        <f>'Componente 2'!H35</f>
        <v>69000000</v>
      </c>
      <c r="E74" s="13">
        <f t="shared" ref="E74:E75" si="19">D74/$D$71</f>
        <v>0.27633159775184807</v>
      </c>
      <c r="F74" s="13">
        <f t="shared" ref="F74:F80" si="20">D74/$D$81</f>
        <v>0.25090909077532453</v>
      </c>
      <c r="N74" s="122"/>
      <c r="O74" s="145"/>
      <c r="P74" s="146"/>
      <c r="Q74" s="147"/>
      <c r="R74" s="148"/>
      <c r="S74" s="149"/>
      <c r="T74" s="155"/>
      <c r="U74" s="156"/>
    </row>
    <row r="75" spans="2:24" ht="15.75" thickBot="1" x14ac:dyDescent="0.3">
      <c r="B75" s="78" t="str">
        <f>'Componente 2'!B48:D48</f>
        <v>Sub-componente 2.4. Puesta en marcha de los nuevos hospitales (US$2,7MM)</v>
      </c>
      <c r="C75" s="79"/>
      <c r="D75" s="349">
        <f>'Componente 2'!H48</f>
        <v>2700000.0010000002</v>
      </c>
      <c r="E75" s="13">
        <f t="shared" si="19"/>
        <v>1.0812975568207556E-2</v>
      </c>
      <c r="F75" s="13">
        <f t="shared" si="20"/>
        <v>9.8181818165838462E-3</v>
      </c>
      <c r="N75" s="122"/>
      <c r="O75" s="150"/>
      <c r="P75" s="151"/>
      <c r="Q75" s="152"/>
      <c r="R75" s="153"/>
      <c r="S75" s="154"/>
      <c r="T75" s="142"/>
      <c r="U75" s="133"/>
      <c r="X75" s="119"/>
    </row>
    <row r="76" spans="2:24" ht="15.75" thickBot="1" x14ac:dyDescent="0.3">
      <c r="B76" s="78"/>
      <c r="C76" s="79"/>
      <c r="D76" s="83"/>
      <c r="E76" s="13">
        <f>D76/$D$72</f>
        <v>0</v>
      </c>
      <c r="F76" s="13">
        <f t="shared" si="20"/>
        <v>0</v>
      </c>
      <c r="N76" s="127"/>
      <c r="O76" s="127"/>
      <c r="P76" s="133"/>
      <c r="Q76" s="129"/>
      <c r="R76" s="140"/>
      <c r="S76" s="130"/>
      <c r="T76" s="142"/>
      <c r="U76" s="131"/>
    </row>
    <row r="77" spans="2:24" x14ac:dyDescent="0.25">
      <c r="B77" s="78"/>
      <c r="C77" s="79"/>
      <c r="D77" s="83"/>
      <c r="E77" s="13">
        <f>D77/$D$72</f>
        <v>0</v>
      </c>
      <c r="F77" s="13">
        <f t="shared" si="20"/>
        <v>0</v>
      </c>
      <c r="S77" s="119"/>
      <c r="T77" s="119"/>
    </row>
    <row r="78" spans="2:24" x14ac:dyDescent="0.25">
      <c r="B78" s="76" t="s">
        <v>53</v>
      </c>
      <c r="C78" s="79"/>
      <c r="D78" s="347">
        <f>CuadroCostos!C43</f>
        <v>8700000.0347218402</v>
      </c>
      <c r="E78" s="13"/>
      <c r="F78" s="13">
        <f>D78/D81</f>
        <v>3.1636363745758678E-2</v>
      </c>
    </row>
    <row r="79" spans="2:24" x14ac:dyDescent="0.25">
      <c r="B79" s="81" t="str">
        <f>'Componente 3'!B2</f>
        <v>Componente 3: Auditorias, administración, y monitoreo y evaluación (US$8,7 MM)</v>
      </c>
      <c r="C79" s="79"/>
      <c r="D79" s="347">
        <f>CuadroCostos!C43</f>
        <v>8700000.0347218402</v>
      </c>
      <c r="E79" s="13">
        <f>D79/$D$72</f>
        <v>0.17575757593108665</v>
      </c>
      <c r="F79" s="13">
        <f t="shared" si="20"/>
        <v>3.1636363745758678E-2</v>
      </c>
    </row>
    <row r="80" spans="2:24" x14ac:dyDescent="0.25">
      <c r="B80" s="81" t="s">
        <v>3</v>
      </c>
      <c r="C80" s="79"/>
      <c r="D80" s="82"/>
      <c r="E80" s="13">
        <f>D80/$D$72</f>
        <v>0</v>
      </c>
      <c r="F80" s="13">
        <f t="shared" si="20"/>
        <v>0</v>
      </c>
    </row>
    <row r="81" spans="1:10" x14ac:dyDescent="0.25">
      <c r="B81" s="73" t="s">
        <v>0</v>
      </c>
      <c r="C81" s="74"/>
      <c r="D81" s="350">
        <f>D69+D71+D78</f>
        <v>275000000.1466099</v>
      </c>
      <c r="E81" s="75">
        <f>SUM(E70:E80)</f>
        <v>1.1757575759310868</v>
      </c>
      <c r="F81" s="75">
        <f>+F70+F71+F78+F79+F80</f>
        <v>0.97563636373997742</v>
      </c>
    </row>
    <row r="82" spans="1:10" x14ac:dyDescent="0.25">
      <c r="D82" s="68"/>
    </row>
    <row r="83" spans="1:10" x14ac:dyDescent="0.25">
      <c r="D83" s="351">
        <f>275000000</f>
        <v>275000000</v>
      </c>
      <c r="E83" s="30"/>
    </row>
    <row r="84" spans="1:10" x14ac:dyDescent="0.25">
      <c r="D84" s="351">
        <f>D83-D81</f>
        <v>-0.14660990238189697</v>
      </c>
      <c r="E84" s="30"/>
      <c r="F84" s="6"/>
      <c r="G84" s="33"/>
      <c r="H84" s="33"/>
      <c r="I84"/>
      <c r="J84"/>
    </row>
    <row r="85" spans="1:10" ht="32.25" customHeight="1" x14ac:dyDescent="0.25">
      <c r="E85" s="367"/>
      <c r="F85" s="367"/>
      <c r="G85" s="118"/>
      <c r="I85"/>
      <c r="J85"/>
    </row>
    <row r="86" spans="1:10" x14ac:dyDescent="0.25">
      <c r="C86" s="33"/>
      <c r="D86" s="33"/>
      <c r="E86" s="30"/>
      <c r="I86"/>
      <c r="J86"/>
    </row>
    <row r="87" spans="1:10" x14ac:dyDescent="0.25">
      <c r="B87" s="53"/>
      <c r="D87" s="33"/>
      <c r="E87" s="30"/>
      <c r="I87"/>
      <c r="J87"/>
    </row>
    <row r="88" spans="1:10" x14ac:dyDescent="0.25">
      <c r="B88" s="85"/>
      <c r="D88" s="6"/>
      <c r="E88" s="30"/>
      <c r="I88"/>
      <c r="J88"/>
    </row>
    <row r="89" spans="1:10" x14ac:dyDescent="0.25">
      <c r="B89" s="85"/>
      <c r="D89" s="6"/>
      <c r="I89"/>
      <c r="J89"/>
    </row>
    <row r="90" spans="1:10" x14ac:dyDescent="0.25">
      <c r="B90" s="85"/>
      <c r="D90" s="6"/>
      <c r="I90"/>
      <c r="J90"/>
    </row>
    <row r="91" spans="1:10" x14ac:dyDescent="0.25">
      <c r="B91" s="85"/>
      <c r="D91" s="6"/>
      <c r="I91"/>
      <c r="J91"/>
    </row>
    <row r="94" spans="1:10" x14ac:dyDescent="0.25">
      <c r="A94" s="157"/>
      <c r="B94" s="158" t="s">
        <v>168</v>
      </c>
      <c r="C94" s="158" t="s">
        <v>73</v>
      </c>
      <c r="D94" s="158" t="s">
        <v>60</v>
      </c>
      <c r="E94" s="158" t="s">
        <v>61</v>
      </c>
      <c r="F94" s="158" t="s">
        <v>44</v>
      </c>
      <c r="G94" s="158" t="s">
        <v>169</v>
      </c>
      <c r="H94" s="158" t="s">
        <v>0</v>
      </c>
      <c r="I94"/>
      <c r="J94"/>
    </row>
    <row r="95" spans="1:10" x14ac:dyDescent="0.25">
      <c r="B95" s="85" t="str">
        <f>'Componente 2'!B21</f>
        <v>E1. Hospital de segundo nivel Palos Blancos, construido, equipado y operando</v>
      </c>
      <c r="C95" s="195">
        <f>'Componente 2'!C21</f>
        <v>8250000.0000000009</v>
      </c>
      <c r="D95" s="195">
        <f>'Componente 2'!D21</f>
        <v>412500.00000000006</v>
      </c>
      <c r="E95" s="195">
        <f>'Componente 2'!E21</f>
        <v>742500</v>
      </c>
      <c r="F95" s="195">
        <f>'Componente 2'!F21</f>
        <v>5439759</v>
      </c>
      <c r="G95" s="195">
        <f>'Componente 2'!G21</f>
        <v>241241.00000000003</v>
      </c>
      <c r="H95" s="195">
        <f>D95+E95+F95+G95+C95</f>
        <v>15086000</v>
      </c>
      <c r="I95"/>
      <c r="J95"/>
    </row>
    <row r="96" spans="1:10" x14ac:dyDescent="0.25">
      <c r="B96" s="85" t="str">
        <f>'Componente 2'!B22</f>
        <v>E2. Hospital de segundo nivel Ixiamas, construido, equipado y operando</v>
      </c>
      <c r="C96" s="195">
        <f>'Componente 2'!C22</f>
        <v>8250000.0000000009</v>
      </c>
      <c r="D96" s="195">
        <f>'Componente 2'!D22</f>
        <v>412500.00000000006</v>
      </c>
      <c r="E96" s="195">
        <f>'Componente 2'!E22</f>
        <v>742500</v>
      </c>
      <c r="F96" s="195">
        <f>'Componente 2'!F22</f>
        <v>5439759</v>
      </c>
      <c r="G96" s="195">
        <f>'Componente 2'!G22</f>
        <v>241241.00000000003</v>
      </c>
      <c r="H96" s="195">
        <f t="shared" ref="H96:H104" si="21">D96+E96+F96+G96+C96</f>
        <v>15086000</v>
      </c>
      <c r="I96"/>
      <c r="J96"/>
    </row>
    <row r="97" spans="2:10" x14ac:dyDescent="0.25">
      <c r="B97" s="85" t="str">
        <f>'Componente 2'!B29</f>
        <v>P19. Hospital de segundo nivel Puerto Suarez, equipado y operando</v>
      </c>
      <c r="C97" s="195">
        <f>'Componente 2'!C29</f>
        <v>0</v>
      </c>
      <c r="D97" s="195">
        <f>'Componente 2'!D29</f>
        <v>0</v>
      </c>
      <c r="E97" s="195">
        <f>'Componente 2'!E29</f>
        <v>0</v>
      </c>
      <c r="F97" s="195">
        <f>'Componente 2'!F29</f>
        <v>5439759</v>
      </c>
      <c r="G97" s="195">
        <f>'Componente 2'!G29</f>
        <v>0</v>
      </c>
      <c r="H97" s="195">
        <f t="shared" si="21"/>
        <v>5439759</v>
      </c>
      <c r="I97"/>
      <c r="J97"/>
    </row>
    <row r="98" spans="2:10" x14ac:dyDescent="0.25">
      <c r="B98" s="85" t="str">
        <f>'Componente 2'!B23</f>
        <v>E3. Hospital de segundo nivel El Torno, construido, equipado y operando (muestra)</v>
      </c>
      <c r="C98" s="195">
        <f>'Componente 2'!C23</f>
        <v>8250000.0000000009</v>
      </c>
      <c r="D98" s="195">
        <f>'Componente 2'!D23</f>
        <v>412500.00000000006</v>
      </c>
      <c r="E98" s="195">
        <f>'Componente 2'!E23</f>
        <v>742500</v>
      </c>
      <c r="F98" s="195">
        <f>'Componente 2'!F23</f>
        <v>5439759</v>
      </c>
      <c r="G98" s="195">
        <f>'Componente 2'!G23</f>
        <v>241241.00000000003</v>
      </c>
      <c r="H98" s="195">
        <f t="shared" si="21"/>
        <v>15086000</v>
      </c>
      <c r="I98"/>
      <c r="J98"/>
    </row>
    <row r="99" spans="2:10" x14ac:dyDescent="0.25">
      <c r="B99" s="85" t="str">
        <f>'Componente 2'!B24</f>
        <v>E4. Hospital de segundo nivel Camiri, construido, equipado y operando</v>
      </c>
      <c r="C99" s="195">
        <f>'Componente 2'!C24</f>
        <v>8250000.0000000009</v>
      </c>
      <c r="D99" s="195">
        <f>'Componente 2'!D24</f>
        <v>412500.00000000006</v>
      </c>
      <c r="E99" s="195">
        <f>'Componente 2'!E24</f>
        <v>742500</v>
      </c>
      <c r="F99" s="195">
        <f>'Componente 2'!F24</f>
        <v>5439759</v>
      </c>
      <c r="G99" s="195">
        <f>'Componente 2'!G24</f>
        <v>241241.00000000003</v>
      </c>
      <c r="H99" s="195">
        <f t="shared" si="21"/>
        <v>15086000</v>
      </c>
      <c r="I99"/>
      <c r="J99"/>
    </row>
    <row r="100" spans="2:10" x14ac:dyDescent="0.25">
      <c r="B100" s="85" t="str">
        <f>'Componente 2'!B25</f>
        <v>E5. Hospital de segundo nivel San Borja, construido, equipado y operando</v>
      </c>
      <c r="C100" s="195">
        <f>'Componente 2'!C25</f>
        <v>8250000.0000000009</v>
      </c>
      <c r="D100" s="195">
        <f>'Componente 2'!D25</f>
        <v>412500.00000000006</v>
      </c>
      <c r="E100" s="195">
        <f>'Componente 2'!E25</f>
        <v>742500</v>
      </c>
      <c r="F100" s="195">
        <f>'Componente 2'!F25</f>
        <v>5439759</v>
      </c>
      <c r="G100" s="195">
        <f>'Componente 2'!G25</f>
        <v>241241.00000000003</v>
      </c>
      <c r="H100" s="195">
        <f t="shared" si="21"/>
        <v>15086000</v>
      </c>
      <c r="I100"/>
      <c r="J100"/>
    </row>
    <row r="101" spans="2:10" x14ac:dyDescent="0.25">
      <c r="B101" s="85" t="str">
        <f>'Componente 2'!B26</f>
        <v>E6. Hospital de segundo nivel Monteagudo, construido, equipado y operando</v>
      </c>
      <c r="C101" s="195">
        <f>'Componente 2'!C26</f>
        <v>8250000.0000000009</v>
      </c>
      <c r="D101" s="195">
        <f>'Componente 2'!D26</f>
        <v>412500.00000000006</v>
      </c>
      <c r="E101" s="195">
        <f>'Componente 2'!E26</f>
        <v>742500</v>
      </c>
      <c r="F101" s="195">
        <f>'Componente 2'!F26</f>
        <v>5439759</v>
      </c>
      <c r="G101" s="195">
        <f>'Componente 2'!G26</f>
        <v>241241.00000000003</v>
      </c>
      <c r="H101" s="195">
        <f t="shared" si="21"/>
        <v>15086000</v>
      </c>
      <c r="I101"/>
      <c r="J101"/>
    </row>
    <row r="102" spans="2:10" x14ac:dyDescent="0.25">
      <c r="B102" s="85" t="str">
        <f>'Componente 2'!B27</f>
        <v>E7.Hospital de segundo nivel Villazón, construido, equipado y operando</v>
      </c>
      <c r="C102" s="195">
        <f>'Componente 2'!C27</f>
        <v>8250000.0000000009</v>
      </c>
      <c r="D102" s="195">
        <f>'Componente 2'!D27</f>
        <v>412500.00000000006</v>
      </c>
      <c r="E102" s="195">
        <f>'Componente 2'!E27</f>
        <v>742500</v>
      </c>
      <c r="F102" s="195">
        <f>'Componente 2'!F27</f>
        <v>5439759</v>
      </c>
      <c r="G102" s="195">
        <f>'Componente 2'!G27</f>
        <v>241241.00000000003</v>
      </c>
      <c r="H102" s="195">
        <f t="shared" si="21"/>
        <v>15086000</v>
      </c>
      <c r="I102"/>
      <c r="J102"/>
    </row>
    <row r="103" spans="2:10" x14ac:dyDescent="0.25">
      <c r="B103" s="85" t="str">
        <f>'Componente 2'!B28</f>
        <v>E8. Hospital de segundo nivel Tupiza, construido, equipado y operando</v>
      </c>
      <c r="C103" s="195">
        <f>'Componente 2'!C28</f>
        <v>8250000.0000000009</v>
      </c>
      <c r="D103" s="195">
        <f>'Componente 2'!D28</f>
        <v>412500.00000000006</v>
      </c>
      <c r="E103" s="195">
        <f>'Componente 2'!E28</f>
        <v>742500</v>
      </c>
      <c r="F103" s="195">
        <f>'Componente 2'!F28</f>
        <v>5439759</v>
      </c>
      <c r="G103" s="195">
        <f>'Componente 2'!G28</f>
        <v>241241.00000000003</v>
      </c>
      <c r="H103" s="195">
        <f t="shared" si="21"/>
        <v>15086000</v>
      </c>
      <c r="I103"/>
      <c r="J103"/>
    </row>
    <row r="104" spans="2:10" x14ac:dyDescent="0.25">
      <c r="B104" s="85" t="str">
        <f>B62</f>
        <v>Equipamiento Centros Salud de las Redes</v>
      </c>
      <c r="C104" s="58">
        <f>C62</f>
        <v>0</v>
      </c>
      <c r="D104" s="58"/>
      <c r="E104" s="58"/>
      <c r="F104" s="58"/>
      <c r="G104" s="58"/>
      <c r="H104" s="195">
        <f t="shared" si="21"/>
        <v>0</v>
      </c>
      <c r="I104"/>
      <c r="J104"/>
    </row>
    <row r="105" spans="2:10" x14ac:dyDescent="0.25">
      <c r="B105" s="158" t="s">
        <v>0</v>
      </c>
      <c r="C105" s="194">
        <f>SUM(C95:C104)</f>
        <v>66000000.000000007</v>
      </c>
      <c r="D105" s="194">
        <f t="shared" ref="D105:G105" si="22">SUM(D95:D104)</f>
        <v>3300000.0000000005</v>
      </c>
      <c r="E105" s="194">
        <f t="shared" si="22"/>
        <v>5940000</v>
      </c>
      <c r="F105" s="194">
        <f t="shared" si="22"/>
        <v>48957831</v>
      </c>
      <c r="G105" s="194">
        <f t="shared" si="22"/>
        <v>1929928.0000000002</v>
      </c>
      <c r="H105" s="194">
        <f>SUM(H95:H104)</f>
        <v>126127759</v>
      </c>
      <c r="I105"/>
      <c r="J105"/>
    </row>
    <row r="107" spans="2:10" x14ac:dyDescent="0.25">
      <c r="D107" s="30"/>
      <c r="H107"/>
      <c r="I107"/>
      <c r="J107"/>
    </row>
  </sheetData>
  <mergeCells count="12">
    <mergeCell ref="S51:S52"/>
    <mergeCell ref="T51:T52"/>
    <mergeCell ref="U51:U52"/>
    <mergeCell ref="V51:V52"/>
    <mergeCell ref="N70:O70"/>
    <mergeCell ref="T70:T71"/>
    <mergeCell ref="U70:U71"/>
    <mergeCell ref="B3:F3"/>
    <mergeCell ref="P51:P52"/>
    <mergeCell ref="Q51:Q52"/>
    <mergeCell ref="R51:R52"/>
    <mergeCell ref="E85:F85"/>
  </mergeCells>
  <pageMargins left="0.2" right="0.2" top="0.5" bottom="0.5" header="0.3" footer="0.3"/>
  <pageSetup orientation="landscape" r:id="rId1"/>
  <ignoredErrors>
    <ignoredError sqref="D64 N64 F64 F78" 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72BCA-FA18-4D2B-9779-98F7B5F79012}">
  <sheetPr>
    <tabColor rgb="FFC00000"/>
  </sheetPr>
  <dimension ref="B1:AE101"/>
  <sheetViews>
    <sheetView topLeftCell="B46" zoomScale="84" zoomScaleNormal="84" workbookViewId="0">
      <pane xSplit="1" topLeftCell="C1" activePane="topRight" state="frozen"/>
      <selection activeCell="B1" sqref="B1"/>
      <selection pane="topRight" activeCell="O56" sqref="O56"/>
    </sheetView>
  </sheetViews>
  <sheetFormatPr defaultRowHeight="15" x14ac:dyDescent="0.25"/>
  <cols>
    <col min="2" max="2" width="56.140625" customWidth="1"/>
    <col min="3" max="3" width="12.42578125" customWidth="1"/>
    <col min="4" max="4" width="10.5703125" customWidth="1"/>
    <col min="8" max="8" width="14.140625" customWidth="1"/>
    <col min="9" max="9" width="12.7109375" customWidth="1"/>
    <col min="11" max="11" width="11" style="115" customWidth="1"/>
    <col min="12" max="12" width="11.85546875" style="115" customWidth="1"/>
    <col min="15" max="15" width="35.85546875" customWidth="1"/>
    <col min="16" max="16" width="17.42578125" customWidth="1"/>
    <col min="17" max="17" width="29.5703125" customWidth="1"/>
    <col min="18" max="18" width="41.140625" customWidth="1"/>
    <col min="26" max="26" width="11.28515625" customWidth="1"/>
    <col min="27" max="27" width="12.42578125" customWidth="1"/>
    <col min="30" max="30" width="11.28515625" customWidth="1"/>
  </cols>
  <sheetData>
    <row r="1" spans="2:31" ht="15.75" thickBot="1" x14ac:dyDescent="0.3"/>
    <row r="2" spans="2:31" ht="15.75" x14ac:dyDescent="0.25">
      <c r="B2" s="375" t="s">
        <v>485</v>
      </c>
      <c r="C2" s="375"/>
      <c r="D2" s="375"/>
      <c r="G2" s="218" t="s">
        <v>157</v>
      </c>
      <c r="H2" s="219">
        <f>H3+H71</f>
        <v>14999999.643999999</v>
      </c>
      <c r="O2" s="389" t="s">
        <v>383</v>
      </c>
      <c r="P2" s="390"/>
      <c r="Q2" s="390"/>
      <c r="R2" s="391"/>
      <c r="S2" s="265"/>
    </row>
    <row r="3" spans="2:31" ht="15.75" thickBot="1" x14ac:dyDescent="0.3">
      <c r="B3" s="374" t="s">
        <v>486</v>
      </c>
      <c r="C3" s="374"/>
      <c r="D3" s="374"/>
      <c r="E3" s="213"/>
      <c r="F3" s="213"/>
      <c r="G3" s="214" t="s">
        <v>157</v>
      </c>
      <c r="H3" s="215">
        <f>H4+H15+H23+H31+H39+H47+H55+H63</f>
        <v>9684999.5800000001</v>
      </c>
      <c r="O3" s="392" t="s">
        <v>384</v>
      </c>
      <c r="P3" s="393"/>
      <c r="Q3" s="393"/>
      <c r="R3" s="394"/>
      <c r="S3" s="265"/>
      <c r="X3" s="19"/>
    </row>
    <row r="4" spans="2:31" ht="90" thickBot="1" x14ac:dyDescent="0.3">
      <c r="B4" s="211" t="s">
        <v>463</v>
      </c>
      <c r="C4" s="205" t="s">
        <v>157</v>
      </c>
      <c r="D4" s="206">
        <v>1750000</v>
      </c>
      <c r="E4" s="211"/>
      <c r="F4" s="211"/>
      <c r="G4" s="205" t="s">
        <v>157</v>
      </c>
      <c r="H4" s="206">
        <f>H12</f>
        <v>1199999.96</v>
      </c>
      <c r="O4" s="255" t="s">
        <v>385</v>
      </c>
      <c r="P4" s="256" t="s">
        <v>386</v>
      </c>
      <c r="Q4" s="256" t="s">
        <v>387</v>
      </c>
      <c r="R4" s="303" t="s">
        <v>388</v>
      </c>
      <c r="S4" s="285" t="s">
        <v>409</v>
      </c>
      <c r="T4" s="286" t="s">
        <v>183</v>
      </c>
      <c r="U4" s="286" t="s">
        <v>416</v>
      </c>
      <c r="V4" s="286" t="s">
        <v>412</v>
      </c>
      <c r="W4" s="286" t="s">
        <v>411</v>
      </c>
      <c r="X4" s="287" t="s">
        <v>157</v>
      </c>
      <c r="Y4" s="288" t="s">
        <v>410</v>
      </c>
      <c r="Z4" s="288" t="s">
        <v>413</v>
      </c>
      <c r="AA4" s="288" t="s">
        <v>415</v>
      </c>
      <c r="AD4" s="180" t="s">
        <v>414</v>
      </c>
      <c r="AE4" t="s">
        <v>417</v>
      </c>
    </row>
    <row r="5" spans="2:31" ht="25.5" x14ac:dyDescent="0.25">
      <c r="B5" s="179" t="s">
        <v>4</v>
      </c>
      <c r="C5" s="180" t="s">
        <v>157</v>
      </c>
      <c r="D5" s="180" t="s">
        <v>183</v>
      </c>
      <c r="E5" s="180" t="s">
        <v>185</v>
      </c>
      <c r="F5" s="180" t="s">
        <v>13</v>
      </c>
      <c r="G5" s="180" t="s">
        <v>211</v>
      </c>
      <c r="H5" s="179" t="s">
        <v>157</v>
      </c>
      <c r="O5" s="382" t="str">
        <f>B4</f>
        <v>P1. Estrategia CONE implementada en 15 redes de salud</v>
      </c>
      <c r="P5" s="395">
        <f>SUM(X5:X13)</f>
        <v>1199999.9523999998</v>
      </c>
      <c r="Q5" s="397" t="s">
        <v>389</v>
      </c>
      <c r="R5" s="304" t="s">
        <v>418</v>
      </c>
      <c r="S5" s="267">
        <v>1</v>
      </c>
      <c r="T5" s="267">
        <v>2315</v>
      </c>
      <c r="U5" s="267">
        <v>6</v>
      </c>
      <c r="V5" s="267">
        <v>1</v>
      </c>
      <c r="W5" s="267"/>
      <c r="X5" s="268">
        <f>(T5*U5*V5)+W5</f>
        <v>13890</v>
      </c>
      <c r="Y5" s="269">
        <f>X5/S5</f>
        <v>13890</v>
      </c>
      <c r="Z5" s="400">
        <f>SUM(X5:X13)/SUM(S5:S13)</f>
        <v>1623.8159031123137</v>
      </c>
      <c r="AA5" s="400">
        <f>SUM(X5:X14)</f>
        <v>1199999.9523999998</v>
      </c>
      <c r="AD5" s="115">
        <f>31.25*8*5*4</f>
        <v>5000</v>
      </c>
    </row>
    <row r="6" spans="2:31" ht="26.25" x14ac:dyDescent="0.25">
      <c r="B6" s="2" t="s">
        <v>212</v>
      </c>
      <c r="C6" s="3">
        <v>125000</v>
      </c>
      <c r="D6" s="110">
        <v>4500</v>
      </c>
      <c r="E6" s="110">
        <v>6</v>
      </c>
      <c r="F6" s="110">
        <v>2</v>
      </c>
      <c r="G6" s="110">
        <v>71000</v>
      </c>
      <c r="H6" s="4">
        <f t="shared" ref="H6" si="0">(D6*E6*F6)+G6</f>
        <v>125000</v>
      </c>
      <c r="I6" s="115"/>
      <c r="O6" s="383"/>
      <c r="P6" s="396"/>
      <c r="Q6" s="398"/>
      <c r="R6" s="305" t="s">
        <v>419</v>
      </c>
      <c r="S6" s="306">
        <v>61</v>
      </c>
      <c r="T6" s="306">
        <v>85.405600000000007</v>
      </c>
      <c r="U6" s="306">
        <v>3</v>
      </c>
      <c r="V6" s="306">
        <v>13</v>
      </c>
      <c r="W6" s="306"/>
      <c r="X6" s="307">
        <f>(T6*U6*V6*S6)+W6</f>
        <v>203179.92240000004</v>
      </c>
      <c r="Y6" s="308">
        <f t="shared" ref="Y6:Y13" si="1">X6/S6</f>
        <v>3330.8184000000006</v>
      </c>
      <c r="Z6" s="401"/>
      <c r="AA6" s="401"/>
      <c r="AD6" s="115"/>
    </row>
    <row r="7" spans="2:31" ht="30" x14ac:dyDescent="0.25">
      <c r="B7" s="1" t="s">
        <v>210</v>
      </c>
      <c r="C7" s="3">
        <f>15*5000</f>
        <v>75000</v>
      </c>
      <c r="D7" s="110">
        <v>5000</v>
      </c>
      <c r="E7" s="110">
        <v>6</v>
      </c>
      <c r="F7" s="110">
        <v>2</v>
      </c>
      <c r="G7" s="110">
        <v>15000</v>
      </c>
      <c r="H7" s="4">
        <f>(D7*E7*F7)+G7</f>
        <v>75000</v>
      </c>
      <c r="I7" s="115"/>
      <c r="O7" s="383"/>
      <c r="P7" s="396"/>
      <c r="Q7" s="398"/>
      <c r="R7" s="305" t="s">
        <v>420</v>
      </c>
      <c r="S7" s="306">
        <v>61</v>
      </c>
      <c r="T7" s="306">
        <v>3357.67</v>
      </c>
      <c r="U7" s="306">
        <v>1</v>
      </c>
      <c r="V7" s="306">
        <v>1</v>
      </c>
      <c r="W7" s="306"/>
      <c r="X7" s="307">
        <f>(T7*U7*V7*S7)+W7</f>
        <v>204817.87</v>
      </c>
      <c r="Y7" s="308">
        <f t="shared" si="1"/>
        <v>3357.67</v>
      </c>
      <c r="Z7" s="401"/>
      <c r="AA7" s="401"/>
      <c r="AD7" s="115"/>
    </row>
    <row r="8" spans="2:31" ht="30" x14ac:dyDescent="0.25">
      <c r="B8" s="1" t="s">
        <v>213</v>
      </c>
      <c r="C8" s="3">
        <f>15*50000</f>
        <v>750000</v>
      </c>
      <c r="D8" s="110">
        <v>125000</v>
      </c>
      <c r="E8" s="110">
        <v>6</v>
      </c>
      <c r="F8" s="110">
        <v>1</v>
      </c>
      <c r="G8" s="110"/>
      <c r="H8" s="4">
        <f t="shared" ref="H8:H11" si="2">(D8*E8*F8)+G8</f>
        <v>750000</v>
      </c>
      <c r="I8" s="115"/>
      <c r="O8" s="383"/>
      <c r="P8" s="386"/>
      <c r="Q8" s="398"/>
      <c r="R8" s="305" t="s">
        <v>421</v>
      </c>
      <c r="S8" s="306">
        <v>1</v>
      </c>
      <c r="T8" s="306">
        <v>2315</v>
      </c>
      <c r="U8" s="306">
        <v>6</v>
      </c>
      <c r="V8" s="306">
        <v>1</v>
      </c>
      <c r="W8" s="306"/>
      <c r="X8" s="307">
        <f t="shared" ref="X8" si="3">(T8*U8*V8)+W8</f>
        <v>13890</v>
      </c>
      <c r="Y8" s="308">
        <f t="shared" si="1"/>
        <v>13890</v>
      </c>
      <c r="Z8" s="401"/>
      <c r="AA8" s="401"/>
      <c r="AD8" s="115">
        <f>145*8*5*4</f>
        <v>23200</v>
      </c>
    </row>
    <row r="9" spans="2:31" x14ac:dyDescent="0.25">
      <c r="B9" s="1" t="s">
        <v>170</v>
      </c>
      <c r="C9" s="3">
        <v>250000</v>
      </c>
      <c r="D9" s="110">
        <v>35714.28</v>
      </c>
      <c r="E9" s="110">
        <v>7</v>
      </c>
      <c r="F9" s="110">
        <v>1</v>
      </c>
      <c r="G9" s="110"/>
      <c r="H9" s="4">
        <f t="shared" si="2"/>
        <v>249999.96</v>
      </c>
      <c r="I9" s="115"/>
      <c r="O9" s="383"/>
      <c r="P9" s="386"/>
      <c r="Q9" s="398"/>
      <c r="R9" s="305" t="s">
        <v>422</v>
      </c>
      <c r="S9" s="309"/>
      <c r="T9" s="309"/>
      <c r="U9" s="309"/>
      <c r="V9" s="309"/>
      <c r="W9" s="309"/>
      <c r="X9" s="310"/>
      <c r="Y9" s="311"/>
      <c r="Z9" s="401"/>
      <c r="AA9" s="401"/>
      <c r="AE9">
        <f>X9/18/6</f>
        <v>0</v>
      </c>
    </row>
    <row r="10" spans="2:31" ht="60" x14ac:dyDescent="0.25">
      <c r="B10" s="1"/>
      <c r="C10" s="3"/>
      <c r="D10" s="110">
        <v>0</v>
      </c>
      <c r="E10" s="110">
        <v>0</v>
      </c>
      <c r="F10" s="110"/>
      <c r="G10" s="110"/>
      <c r="H10" s="4">
        <f t="shared" si="2"/>
        <v>0</v>
      </c>
      <c r="I10" s="115"/>
      <c r="O10" s="383"/>
      <c r="P10" s="386"/>
      <c r="Q10" s="398"/>
      <c r="R10" s="312" t="s">
        <v>423</v>
      </c>
      <c r="S10" s="306">
        <v>6</v>
      </c>
      <c r="T10" s="306">
        <v>2314.8200000000002</v>
      </c>
      <c r="U10" s="306">
        <v>6</v>
      </c>
      <c r="V10" s="306">
        <v>1</v>
      </c>
      <c r="W10" s="306"/>
      <c r="X10" s="307">
        <f>(T10*U10*V10)+W10</f>
        <v>13888.920000000002</v>
      </c>
      <c r="Y10" s="308">
        <f t="shared" si="1"/>
        <v>2314.8200000000002</v>
      </c>
      <c r="Z10" s="401"/>
      <c r="AA10" s="401"/>
      <c r="AD10" s="115">
        <f>130*8*5*4</f>
        <v>20800</v>
      </c>
    </row>
    <row r="11" spans="2:31" x14ac:dyDescent="0.25">
      <c r="B11" s="1"/>
      <c r="C11" s="3"/>
      <c r="D11" s="110">
        <v>0</v>
      </c>
      <c r="E11" s="110">
        <v>0</v>
      </c>
      <c r="F11" s="110"/>
      <c r="G11" s="110"/>
      <c r="H11" s="4">
        <f t="shared" si="2"/>
        <v>0</v>
      </c>
      <c r="O11" s="383"/>
      <c r="P11" s="386"/>
      <c r="Q11" s="398"/>
      <c r="R11" s="312" t="s">
        <v>424</v>
      </c>
      <c r="S11" s="306">
        <v>6</v>
      </c>
      <c r="T11" s="306">
        <v>2314.8200000000002</v>
      </c>
      <c r="U11" s="306">
        <v>6</v>
      </c>
      <c r="V11" s="306">
        <v>1</v>
      </c>
      <c r="W11" s="306"/>
      <c r="X11" s="307">
        <f t="shared" ref="X11:X12" si="4">(T11*U11*V11)+W11</f>
        <v>13888.920000000002</v>
      </c>
      <c r="Y11" s="308">
        <f t="shared" si="1"/>
        <v>2314.8200000000002</v>
      </c>
      <c r="Z11" s="401"/>
      <c r="AA11" s="401"/>
      <c r="AD11" s="115"/>
    </row>
    <row r="12" spans="2:31" x14ac:dyDescent="0.25">
      <c r="B12" s="179" t="s">
        <v>171</v>
      </c>
      <c r="C12" s="181">
        <f>SUM(C6:C11)</f>
        <v>1200000</v>
      </c>
      <c r="D12" s="182">
        <f>SUM(D6:D11)</f>
        <v>170214.28</v>
      </c>
      <c r="E12" s="182">
        <v>0</v>
      </c>
      <c r="F12" s="182"/>
      <c r="G12" s="182"/>
      <c r="H12" s="181">
        <f>SUM(H6:H11)</f>
        <v>1199999.96</v>
      </c>
      <c r="O12" s="383"/>
      <c r="P12" s="386"/>
      <c r="Q12" s="398"/>
      <c r="R12" s="312" t="s">
        <v>425</v>
      </c>
      <c r="S12" s="306">
        <v>6</v>
      </c>
      <c r="T12" s="306">
        <v>2314.8200000000002</v>
      </c>
      <c r="U12" s="306">
        <v>6</v>
      </c>
      <c r="V12" s="306">
        <v>1</v>
      </c>
      <c r="W12" s="306"/>
      <c r="X12" s="307">
        <f t="shared" si="4"/>
        <v>13888.920000000002</v>
      </c>
      <c r="Y12" s="308">
        <f t="shared" si="1"/>
        <v>2314.8200000000002</v>
      </c>
      <c r="Z12" s="401"/>
      <c r="AA12" s="401"/>
      <c r="AD12" s="115"/>
    </row>
    <row r="13" spans="2:31" ht="45" x14ac:dyDescent="0.25">
      <c r="O13" s="383"/>
      <c r="P13" s="386"/>
      <c r="Q13" s="398"/>
      <c r="R13" s="305" t="s">
        <v>426</v>
      </c>
      <c r="S13" s="306">
        <f>582+15</f>
        <v>597</v>
      </c>
      <c r="T13" s="306">
        <v>403.4</v>
      </c>
      <c r="U13" s="306">
        <v>3</v>
      </c>
      <c r="V13" s="306">
        <v>1</v>
      </c>
      <c r="W13" s="306">
        <v>66</v>
      </c>
      <c r="X13" s="307">
        <f>(T13*U13*V13*S13)+W13</f>
        <v>722555.39999999991</v>
      </c>
      <c r="Y13" s="308">
        <f t="shared" si="1"/>
        <v>1210.310552763819</v>
      </c>
      <c r="Z13" s="401"/>
      <c r="AA13" s="401"/>
      <c r="AD13" s="115"/>
    </row>
    <row r="14" spans="2:31" ht="15.75" thickBot="1" x14ac:dyDescent="0.3">
      <c r="B14" s="111"/>
      <c r="O14" s="384"/>
      <c r="P14" s="387"/>
      <c r="Q14" s="399"/>
      <c r="R14" s="313"/>
      <c r="S14" s="314"/>
      <c r="T14" s="128"/>
      <c r="U14" s="128"/>
      <c r="V14" s="128"/>
      <c r="W14" s="128"/>
      <c r="X14" s="128"/>
      <c r="Y14" s="128"/>
      <c r="Z14" s="402"/>
      <c r="AA14" s="402"/>
      <c r="AD14" s="115"/>
    </row>
    <row r="15" spans="2:31" ht="45" x14ac:dyDescent="0.25">
      <c r="B15" s="205" t="s">
        <v>214</v>
      </c>
      <c r="C15" s="205" t="s">
        <v>157</v>
      </c>
      <c r="D15" s="206">
        <v>1500000</v>
      </c>
      <c r="E15" s="205"/>
      <c r="F15" s="205"/>
      <c r="G15" s="205" t="s">
        <v>157</v>
      </c>
      <c r="H15" s="209">
        <f>H20</f>
        <v>1500000</v>
      </c>
      <c r="O15" s="376" t="str">
        <f>B15</f>
        <v>P2. Programa de mejora continua de la calidad en CONE, elaborado e implementado</v>
      </c>
      <c r="P15" s="379" t="s">
        <v>390</v>
      </c>
      <c r="Q15" s="376" t="s">
        <v>391</v>
      </c>
      <c r="R15" s="315" t="s">
        <v>427</v>
      </c>
      <c r="S15" s="266">
        <f>582+15</f>
        <v>597</v>
      </c>
      <c r="T15" s="271">
        <v>22727.332999999999</v>
      </c>
      <c r="U15" s="267">
        <v>18</v>
      </c>
      <c r="V15" s="267">
        <v>1</v>
      </c>
      <c r="W15" s="275"/>
      <c r="X15" s="268">
        <f>(T15*U15*V15)+W15</f>
        <v>409091.99399999995</v>
      </c>
      <c r="Y15" s="269">
        <f>X15/S15</f>
        <v>685.24622110552752</v>
      </c>
      <c r="Z15" s="400">
        <f>SUM(X15:X18)/SUM(S17:S19)</f>
        <v>1140.1605200668896</v>
      </c>
      <c r="AA15" s="400">
        <f>SUM(X15:X19)</f>
        <v>1499999.9789999998</v>
      </c>
      <c r="AD15" s="115">
        <f>50*8*5*4</f>
        <v>8000</v>
      </c>
    </row>
    <row r="16" spans="2:31" ht="30" x14ac:dyDescent="0.25">
      <c r="B16" s="179" t="s">
        <v>4</v>
      </c>
      <c r="C16" s="180" t="s">
        <v>157</v>
      </c>
      <c r="D16" s="180" t="s">
        <v>183</v>
      </c>
      <c r="E16" s="180" t="s">
        <v>185</v>
      </c>
      <c r="F16" s="180" t="s">
        <v>13</v>
      </c>
      <c r="G16" s="180" t="s">
        <v>211</v>
      </c>
      <c r="H16" s="179" t="s">
        <v>157</v>
      </c>
      <c r="O16" s="377"/>
      <c r="P16" s="380"/>
      <c r="Q16" s="377"/>
      <c r="R16" s="316" t="s">
        <v>428</v>
      </c>
      <c r="S16" s="270">
        <f>582+15</f>
        <v>597</v>
      </c>
      <c r="T16" s="271">
        <v>22727.332999999999</v>
      </c>
      <c r="U16" s="271">
        <v>9</v>
      </c>
      <c r="V16" s="271">
        <v>1</v>
      </c>
      <c r="W16" s="274"/>
      <c r="X16" s="272">
        <f t="shared" ref="X16" si="5">(T16*U16*V16)+W16</f>
        <v>204545.99699999997</v>
      </c>
      <c r="Y16" s="273">
        <f t="shared" ref="Y16" si="6">X16/S16</f>
        <v>342.62311055276376</v>
      </c>
      <c r="Z16" s="401"/>
      <c r="AA16" s="401"/>
      <c r="AD16" s="33"/>
    </row>
    <row r="17" spans="2:30" x14ac:dyDescent="0.25">
      <c r="B17" s="1" t="s">
        <v>272</v>
      </c>
      <c r="C17" s="3">
        <v>60000</v>
      </c>
      <c r="D17" s="110">
        <v>15000</v>
      </c>
      <c r="E17" s="110">
        <v>4</v>
      </c>
      <c r="F17" s="110">
        <v>1</v>
      </c>
      <c r="G17" s="110"/>
      <c r="H17" s="4">
        <f>(D17*E17*F17)+G17</f>
        <v>60000</v>
      </c>
      <c r="O17" s="377"/>
      <c r="P17" s="380"/>
      <c r="Q17" s="377"/>
      <c r="R17" s="316" t="s">
        <v>429</v>
      </c>
      <c r="S17" s="270">
        <v>1</v>
      </c>
      <c r="T17" s="271">
        <v>7575</v>
      </c>
      <c r="U17" s="271">
        <v>9</v>
      </c>
      <c r="V17" s="271">
        <v>1</v>
      </c>
      <c r="W17" s="274">
        <v>3</v>
      </c>
      <c r="X17" s="272">
        <f>(T17*U17*V17)+W17</f>
        <v>68178</v>
      </c>
      <c r="Y17" s="273">
        <f>X17/S17</f>
        <v>68178</v>
      </c>
      <c r="Z17" s="401"/>
      <c r="AA17" s="401"/>
      <c r="AD17" s="33"/>
    </row>
    <row r="18" spans="2:30" x14ac:dyDescent="0.25">
      <c r="B18" s="1" t="s">
        <v>273</v>
      </c>
      <c r="C18" s="3">
        <v>1440000</v>
      </c>
      <c r="D18" s="110">
        <v>8000</v>
      </c>
      <c r="E18" s="110">
        <v>12</v>
      </c>
      <c r="F18" s="110">
        <v>15</v>
      </c>
      <c r="G18" s="110"/>
      <c r="H18" s="4">
        <f t="shared" ref="H18:H19" si="7">(D18*E18*F18)+G18</f>
        <v>1440000</v>
      </c>
      <c r="O18" s="377"/>
      <c r="P18" s="380"/>
      <c r="Q18" s="377"/>
      <c r="R18" s="316"/>
      <c r="S18" s="306"/>
      <c r="T18" s="306"/>
      <c r="U18" s="306"/>
      <c r="V18" s="306"/>
      <c r="W18" s="24"/>
      <c r="X18" s="272"/>
      <c r="Y18" s="273"/>
      <c r="Z18" s="401"/>
      <c r="AA18" s="401"/>
      <c r="AD18" s="33"/>
    </row>
    <row r="19" spans="2:30" ht="30.75" thickBot="1" x14ac:dyDescent="0.3">
      <c r="B19" s="1"/>
      <c r="C19" s="3"/>
      <c r="D19" s="110">
        <v>0</v>
      </c>
      <c r="E19" s="110">
        <v>0</v>
      </c>
      <c r="F19" s="110"/>
      <c r="G19" s="110"/>
      <c r="H19" s="4">
        <f t="shared" si="7"/>
        <v>0</v>
      </c>
      <c r="J19">
        <f>15</f>
        <v>15</v>
      </c>
      <c r="K19" s="115">
        <f>C18/F18</f>
        <v>96000</v>
      </c>
      <c r="L19" s="115">
        <f>K19/E18</f>
        <v>8000</v>
      </c>
      <c r="O19" s="378"/>
      <c r="P19" s="381"/>
      <c r="Q19" s="378"/>
      <c r="R19" s="317" t="s">
        <v>430</v>
      </c>
      <c r="S19" s="270">
        <f>S16</f>
        <v>597</v>
      </c>
      <c r="T19" s="271">
        <v>22727.332999999999</v>
      </c>
      <c r="U19" s="271">
        <v>36</v>
      </c>
      <c r="V19" s="271">
        <v>1</v>
      </c>
      <c r="W19" s="24"/>
      <c r="X19" s="272">
        <f>(T19*U19*V19)+W19</f>
        <v>818183.9879999999</v>
      </c>
      <c r="Y19" s="273">
        <f t="shared" ref="Y19:Y28" si="8">X19/S19</f>
        <v>1370.492442211055</v>
      </c>
      <c r="Z19" s="401"/>
      <c r="AA19" s="401"/>
    </row>
    <row r="20" spans="2:30" ht="45" x14ac:dyDescent="0.25">
      <c r="B20" s="179" t="s">
        <v>171</v>
      </c>
      <c r="C20" s="181">
        <f>SUM(C17:C19)</f>
        <v>1500000</v>
      </c>
      <c r="D20" s="182">
        <f>SUM(D17:D19)</f>
        <v>23000</v>
      </c>
      <c r="E20" s="182">
        <v>0</v>
      </c>
      <c r="F20" s="182"/>
      <c r="G20" s="182"/>
      <c r="H20" s="181">
        <f>SUM(H17:H19)</f>
        <v>1500000</v>
      </c>
      <c r="O20" s="376" t="str">
        <f>B23</f>
        <v>P3. Plataformas comunitarias de captación y control de embarazadas, desarrolladas y funcionando</v>
      </c>
      <c r="P20" s="379" t="s">
        <v>390</v>
      </c>
      <c r="Q20" s="376" t="s">
        <v>392</v>
      </c>
      <c r="R20" s="318" t="s">
        <v>431</v>
      </c>
      <c r="S20" s="266">
        <v>61</v>
      </c>
      <c r="T20" s="275">
        <v>20883.332999999999</v>
      </c>
      <c r="U20" s="267">
        <v>14</v>
      </c>
      <c r="V20" s="267">
        <v>1</v>
      </c>
      <c r="W20" s="275">
        <v>2053.4</v>
      </c>
      <c r="X20" s="268">
        <f t="shared" ref="X20:X33" si="9">(T20*U20*V20)+W20</f>
        <v>294420.06200000003</v>
      </c>
      <c r="Y20" s="269">
        <f t="shared" si="8"/>
        <v>4826.5583934426231</v>
      </c>
      <c r="Z20" s="403">
        <f>AA20/SUM(S20:S23)</f>
        <v>1464.8437191406249</v>
      </c>
      <c r="AA20" s="406">
        <f>SUM(X20:X23)</f>
        <v>1499999.9683999999</v>
      </c>
    </row>
    <row r="21" spans="2:30" ht="45" x14ac:dyDescent="0.25">
      <c r="O21" s="377"/>
      <c r="P21" s="380"/>
      <c r="Q21" s="377"/>
      <c r="R21" s="318" t="s">
        <v>432</v>
      </c>
      <c r="S21" s="270">
        <f>61*5</f>
        <v>305</v>
      </c>
      <c r="T21" s="274">
        <v>20883.332999999999</v>
      </c>
      <c r="U21" s="274">
        <v>12</v>
      </c>
      <c r="V21" s="274">
        <v>1</v>
      </c>
      <c r="W21" s="24"/>
      <c r="X21" s="277">
        <f t="shared" si="9"/>
        <v>250599.99599999998</v>
      </c>
      <c r="Y21" s="273">
        <f t="shared" si="8"/>
        <v>821.63933114754093</v>
      </c>
      <c r="Z21" s="404"/>
      <c r="AA21" s="407"/>
    </row>
    <row r="22" spans="2:30" ht="45" x14ac:dyDescent="0.25">
      <c r="O22" s="377"/>
      <c r="P22" s="380"/>
      <c r="Q22" s="377"/>
      <c r="R22" s="316" t="s">
        <v>433</v>
      </c>
      <c r="S22" s="289">
        <v>61</v>
      </c>
      <c r="T22" s="306">
        <v>85.405600000000007</v>
      </c>
      <c r="U22" s="306">
        <v>3</v>
      </c>
      <c r="V22" s="306">
        <v>13</v>
      </c>
      <c r="W22" s="24"/>
      <c r="X22" s="272">
        <f>(T22*U22*V22*S22)+W22</f>
        <v>203179.92240000004</v>
      </c>
      <c r="Y22" s="273">
        <f t="shared" si="8"/>
        <v>3330.8184000000006</v>
      </c>
      <c r="Z22" s="404"/>
      <c r="AA22" s="407"/>
    </row>
    <row r="23" spans="2:30" ht="40.5" customHeight="1" thickBot="1" x14ac:dyDescent="0.3">
      <c r="B23" s="205" t="s">
        <v>276</v>
      </c>
      <c r="C23" s="205" t="s">
        <v>157</v>
      </c>
      <c r="D23" s="206">
        <v>1500000</v>
      </c>
      <c r="E23" s="205"/>
      <c r="F23" s="205"/>
      <c r="G23" s="205" t="s">
        <v>157</v>
      </c>
      <c r="H23" s="209">
        <f>H28</f>
        <v>1499999.94</v>
      </c>
      <c r="O23" s="378"/>
      <c r="P23" s="381"/>
      <c r="Q23" s="378"/>
      <c r="R23" s="319" t="s">
        <v>434</v>
      </c>
      <c r="S23" s="278">
        <f>S19</f>
        <v>597</v>
      </c>
      <c r="T23" s="279">
        <v>20883.332999999999</v>
      </c>
      <c r="U23" s="279">
        <v>36</v>
      </c>
      <c r="V23" s="279">
        <v>1</v>
      </c>
      <c r="W23" s="128"/>
      <c r="X23" s="280">
        <f t="shared" si="9"/>
        <v>751799.9879999999</v>
      </c>
      <c r="Y23" s="281">
        <f t="shared" si="8"/>
        <v>1259.2964623115577</v>
      </c>
      <c r="Z23" s="405"/>
      <c r="AA23" s="408"/>
    </row>
    <row r="24" spans="2:30" ht="54" customHeight="1" x14ac:dyDescent="0.25">
      <c r="B24" s="179" t="s">
        <v>4</v>
      </c>
      <c r="C24" s="180" t="s">
        <v>157</v>
      </c>
      <c r="D24" s="180" t="s">
        <v>183</v>
      </c>
      <c r="E24" s="180" t="s">
        <v>185</v>
      </c>
      <c r="F24" s="180" t="s">
        <v>13</v>
      </c>
      <c r="G24" s="180" t="s">
        <v>211</v>
      </c>
      <c r="H24" s="179" t="s">
        <v>157</v>
      </c>
      <c r="I24" s="6">
        <f>H23/3</f>
        <v>499999.98</v>
      </c>
      <c r="O24" s="376" t="str">
        <f>B31</f>
        <v>P4.Programas de Información, Educación y Comunicación (IEC) para el cambio de comportamiento en relación con la salud sexual y reproductiva y la planificación familiar, implementados</v>
      </c>
      <c r="P24" s="388">
        <v>250000</v>
      </c>
      <c r="Q24" s="376" t="s">
        <v>393</v>
      </c>
      <c r="R24" s="318" t="s">
        <v>435</v>
      </c>
      <c r="S24" s="266">
        <v>61</v>
      </c>
      <c r="T24" s="267">
        <v>20833.3</v>
      </c>
      <c r="U24" s="267">
        <v>7</v>
      </c>
      <c r="V24" s="267">
        <v>1</v>
      </c>
      <c r="W24" s="275">
        <v>8167</v>
      </c>
      <c r="X24" s="268">
        <f t="shared" si="9"/>
        <v>154000.1</v>
      </c>
      <c r="Y24" s="269">
        <f t="shared" si="8"/>
        <v>2524.5918032786885</v>
      </c>
      <c r="Z24" s="409">
        <f>AA24/SUM(S24:S25)</f>
        <v>4032.2596774193548</v>
      </c>
      <c r="AA24" s="403">
        <f>SUM(X24:X25)</f>
        <v>250000.1</v>
      </c>
    </row>
    <row r="25" spans="2:30" ht="58.5" customHeight="1" thickBot="1" x14ac:dyDescent="0.3">
      <c r="B25" s="2" t="s">
        <v>274</v>
      </c>
      <c r="C25" s="3">
        <v>90000</v>
      </c>
      <c r="D25" s="110">
        <v>15000</v>
      </c>
      <c r="E25" s="110">
        <v>6</v>
      </c>
      <c r="F25" s="110">
        <v>1</v>
      </c>
      <c r="G25" s="110"/>
      <c r="H25" s="4">
        <f>(D25*E25*F25)+G25</f>
        <v>90000</v>
      </c>
      <c r="O25" s="378"/>
      <c r="P25" s="381"/>
      <c r="Q25" s="378"/>
      <c r="R25" s="319" t="s">
        <v>436</v>
      </c>
      <c r="S25" s="278">
        <v>1</v>
      </c>
      <c r="T25" s="279">
        <v>8000</v>
      </c>
      <c r="U25" s="279">
        <v>12</v>
      </c>
      <c r="V25" s="279">
        <v>1</v>
      </c>
      <c r="W25" s="128"/>
      <c r="X25" s="280">
        <f t="shared" si="9"/>
        <v>96000</v>
      </c>
      <c r="Y25" s="282">
        <f t="shared" si="8"/>
        <v>96000</v>
      </c>
      <c r="Z25" s="410"/>
      <c r="AA25" s="411"/>
    </row>
    <row r="26" spans="2:30" ht="60.75" thickBot="1" x14ac:dyDescent="0.3">
      <c r="B26" s="2" t="s">
        <v>275</v>
      </c>
      <c r="C26" s="3">
        <v>1410000</v>
      </c>
      <c r="D26" s="110">
        <v>7833.3329999999996</v>
      </c>
      <c r="E26" s="110">
        <v>12</v>
      </c>
      <c r="F26" s="110">
        <v>15</v>
      </c>
      <c r="G26" s="110"/>
      <c r="H26" s="4">
        <f t="shared" ref="H26:H27" si="10">(D26*E26*F26)+G26</f>
        <v>1409999.94</v>
      </c>
      <c r="O26" s="262" t="s">
        <v>465</v>
      </c>
      <c r="P26" s="320">
        <v>250000</v>
      </c>
      <c r="Q26" s="262"/>
      <c r="R26" s="262" t="s">
        <v>437</v>
      </c>
      <c r="S26" s="306">
        <v>100</v>
      </c>
      <c r="T26" s="321">
        <v>104</v>
      </c>
      <c r="U26" s="321">
        <v>24</v>
      </c>
      <c r="V26" s="321">
        <v>1</v>
      </c>
      <c r="W26" s="322">
        <v>400</v>
      </c>
      <c r="X26" s="321">
        <f>(T26*U26*V26*S26)+W26</f>
        <v>250000</v>
      </c>
      <c r="Y26" s="323">
        <f>X26/S26</f>
        <v>2500</v>
      </c>
      <c r="Z26" s="297">
        <f>AA26/S26</f>
        <v>2500</v>
      </c>
      <c r="AA26" s="298">
        <f>X26</f>
        <v>250000</v>
      </c>
    </row>
    <row r="27" spans="2:30" ht="30" x14ac:dyDescent="0.25">
      <c r="B27" s="1"/>
      <c r="C27" s="3"/>
      <c r="D27" s="110">
        <v>0</v>
      </c>
      <c r="E27" s="110">
        <v>0</v>
      </c>
      <c r="F27" s="110"/>
      <c r="G27" s="110"/>
      <c r="H27" s="4">
        <f t="shared" si="10"/>
        <v>0</v>
      </c>
      <c r="J27">
        <f>15</f>
        <v>15</v>
      </c>
      <c r="K27" s="115">
        <f>C26/F26</f>
        <v>94000</v>
      </c>
      <c r="L27" s="115">
        <f>K27/E26</f>
        <v>7833.333333333333</v>
      </c>
      <c r="O27" s="382" t="str">
        <f>B39</f>
        <v>P6. Licenciadas en enfermería obstétrica incorporadas en las Redes a nivel comunitario** (61)</v>
      </c>
      <c r="P27" s="385" t="s">
        <v>394</v>
      </c>
      <c r="Q27" s="382" t="s">
        <v>395</v>
      </c>
      <c r="R27" s="324" t="s">
        <v>438</v>
      </c>
      <c r="S27" s="266">
        <v>61</v>
      </c>
      <c r="T27" s="267">
        <v>20833</v>
      </c>
      <c r="U27" s="267">
        <v>5</v>
      </c>
      <c r="V27" s="267">
        <v>1</v>
      </c>
      <c r="W27" s="275">
        <v>6235</v>
      </c>
      <c r="X27" s="268">
        <f t="shared" si="9"/>
        <v>110400</v>
      </c>
      <c r="Y27" s="269">
        <f t="shared" si="8"/>
        <v>1809.8360655737704</v>
      </c>
      <c r="Z27" s="403">
        <f>AA27/SUM(S27)</f>
        <v>35409.836065573771</v>
      </c>
      <c r="AA27" s="403">
        <f>SUM(X27:X28)</f>
        <v>2160000</v>
      </c>
    </row>
    <row r="28" spans="2:30" ht="30" x14ac:dyDescent="0.25">
      <c r="B28" s="179" t="s">
        <v>171</v>
      </c>
      <c r="C28" s="181">
        <f>SUM(C25:C27)</f>
        <v>1500000</v>
      </c>
      <c r="D28" s="182">
        <f>SUM(D25:D27)</f>
        <v>22833.332999999999</v>
      </c>
      <c r="E28" s="182">
        <v>0</v>
      </c>
      <c r="F28" s="182"/>
      <c r="G28" s="182"/>
      <c r="H28" s="181">
        <f>SUM(H25:H27)</f>
        <v>1499999.94</v>
      </c>
      <c r="N28" s="19"/>
      <c r="O28" s="383"/>
      <c r="P28" s="386"/>
      <c r="Q28" s="383"/>
      <c r="R28" s="324" t="s">
        <v>439</v>
      </c>
      <c r="S28" s="270">
        <v>61</v>
      </c>
      <c r="T28" s="274">
        <v>700</v>
      </c>
      <c r="U28" s="274">
        <v>48</v>
      </c>
      <c r="V28" s="274">
        <v>61</v>
      </c>
      <c r="W28" s="24"/>
      <c r="X28" s="277">
        <f t="shared" si="9"/>
        <v>2049600</v>
      </c>
      <c r="Y28" s="273">
        <f t="shared" si="8"/>
        <v>33600</v>
      </c>
      <c r="Z28" s="404"/>
      <c r="AA28" s="404"/>
    </row>
    <row r="29" spans="2:30" ht="30.75" thickBot="1" x14ac:dyDescent="0.3">
      <c r="O29" s="384"/>
      <c r="P29" s="387"/>
      <c r="Q29" s="384"/>
      <c r="R29" s="325" t="s">
        <v>440</v>
      </c>
      <c r="S29" s="283"/>
      <c r="T29" s="128"/>
      <c r="U29" s="128"/>
      <c r="V29" s="128"/>
      <c r="W29" s="128"/>
      <c r="X29" s="280">
        <f t="shared" si="9"/>
        <v>0</v>
      </c>
      <c r="Y29" s="128"/>
      <c r="Z29" s="405"/>
      <c r="AA29" s="405"/>
    </row>
    <row r="30" spans="2:30" ht="45" x14ac:dyDescent="0.25">
      <c r="O30" s="382" t="s">
        <v>467</v>
      </c>
      <c r="P30" s="395">
        <v>200000</v>
      </c>
      <c r="Q30" s="412" t="s">
        <v>396</v>
      </c>
      <c r="R30" s="324" t="s">
        <v>441</v>
      </c>
      <c r="S30" s="266">
        <f>582+15</f>
        <v>597</v>
      </c>
      <c r="T30" s="275">
        <v>5000</v>
      </c>
      <c r="U30" s="275">
        <v>18</v>
      </c>
      <c r="V30" s="275">
        <v>1</v>
      </c>
      <c r="W30" s="21"/>
      <c r="X30" s="284">
        <f t="shared" si="9"/>
        <v>90000</v>
      </c>
      <c r="Y30" s="269">
        <f>X30/S30</f>
        <v>150.7537688442211</v>
      </c>
      <c r="Z30" s="403">
        <f>AA30/SUM(S30:S32)</f>
        <v>267.02269692923898</v>
      </c>
      <c r="AA30" s="403">
        <f>SUM(X30:X32)</f>
        <v>200000</v>
      </c>
    </row>
    <row r="31" spans="2:30" ht="45" customHeight="1" x14ac:dyDescent="0.25">
      <c r="B31" s="205" t="s">
        <v>464</v>
      </c>
      <c r="C31" s="205" t="s">
        <v>157</v>
      </c>
      <c r="D31" s="206">
        <v>250000</v>
      </c>
      <c r="E31" s="205"/>
      <c r="F31" s="205"/>
      <c r="G31" s="205" t="s">
        <v>157</v>
      </c>
      <c r="H31" s="209">
        <f>H36</f>
        <v>249999.72000000003</v>
      </c>
      <c r="O31" s="383"/>
      <c r="P31" s="386"/>
      <c r="Q31" s="413"/>
      <c r="R31" s="324" t="s">
        <v>442</v>
      </c>
      <c r="S31" s="270">
        <f>61+15</f>
        <v>76</v>
      </c>
      <c r="T31" s="274">
        <v>5000</v>
      </c>
      <c r="U31" s="274">
        <v>10</v>
      </c>
      <c r="V31" s="274">
        <v>1</v>
      </c>
      <c r="W31" s="24"/>
      <c r="X31" s="277">
        <f t="shared" si="9"/>
        <v>50000</v>
      </c>
      <c r="Y31" s="273">
        <f>X31/S31</f>
        <v>657.89473684210532</v>
      </c>
      <c r="Z31" s="415"/>
      <c r="AA31" s="415"/>
    </row>
    <row r="32" spans="2:30" ht="45" x14ac:dyDescent="0.25">
      <c r="B32" s="179" t="s">
        <v>4</v>
      </c>
      <c r="C32" s="180" t="s">
        <v>157</v>
      </c>
      <c r="D32" s="180" t="s">
        <v>183</v>
      </c>
      <c r="E32" s="180" t="s">
        <v>185</v>
      </c>
      <c r="F32" s="180" t="s">
        <v>13</v>
      </c>
      <c r="G32" s="180" t="s">
        <v>211</v>
      </c>
      <c r="H32" s="179" t="s">
        <v>157</v>
      </c>
      <c r="O32" s="383"/>
      <c r="P32" s="386"/>
      <c r="Q32" s="413"/>
      <c r="R32" s="324" t="s">
        <v>443</v>
      </c>
      <c r="S32" s="270">
        <f>S31</f>
        <v>76</v>
      </c>
      <c r="T32" s="274">
        <v>5000</v>
      </c>
      <c r="U32" s="274">
        <v>12</v>
      </c>
      <c r="V32" s="274">
        <v>1</v>
      </c>
      <c r="W32" s="24"/>
      <c r="X32" s="277">
        <f t="shared" si="9"/>
        <v>60000</v>
      </c>
      <c r="Y32" s="273">
        <f>X32/S32</f>
        <v>789.47368421052636</v>
      </c>
      <c r="Z32" s="415"/>
      <c r="AA32" s="415"/>
    </row>
    <row r="33" spans="2:29" ht="27" thickBot="1" x14ac:dyDescent="0.3">
      <c r="B33" s="2" t="s">
        <v>277</v>
      </c>
      <c r="C33" s="3">
        <v>15000</v>
      </c>
      <c r="D33" s="110">
        <v>5000</v>
      </c>
      <c r="E33" s="110">
        <v>3</v>
      </c>
      <c r="F33" s="110">
        <v>1</v>
      </c>
      <c r="G33" s="110"/>
      <c r="H33" s="4">
        <f>(D33*E33*F33)+G33</f>
        <v>15000</v>
      </c>
      <c r="O33" s="384"/>
      <c r="P33" s="387"/>
      <c r="Q33" s="414"/>
      <c r="R33" s="326"/>
      <c r="S33" s="276"/>
      <c r="T33" s="128"/>
      <c r="U33" s="128"/>
      <c r="V33" s="128"/>
      <c r="W33" s="128"/>
      <c r="X33" s="280">
        <f t="shared" si="9"/>
        <v>0</v>
      </c>
      <c r="Y33" s="128"/>
      <c r="Z33" s="411"/>
      <c r="AA33" s="411"/>
    </row>
    <row r="34" spans="2:29" ht="30" x14ac:dyDescent="0.25">
      <c r="B34" s="2" t="s">
        <v>278</v>
      </c>
      <c r="C34" s="3">
        <v>235000</v>
      </c>
      <c r="D34" s="110">
        <v>652.77700000000004</v>
      </c>
      <c r="E34" s="110">
        <v>24</v>
      </c>
      <c r="F34" s="110">
        <v>15</v>
      </c>
      <c r="G34" s="110"/>
      <c r="H34" s="4">
        <f t="shared" ref="H34:H35" si="11">(D34*E34*F34)+G34</f>
        <v>234999.72000000003</v>
      </c>
      <c r="O34" s="376" t="s">
        <v>469</v>
      </c>
      <c r="P34" s="379" t="s">
        <v>397</v>
      </c>
      <c r="Q34" s="376" t="s">
        <v>398</v>
      </c>
      <c r="R34" s="318" t="s">
        <v>444</v>
      </c>
      <c r="S34" s="266">
        <f>582+15</f>
        <v>597</v>
      </c>
      <c r="T34" s="275">
        <v>22727.3</v>
      </c>
      <c r="U34" s="275">
        <v>25</v>
      </c>
      <c r="V34" s="275">
        <v>1</v>
      </c>
      <c r="W34" s="275">
        <v>12728</v>
      </c>
      <c r="X34" s="293">
        <f>(T34*U34*V34)+W34</f>
        <v>580910.5</v>
      </c>
      <c r="Y34" s="269">
        <f>X34/S34</f>
        <v>973.04941373534336</v>
      </c>
      <c r="Z34" s="403">
        <f>AA34/SUM(S34:S36)</f>
        <v>697.26177606490864</v>
      </c>
      <c r="AA34" s="403">
        <f>SUM(X34:X36)</f>
        <v>1375000.2223999999</v>
      </c>
      <c r="AB34" s="19"/>
      <c r="AC34" s="19"/>
    </row>
    <row r="35" spans="2:29" ht="60" x14ac:dyDescent="0.25">
      <c r="B35" s="1"/>
      <c r="C35" s="3"/>
      <c r="D35" s="110">
        <v>0</v>
      </c>
      <c r="E35" s="110">
        <v>0</v>
      </c>
      <c r="F35" s="110"/>
      <c r="G35" s="110"/>
      <c r="H35" s="4">
        <f t="shared" si="11"/>
        <v>0</v>
      </c>
      <c r="J35">
        <f>15</f>
        <v>15</v>
      </c>
      <c r="K35" s="115">
        <f>C34/F34</f>
        <v>15666.666666666666</v>
      </c>
      <c r="L35" s="115">
        <f>K35/E34</f>
        <v>652.77777777777771</v>
      </c>
      <c r="O35" s="377"/>
      <c r="P35" s="380"/>
      <c r="Q35" s="377"/>
      <c r="R35" s="318" t="s">
        <v>445</v>
      </c>
      <c r="S35" s="289">
        <f>582*2+10*15</f>
        <v>1314</v>
      </c>
      <c r="T35" s="290">
        <v>22727.3</v>
      </c>
      <c r="U35" s="290">
        <v>26</v>
      </c>
      <c r="V35" s="290">
        <v>1</v>
      </c>
      <c r="W35" s="291"/>
      <c r="X35" s="292">
        <f>(T35*U35*V35)+W35</f>
        <v>590909.79999999993</v>
      </c>
      <c r="Y35" s="294">
        <f>X35/S35</f>
        <v>449.70304414003039</v>
      </c>
      <c r="Z35" s="404"/>
      <c r="AA35" s="404"/>
    </row>
    <row r="36" spans="2:29" ht="45.75" thickBot="1" x14ac:dyDescent="0.3">
      <c r="B36" s="179" t="s">
        <v>171</v>
      </c>
      <c r="C36" s="181">
        <f>SUM(C33:C35)</f>
        <v>250000</v>
      </c>
      <c r="D36" s="182">
        <f>SUM(D33:D35)</f>
        <v>5652.777</v>
      </c>
      <c r="E36" s="182">
        <v>0</v>
      </c>
      <c r="F36" s="182"/>
      <c r="G36" s="182"/>
      <c r="H36" s="181">
        <f>SUM(H33:H35)</f>
        <v>249999.72000000003</v>
      </c>
      <c r="O36" s="378"/>
      <c r="P36" s="381"/>
      <c r="Q36" s="378"/>
      <c r="R36" s="319" t="s">
        <v>446</v>
      </c>
      <c r="S36" s="327">
        <v>61</v>
      </c>
      <c r="T36" s="328">
        <v>85.405600000000007</v>
      </c>
      <c r="U36" s="328">
        <v>3</v>
      </c>
      <c r="V36" s="328">
        <v>13</v>
      </c>
      <c r="W36" s="128"/>
      <c r="X36" s="329">
        <f>(T36*U36*V36*S36)+W36</f>
        <v>203179.92240000004</v>
      </c>
      <c r="Y36" s="281">
        <f t="shared" ref="Y36" si="12">X36/S36</f>
        <v>3330.8184000000006</v>
      </c>
      <c r="Z36" s="405"/>
      <c r="AA36" s="405"/>
    </row>
    <row r="37" spans="2:29" ht="30.75" thickBot="1" x14ac:dyDescent="0.3">
      <c r="O37" s="330" t="s">
        <v>468</v>
      </c>
      <c r="P37" s="331">
        <v>1221000</v>
      </c>
      <c r="Q37" s="332"/>
      <c r="R37" s="315"/>
      <c r="S37" s="295">
        <f>15+10</f>
        <v>25</v>
      </c>
      <c r="T37" s="301">
        <v>2000</v>
      </c>
      <c r="U37" s="301">
        <v>24</v>
      </c>
      <c r="V37" s="301">
        <v>1</v>
      </c>
      <c r="W37" s="300">
        <v>21000</v>
      </c>
      <c r="X37" s="296">
        <f>(T37*U37*V37*S37)+W37</f>
        <v>1221000</v>
      </c>
      <c r="Y37" s="299">
        <f>X37/S37</f>
        <v>48840</v>
      </c>
      <c r="Z37" s="297">
        <f>AA37/S37</f>
        <v>48840</v>
      </c>
      <c r="AA37" s="298">
        <f>X37</f>
        <v>1221000</v>
      </c>
    </row>
    <row r="38" spans="2:29" x14ac:dyDescent="0.25">
      <c r="O38" s="389" t="s">
        <v>400</v>
      </c>
      <c r="P38" s="390"/>
      <c r="Q38" s="390"/>
      <c r="R38" s="391"/>
      <c r="S38" s="265"/>
    </row>
    <row r="39" spans="2:29" ht="27" thickBot="1" x14ac:dyDescent="0.3">
      <c r="B39" s="205" t="s">
        <v>466</v>
      </c>
      <c r="C39" s="205" t="s">
        <v>157</v>
      </c>
      <c r="D39" s="206">
        <f>C44</f>
        <v>2160000</v>
      </c>
      <c r="E39" s="205"/>
      <c r="F39" s="205"/>
      <c r="G39" s="205" t="s">
        <v>157</v>
      </c>
      <c r="H39" s="209">
        <f>H44</f>
        <v>2160000</v>
      </c>
      <c r="O39" s="392" t="s">
        <v>401</v>
      </c>
      <c r="P39" s="393"/>
      <c r="Q39" s="393"/>
      <c r="R39" s="394"/>
      <c r="S39" s="265"/>
    </row>
    <row r="40" spans="2:29" ht="90" thickBot="1" x14ac:dyDescent="0.3">
      <c r="B40" s="179" t="s">
        <v>4</v>
      </c>
      <c r="C40" s="180" t="s">
        <v>157</v>
      </c>
      <c r="D40" s="180" t="s">
        <v>183</v>
      </c>
      <c r="E40" s="180" t="s">
        <v>185</v>
      </c>
      <c r="F40" s="180" t="s">
        <v>13</v>
      </c>
      <c r="G40" s="180" t="s">
        <v>211</v>
      </c>
      <c r="H40" s="179" t="s">
        <v>157</v>
      </c>
      <c r="O40" s="255" t="s">
        <v>402</v>
      </c>
      <c r="P40" s="259" t="s">
        <v>386</v>
      </c>
      <c r="Q40" s="256" t="s">
        <v>403</v>
      </c>
      <c r="R40" s="303" t="s">
        <v>387</v>
      </c>
      <c r="S40" s="285" t="s">
        <v>409</v>
      </c>
      <c r="T40" s="286" t="s">
        <v>183</v>
      </c>
      <c r="U40" s="286" t="s">
        <v>416</v>
      </c>
      <c r="V40" s="286" t="s">
        <v>412</v>
      </c>
      <c r="W40" s="286" t="s">
        <v>411</v>
      </c>
      <c r="X40" s="287" t="s">
        <v>157</v>
      </c>
      <c r="Y40" s="288" t="s">
        <v>410</v>
      </c>
      <c r="Z40" s="288" t="s">
        <v>413</v>
      </c>
      <c r="AA40" s="288" t="s">
        <v>415</v>
      </c>
    </row>
    <row r="41" spans="2:29" ht="30" x14ac:dyDescent="0.25">
      <c r="B41" s="2" t="s">
        <v>279</v>
      </c>
      <c r="C41" s="3">
        <v>2160000</v>
      </c>
      <c r="D41" s="110">
        <v>750</v>
      </c>
      <c r="E41" s="110">
        <v>48</v>
      </c>
      <c r="F41" s="110">
        <v>60</v>
      </c>
      <c r="G41" s="110"/>
      <c r="H41" s="4">
        <f>(D41*E41*F41)+G41</f>
        <v>2160000</v>
      </c>
      <c r="O41" s="376" t="s">
        <v>470</v>
      </c>
      <c r="P41" s="388">
        <v>750000</v>
      </c>
      <c r="Q41" s="376" t="s">
        <v>404</v>
      </c>
      <c r="R41" s="318" t="s">
        <v>447</v>
      </c>
      <c r="S41" s="333">
        <v>1</v>
      </c>
      <c r="T41" s="334">
        <v>8000</v>
      </c>
      <c r="U41" s="334">
        <v>3</v>
      </c>
      <c r="V41" s="334">
        <v>1</v>
      </c>
      <c r="W41" s="335"/>
      <c r="X41" s="336">
        <f t="shared" ref="X41:X50" si="13">(T41*U41*V41)+W41</f>
        <v>24000</v>
      </c>
      <c r="Y41" s="337">
        <f>X41/S41</f>
        <v>24000</v>
      </c>
      <c r="Z41" s="403">
        <f>AA41/SUM(S41:S45)</f>
        <v>7653.0581632653057</v>
      </c>
      <c r="AA41" s="403">
        <f>SUM(X41:X45)</f>
        <v>749999.7</v>
      </c>
    </row>
    <row r="42" spans="2:29" x14ac:dyDescent="0.25">
      <c r="B42" s="2"/>
      <c r="C42" s="3"/>
      <c r="D42" s="110"/>
      <c r="E42" s="110"/>
      <c r="F42" s="110"/>
      <c r="G42" s="110"/>
      <c r="H42" s="4">
        <f t="shared" ref="H42:H43" si="14">(D42*E42*F42)+G42</f>
        <v>0</v>
      </c>
      <c r="J42">
        <f>15</f>
        <v>15</v>
      </c>
      <c r="K42" s="115">
        <f>C41/F41</f>
        <v>36000</v>
      </c>
      <c r="L42" s="115">
        <f>K42/E41</f>
        <v>750</v>
      </c>
      <c r="O42" s="377"/>
      <c r="P42" s="380"/>
      <c r="Q42" s="377"/>
      <c r="R42" s="318" t="s">
        <v>448</v>
      </c>
      <c r="S42" s="289">
        <v>2</v>
      </c>
      <c r="T42" s="290">
        <v>8000</v>
      </c>
      <c r="U42" s="290">
        <v>3</v>
      </c>
      <c r="V42" s="290">
        <v>1</v>
      </c>
      <c r="W42" s="291"/>
      <c r="X42" s="292">
        <f t="shared" si="13"/>
        <v>24000</v>
      </c>
      <c r="Y42" s="308">
        <f>X42/S42</f>
        <v>12000</v>
      </c>
      <c r="Z42" s="415"/>
      <c r="AA42" s="415"/>
    </row>
    <row r="43" spans="2:29" ht="45" x14ac:dyDescent="0.25">
      <c r="B43" s="1"/>
      <c r="C43" s="3"/>
      <c r="D43" s="110">
        <v>0</v>
      </c>
      <c r="E43" s="110">
        <v>0</v>
      </c>
      <c r="F43" s="110"/>
      <c r="G43" s="110"/>
      <c r="H43" s="4">
        <f t="shared" si="14"/>
        <v>0</v>
      </c>
      <c r="O43" s="377"/>
      <c r="P43" s="380"/>
      <c r="Q43" s="377"/>
      <c r="R43" s="318" t="s">
        <v>449</v>
      </c>
      <c r="S43" s="289">
        <f>15*5</f>
        <v>75</v>
      </c>
      <c r="T43" s="290">
        <v>22727.3</v>
      </c>
      <c r="U43" s="290">
        <v>18</v>
      </c>
      <c r="V43" s="290">
        <v>1</v>
      </c>
      <c r="W43" s="338">
        <v>20073.3</v>
      </c>
      <c r="X43" s="292">
        <f t="shared" si="13"/>
        <v>429164.69999999995</v>
      </c>
      <c r="Y43" s="308">
        <f>X43/S43</f>
        <v>5722.195999999999</v>
      </c>
      <c r="Z43" s="415"/>
      <c r="AA43" s="415"/>
    </row>
    <row r="44" spans="2:29" ht="45" x14ac:dyDescent="0.25">
      <c r="B44" s="179" t="s">
        <v>171</v>
      </c>
      <c r="C44" s="181">
        <f>SUM(C41:C43)</f>
        <v>2160000</v>
      </c>
      <c r="D44" s="182">
        <f>SUM(D41:D43)</f>
        <v>750</v>
      </c>
      <c r="E44" s="182">
        <v>0</v>
      </c>
      <c r="F44" s="182"/>
      <c r="G44" s="182"/>
      <c r="H44" s="181">
        <f>SUM(H41:H43)</f>
        <v>2160000</v>
      </c>
      <c r="O44" s="377"/>
      <c r="P44" s="380"/>
      <c r="Q44" s="377"/>
      <c r="R44" s="316" t="s">
        <v>450</v>
      </c>
      <c r="S44" s="339">
        <v>10</v>
      </c>
      <c r="T44" s="291">
        <v>2021</v>
      </c>
      <c r="U44" s="291">
        <v>12</v>
      </c>
      <c r="V44" s="291">
        <v>10</v>
      </c>
      <c r="W44" s="291"/>
      <c r="X44" s="292">
        <f t="shared" si="13"/>
        <v>242520</v>
      </c>
      <c r="Y44" s="308">
        <f t="shared" ref="Y44:Y45" si="15">X44/S44</f>
        <v>24252</v>
      </c>
      <c r="Z44" s="415"/>
      <c r="AA44" s="415"/>
    </row>
    <row r="45" spans="2:29" ht="30.75" thickBot="1" x14ac:dyDescent="0.3">
      <c r="O45" s="378"/>
      <c r="P45" s="381"/>
      <c r="Q45" s="378"/>
      <c r="R45" s="319" t="s">
        <v>451</v>
      </c>
      <c r="S45" s="276">
        <v>10</v>
      </c>
      <c r="T45" s="340">
        <v>2021</v>
      </c>
      <c r="U45" s="340">
        <v>5</v>
      </c>
      <c r="V45" s="340">
        <v>3</v>
      </c>
      <c r="W45" s="340"/>
      <c r="X45" s="292">
        <f t="shared" si="13"/>
        <v>30315</v>
      </c>
      <c r="Y45" s="308">
        <f t="shared" si="15"/>
        <v>3031.5</v>
      </c>
      <c r="Z45" s="411"/>
      <c r="AA45" s="411"/>
    </row>
    <row r="46" spans="2:29" x14ac:dyDescent="0.25">
      <c r="O46" s="376" t="s">
        <v>471</v>
      </c>
      <c r="P46" s="388">
        <v>375000</v>
      </c>
      <c r="Q46" s="376" t="s">
        <v>405</v>
      </c>
      <c r="R46" s="318" t="s">
        <v>452</v>
      </c>
      <c r="S46" s="266">
        <v>1</v>
      </c>
      <c r="T46" s="267">
        <v>5000</v>
      </c>
      <c r="U46" s="267">
        <v>12</v>
      </c>
      <c r="V46" s="267">
        <v>1</v>
      </c>
      <c r="W46" s="275"/>
      <c r="X46" s="268">
        <f t="shared" si="13"/>
        <v>60000</v>
      </c>
      <c r="Y46" s="269">
        <f>X46/S46</f>
        <v>60000</v>
      </c>
      <c r="Z46" s="403">
        <f>AA46/SUM(S46:S50)</f>
        <v>2038.0434782608695</v>
      </c>
      <c r="AA46" s="403">
        <f>SUM(X46:X50)</f>
        <v>375000</v>
      </c>
    </row>
    <row r="47" spans="2:29" ht="30" x14ac:dyDescent="0.25">
      <c r="B47" s="205" t="s">
        <v>280</v>
      </c>
      <c r="C47" s="205" t="s">
        <v>157</v>
      </c>
      <c r="D47" s="206">
        <v>200000</v>
      </c>
      <c r="E47" s="205"/>
      <c r="F47" s="205"/>
      <c r="G47" s="205" t="s">
        <v>157</v>
      </c>
      <c r="H47" s="209">
        <f>H52</f>
        <v>200000.03999999998</v>
      </c>
      <c r="O47" s="377"/>
      <c r="P47" s="380"/>
      <c r="Q47" s="377"/>
      <c r="R47" s="318" t="s">
        <v>453</v>
      </c>
      <c r="S47" s="270">
        <v>1</v>
      </c>
      <c r="T47" s="274">
        <v>5000</v>
      </c>
      <c r="U47" s="274">
        <v>12</v>
      </c>
      <c r="V47" s="274">
        <v>1</v>
      </c>
      <c r="W47" s="24"/>
      <c r="X47" s="277">
        <f t="shared" si="13"/>
        <v>60000</v>
      </c>
      <c r="Y47" s="273">
        <f>X47/S47</f>
        <v>60000</v>
      </c>
      <c r="Z47" s="404"/>
      <c r="AA47" s="404"/>
    </row>
    <row r="48" spans="2:29" ht="30" x14ac:dyDescent="0.25">
      <c r="B48" s="179" t="s">
        <v>4</v>
      </c>
      <c r="C48" s="180" t="s">
        <v>157</v>
      </c>
      <c r="D48" s="180" t="s">
        <v>183</v>
      </c>
      <c r="E48" s="180" t="s">
        <v>185</v>
      </c>
      <c r="F48" s="180" t="s">
        <v>13</v>
      </c>
      <c r="G48" s="180" t="s">
        <v>211</v>
      </c>
      <c r="H48" s="179" t="s">
        <v>157</v>
      </c>
      <c r="O48" s="377"/>
      <c r="P48" s="380"/>
      <c r="Q48" s="377"/>
      <c r="R48" s="318" t="s">
        <v>454</v>
      </c>
      <c r="S48" s="270">
        <f>15*3</f>
        <v>45</v>
      </c>
      <c r="T48" s="274">
        <v>5000</v>
      </c>
      <c r="U48" s="274">
        <v>18</v>
      </c>
      <c r="V48" s="274">
        <v>1</v>
      </c>
      <c r="W48" s="24"/>
      <c r="X48" s="277">
        <f t="shared" si="13"/>
        <v>90000</v>
      </c>
      <c r="Y48" s="273">
        <f t="shared" ref="Y48:Y50" si="16">X48/S48</f>
        <v>2000</v>
      </c>
      <c r="Z48" s="404"/>
      <c r="AA48" s="404"/>
    </row>
    <row r="49" spans="2:27" ht="30" x14ac:dyDescent="0.25">
      <c r="B49" s="2" t="s">
        <v>283</v>
      </c>
      <c r="C49" s="3">
        <v>200000</v>
      </c>
      <c r="D49" s="110">
        <v>16666.669999999998</v>
      </c>
      <c r="E49" s="110">
        <v>12</v>
      </c>
      <c r="F49" s="110">
        <v>1</v>
      </c>
      <c r="G49" s="110"/>
      <c r="H49" s="4">
        <f>(D49*E49*F49)+G49</f>
        <v>200000.03999999998</v>
      </c>
      <c r="O49" s="377"/>
      <c r="P49" s="380"/>
      <c r="Q49" s="377"/>
      <c r="R49" s="318" t="s">
        <v>455</v>
      </c>
      <c r="S49" s="270">
        <v>61</v>
      </c>
      <c r="T49" s="274">
        <v>5000</v>
      </c>
      <c r="U49" s="274">
        <v>12</v>
      </c>
      <c r="V49" s="274">
        <v>1</v>
      </c>
      <c r="W49" s="24"/>
      <c r="X49" s="277">
        <f t="shared" si="13"/>
        <v>60000</v>
      </c>
      <c r="Y49" s="273">
        <f t="shared" si="16"/>
        <v>983.60655737704917</v>
      </c>
      <c r="Z49" s="404"/>
      <c r="AA49" s="404"/>
    </row>
    <row r="50" spans="2:27" ht="45" x14ac:dyDescent="0.25">
      <c r="B50" s="2"/>
      <c r="C50" s="3"/>
      <c r="D50" s="110"/>
      <c r="E50" s="110"/>
      <c r="F50" s="110"/>
      <c r="G50" s="110"/>
      <c r="H50" s="4">
        <f t="shared" ref="H50:H51" si="17">(D50*E50*F50)+G50</f>
        <v>0</v>
      </c>
      <c r="J50">
        <v>1</v>
      </c>
      <c r="K50" s="115">
        <f>C49/F49</f>
        <v>200000</v>
      </c>
      <c r="L50" s="115">
        <f>K50/E49</f>
        <v>16666.666666666668</v>
      </c>
      <c r="O50" s="377"/>
      <c r="P50" s="380"/>
      <c r="Q50" s="377"/>
      <c r="R50" s="318" t="s">
        <v>456</v>
      </c>
      <c r="S50" s="270">
        <f>61+15</f>
        <v>76</v>
      </c>
      <c r="T50" s="274">
        <v>5000</v>
      </c>
      <c r="U50" s="274">
        <v>21</v>
      </c>
      <c r="V50" s="274">
        <v>1</v>
      </c>
      <c r="W50" s="274"/>
      <c r="X50" s="277">
        <f t="shared" si="13"/>
        <v>105000</v>
      </c>
      <c r="Y50" s="273">
        <f t="shared" si="16"/>
        <v>1381.578947368421</v>
      </c>
      <c r="Z50" s="404"/>
      <c r="AA50" s="404"/>
    </row>
    <row r="51" spans="2:27" ht="15.75" thickBot="1" x14ac:dyDescent="0.3">
      <c r="B51" s="1"/>
      <c r="C51" s="3"/>
      <c r="D51" s="110">
        <v>0</v>
      </c>
      <c r="E51" s="110">
        <v>0</v>
      </c>
      <c r="F51" s="110"/>
      <c r="G51" s="110"/>
      <c r="H51" s="4">
        <f t="shared" si="17"/>
        <v>0</v>
      </c>
      <c r="O51" s="378"/>
      <c r="P51" s="381"/>
      <c r="Q51" s="378"/>
      <c r="R51" s="341"/>
      <c r="S51" s="278"/>
      <c r="T51" s="128"/>
      <c r="U51" s="128"/>
      <c r="V51" s="128"/>
      <c r="W51" s="128"/>
      <c r="X51" s="128"/>
      <c r="Y51" s="128"/>
      <c r="Z51" s="405"/>
      <c r="AA51" s="405"/>
    </row>
    <row r="52" spans="2:27" ht="45.75" thickBot="1" x14ac:dyDescent="0.3">
      <c r="B52" s="179" t="s">
        <v>171</v>
      </c>
      <c r="C52" s="181">
        <f>SUM(C49:C51)</f>
        <v>200000</v>
      </c>
      <c r="D52" s="182">
        <f>SUM(D49:D51)</f>
        <v>16666.669999999998</v>
      </c>
      <c r="E52" s="182">
        <v>0</v>
      </c>
      <c r="F52" s="182"/>
      <c r="G52" s="182"/>
      <c r="H52" s="181">
        <f>SUM(H49:H51)</f>
        <v>200000.03999999998</v>
      </c>
      <c r="O52" s="261" t="s">
        <v>472</v>
      </c>
      <c r="P52" s="260" t="s">
        <v>406</v>
      </c>
      <c r="Q52" s="258" t="s">
        <v>407</v>
      </c>
      <c r="R52" s="325" t="s">
        <v>457</v>
      </c>
      <c r="S52" s="295">
        <v>15</v>
      </c>
      <c r="T52" s="300">
        <v>20383.330000000002</v>
      </c>
      <c r="U52" s="300">
        <v>48</v>
      </c>
      <c r="V52" s="300">
        <v>4</v>
      </c>
      <c r="W52" s="300">
        <v>86401</v>
      </c>
      <c r="X52" s="301">
        <f>(T52*U52*V52)+W52</f>
        <v>4000000.3600000003</v>
      </c>
      <c r="Y52" s="299">
        <f>X52/S52</f>
        <v>266666.69066666666</v>
      </c>
      <c r="Z52" s="297">
        <f>AA52/S52</f>
        <v>266666.69066666666</v>
      </c>
      <c r="AA52" s="298">
        <f>X52</f>
        <v>4000000.3600000003</v>
      </c>
    </row>
    <row r="53" spans="2:27" ht="45.75" thickBot="1" x14ac:dyDescent="0.3">
      <c r="O53" s="264" t="s">
        <v>473</v>
      </c>
      <c r="P53" s="302">
        <v>190000</v>
      </c>
      <c r="Q53" s="257" t="s">
        <v>408</v>
      </c>
      <c r="R53" s="319" t="s">
        <v>458</v>
      </c>
      <c r="S53" s="295">
        <v>15</v>
      </c>
      <c r="T53" s="300">
        <v>5500</v>
      </c>
      <c r="U53" s="300">
        <v>36</v>
      </c>
      <c r="V53" s="300">
        <v>1</v>
      </c>
      <c r="W53" s="300">
        <v>11000</v>
      </c>
      <c r="X53" s="301">
        <f>(T53*U53*V53)+W53</f>
        <v>209000</v>
      </c>
      <c r="Y53" s="299">
        <f>X53/S53</f>
        <v>13933.333333333334</v>
      </c>
      <c r="Z53" s="297">
        <f>AA53/S53</f>
        <v>13933.333333333334</v>
      </c>
      <c r="AA53" s="298">
        <f>X53</f>
        <v>209000</v>
      </c>
    </row>
    <row r="54" spans="2:27" x14ac:dyDescent="0.25">
      <c r="O54" s="389" t="s">
        <v>459</v>
      </c>
      <c r="P54" s="390"/>
      <c r="Q54" s="390"/>
      <c r="R54" s="391"/>
      <c r="S54" s="265"/>
    </row>
    <row r="55" spans="2:27" ht="15.75" thickBot="1" x14ac:dyDescent="0.3">
      <c r="B55" s="205" t="s">
        <v>281</v>
      </c>
      <c r="C55" s="205" t="s">
        <v>157</v>
      </c>
      <c r="D55" s="206">
        <f>C60</f>
        <v>1375000</v>
      </c>
      <c r="E55" s="205"/>
      <c r="F55" s="205"/>
      <c r="G55" s="205" t="s">
        <v>157</v>
      </c>
      <c r="H55" s="209">
        <f>H60</f>
        <v>1374999.84</v>
      </c>
      <c r="O55" s="392" t="s">
        <v>488</v>
      </c>
      <c r="P55" s="393"/>
      <c r="Q55" s="393"/>
      <c r="R55" s="394"/>
      <c r="S55" s="265"/>
    </row>
    <row r="56" spans="2:27" ht="90" thickBot="1" x14ac:dyDescent="0.3">
      <c r="B56" s="179" t="s">
        <v>4</v>
      </c>
      <c r="C56" s="180" t="s">
        <v>157</v>
      </c>
      <c r="D56" s="180" t="s">
        <v>183</v>
      </c>
      <c r="E56" s="180" t="s">
        <v>185</v>
      </c>
      <c r="F56" s="180" t="s">
        <v>13</v>
      </c>
      <c r="G56" s="180" t="s">
        <v>211</v>
      </c>
      <c r="H56" s="179" t="s">
        <v>157</v>
      </c>
      <c r="O56" s="255" t="s">
        <v>402</v>
      </c>
      <c r="P56" s="259" t="s">
        <v>386</v>
      </c>
      <c r="Q56" s="256" t="s">
        <v>403</v>
      </c>
      <c r="R56" s="303" t="s">
        <v>387</v>
      </c>
      <c r="S56" s="285" t="s">
        <v>409</v>
      </c>
      <c r="T56" s="286" t="s">
        <v>183</v>
      </c>
      <c r="U56" s="286" t="s">
        <v>416</v>
      </c>
      <c r="V56" s="286" t="s">
        <v>412</v>
      </c>
      <c r="W56" s="286" t="s">
        <v>411</v>
      </c>
      <c r="X56" s="287" t="s">
        <v>157</v>
      </c>
      <c r="Y56" s="288" t="s">
        <v>410</v>
      </c>
      <c r="Z56" s="288" t="s">
        <v>413</v>
      </c>
      <c r="AA56" s="288" t="s">
        <v>415</v>
      </c>
    </row>
    <row r="57" spans="2:27" ht="30" x14ac:dyDescent="0.25">
      <c r="B57" s="2" t="s">
        <v>282</v>
      </c>
      <c r="C57" s="3">
        <v>1375000</v>
      </c>
      <c r="D57" s="110">
        <v>3819.444</v>
      </c>
      <c r="E57" s="110">
        <v>24</v>
      </c>
      <c r="F57" s="110">
        <v>15</v>
      </c>
      <c r="G57" s="110"/>
      <c r="H57" s="4">
        <f>(D57*E57*F57)+G57</f>
        <v>1374999.84</v>
      </c>
      <c r="O57" s="416" t="s">
        <v>474</v>
      </c>
      <c r="P57" s="418">
        <v>1257000</v>
      </c>
      <c r="Q57" s="420" t="s">
        <v>399</v>
      </c>
      <c r="R57" s="315" t="s">
        <v>460</v>
      </c>
      <c r="S57" s="289">
        <v>20</v>
      </c>
      <c r="T57" s="306">
        <f>30</f>
        <v>30</v>
      </c>
      <c r="U57" s="306">
        <v>12</v>
      </c>
      <c r="V57" s="306">
        <v>20</v>
      </c>
      <c r="W57" s="24"/>
      <c r="X57" s="292">
        <f>(T57*U57*V57)+W57</f>
        <v>7200</v>
      </c>
      <c r="Y57" s="342">
        <f>X57/S57</f>
        <v>360</v>
      </c>
      <c r="Z57" s="400">
        <f>AA57/(S58+S57)</f>
        <v>474.88658610271909</v>
      </c>
      <c r="AA57" s="400">
        <f>X58+X57</f>
        <v>1257499.6800000002</v>
      </c>
    </row>
    <row r="58" spans="2:27" ht="60.75" thickBot="1" x14ac:dyDescent="0.3">
      <c r="B58" s="2"/>
      <c r="C58" s="3"/>
      <c r="D58" s="110"/>
      <c r="E58" s="110"/>
      <c r="F58" s="110"/>
      <c r="G58" s="110"/>
      <c r="H58" s="4">
        <f t="shared" ref="H58:H59" si="18">(D58*E58*F58)+G58</f>
        <v>0</v>
      </c>
      <c r="J58">
        <v>1</v>
      </c>
      <c r="K58" s="115">
        <f>C57/F57</f>
        <v>91666.666666666672</v>
      </c>
      <c r="L58" s="115">
        <f>K58/E57</f>
        <v>3819.4444444444448</v>
      </c>
      <c r="O58" s="417"/>
      <c r="P58" s="419"/>
      <c r="Q58" s="421"/>
      <c r="R58" s="317" t="s">
        <v>461</v>
      </c>
      <c r="S58" s="327">
        <f>582*4+15*20</f>
        <v>2628</v>
      </c>
      <c r="T58" s="343">
        <v>1735.444</v>
      </c>
      <c r="U58" s="343">
        <v>48</v>
      </c>
      <c r="V58" s="343">
        <v>15</v>
      </c>
      <c r="W58" s="343">
        <v>780</v>
      </c>
      <c r="X58" s="343">
        <f>(T58*U58*V58)+W58</f>
        <v>1250299.6800000002</v>
      </c>
      <c r="Y58" s="323">
        <f>X58/S58</f>
        <v>475.76091324200922</v>
      </c>
      <c r="Z58" s="402"/>
      <c r="AA58" s="402"/>
    </row>
    <row r="59" spans="2:27" ht="60.75" thickBot="1" x14ac:dyDescent="0.3">
      <c r="B59" s="1"/>
      <c r="C59" s="3"/>
      <c r="D59" s="110">
        <v>0</v>
      </c>
      <c r="E59" s="110">
        <v>0</v>
      </c>
      <c r="F59" s="110"/>
      <c r="G59" s="110"/>
      <c r="H59" s="4">
        <f t="shared" si="18"/>
        <v>0</v>
      </c>
      <c r="O59" s="330" t="s">
        <v>475</v>
      </c>
      <c r="P59" s="344">
        <v>352500</v>
      </c>
      <c r="Q59" s="263"/>
      <c r="R59" s="317" t="s">
        <v>462</v>
      </c>
      <c r="S59" s="327">
        <f>9*15+15*5+5*5</f>
        <v>235</v>
      </c>
      <c r="T59" s="343">
        <v>500</v>
      </c>
      <c r="U59" s="343">
        <v>3</v>
      </c>
      <c r="V59" s="343">
        <v>1</v>
      </c>
      <c r="W59" s="343"/>
      <c r="X59" s="343">
        <f>(T59*U59*V59*S59)+W59</f>
        <v>352500</v>
      </c>
      <c r="Y59" s="323">
        <f>X59/S59</f>
        <v>1500</v>
      </c>
      <c r="Z59" s="297">
        <f>AA59/S59</f>
        <v>1500</v>
      </c>
      <c r="AA59" s="298">
        <f>X59</f>
        <v>352500</v>
      </c>
    </row>
    <row r="60" spans="2:27" ht="15.75" thickBot="1" x14ac:dyDescent="0.3">
      <c r="B60" s="179" t="s">
        <v>171</v>
      </c>
      <c r="C60" s="181">
        <f>SUM(C57:C59)</f>
        <v>1375000</v>
      </c>
      <c r="D60" s="182">
        <f>SUM(D57:D59)</f>
        <v>3819.444</v>
      </c>
      <c r="E60" s="182">
        <v>0</v>
      </c>
      <c r="F60" s="182"/>
      <c r="G60" s="182"/>
      <c r="H60" s="181">
        <f>SUM(H57:H59)</f>
        <v>1374999.84</v>
      </c>
      <c r="O60" s="261"/>
      <c r="P60" s="260"/>
      <c r="Q60" s="258"/>
      <c r="R60" s="325"/>
      <c r="S60" s="295"/>
      <c r="T60" s="300"/>
      <c r="U60" s="300"/>
      <c r="V60" s="300"/>
      <c r="W60" s="300"/>
      <c r="X60" s="301"/>
      <c r="Y60" s="299"/>
      <c r="Z60" s="297"/>
      <c r="AA60" s="345">
        <f>SUM(AA5:AA59)</f>
        <v>16599999.962199997</v>
      </c>
    </row>
    <row r="61" spans="2:27" ht="15.75" thickBot="1" x14ac:dyDescent="0.3">
      <c r="O61" s="264"/>
      <c r="P61" s="302"/>
      <c r="Q61" s="257"/>
      <c r="R61" s="319"/>
      <c r="S61" s="295"/>
      <c r="T61" s="300"/>
      <c r="U61" s="300"/>
      <c r="V61" s="300"/>
      <c r="W61" s="300"/>
      <c r="X61" s="301"/>
      <c r="Y61" s="299"/>
      <c r="Z61" s="297"/>
      <c r="AA61" s="298"/>
    </row>
    <row r="63" spans="2:27" ht="39" x14ac:dyDescent="0.25">
      <c r="B63" s="205" t="s">
        <v>284</v>
      </c>
      <c r="C63" s="205" t="s">
        <v>157</v>
      </c>
      <c r="D63" s="206">
        <f>C68</f>
        <v>1500000</v>
      </c>
      <c r="E63" s="205"/>
      <c r="F63" s="205"/>
      <c r="G63" s="205" t="s">
        <v>157</v>
      </c>
      <c r="H63" s="209">
        <f>H68</f>
        <v>1500000.0799999998</v>
      </c>
    </row>
    <row r="64" spans="2:27" ht="25.5" x14ac:dyDescent="0.25">
      <c r="B64" s="179" t="s">
        <v>4</v>
      </c>
      <c r="C64" s="180" t="s">
        <v>157</v>
      </c>
      <c r="D64" s="180" t="s">
        <v>183</v>
      </c>
      <c r="E64" s="180" t="s">
        <v>185</v>
      </c>
      <c r="F64" s="180" t="s">
        <v>13</v>
      </c>
      <c r="G64" s="180" t="s">
        <v>211</v>
      </c>
      <c r="H64" s="179" t="s">
        <v>157</v>
      </c>
    </row>
    <row r="65" spans="2:12" x14ac:dyDescent="0.25">
      <c r="B65" s="2" t="s">
        <v>286</v>
      </c>
      <c r="C65" s="3">
        <v>50000</v>
      </c>
      <c r="D65" s="110">
        <v>12500</v>
      </c>
      <c r="E65" s="110">
        <v>4</v>
      </c>
      <c r="F65" s="110">
        <v>1</v>
      </c>
      <c r="G65" s="110"/>
      <c r="H65" s="4">
        <f>(D65*E65*F65)+G65</f>
        <v>50000</v>
      </c>
    </row>
    <row r="66" spans="2:12" ht="26.25" x14ac:dyDescent="0.25">
      <c r="B66" s="2" t="s">
        <v>285</v>
      </c>
      <c r="C66" s="3">
        <v>1450000</v>
      </c>
      <c r="D66" s="110">
        <v>2013.8889999999999</v>
      </c>
      <c r="E66" s="110">
        <v>48</v>
      </c>
      <c r="F66" s="110">
        <v>15</v>
      </c>
      <c r="G66" s="110"/>
      <c r="H66" s="4">
        <f t="shared" ref="H66:H67" si="19">(D66*E66*F66)+G66</f>
        <v>1450000.0799999998</v>
      </c>
      <c r="J66">
        <v>1</v>
      </c>
      <c r="K66" s="115">
        <f>C65/F65</f>
        <v>50000</v>
      </c>
      <c r="L66" s="115">
        <f>K66/E65</f>
        <v>12500</v>
      </c>
    </row>
    <row r="67" spans="2:12" x14ac:dyDescent="0.25">
      <c r="B67" s="1"/>
      <c r="C67" s="3"/>
      <c r="D67" s="110">
        <v>0</v>
      </c>
      <c r="E67" s="110">
        <v>0</v>
      </c>
      <c r="F67" s="110"/>
      <c r="G67" s="110"/>
      <c r="H67" s="4">
        <f t="shared" si="19"/>
        <v>0</v>
      </c>
      <c r="J67">
        <v>1</v>
      </c>
      <c r="K67" s="115">
        <f>C66/F66</f>
        <v>96666.666666666672</v>
      </c>
      <c r="L67" s="115">
        <f>K67/E66</f>
        <v>2013.8888888888889</v>
      </c>
    </row>
    <row r="68" spans="2:12" x14ac:dyDescent="0.25">
      <c r="B68" s="179" t="s">
        <v>171</v>
      </c>
      <c r="C68" s="181">
        <f>SUM(C65:C67)</f>
        <v>1500000</v>
      </c>
      <c r="D68" s="182">
        <f>SUM(D65:D67)</f>
        <v>14513.888999999999</v>
      </c>
      <c r="E68" s="182">
        <v>0</v>
      </c>
      <c r="F68" s="182"/>
      <c r="G68" s="182"/>
      <c r="H68" s="181">
        <f>SUM(H65:H67)</f>
        <v>1500000.0799999998</v>
      </c>
    </row>
    <row r="71" spans="2:12" x14ac:dyDescent="0.25">
      <c r="B71" s="374" t="s">
        <v>487</v>
      </c>
      <c r="C71" s="374"/>
      <c r="D71" s="374"/>
      <c r="E71" s="213"/>
      <c r="F71" s="213"/>
      <c r="G71" s="214" t="s">
        <v>157</v>
      </c>
      <c r="H71" s="215">
        <f>H72+H80+H88+H96</f>
        <v>5315000.0639999993</v>
      </c>
    </row>
    <row r="72" spans="2:12" ht="26.25" x14ac:dyDescent="0.25">
      <c r="B72" s="205" t="s">
        <v>287</v>
      </c>
      <c r="C72" s="205" t="s">
        <v>157</v>
      </c>
      <c r="D72" s="206">
        <f>C77</f>
        <v>750000</v>
      </c>
      <c r="E72" s="211"/>
      <c r="F72" s="211"/>
      <c r="G72" s="205" t="s">
        <v>157</v>
      </c>
      <c r="H72" s="216">
        <f>H77</f>
        <v>749999.9879999999</v>
      </c>
    </row>
    <row r="73" spans="2:12" ht="25.5" x14ac:dyDescent="0.25">
      <c r="B73" s="179" t="s">
        <v>4</v>
      </c>
      <c r="C73" s="180" t="s">
        <v>157</v>
      </c>
      <c r="D73" s="180" t="s">
        <v>183</v>
      </c>
      <c r="E73" s="180" t="s">
        <v>185</v>
      </c>
      <c r="F73" s="180" t="s">
        <v>13</v>
      </c>
      <c r="G73" s="180" t="s">
        <v>211</v>
      </c>
      <c r="H73" s="179" t="s">
        <v>157</v>
      </c>
    </row>
    <row r="74" spans="2:12" ht="26.25" x14ac:dyDescent="0.25">
      <c r="B74" s="2" t="s">
        <v>288</v>
      </c>
      <c r="C74" s="3">
        <v>750000</v>
      </c>
      <c r="D74" s="110">
        <v>2083.3332999999998</v>
      </c>
      <c r="E74" s="110">
        <v>36</v>
      </c>
      <c r="F74" s="110">
        <v>10</v>
      </c>
      <c r="G74" s="110"/>
      <c r="H74" s="4">
        <f>(D74*E74*F74)+G74</f>
        <v>749999.9879999999</v>
      </c>
    </row>
    <row r="75" spans="2:12" x14ac:dyDescent="0.25">
      <c r="B75" s="2"/>
      <c r="C75" s="3"/>
      <c r="D75" s="110"/>
      <c r="E75" s="110"/>
      <c r="F75" s="110"/>
      <c r="G75" s="110"/>
      <c r="H75" s="4">
        <f t="shared" ref="H75:H76" si="20">(D75*E75*F75)+G75</f>
        <v>0</v>
      </c>
      <c r="J75">
        <v>1</v>
      </c>
      <c r="K75" s="115">
        <f>C74/F74</f>
        <v>75000</v>
      </c>
      <c r="L75" s="115">
        <f>K75/E74</f>
        <v>2083.3333333333335</v>
      </c>
    </row>
    <row r="76" spans="2:12" x14ac:dyDescent="0.25">
      <c r="B76" s="1"/>
      <c r="C76" s="3"/>
      <c r="D76" s="110">
        <v>0</v>
      </c>
      <c r="E76" s="110">
        <v>0</v>
      </c>
      <c r="F76" s="110"/>
      <c r="G76" s="110"/>
      <c r="H76" s="4">
        <f t="shared" si="20"/>
        <v>0</v>
      </c>
    </row>
    <row r="77" spans="2:12" x14ac:dyDescent="0.25">
      <c r="B77" s="179" t="s">
        <v>171</v>
      </c>
      <c r="C77" s="181">
        <f>SUM(C74:C76)</f>
        <v>750000</v>
      </c>
      <c r="D77" s="182">
        <f>SUM(D74:D76)</f>
        <v>2083.3332999999998</v>
      </c>
      <c r="E77" s="182">
        <v>0</v>
      </c>
      <c r="F77" s="182"/>
      <c r="G77" s="182"/>
      <c r="H77" s="181">
        <f>SUM(H74:H76)</f>
        <v>749999.9879999999</v>
      </c>
    </row>
    <row r="79" spans="2:12" x14ac:dyDescent="0.25">
      <c r="B79" s="111"/>
    </row>
    <row r="80" spans="2:12" ht="26.25" x14ac:dyDescent="0.25">
      <c r="B80" s="205" t="s">
        <v>289</v>
      </c>
      <c r="C80" s="205" t="s">
        <v>157</v>
      </c>
      <c r="D80" s="206">
        <f>C85</f>
        <v>375000</v>
      </c>
      <c r="E80" s="205"/>
      <c r="F80" s="205"/>
      <c r="G80" s="205" t="s">
        <v>157</v>
      </c>
      <c r="H80" s="209">
        <f>H85</f>
        <v>375000</v>
      </c>
    </row>
    <row r="81" spans="2:12" ht="25.5" x14ac:dyDescent="0.25">
      <c r="B81" s="179" t="s">
        <v>4</v>
      </c>
      <c r="C81" s="180" t="s">
        <v>157</v>
      </c>
      <c r="D81" s="180" t="s">
        <v>183</v>
      </c>
      <c r="E81" s="180" t="s">
        <v>185</v>
      </c>
      <c r="F81" s="180" t="s">
        <v>13</v>
      </c>
      <c r="G81" s="180" t="s">
        <v>211</v>
      </c>
      <c r="H81" s="179" t="s">
        <v>157</v>
      </c>
    </row>
    <row r="82" spans="2:12" ht="26.25" x14ac:dyDescent="0.25">
      <c r="B82" s="2" t="s">
        <v>290</v>
      </c>
      <c r="C82" s="3">
        <v>375000</v>
      </c>
      <c r="D82" s="110">
        <v>15625</v>
      </c>
      <c r="E82" s="110">
        <v>24</v>
      </c>
      <c r="F82" s="110">
        <v>1</v>
      </c>
      <c r="G82" s="110"/>
      <c r="H82" s="4">
        <f>(D82*E82*F82)+G82</f>
        <v>375000</v>
      </c>
    </row>
    <row r="83" spans="2:12" x14ac:dyDescent="0.25">
      <c r="B83" s="1"/>
      <c r="C83" s="3"/>
      <c r="D83" s="110"/>
      <c r="E83" s="110"/>
      <c r="F83" s="110"/>
      <c r="G83" s="110"/>
      <c r="H83" s="4">
        <f t="shared" ref="H83:H84" si="21">(D83*E83*F83)+G83</f>
        <v>0</v>
      </c>
      <c r="J83">
        <v>1</v>
      </c>
      <c r="K83" s="115">
        <f>C82/F82</f>
        <v>375000</v>
      </c>
      <c r="L83" s="115">
        <f>K83/E82</f>
        <v>15625</v>
      </c>
    </row>
    <row r="84" spans="2:12" x14ac:dyDescent="0.25">
      <c r="B84" s="1"/>
      <c r="C84" s="3"/>
      <c r="D84" s="110">
        <v>0</v>
      </c>
      <c r="E84" s="110">
        <v>0</v>
      </c>
      <c r="F84" s="110"/>
      <c r="G84" s="110"/>
      <c r="H84" s="4">
        <f t="shared" si="21"/>
        <v>0</v>
      </c>
    </row>
    <row r="85" spans="2:12" x14ac:dyDescent="0.25">
      <c r="B85" s="179" t="s">
        <v>171</v>
      </c>
      <c r="C85" s="181">
        <f>SUM(C82:C84)</f>
        <v>375000</v>
      </c>
      <c r="D85" s="182">
        <f>SUM(D82:D84)</f>
        <v>15625</v>
      </c>
      <c r="E85" s="182">
        <v>0</v>
      </c>
      <c r="F85" s="182"/>
      <c r="G85" s="182"/>
      <c r="H85" s="181">
        <f>SUM(H82:H84)</f>
        <v>375000</v>
      </c>
    </row>
    <row r="88" spans="2:12" x14ac:dyDescent="0.25">
      <c r="B88" s="205" t="s">
        <v>346</v>
      </c>
      <c r="C88" s="205" t="s">
        <v>157</v>
      </c>
      <c r="D88" s="206">
        <f>C93</f>
        <v>4000000</v>
      </c>
      <c r="E88" s="205"/>
      <c r="F88" s="205"/>
      <c r="G88" s="205" t="s">
        <v>157</v>
      </c>
      <c r="H88" s="217">
        <f>H93</f>
        <v>3999999.9959999998</v>
      </c>
    </row>
    <row r="89" spans="2:12" ht="25.5" x14ac:dyDescent="0.25">
      <c r="B89" s="179" t="s">
        <v>4</v>
      </c>
      <c r="C89" s="180" t="s">
        <v>157</v>
      </c>
      <c r="D89" s="180" t="s">
        <v>183</v>
      </c>
      <c r="E89" s="180" t="s">
        <v>185</v>
      </c>
      <c r="F89" s="180" t="s">
        <v>13</v>
      </c>
      <c r="G89" s="180" t="s">
        <v>211</v>
      </c>
      <c r="H89" s="179" t="s">
        <v>157</v>
      </c>
    </row>
    <row r="90" spans="2:12" ht="26.25" x14ac:dyDescent="0.25">
      <c r="B90" s="2" t="s">
        <v>291</v>
      </c>
      <c r="C90" s="3">
        <v>4000000</v>
      </c>
      <c r="D90" s="110">
        <v>11111.1111</v>
      </c>
      <c r="E90" s="110">
        <v>36</v>
      </c>
      <c r="F90" s="110">
        <v>10</v>
      </c>
      <c r="G90" s="110"/>
      <c r="H90" s="4">
        <f>(D90*E90*F90)+G90</f>
        <v>3999999.9959999998</v>
      </c>
    </row>
    <row r="91" spans="2:12" x14ac:dyDescent="0.25">
      <c r="B91" s="2"/>
      <c r="C91" s="3"/>
      <c r="D91" s="110"/>
      <c r="E91" s="110"/>
      <c r="F91" s="110"/>
      <c r="G91" s="110"/>
      <c r="H91" s="4"/>
      <c r="J91">
        <v>1</v>
      </c>
      <c r="K91" s="115">
        <f>C90/F90</f>
        <v>400000</v>
      </c>
      <c r="L91" s="115">
        <f>K91/E90</f>
        <v>11111.111111111111</v>
      </c>
    </row>
    <row r="92" spans="2:12" x14ac:dyDescent="0.25">
      <c r="B92" s="1"/>
      <c r="C92" s="3"/>
      <c r="D92" s="110">
        <v>0</v>
      </c>
      <c r="E92" s="110">
        <v>0</v>
      </c>
      <c r="F92" s="110"/>
      <c r="G92" s="110"/>
      <c r="H92" s="4">
        <f t="shared" ref="H92" si="22">(D92*E92*F92)+G92</f>
        <v>0</v>
      </c>
    </row>
    <row r="93" spans="2:12" x14ac:dyDescent="0.25">
      <c r="B93" s="179" t="s">
        <v>171</v>
      </c>
      <c r="C93" s="181">
        <f>SUM(C90:C92)</f>
        <v>4000000</v>
      </c>
      <c r="D93" s="182">
        <f>SUM(D90:D92)</f>
        <v>11111.1111</v>
      </c>
      <c r="E93" s="182">
        <v>0</v>
      </c>
      <c r="F93" s="182"/>
      <c r="G93" s="182"/>
      <c r="H93" s="181">
        <f>SUM(H90:H92)</f>
        <v>3999999.9959999998</v>
      </c>
    </row>
    <row r="96" spans="2:12" ht="26.25" x14ac:dyDescent="0.25">
      <c r="B96" s="205" t="s">
        <v>292</v>
      </c>
      <c r="C96" s="205" t="s">
        <v>157</v>
      </c>
      <c r="D96" s="206">
        <f>C101</f>
        <v>190000</v>
      </c>
      <c r="E96" s="205"/>
      <c r="F96" s="205"/>
      <c r="G96" s="205" t="s">
        <v>157</v>
      </c>
      <c r="H96" s="209">
        <f>H101</f>
        <v>190000.08</v>
      </c>
    </row>
    <row r="97" spans="2:12" ht="25.5" x14ac:dyDescent="0.25">
      <c r="B97" s="179" t="s">
        <v>4</v>
      </c>
      <c r="C97" s="180" t="s">
        <v>157</v>
      </c>
      <c r="D97" s="180" t="s">
        <v>183</v>
      </c>
      <c r="E97" s="180" t="s">
        <v>185</v>
      </c>
      <c r="F97" s="180" t="s">
        <v>13</v>
      </c>
      <c r="G97" s="180" t="s">
        <v>211</v>
      </c>
      <c r="H97" s="179" t="s">
        <v>157</v>
      </c>
    </row>
    <row r="98" spans="2:12" ht="26.25" x14ac:dyDescent="0.25">
      <c r="B98" s="2" t="s">
        <v>293</v>
      </c>
      <c r="C98" s="3">
        <v>190000</v>
      </c>
      <c r="D98" s="110">
        <v>5277.78</v>
      </c>
      <c r="E98" s="110">
        <v>36</v>
      </c>
      <c r="F98" s="110">
        <v>1</v>
      </c>
      <c r="G98" s="110"/>
      <c r="H98" s="4">
        <f>(D98*E98*F98)+G98</f>
        <v>190000.08</v>
      </c>
    </row>
    <row r="99" spans="2:12" x14ac:dyDescent="0.25">
      <c r="B99" s="2"/>
      <c r="C99" s="3"/>
      <c r="D99" s="110"/>
      <c r="E99" s="110"/>
      <c r="F99" s="110"/>
      <c r="G99" s="110"/>
      <c r="H99" s="4">
        <f t="shared" ref="H99:H100" si="23">(D99*E99*F99)+G99</f>
        <v>0</v>
      </c>
      <c r="J99">
        <v>1</v>
      </c>
      <c r="K99" s="115">
        <f>C98/F98</f>
        <v>190000</v>
      </c>
      <c r="L99" s="115">
        <f>K99/E98</f>
        <v>5277.7777777777774</v>
      </c>
    </row>
    <row r="100" spans="2:12" x14ac:dyDescent="0.25">
      <c r="B100" s="1"/>
      <c r="C100" s="3"/>
      <c r="D100" s="110">
        <v>0</v>
      </c>
      <c r="E100" s="110">
        <v>0</v>
      </c>
      <c r="F100" s="110"/>
      <c r="G100" s="110"/>
      <c r="H100" s="4">
        <f t="shared" si="23"/>
        <v>0</v>
      </c>
    </row>
    <row r="101" spans="2:12" x14ac:dyDescent="0.25">
      <c r="B101" s="179" t="s">
        <v>171</v>
      </c>
      <c r="C101" s="181">
        <f>SUM(C98:C100)</f>
        <v>190000</v>
      </c>
      <c r="D101" s="182">
        <f>SUM(D98:D100)</f>
        <v>5277.78</v>
      </c>
      <c r="E101" s="182">
        <v>0</v>
      </c>
      <c r="F101" s="182"/>
      <c r="G101" s="182"/>
      <c r="H101" s="181">
        <f>SUM(H98:H100)</f>
        <v>190000.08</v>
      </c>
    </row>
  </sheetData>
  <mergeCells count="59">
    <mergeCell ref="Z57:Z58"/>
    <mergeCell ref="AA57:AA58"/>
    <mergeCell ref="O54:R54"/>
    <mergeCell ref="O55:R55"/>
    <mergeCell ref="O57:O58"/>
    <mergeCell ref="P57:P58"/>
    <mergeCell ref="Q57:Q58"/>
    <mergeCell ref="Q41:Q45"/>
    <mergeCell ref="Z41:Z45"/>
    <mergeCell ref="AA41:AA45"/>
    <mergeCell ref="O46:O51"/>
    <mergeCell ref="P46:P51"/>
    <mergeCell ref="Q46:Q51"/>
    <mergeCell ref="Z46:Z51"/>
    <mergeCell ref="AA46:AA51"/>
    <mergeCell ref="Q34:Q36"/>
    <mergeCell ref="Z34:Z36"/>
    <mergeCell ref="AA34:AA36"/>
    <mergeCell ref="O38:R38"/>
    <mergeCell ref="O39:R39"/>
    <mergeCell ref="AA27:AA29"/>
    <mergeCell ref="O30:O33"/>
    <mergeCell ref="P30:P33"/>
    <mergeCell ref="Q30:Q33"/>
    <mergeCell ref="Z30:Z33"/>
    <mergeCell ref="AA30:AA33"/>
    <mergeCell ref="Q27:Q29"/>
    <mergeCell ref="Z27:Z29"/>
    <mergeCell ref="Q20:Q23"/>
    <mergeCell ref="Z20:Z23"/>
    <mergeCell ref="AA20:AA23"/>
    <mergeCell ref="O24:O25"/>
    <mergeCell ref="P24:P25"/>
    <mergeCell ref="Q24:Q25"/>
    <mergeCell ref="Z24:Z25"/>
    <mergeCell ref="AA24:AA25"/>
    <mergeCell ref="AA5:AA14"/>
    <mergeCell ref="O15:O19"/>
    <mergeCell ref="P15:P19"/>
    <mergeCell ref="Q15:Q19"/>
    <mergeCell ref="Z15:Z19"/>
    <mergeCell ref="AA15:AA19"/>
    <mergeCell ref="Z5:Z14"/>
    <mergeCell ref="B3:D3"/>
    <mergeCell ref="B71:D71"/>
    <mergeCell ref="B2:D2"/>
    <mergeCell ref="O20:O23"/>
    <mergeCell ref="P20:P23"/>
    <mergeCell ref="O27:O29"/>
    <mergeCell ref="P27:P29"/>
    <mergeCell ref="O34:O36"/>
    <mergeCell ref="P34:P36"/>
    <mergeCell ref="O41:O45"/>
    <mergeCell ref="P41:P45"/>
    <mergeCell ref="O2:R2"/>
    <mergeCell ref="O3:R3"/>
    <mergeCell ref="O5:O14"/>
    <mergeCell ref="P5:P14"/>
    <mergeCell ref="Q5:Q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E7AA2-B098-4944-B08B-4DC0379CC227}">
  <sheetPr>
    <tabColor theme="9" tint="-0.249977111117893"/>
  </sheetPr>
  <dimension ref="B1:K71"/>
  <sheetViews>
    <sheetView topLeftCell="A31" zoomScale="106" zoomScaleNormal="106" workbookViewId="0">
      <selection activeCell="F21" sqref="F21"/>
    </sheetView>
  </sheetViews>
  <sheetFormatPr defaultRowHeight="15" x14ac:dyDescent="0.25"/>
  <cols>
    <col min="2" max="2" width="48.28515625" customWidth="1"/>
    <col min="3" max="3" width="14.5703125" customWidth="1"/>
    <col min="4" max="4" width="11.7109375" customWidth="1"/>
    <col min="5" max="5" width="13.42578125" customWidth="1"/>
    <col min="6" max="7" width="14.7109375" customWidth="1"/>
    <col min="8" max="8" width="16.28515625" customWidth="1"/>
    <col min="9" max="9" width="10.28515625" customWidth="1"/>
    <col min="10" max="10" width="12.85546875" customWidth="1"/>
  </cols>
  <sheetData>
    <row r="1" spans="2:8" ht="30.75" customHeight="1" x14ac:dyDescent="0.25">
      <c r="B1" s="422" t="s">
        <v>489</v>
      </c>
      <c r="C1" s="422"/>
      <c r="D1" s="422"/>
      <c r="G1" s="218" t="s">
        <v>157</v>
      </c>
      <c r="H1" s="219">
        <f>H3+H18+H35</f>
        <v>247000000.14868808</v>
      </c>
    </row>
    <row r="2" spans="2:8" x14ac:dyDescent="0.25">
      <c r="B2" s="111" t="s">
        <v>156</v>
      </c>
    </row>
    <row r="3" spans="2:8" ht="43.5" customHeight="1" x14ac:dyDescent="0.25">
      <c r="B3" s="423" t="s">
        <v>490</v>
      </c>
      <c r="C3" s="423"/>
      <c r="D3" s="423"/>
      <c r="E3" s="205"/>
      <c r="F3" s="205"/>
      <c r="G3" s="205" t="s">
        <v>157</v>
      </c>
      <c r="H3" s="206">
        <f>H11</f>
        <v>49500000.148688048</v>
      </c>
    </row>
    <row r="4" spans="2:8" x14ac:dyDescent="0.25">
      <c r="B4" s="179" t="s">
        <v>105</v>
      </c>
      <c r="C4" s="180" t="s">
        <v>157</v>
      </c>
      <c r="D4" s="180" t="s">
        <v>93</v>
      </c>
      <c r="E4" s="180"/>
      <c r="F4" s="180"/>
      <c r="G4" s="180"/>
      <c r="H4" s="179" t="s">
        <v>0</v>
      </c>
    </row>
    <row r="5" spans="2:8" x14ac:dyDescent="0.25">
      <c r="B5" s="1" t="s">
        <v>318</v>
      </c>
      <c r="C5" s="3">
        <f>HEAN!G45</f>
        <v>1302362.1486880467</v>
      </c>
      <c r="D5" s="110">
        <v>0</v>
      </c>
      <c r="E5" s="110">
        <v>0</v>
      </c>
      <c r="F5" s="110"/>
      <c r="G5" s="110"/>
      <c r="H5" s="4">
        <f t="shared" ref="H5:H10" si="0">SUM(C5:E5)</f>
        <v>1302362.1486880467</v>
      </c>
    </row>
    <row r="6" spans="2:8" x14ac:dyDescent="0.25">
      <c r="B6" s="1" t="s">
        <v>319</v>
      </c>
      <c r="C6" s="3">
        <f>HEAS!G41</f>
        <v>1019619</v>
      </c>
      <c r="D6" s="110">
        <v>0</v>
      </c>
      <c r="E6" s="110">
        <v>0</v>
      </c>
      <c r="F6" s="110"/>
      <c r="G6" s="110"/>
      <c r="H6" s="4">
        <f t="shared" si="0"/>
        <v>1019619</v>
      </c>
    </row>
    <row r="7" spans="2:8" x14ac:dyDescent="0.25">
      <c r="B7" s="1" t="s">
        <v>330</v>
      </c>
      <c r="C7" s="3">
        <f>HOcuri!G41</f>
        <v>5669759</v>
      </c>
      <c r="D7" s="110">
        <v>0</v>
      </c>
      <c r="E7" s="110">
        <v>0</v>
      </c>
      <c r="F7" s="110"/>
      <c r="G7" s="110"/>
      <c r="H7" s="4">
        <f t="shared" si="0"/>
        <v>5669759</v>
      </c>
    </row>
    <row r="8" spans="2:8" x14ac:dyDescent="0.25">
      <c r="B8" s="1" t="s">
        <v>331</v>
      </c>
      <c r="C8" s="3">
        <f>HLlga!G41</f>
        <v>10343860</v>
      </c>
      <c r="D8" s="110">
        <v>0</v>
      </c>
      <c r="E8" s="110">
        <v>0</v>
      </c>
      <c r="F8" s="110"/>
      <c r="G8" s="110"/>
      <c r="H8" s="4">
        <f t="shared" si="0"/>
        <v>10343860</v>
      </c>
    </row>
    <row r="9" spans="2:8" ht="26.25" x14ac:dyDescent="0.25">
      <c r="B9" s="2" t="s">
        <v>332</v>
      </c>
      <c r="C9" s="3">
        <f>HTNP!G41</f>
        <v>31164400</v>
      </c>
      <c r="D9" s="110">
        <v>0</v>
      </c>
      <c r="E9" s="110">
        <v>0</v>
      </c>
      <c r="F9" s="110"/>
      <c r="G9" s="110"/>
      <c r="H9" s="4">
        <f t="shared" si="0"/>
        <v>31164400</v>
      </c>
    </row>
    <row r="10" spans="2:8" x14ac:dyDescent="0.25">
      <c r="B10" s="1"/>
      <c r="C10" s="3"/>
      <c r="D10" s="110">
        <v>0</v>
      </c>
      <c r="E10" s="110">
        <v>0</v>
      </c>
      <c r="F10" s="110"/>
      <c r="G10" s="110"/>
      <c r="H10" s="4">
        <f t="shared" si="0"/>
        <v>0</v>
      </c>
    </row>
    <row r="11" spans="2:8" x14ac:dyDescent="0.25">
      <c r="B11" s="179" t="s">
        <v>1</v>
      </c>
      <c r="C11" s="181">
        <f>SUM(C5:C10)</f>
        <v>49500000.148688048</v>
      </c>
      <c r="D11" s="182">
        <f>SUM(D5:D10)</f>
        <v>0</v>
      </c>
      <c r="E11" s="182">
        <v>0</v>
      </c>
      <c r="F11" s="182"/>
      <c r="G11" s="182"/>
      <c r="H11" s="181">
        <f>SUM(H5:H10)</f>
        <v>49500000.148688048</v>
      </c>
    </row>
    <row r="17" spans="2:8" x14ac:dyDescent="0.25">
      <c r="B17" s="111" t="s">
        <v>178</v>
      </c>
    </row>
    <row r="18" spans="2:8" ht="29.25" customHeight="1" x14ac:dyDescent="0.25">
      <c r="B18" s="423" t="s">
        <v>491</v>
      </c>
      <c r="C18" s="423"/>
      <c r="D18" s="423"/>
      <c r="E18" s="205"/>
      <c r="F18" s="205"/>
      <c r="G18" s="220" t="s">
        <v>157</v>
      </c>
      <c r="H18" s="221">
        <f>H31</f>
        <v>128500000.00000001</v>
      </c>
    </row>
    <row r="19" spans="2:8" ht="21" customHeight="1" x14ac:dyDescent="0.25">
      <c r="B19" s="179" t="s">
        <v>105</v>
      </c>
      <c r="C19" s="180" t="s">
        <v>157</v>
      </c>
      <c r="D19" s="180" t="s">
        <v>158</v>
      </c>
      <c r="E19" s="180" t="s">
        <v>159</v>
      </c>
      <c r="F19" s="180" t="s">
        <v>160</v>
      </c>
      <c r="G19" s="180" t="s">
        <v>348</v>
      </c>
      <c r="H19" s="179" t="s">
        <v>0</v>
      </c>
    </row>
    <row r="20" spans="2:8" ht="26.25" x14ac:dyDescent="0.25">
      <c r="B20" s="2" t="s">
        <v>347</v>
      </c>
      <c r="C20" s="3">
        <f>SUM(C21:C28)</f>
        <v>66000000.000000007</v>
      </c>
      <c r="D20" s="3">
        <f t="shared" ref="D20:G20" si="1">SUM(D21:D28)</f>
        <v>3300000.0000000005</v>
      </c>
      <c r="E20" s="3">
        <f t="shared" si="1"/>
        <v>5940000</v>
      </c>
      <c r="F20" s="3">
        <f t="shared" si="1"/>
        <v>43518072</v>
      </c>
      <c r="G20" s="3">
        <f t="shared" si="1"/>
        <v>1929928.0000000002</v>
      </c>
      <c r="H20" s="4">
        <f>SUM(C20:G20)</f>
        <v>120688000.00000001</v>
      </c>
    </row>
    <row r="21" spans="2:8" ht="26.25" x14ac:dyDescent="0.25">
      <c r="B21" s="248" t="s">
        <v>333</v>
      </c>
      <c r="C21" s="3">
        <f>'Palos Blancos'!H37</f>
        <v>8250000.0000000009</v>
      </c>
      <c r="D21" s="110">
        <f>Resumen!D53</f>
        <v>412500.00000000006</v>
      </c>
      <c r="E21" s="110">
        <f>Resumen!E53</f>
        <v>742500</v>
      </c>
      <c r="F21" s="110">
        <f>Resumen!G53</f>
        <v>5439759</v>
      </c>
      <c r="G21" s="110">
        <f>Resumen!H53</f>
        <v>241241.00000000003</v>
      </c>
      <c r="H21" s="4">
        <f>SUM(C21:G21)</f>
        <v>15086000.000000002</v>
      </c>
    </row>
    <row r="22" spans="2:8" ht="26.25" x14ac:dyDescent="0.25">
      <c r="B22" s="248" t="s">
        <v>334</v>
      </c>
      <c r="C22" s="3">
        <f>Ixiamas!H37</f>
        <v>8250000.0000000009</v>
      </c>
      <c r="D22" s="110">
        <f>Resumen!D54</f>
        <v>412500.00000000006</v>
      </c>
      <c r="E22" s="110">
        <f>Resumen!E54</f>
        <v>742500</v>
      </c>
      <c r="F22" s="3">
        <f>F21</f>
        <v>5439759</v>
      </c>
      <c r="G22" s="110">
        <f>Resumen!H54</f>
        <v>241241.00000000003</v>
      </c>
      <c r="H22" s="4">
        <f t="shared" ref="H22:H30" si="2">SUM(C22:G22)</f>
        <v>15086000.000000002</v>
      </c>
    </row>
    <row r="23" spans="2:8" ht="26.25" x14ac:dyDescent="0.25">
      <c r="B23" s="248" t="s">
        <v>335</v>
      </c>
      <c r="C23" s="3">
        <f>'El Torno'!H37</f>
        <v>8250000.0000000009</v>
      </c>
      <c r="D23" s="110">
        <f>Resumen!D56</f>
        <v>412500.00000000006</v>
      </c>
      <c r="E23" s="110">
        <f>Resumen!E56</f>
        <v>742500</v>
      </c>
      <c r="F23" s="3">
        <f>F29</f>
        <v>5439759</v>
      </c>
      <c r="G23" s="110">
        <f>Resumen!H56</f>
        <v>241241.00000000003</v>
      </c>
      <c r="H23" s="4">
        <f t="shared" si="2"/>
        <v>15086000.000000002</v>
      </c>
    </row>
    <row r="24" spans="2:8" ht="26.25" x14ac:dyDescent="0.25">
      <c r="B24" s="248" t="s">
        <v>336</v>
      </c>
      <c r="C24" s="3">
        <f>Camiri!H37</f>
        <v>8250000.0000000009</v>
      </c>
      <c r="D24" s="110">
        <f>Resumen!D57</f>
        <v>412500.00000000006</v>
      </c>
      <c r="E24" s="110">
        <f>Resumen!E57</f>
        <v>742500</v>
      </c>
      <c r="F24" s="3">
        <f t="shared" ref="F24:F28" si="3">F23</f>
        <v>5439759</v>
      </c>
      <c r="G24" s="110">
        <f>Resumen!H57</f>
        <v>241241.00000000003</v>
      </c>
      <c r="H24" s="4">
        <f t="shared" si="2"/>
        <v>15086000.000000002</v>
      </c>
    </row>
    <row r="25" spans="2:8" ht="26.25" x14ac:dyDescent="0.25">
      <c r="B25" s="248" t="s">
        <v>337</v>
      </c>
      <c r="C25" s="3">
        <f>'San Borja'!H37</f>
        <v>8250000.0000000009</v>
      </c>
      <c r="D25" s="110">
        <f>Resumen!D58</f>
        <v>412500.00000000006</v>
      </c>
      <c r="E25" s="110">
        <f>Resumen!E58</f>
        <v>742500</v>
      </c>
      <c r="F25" s="3">
        <f t="shared" si="3"/>
        <v>5439759</v>
      </c>
      <c r="G25" s="110">
        <f>Resumen!H58</f>
        <v>241241.00000000003</v>
      </c>
      <c r="H25" s="4">
        <f t="shared" si="2"/>
        <v>15086000.000000002</v>
      </c>
    </row>
    <row r="26" spans="2:8" ht="26.25" x14ac:dyDescent="0.25">
      <c r="B26" s="248" t="s">
        <v>338</v>
      </c>
      <c r="C26" s="3">
        <f>Monteagudo!H37</f>
        <v>8250000.0000000009</v>
      </c>
      <c r="D26" s="110">
        <f>Resumen!D59</f>
        <v>412500.00000000006</v>
      </c>
      <c r="E26" s="110">
        <f>Resumen!E59</f>
        <v>742500</v>
      </c>
      <c r="F26" s="3">
        <f t="shared" si="3"/>
        <v>5439759</v>
      </c>
      <c r="G26" s="110">
        <f>Resumen!H59</f>
        <v>241241.00000000003</v>
      </c>
      <c r="H26" s="4">
        <f t="shared" si="2"/>
        <v>15086000.000000002</v>
      </c>
    </row>
    <row r="27" spans="2:8" ht="26.25" x14ac:dyDescent="0.25">
      <c r="B27" s="248" t="s">
        <v>339</v>
      </c>
      <c r="C27" s="3">
        <f>Villazón!H37</f>
        <v>8250000.0000000009</v>
      </c>
      <c r="D27" s="110">
        <f>Resumen!D60</f>
        <v>412500.00000000006</v>
      </c>
      <c r="E27" s="110">
        <f>Resumen!E60</f>
        <v>742500</v>
      </c>
      <c r="F27" s="3">
        <f t="shared" si="3"/>
        <v>5439759</v>
      </c>
      <c r="G27" s="110">
        <f>Resumen!H60</f>
        <v>241241.00000000003</v>
      </c>
      <c r="H27" s="4">
        <f t="shared" si="2"/>
        <v>15086000.000000002</v>
      </c>
    </row>
    <row r="28" spans="2:8" ht="26.25" x14ac:dyDescent="0.25">
      <c r="B28" s="248" t="s">
        <v>340</v>
      </c>
      <c r="C28" s="3">
        <f>Tupiza!H37</f>
        <v>8250000.0000000009</v>
      </c>
      <c r="D28" s="110">
        <f>Resumen!D61</f>
        <v>412500.00000000006</v>
      </c>
      <c r="E28" s="110">
        <f>Resumen!E61</f>
        <v>742500</v>
      </c>
      <c r="F28" s="3">
        <f t="shared" si="3"/>
        <v>5439759</v>
      </c>
      <c r="G28" s="110">
        <f>Resumen!H61</f>
        <v>241241.00000000003</v>
      </c>
      <c r="H28" s="4">
        <f t="shared" si="2"/>
        <v>15086000.000000002</v>
      </c>
    </row>
    <row r="29" spans="2:8" ht="26.25" x14ac:dyDescent="0.25">
      <c r="B29" s="2" t="s">
        <v>341</v>
      </c>
      <c r="C29" s="3">
        <f>'Puerto Suarez'!H37</f>
        <v>0</v>
      </c>
      <c r="D29" s="110">
        <f>Resumen!D55</f>
        <v>0</v>
      </c>
      <c r="E29" s="110">
        <f>Resumen!E55</f>
        <v>0</v>
      </c>
      <c r="F29" s="3">
        <f>F22</f>
        <v>5439759</v>
      </c>
      <c r="G29" s="110">
        <f>Resumen!H55</f>
        <v>0</v>
      </c>
      <c r="H29" s="4">
        <f>SUM(C29:G29)</f>
        <v>5439759</v>
      </c>
    </row>
    <row r="30" spans="2:8" x14ac:dyDescent="0.25">
      <c r="B30" s="85" t="s">
        <v>342</v>
      </c>
      <c r="C30" s="3">
        <f>Resumen!C62</f>
        <v>0</v>
      </c>
      <c r="D30" s="110">
        <f>Resumen!D62</f>
        <v>0</v>
      </c>
      <c r="E30" s="110">
        <f>Resumen!E62</f>
        <v>0</v>
      </c>
      <c r="F30" s="3">
        <v>2372241</v>
      </c>
      <c r="G30" s="110">
        <f>Resumen!H62</f>
        <v>0</v>
      </c>
      <c r="H30" s="4">
        <f t="shared" si="2"/>
        <v>2372241</v>
      </c>
    </row>
    <row r="31" spans="2:8" x14ac:dyDescent="0.25">
      <c r="B31" s="179" t="s">
        <v>1</v>
      </c>
      <c r="C31" s="182">
        <f>SUM(C21:C30)</f>
        <v>66000000.000000007</v>
      </c>
      <c r="D31" s="182">
        <f>SUM(D21:D30)</f>
        <v>3300000.0000000005</v>
      </c>
      <c r="E31" s="182">
        <f>SUM(E21:E30)</f>
        <v>5940000</v>
      </c>
      <c r="F31" s="182">
        <f>SUM(F21:F30)</f>
        <v>51330072</v>
      </c>
      <c r="G31" s="182">
        <f>SUM(G21:G30)</f>
        <v>1929928.0000000002</v>
      </c>
      <c r="H31" s="181">
        <f>H20+H29+H30</f>
        <v>128500000.00000001</v>
      </c>
    </row>
    <row r="34" spans="2:11" x14ac:dyDescent="0.25">
      <c r="B34" s="111" t="s">
        <v>179</v>
      </c>
      <c r="D34" s="61">
        <v>2.3E-2</v>
      </c>
      <c r="E34" s="61">
        <v>0.04</v>
      </c>
      <c r="G34" s="200">
        <v>1.2E-2</v>
      </c>
      <c r="J34" s="197" t="e">
        <f>J37/C37</f>
        <v>#DIV/0!</v>
      </c>
    </row>
    <row r="35" spans="2:11" ht="33.75" customHeight="1" x14ac:dyDescent="0.25">
      <c r="B35" s="424" t="s">
        <v>492</v>
      </c>
      <c r="C35" s="424"/>
      <c r="D35" s="424"/>
      <c r="E35" s="222"/>
      <c r="F35" s="222"/>
      <c r="G35" s="220" t="s">
        <v>157</v>
      </c>
      <c r="H35" s="221">
        <f>H43</f>
        <v>69000000</v>
      </c>
    </row>
    <row r="36" spans="2:11" x14ac:dyDescent="0.25">
      <c r="B36" s="179" t="s">
        <v>105</v>
      </c>
      <c r="C36" s="180" t="s">
        <v>157</v>
      </c>
      <c r="D36" s="180" t="s">
        <v>158</v>
      </c>
      <c r="E36" s="180" t="s">
        <v>159</v>
      </c>
      <c r="F36" s="180" t="s">
        <v>160</v>
      </c>
      <c r="G36" s="180" t="s">
        <v>348</v>
      </c>
      <c r="H36" s="179" t="s">
        <v>157</v>
      </c>
      <c r="J36" s="180" t="s">
        <v>180</v>
      </c>
      <c r="K36" s="180" t="s">
        <v>59</v>
      </c>
    </row>
    <row r="37" spans="2:11" ht="25.5" x14ac:dyDescent="0.25">
      <c r="B37" s="223" t="s">
        <v>343</v>
      </c>
      <c r="C37" s="3"/>
      <c r="D37" s="110">
        <f>C38*D34</f>
        <v>902520</v>
      </c>
      <c r="H37" s="4">
        <f>SUM(C37:G37)</f>
        <v>902520</v>
      </c>
      <c r="I37" s="204">
        <f>D37+E41+G40</f>
        <v>2945000</v>
      </c>
      <c r="J37" s="201">
        <v>2945000</v>
      </c>
      <c r="K37" s="204">
        <f>I37-J37</f>
        <v>0</v>
      </c>
    </row>
    <row r="38" spans="2:11" x14ac:dyDescent="0.25">
      <c r="B38" s="223" t="s">
        <v>344</v>
      </c>
      <c r="C38" s="3">
        <v>39240000</v>
      </c>
      <c r="D38" s="110">
        <v>0</v>
      </c>
      <c r="E38" s="110">
        <v>0</v>
      </c>
      <c r="F38" s="110"/>
      <c r="G38" s="110"/>
      <c r="H38" s="4">
        <f t="shared" ref="H38:H42" si="4">SUM(C38:G38)</f>
        <v>39240000</v>
      </c>
    </row>
    <row r="39" spans="2:11" x14ac:dyDescent="0.25">
      <c r="B39" s="223" t="s">
        <v>345</v>
      </c>
      <c r="C39" s="3">
        <f>HOcuri!G71</f>
        <v>0</v>
      </c>
      <c r="D39" s="110">
        <v>0</v>
      </c>
      <c r="E39" s="110">
        <v>0</v>
      </c>
      <c r="F39" s="110">
        <v>26780000</v>
      </c>
      <c r="G39" s="110"/>
      <c r="H39" s="4">
        <f t="shared" si="4"/>
        <v>26780000</v>
      </c>
    </row>
    <row r="40" spans="2:11" x14ac:dyDescent="0.25">
      <c r="B40" s="223" t="s">
        <v>37</v>
      </c>
      <c r="C40" s="3">
        <f>HLlga!G71</f>
        <v>0</v>
      </c>
      <c r="D40" s="110">
        <v>0</v>
      </c>
      <c r="E40" s="110">
        <v>0</v>
      </c>
      <c r="F40" s="110"/>
      <c r="G40" s="110">
        <f>C38*G34+2000</f>
        <v>472880</v>
      </c>
      <c r="H40" s="4">
        <f t="shared" si="4"/>
        <v>472880</v>
      </c>
    </row>
    <row r="41" spans="2:11" ht="25.5" x14ac:dyDescent="0.25">
      <c r="B41" s="223" t="s">
        <v>375</v>
      </c>
      <c r="C41" s="3">
        <f>HTNP!G71</f>
        <v>0</v>
      </c>
      <c r="D41" s="110">
        <v>0</v>
      </c>
      <c r="E41" s="110">
        <f>C38*E34</f>
        <v>1569600</v>
      </c>
      <c r="F41" s="110"/>
      <c r="G41" s="110"/>
      <c r="H41" s="4">
        <f t="shared" si="4"/>
        <v>1569600</v>
      </c>
    </row>
    <row r="42" spans="2:11" x14ac:dyDescent="0.25">
      <c r="B42" s="1" t="s">
        <v>134</v>
      </c>
      <c r="C42" s="3">
        <v>35000</v>
      </c>
      <c r="D42" s="110">
        <v>0</v>
      </c>
      <c r="E42" s="110">
        <v>0</v>
      </c>
      <c r="F42" s="110"/>
      <c r="G42" s="110"/>
      <c r="H42" s="4">
        <f t="shared" si="4"/>
        <v>35000</v>
      </c>
    </row>
    <row r="43" spans="2:11" x14ac:dyDescent="0.25">
      <c r="B43" s="179" t="s">
        <v>1</v>
      </c>
      <c r="C43" s="181">
        <f>SUM(C37:C42)</f>
        <v>39275000</v>
      </c>
      <c r="D43" s="182">
        <f>SUM(D37:D42)</f>
        <v>902520</v>
      </c>
      <c r="E43" s="182">
        <f>SUM(E38:E42)</f>
        <v>1569600</v>
      </c>
      <c r="F43" s="182">
        <f>SUM(F38:F42)</f>
        <v>26780000</v>
      </c>
      <c r="G43" s="182">
        <f>SUM(G38:G42)</f>
        <v>472880</v>
      </c>
      <c r="H43" s="181">
        <f>SUM(H37:H42)</f>
        <v>69000000</v>
      </c>
    </row>
    <row r="46" spans="2:11" ht="21" customHeight="1" x14ac:dyDescent="0.25">
      <c r="C46" s="224"/>
      <c r="D46" s="189" t="s">
        <v>161</v>
      </c>
      <c r="E46" s="190"/>
      <c r="F46" s="190"/>
      <c r="G46" s="190"/>
      <c r="H46" s="191">
        <f>H43+H31+H11</f>
        <v>247000000.14868805</v>
      </c>
    </row>
    <row r="48" spans="2:11" ht="29.25" customHeight="1" x14ac:dyDescent="0.25">
      <c r="B48" s="424" t="s">
        <v>493</v>
      </c>
      <c r="C48" s="424"/>
      <c r="D48" s="424"/>
      <c r="E48" s="222"/>
      <c r="F48" s="222"/>
      <c r="G48" s="346" t="s">
        <v>157</v>
      </c>
      <c r="H48" s="221">
        <f>H56</f>
        <v>2700000.0010000002</v>
      </c>
    </row>
    <row r="49" spans="2:8" x14ac:dyDescent="0.25">
      <c r="B49" s="179" t="s">
        <v>105</v>
      </c>
      <c r="C49" s="180" t="s">
        <v>157</v>
      </c>
      <c r="D49" s="180" t="s">
        <v>158</v>
      </c>
      <c r="E49" s="180" t="s">
        <v>159</v>
      </c>
      <c r="F49" s="180" t="s">
        <v>160</v>
      </c>
      <c r="G49" s="180" t="s">
        <v>348</v>
      </c>
      <c r="H49" s="179" t="s">
        <v>157</v>
      </c>
    </row>
    <row r="50" spans="2:8" ht="33.75" customHeight="1" x14ac:dyDescent="0.25">
      <c r="B50" s="223" t="s">
        <v>479</v>
      </c>
      <c r="C50" s="3">
        <v>100000</v>
      </c>
      <c r="D50" s="110">
        <f>C51*D47</f>
        <v>0</v>
      </c>
      <c r="H50" s="4">
        <f>SUM(C50:G50)</f>
        <v>100000</v>
      </c>
    </row>
    <row r="51" spans="2:8" ht="32.25" customHeight="1" x14ac:dyDescent="0.25">
      <c r="B51" s="223" t="s">
        <v>480</v>
      </c>
      <c r="C51" s="3">
        <f>H61</f>
        <v>2600000.0010000002</v>
      </c>
      <c r="D51" s="110">
        <v>0</v>
      </c>
      <c r="E51" s="110">
        <v>0</v>
      </c>
      <c r="F51" s="110"/>
      <c r="G51" s="110"/>
      <c r="H51" s="4">
        <f t="shared" ref="H51" si="5">SUM(C51:G51)</f>
        <v>2600000.0010000002</v>
      </c>
    </row>
    <row r="52" spans="2:8" x14ac:dyDescent="0.25">
      <c r="B52" s="223"/>
      <c r="C52" s="3"/>
      <c r="D52" s="110"/>
      <c r="E52" s="110"/>
      <c r="F52" s="110"/>
      <c r="G52" s="110"/>
      <c r="H52" s="4"/>
    </row>
    <row r="53" spans="2:8" x14ac:dyDescent="0.25">
      <c r="B53" s="223"/>
      <c r="C53" s="3"/>
      <c r="D53" s="110"/>
      <c r="E53" s="110"/>
      <c r="F53" s="110"/>
      <c r="G53" s="110"/>
      <c r="H53" s="4"/>
    </row>
    <row r="54" spans="2:8" x14ac:dyDescent="0.25">
      <c r="B54" s="223"/>
      <c r="C54" s="3"/>
      <c r="D54" s="110"/>
      <c r="E54" s="110"/>
      <c r="F54" s="110"/>
      <c r="G54" s="110"/>
      <c r="H54" s="4"/>
    </row>
    <row r="55" spans="2:8" x14ac:dyDescent="0.25">
      <c r="B55" s="1"/>
      <c r="C55" s="3"/>
      <c r="D55" s="110"/>
      <c r="E55" s="110"/>
      <c r="F55" s="110"/>
      <c r="G55" s="110"/>
      <c r="H55" s="4"/>
    </row>
    <row r="56" spans="2:8" x14ac:dyDescent="0.25">
      <c r="B56" s="179" t="s">
        <v>1</v>
      </c>
      <c r="C56" s="181">
        <f>SUM(C50:C55)</f>
        <v>2700000.0010000002</v>
      </c>
      <c r="D56" s="182">
        <f>SUM(D50:D55)</f>
        <v>0</v>
      </c>
      <c r="E56" s="182">
        <f>SUM(E51:E55)</f>
        <v>0</v>
      </c>
      <c r="F56" s="182">
        <f>SUM(F51:F55)</f>
        <v>0</v>
      </c>
      <c r="G56" s="182">
        <f>SUM(G51:G55)</f>
        <v>0</v>
      </c>
      <c r="H56" s="181">
        <f>SUM(H50:H55)</f>
        <v>2700000.0010000002</v>
      </c>
    </row>
    <row r="61" spans="2:8" ht="26.25" x14ac:dyDescent="0.25">
      <c r="B61" s="205" t="s">
        <v>382</v>
      </c>
      <c r="G61" s="205" t="s">
        <v>157</v>
      </c>
      <c r="H61" s="209">
        <f>H62+H67</f>
        <v>2600000.0010000002</v>
      </c>
    </row>
    <row r="62" spans="2:8" ht="26.25" x14ac:dyDescent="0.25">
      <c r="B62" s="205" t="s">
        <v>188</v>
      </c>
      <c r="G62" s="205" t="s">
        <v>157</v>
      </c>
      <c r="H62" s="209">
        <f>H64</f>
        <v>1700000.0010000002</v>
      </c>
    </row>
    <row r="63" spans="2:8" x14ac:dyDescent="0.25">
      <c r="B63" s="179" t="s">
        <v>4</v>
      </c>
      <c r="C63" s="180" t="s">
        <v>157</v>
      </c>
      <c r="D63" s="180" t="s">
        <v>183</v>
      </c>
      <c r="E63" s="180" t="s">
        <v>13</v>
      </c>
      <c r="F63" s="180" t="s">
        <v>119</v>
      </c>
      <c r="G63" s="180" t="s">
        <v>93</v>
      </c>
      <c r="H63" s="179" t="s">
        <v>157</v>
      </c>
    </row>
    <row r="64" spans="2:8" ht="26.25" x14ac:dyDescent="0.25">
      <c r="B64" s="205" t="s">
        <v>189</v>
      </c>
      <c r="D64" s="33">
        <v>18888.888900000002</v>
      </c>
      <c r="E64">
        <v>9</v>
      </c>
      <c r="F64">
        <v>10</v>
      </c>
      <c r="H64" s="6">
        <f>D64*E64*F64</f>
        <v>1700000.0010000002</v>
      </c>
    </row>
    <row r="67" spans="2:8" ht="26.25" x14ac:dyDescent="0.25">
      <c r="B67" s="205" t="s">
        <v>373</v>
      </c>
      <c r="G67" s="205" t="s">
        <v>157</v>
      </c>
      <c r="H67" s="209">
        <f>H69</f>
        <v>900000</v>
      </c>
    </row>
    <row r="68" spans="2:8" x14ac:dyDescent="0.25">
      <c r="B68" s="179" t="s">
        <v>4</v>
      </c>
      <c r="C68" s="180" t="s">
        <v>157</v>
      </c>
      <c r="D68" s="180" t="s">
        <v>183</v>
      </c>
      <c r="E68" s="180" t="s">
        <v>13</v>
      </c>
      <c r="F68" s="180" t="s">
        <v>119</v>
      </c>
      <c r="G68" s="180" t="s">
        <v>93</v>
      </c>
      <c r="H68" s="179" t="s">
        <v>157</v>
      </c>
    </row>
    <row r="69" spans="2:8" ht="26.25" x14ac:dyDescent="0.25">
      <c r="B69" s="205" t="s">
        <v>374</v>
      </c>
      <c r="D69" s="33">
        <v>75000</v>
      </c>
      <c r="E69">
        <v>1</v>
      </c>
      <c r="F69">
        <v>12</v>
      </c>
      <c r="H69" s="6">
        <f>D69*E69*F69</f>
        <v>900000</v>
      </c>
    </row>
    <row r="71" spans="2:8" x14ac:dyDescent="0.25">
      <c r="B71" s="179" t="s">
        <v>171</v>
      </c>
      <c r="C71" s="181">
        <f>SUM(C68:C70)</f>
        <v>0</v>
      </c>
      <c r="D71" s="181">
        <f t="shared" ref="D71" si="6">SUM(D68:D70)</f>
        <v>75000</v>
      </c>
      <c r="E71" s="181">
        <v>80</v>
      </c>
      <c r="F71" s="181"/>
      <c r="G71" s="181">
        <f t="shared" ref="G71:H71" si="7">SUM(G68:G70)</f>
        <v>0</v>
      </c>
      <c r="H71" s="181">
        <f t="shared" si="7"/>
        <v>900000</v>
      </c>
    </row>
  </sheetData>
  <mergeCells count="5">
    <mergeCell ref="B1:D1"/>
    <mergeCell ref="B3:D3"/>
    <mergeCell ref="B18:D18"/>
    <mergeCell ref="B35:D35"/>
    <mergeCell ref="B48:D4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7D141-D20C-4775-8910-245C3D22274E}">
  <sheetPr>
    <tabColor theme="8" tint="-0.249977111117893"/>
  </sheetPr>
  <dimension ref="B1:P140"/>
  <sheetViews>
    <sheetView tabSelected="1" topLeftCell="B1" zoomScale="160" zoomScaleNormal="160" workbookViewId="0">
      <selection activeCell="G29" sqref="G29"/>
    </sheetView>
  </sheetViews>
  <sheetFormatPr defaultRowHeight="15" x14ac:dyDescent="0.25"/>
  <cols>
    <col min="2" max="2" width="35.140625" customWidth="1"/>
    <col min="4" max="4" width="13.85546875" bestFit="1" customWidth="1"/>
    <col min="8" max="8" width="14.85546875" customWidth="1"/>
    <col min="9" max="9" width="13" customWidth="1"/>
    <col min="10" max="10" width="12.28515625" bestFit="1" customWidth="1"/>
    <col min="16" max="16" width="15.140625" customWidth="1"/>
  </cols>
  <sheetData>
    <row r="1" spans="2:16" x14ac:dyDescent="0.25">
      <c r="I1" s="19">
        <f>8700000-H2</f>
        <v>-3.4721840173006058E-2</v>
      </c>
    </row>
    <row r="2" spans="2:16" x14ac:dyDescent="0.25">
      <c r="B2" s="111" t="s">
        <v>494</v>
      </c>
      <c r="G2" s="205" t="s">
        <v>157</v>
      </c>
      <c r="H2" s="208">
        <f>H3+H4</f>
        <v>8700000.0347218402</v>
      </c>
    </row>
    <row r="3" spans="2:16" x14ac:dyDescent="0.25">
      <c r="B3" s="160" t="s">
        <v>498</v>
      </c>
      <c r="G3" s="205"/>
      <c r="H3" s="208">
        <f>H6+H25+H127+H121+H83+H135</f>
        <v>3600000.1846528742</v>
      </c>
      <c r="I3" s="19">
        <f>3600000-H3</f>
        <v>-0.18465287424623966</v>
      </c>
    </row>
    <row r="4" spans="2:16" x14ac:dyDescent="0.25">
      <c r="B4" s="160" t="s">
        <v>495</v>
      </c>
      <c r="G4" s="205"/>
      <c r="H4" s="208">
        <f>H32+H65+H73+H117+I95+H84</f>
        <v>5099999.8500689659</v>
      </c>
    </row>
    <row r="5" spans="2:16" ht="19.5" customHeight="1" x14ac:dyDescent="0.25">
      <c r="B5" s="160" t="s">
        <v>181</v>
      </c>
      <c r="G5" s="205" t="s">
        <v>157</v>
      </c>
      <c r="H5" s="208">
        <f>H22+H62+H70+H30</f>
        <v>6700000.0347218392</v>
      </c>
      <c r="J5" s="180" t="s">
        <v>358</v>
      </c>
    </row>
    <row r="6" spans="2:16" ht="15" customHeight="1" x14ac:dyDescent="0.25">
      <c r="B6" s="205" t="s">
        <v>497</v>
      </c>
      <c r="C6" s="205" t="s">
        <v>157</v>
      </c>
      <c r="D6" s="206">
        <v>2000000</v>
      </c>
      <c r="E6" s="205"/>
      <c r="F6" s="205"/>
      <c r="G6" s="205" t="s">
        <v>157</v>
      </c>
      <c r="H6" s="209">
        <f>H22</f>
        <v>1616649.9942528741</v>
      </c>
      <c r="J6">
        <v>6.96</v>
      </c>
    </row>
    <row r="7" spans="2:16" ht="25.5" x14ac:dyDescent="0.25">
      <c r="B7" s="179" t="s">
        <v>4</v>
      </c>
      <c r="C7" s="180" t="s">
        <v>157</v>
      </c>
      <c r="D7" s="180" t="s">
        <v>183</v>
      </c>
      <c r="E7" s="180" t="s">
        <v>185</v>
      </c>
      <c r="F7" s="180" t="s">
        <v>184</v>
      </c>
      <c r="G7" s="180" t="s">
        <v>93</v>
      </c>
      <c r="H7" s="179" t="s">
        <v>157</v>
      </c>
      <c r="J7" s="180" t="s">
        <v>357</v>
      </c>
      <c r="P7" s="252"/>
    </row>
    <row r="8" spans="2:16" x14ac:dyDescent="0.25">
      <c r="B8" s="1" t="s">
        <v>182</v>
      </c>
      <c r="C8" s="3">
        <f>H8</f>
        <v>137391.94827586209</v>
      </c>
      <c r="D8" s="249">
        <f>J8/$J$6</f>
        <v>2348.5632183908046</v>
      </c>
      <c r="E8" s="249">
        <v>13</v>
      </c>
      <c r="F8" s="352">
        <v>4.5</v>
      </c>
      <c r="G8" s="249">
        <v>1</v>
      </c>
      <c r="H8" s="4">
        <f>D8*E8*F8+G8</f>
        <v>137391.94827586209</v>
      </c>
      <c r="J8" s="115">
        <v>16346</v>
      </c>
      <c r="P8" s="252"/>
    </row>
    <row r="9" spans="2:16" x14ac:dyDescent="0.25">
      <c r="B9" s="2" t="s">
        <v>349</v>
      </c>
      <c r="C9" s="3">
        <f t="shared" ref="C9:C21" si="0">H9</f>
        <v>115475.86206896552</v>
      </c>
      <c r="D9" s="249">
        <f t="shared" ref="D9:D21" si="1">J9/$J$6</f>
        <v>2220.6896551724139</v>
      </c>
      <c r="E9" s="249">
        <v>13</v>
      </c>
      <c r="F9" s="352">
        <v>4</v>
      </c>
      <c r="G9" s="249"/>
      <c r="H9" s="4">
        <f t="shared" ref="H9:H20" si="2">D9*E9*F9</f>
        <v>115475.86206896552</v>
      </c>
      <c r="J9" s="115">
        <v>15456</v>
      </c>
      <c r="P9" s="252"/>
    </row>
    <row r="10" spans="2:16" x14ac:dyDescent="0.25">
      <c r="B10" s="2" t="s">
        <v>204</v>
      </c>
      <c r="C10" s="3">
        <f t="shared" si="0"/>
        <v>115475.86206896552</v>
      </c>
      <c r="D10" s="249">
        <f t="shared" si="1"/>
        <v>2220.6896551724139</v>
      </c>
      <c r="E10" s="249">
        <v>13</v>
      </c>
      <c r="F10" s="352">
        <v>4</v>
      </c>
      <c r="G10" s="249"/>
      <c r="H10" s="4">
        <f t="shared" si="2"/>
        <v>115475.86206896552</v>
      </c>
      <c r="J10" s="115">
        <v>15456</v>
      </c>
      <c r="P10" s="252"/>
    </row>
    <row r="11" spans="2:16" x14ac:dyDescent="0.25">
      <c r="B11" s="2" t="s">
        <v>205</v>
      </c>
      <c r="C11" s="3">
        <f t="shared" si="0"/>
        <v>115475.86206896552</v>
      </c>
      <c r="D11" s="249">
        <f t="shared" si="1"/>
        <v>2220.6896551724139</v>
      </c>
      <c r="E11" s="249">
        <v>13</v>
      </c>
      <c r="F11" s="352">
        <v>4</v>
      </c>
      <c r="G11" s="249"/>
      <c r="H11" s="4">
        <f t="shared" si="2"/>
        <v>115475.86206896552</v>
      </c>
      <c r="J11" s="115">
        <v>15456</v>
      </c>
      <c r="P11" s="252"/>
    </row>
    <row r="12" spans="2:16" x14ac:dyDescent="0.25">
      <c r="B12" s="2" t="s">
        <v>208</v>
      </c>
      <c r="C12" s="3">
        <f t="shared" si="0"/>
        <v>115475.86206896552</v>
      </c>
      <c r="D12" s="249">
        <f t="shared" si="1"/>
        <v>2220.6896551724139</v>
      </c>
      <c r="E12" s="249">
        <v>13</v>
      </c>
      <c r="F12" s="352">
        <v>4</v>
      </c>
      <c r="G12" s="249"/>
      <c r="H12" s="4">
        <f t="shared" si="2"/>
        <v>115475.86206896552</v>
      </c>
      <c r="J12" s="115">
        <v>15456</v>
      </c>
      <c r="P12" s="252"/>
    </row>
    <row r="13" spans="2:16" x14ac:dyDescent="0.25">
      <c r="B13" s="2" t="s">
        <v>206</v>
      </c>
      <c r="C13" s="3">
        <f t="shared" si="0"/>
        <v>115475.86206896552</v>
      </c>
      <c r="D13" s="249">
        <f t="shared" si="1"/>
        <v>2220.6896551724139</v>
      </c>
      <c r="E13" s="249">
        <v>13</v>
      </c>
      <c r="F13" s="352">
        <v>4</v>
      </c>
      <c r="G13" s="249"/>
      <c r="H13" s="4">
        <f t="shared" si="2"/>
        <v>115475.86206896552</v>
      </c>
      <c r="J13" s="115">
        <v>15456</v>
      </c>
      <c r="P13" s="252"/>
    </row>
    <row r="14" spans="2:16" ht="26.25" x14ac:dyDescent="0.25">
      <c r="B14" s="2" t="s">
        <v>207</v>
      </c>
      <c r="C14" s="3">
        <f t="shared" si="0"/>
        <v>115475.86206896552</v>
      </c>
      <c r="D14" s="249">
        <f t="shared" si="1"/>
        <v>2220.6896551724139</v>
      </c>
      <c r="E14" s="249">
        <v>13</v>
      </c>
      <c r="F14" s="352">
        <v>4</v>
      </c>
      <c r="G14" s="249"/>
      <c r="H14" s="4">
        <f t="shared" si="2"/>
        <v>115475.86206896552</v>
      </c>
      <c r="J14" s="115">
        <v>15456</v>
      </c>
      <c r="P14" s="252"/>
    </row>
    <row r="15" spans="2:16" x14ac:dyDescent="0.25">
      <c r="B15" s="2" t="s">
        <v>350</v>
      </c>
      <c r="C15" s="3">
        <f t="shared" si="0"/>
        <v>93547.701149425295</v>
      </c>
      <c r="D15" s="249">
        <f t="shared" si="1"/>
        <v>1798.9942528735633</v>
      </c>
      <c r="E15" s="249">
        <v>13</v>
      </c>
      <c r="F15" s="352">
        <v>4</v>
      </c>
      <c r="G15" s="249"/>
      <c r="H15" s="4">
        <f t="shared" si="2"/>
        <v>93547.701149425295</v>
      </c>
      <c r="J15" s="115">
        <v>12521</v>
      </c>
      <c r="P15" s="252"/>
    </row>
    <row r="16" spans="2:16" x14ac:dyDescent="0.25">
      <c r="B16" s="2" t="s">
        <v>351</v>
      </c>
      <c r="C16" s="3">
        <f t="shared" si="0"/>
        <v>115475.86206896552</v>
      </c>
      <c r="D16" s="249">
        <f t="shared" si="1"/>
        <v>2220.6896551724139</v>
      </c>
      <c r="E16" s="249">
        <v>13</v>
      </c>
      <c r="F16" s="352">
        <v>4</v>
      </c>
      <c r="G16" s="249"/>
      <c r="H16" s="4">
        <f t="shared" si="2"/>
        <v>115475.86206896552</v>
      </c>
      <c r="J16" s="115">
        <v>15456</v>
      </c>
      <c r="P16" s="252"/>
    </row>
    <row r="17" spans="2:16" x14ac:dyDescent="0.25">
      <c r="B17" s="2" t="s">
        <v>352</v>
      </c>
      <c r="C17" s="3">
        <f t="shared" si="0"/>
        <v>115475.86206896552</v>
      </c>
      <c r="D17" s="249">
        <f t="shared" si="1"/>
        <v>2220.6896551724139</v>
      </c>
      <c r="E17" s="249">
        <v>13</v>
      </c>
      <c r="F17" s="352">
        <v>4</v>
      </c>
      <c r="G17" s="249"/>
      <c r="H17" s="4">
        <f t="shared" si="2"/>
        <v>115475.86206896552</v>
      </c>
      <c r="J17" s="115">
        <v>15456</v>
      </c>
      <c r="P17" s="252"/>
    </row>
    <row r="18" spans="2:16" x14ac:dyDescent="0.25">
      <c r="B18" s="2" t="s">
        <v>353</v>
      </c>
      <c r="C18" s="3">
        <f t="shared" si="0"/>
        <v>115475.86206896552</v>
      </c>
      <c r="D18" s="249">
        <f t="shared" si="1"/>
        <v>2220.6896551724139</v>
      </c>
      <c r="E18" s="249">
        <v>13</v>
      </c>
      <c r="F18" s="352">
        <v>4</v>
      </c>
      <c r="G18" s="249"/>
      <c r="H18" s="4">
        <f t="shared" si="2"/>
        <v>115475.86206896552</v>
      </c>
      <c r="J18" s="115">
        <v>15456</v>
      </c>
    </row>
    <row r="19" spans="2:16" x14ac:dyDescent="0.25">
      <c r="B19" s="2" t="s">
        <v>354</v>
      </c>
      <c r="C19" s="3">
        <f t="shared" si="0"/>
        <v>115475.86206896552</v>
      </c>
      <c r="D19" s="249">
        <f t="shared" si="1"/>
        <v>2220.6896551724139</v>
      </c>
      <c r="E19" s="249">
        <v>13</v>
      </c>
      <c r="F19" s="352">
        <v>4</v>
      </c>
      <c r="G19" s="249"/>
      <c r="H19" s="4">
        <f t="shared" si="2"/>
        <v>115475.86206896552</v>
      </c>
      <c r="J19" s="115">
        <v>15456</v>
      </c>
    </row>
    <row r="20" spans="2:16" x14ac:dyDescent="0.25">
      <c r="B20" s="2" t="s">
        <v>355</v>
      </c>
      <c r="C20" s="3">
        <f t="shared" si="0"/>
        <v>115475.86206896552</v>
      </c>
      <c r="D20" s="249">
        <f t="shared" si="1"/>
        <v>2220.6896551724139</v>
      </c>
      <c r="E20" s="249">
        <v>13</v>
      </c>
      <c r="F20" s="352">
        <v>4</v>
      </c>
      <c r="G20" s="249"/>
      <c r="H20" s="4">
        <f t="shared" si="2"/>
        <v>115475.86206896552</v>
      </c>
      <c r="J20" s="115">
        <v>15456</v>
      </c>
    </row>
    <row r="21" spans="2:16" x14ac:dyDescent="0.25">
      <c r="B21" s="2" t="s">
        <v>356</v>
      </c>
      <c r="C21" s="3">
        <f t="shared" si="0"/>
        <v>115475.86206896552</v>
      </c>
      <c r="D21" s="249">
        <f t="shared" si="1"/>
        <v>2220.6896551724139</v>
      </c>
      <c r="E21" s="249">
        <v>13</v>
      </c>
      <c r="F21" s="352">
        <v>4</v>
      </c>
      <c r="G21" s="249"/>
      <c r="H21" s="4">
        <f>(D21*E21*F21)+G21</f>
        <v>115475.86206896552</v>
      </c>
      <c r="J21" s="115">
        <v>15456</v>
      </c>
    </row>
    <row r="22" spans="2:16" x14ac:dyDescent="0.25">
      <c r="B22" s="179" t="s">
        <v>171</v>
      </c>
      <c r="C22" s="181">
        <f>SUM(C8:C21)</f>
        <v>1616649.9942528741</v>
      </c>
      <c r="D22" s="182">
        <f>SUM(D8:D21)</f>
        <v>30795.833333333328</v>
      </c>
      <c r="E22" s="182">
        <v>0</v>
      </c>
      <c r="F22" s="182"/>
      <c r="G22" s="182"/>
      <c r="H22" s="181">
        <f>SUM(H8:H21)</f>
        <v>1616649.9942528741</v>
      </c>
    </row>
    <row r="23" spans="2:16" x14ac:dyDescent="0.25">
      <c r="B23" s="250" t="s">
        <v>359</v>
      </c>
      <c r="H23" s="18">
        <f>D6-H22</f>
        <v>383350.00574712595</v>
      </c>
      <c r="I23" s="6"/>
    </row>
    <row r="24" spans="2:16" x14ac:dyDescent="0.25">
      <c r="B24" s="250"/>
      <c r="H24" s="18"/>
      <c r="I24" s="6"/>
    </row>
    <row r="25" spans="2:16" x14ac:dyDescent="0.25">
      <c r="B25" s="205" t="s">
        <v>367</v>
      </c>
      <c r="C25" s="205" t="s">
        <v>157</v>
      </c>
      <c r="D25" s="206">
        <v>2000000</v>
      </c>
      <c r="E25" s="205"/>
      <c r="F25" s="205"/>
      <c r="G25" s="205" t="s">
        <v>157</v>
      </c>
      <c r="H25" s="209">
        <f>H30</f>
        <v>533350.19039999996</v>
      </c>
      <c r="I25" s="6"/>
    </row>
    <row r="26" spans="2:16" ht="25.5" x14ac:dyDescent="0.25">
      <c r="B26" s="179" t="s">
        <v>4</v>
      </c>
      <c r="C26" s="180" t="s">
        <v>157</v>
      </c>
      <c r="D26" s="180" t="s">
        <v>183</v>
      </c>
      <c r="E26" s="180" t="s">
        <v>13</v>
      </c>
      <c r="F26" s="180" t="s">
        <v>184</v>
      </c>
      <c r="G26" s="180" t="s">
        <v>93</v>
      </c>
      <c r="H26" s="179" t="s">
        <v>157</v>
      </c>
      <c r="I26" s="6"/>
    </row>
    <row r="27" spans="2:16" x14ac:dyDescent="0.25">
      <c r="B27" s="1" t="s">
        <v>368</v>
      </c>
      <c r="C27" s="3">
        <f>H27</f>
        <v>411533.1888</v>
      </c>
      <c r="D27" s="110">
        <v>8573.6080999999995</v>
      </c>
      <c r="E27" s="110">
        <v>12</v>
      </c>
      <c r="F27" s="352">
        <v>4</v>
      </c>
      <c r="G27" s="110"/>
      <c r="H27" s="4">
        <f>(D27*E27*F27)+G27</f>
        <v>411533.1888</v>
      </c>
      <c r="I27" s="6"/>
    </row>
    <row r="28" spans="2:16" x14ac:dyDescent="0.25">
      <c r="B28" s="2" t="s">
        <v>369</v>
      </c>
      <c r="C28" s="3">
        <f t="shared" ref="C28" si="3">H28</f>
        <v>121817.00160000002</v>
      </c>
      <c r="D28" s="110">
        <v>2754.1667000000002</v>
      </c>
      <c r="E28" s="110">
        <v>12</v>
      </c>
      <c r="F28" s="352">
        <v>4</v>
      </c>
      <c r="G28" s="110">
        <v>-10383</v>
      </c>
      <c r="H28" s="4">
        <f>D28*E28*F28+G28</f>
        <v>121817.00160000002</v>
      </c>
      <c r="I28" s="6"/>
    </row>
    <row r="29" spans="2:16" x14ac:dyDescent="0.25">
      <c r="B29" s="2"/>
      <c r="C29" s="3"/>
      <c r="D29" s="110"/>
      <c r="E29" s="110"/>
      <c r="F29" s="110"/>
      <c r="G29" s="110"/>
      <c r="H29" s="4">
        <f t="shared" ref="H29" si="4">D29*E29*F29</f>
        <v>0</v>
      </c>
      <c r="I29" s="6"/>
    </row>
    <row r="30" spans="2:16" x14ac:dyDescent="0.25">
      <c r="B30" s="179" t="s">
        <v>171</v>
      </c>
      <c r="C30" s="181">
        <f>SUM(C27:C29)</f>
        <v>533350.19039999996</v>
      </c>
      <c r="D30" s="181">
        <f t="shared" ref="D30" si="5">SUM(D27:D29)</f>
        <v>11327.774799999999</v>
      </c>
      <c r="E30" s="181"/>
      <c r="F30" s="181"/>
      <c r="G30" s="181">
        <f t="shared" ref="G30:H30" si="6">SUM(G27:G29)</f>
        <v>-10383</v>
      </c>
      <c r="H30" s="181">
        <f t="shared" si="6"/>
        <v>533350.19039999996</v>
      </c>
      <c r="I30" s="6"/>
    </row>
    <row r="31" spans="2:16" x14ac:dyDescent="0.25">
      <c r="J31" s="180" t="s">
        <v>358</v>
      </c>
    </row>
    <row r="32" spans="2:16" x14ac:dyDescent="0.25">
      <c r="B32" s="205" t="s">
        <v>186</v>
      </c>
      <c r="C32" s="205" t="s">
        <v>157</v>
      </c>
      <c r="D32" s="206">
        <v>2000000</v>
      </c>
      <c r="E32" s="205"/>
      <c r="F32" s="205"/>
      <c r="G32" s="205"/>
      <c r="H32" s="209">
        <f>H62</f>
        <v>3749999.862068966</v>
      </c>
      <c r="J32">
        <v>6.96</v>
      </c>
    </row>
    <row r="33" spans="2:10" ht="25.5" x14ac:dyDescent="0.25">
      <c r="B33" s="179" t="s">
        <v>4</v>
      </c>
      <c r="C33" s="180" t="s">
        <v>157</v>
      </c>
      <c r="D33" s="180" t="s">
        <v>183</v>
      </c>
      <c r="E33" s="180" t="s">
        <v>185</v>
      </c>
      <c r="F33" s="180" t="s">
        <v>184</v>
      </c>
      <c r="G33" s="180" t="s">
        <v>93</v>
      </c>
      <c r="H33" s="179" t="s">
        <v>157</v>
      </c>
      <c r="J33" s="180" t="s">
        <v>357</v>
      </c>
    </row>
    <row r="34" spans="2:10" x14ac:dyDescent="0.25">
      <c r="B34" s="1" t="s">
        <v>182</v>
      </c>
      <c r="C34" s="3">
        <f>H34</f>
        <v>152656.6091954023</v>
      </c>
      <c r="D34" s="249">
        <f>J34/$J$6</f>
        <v>2348.5632183908046</v>
      </c>
      <c r="E34" s="249">
        <v>13</v>
      </c>
      <c r="F34" s="249">
        <v>5</v>
      </c>
      <c r="G34" s="249"/>
      <c r="H34" s="4">
        <f>D34*E34*F34</f>
        <v>152656.6091954023</v>
      </c>
      <c r="J34" s="115">
        <v>16346</v>
      </c>
    </row>
    <row r="35" spans="2:10" x14ac:dyDescent="0.25">
      <c r="B35" s="2" t="s">
        <v>510</v>
      </c>
      <c r="C35" s="3">
        <f t="shared" ref="C35:C47" si="7">H35</f>
        <v>144344.8275862069</v>
      </c>
      <c r="D35" s="249">
        <f t="shared" ref="D35:D47" si="8">J35/$J$6</f>
        <v>2220.6896551724139</v>
      </c>
      <c r="E35" s="249">
        <v>13</v>
      </c>
      <c r="F35" s="249">
        <v>5</v>
      </c>
      <c r="G35" s="249"/>
      <c r="H35" s="4">
        <f t="shared" ref="H35:H47" si="9">D35*E35*F35</f>
        <v>144344.8275862069</v>
      </c>
      <c r="J35" s="115">
        <v>15456</v>
      </c>
    </row>
    <row r="36" spans="2:10" x14ac:dyDescent="0.25">
      <c r="B36" s="2" t="s">
        <v>204</v>
      </c>
      <c r="C36" s="3">
        <f t="shared" si="7"/>
        <v>144344.8275862069</v>
      </c>
      <c r="D36" s="249">
        <f t="shared" si="8"/>
        <v>2220.6896551724139</v>
      </c>
      <c r="E36" s="249">
        <v>13</v>
      </c>
      <c r="F36" s="249">
        <v>5</v>
      </c>
      <c r="G36" s="249"/>
      <c r="H36" s="4">
        <f t="shared" si="9"/>
        <v>144344.8275862069</v>
      </c>
      <c r="J36" s="115">
        <v>15456</v>
      </c>
    </row>
    <row r="37" spans="2:10" x14ac:dyDescent="0.25">
      <c r="B37" s="2" t="s">
        <v>205</v>
      </c>
      <c r="C37" s="3">
        <f t="shared" si="7"/>
        <v>144344.8275862069</v>
      </c>
      <c r="D37" s="249">
        <f t="shared" si="8"/>
        <v>2220.6896551724139</v>
      </c>
      <c r="E37" s="249">
        <v>13</v>
      </c>
      <c r="F37" s="249">
        <v>5</v>
      </c>
      <c r="G37" s="249"/>
      <c r="H37" s="4">
        <f t="shared" si="9"/>
        <v>144344.8275862069</v>
      </c>
      <c r="J37" s="115">
        <v>15456</v>
      </c>
    </row>
    <row r="38" spans="2:10" x14ac:dyDescent="0.25">
      <c r="B38" s="2" t="s">
        <v>208</v>
      </c>
      <c r="C38" s="3">
        <f t="shared" si="7"/>
        <v>144344.8275862069</v>
      </c>
      <c r="D38" s="249">
        <f t="shared" si="8"/>
        <v>2220.6896551724139</v>
      </c>
      <c r="E38" s="249">
        <v>13</v>
      </c>
      <c r="F38" s="249">
        <v>5</v>
      </c>
      <c r="G38" s="249"/>
      <c r="H38" s="4">
        <f t="shared" si="9"/>
        <v>144344.8275862069</v>
      </c>
      <c r="J38" s="115">
        <v>15456</v>
      </c>
    </row>
    <row r="39" spans="2:10" x14ac:dyDescent="0.25">
      <c r="B39" s="2" t="s">
        <v>206</v>
      </c>
      <c r="C39" s="3">
        <f t="shared" si="7"/>
        <v>144344.8275862069</v>
      </c>
      <c r="D39" s="249">
        <f t="shared" si="8"/>
        <v>2220.6896551724139</v>
      </c>
      <c r="E39" s="249">
        <v>13</v>
      </c>
      <c r="F39" s="249">
        <v>5</v>
      </c>
      <c r="G39" s="249"/>
      <c r="H39" s="4">
        <f t="shared" si="9"/>
        <v>144344.8275862069</v>
      </c>
      <c r="J39" s="115">
        <v>15456</v>
      </c>
    </row>
    <row r="40" spans="2:10" x14ac:dyDescent="0.25">
      <c r="B40" s="2" t="s">
        <v>207</v>
      </c>
      <c r="C40" s="3">
        <f t="shared" si="7"/>
        <v>144344.8275862069</v>
      </c>
      <c r="D40" s="249">
        <f t="shared" si="8"/>
        <v>2220.6896551724139</v>
      </c>
      <c r="E40" s="249">
        <v>13</v>
      </c>
      <c r="F40" s="249">
        <v>5</v>
      </c>
      <c r="G40" s="249"/>
      <c r="H40" s="4">
        <f t="shared" si="9"/>
        <v>144344.8275862069</v>
      </c>
      <c r="J40" s="115">
        <v>15456</v>
      </c>
    </row>
    <row r="41" spans="2:10" x14ac:dyDescent="0.25">
      <c r="B41" s="2" t="s">
        <v>350</v>
      </c>
      <c r="C41" s="3">
        <f t="shared" si="7"/>
        <v>116934.62643678162</v>
      </c>
      <c r="D41" s="249">
        <f t="shared" si="8"/>
        <v>1798.9942528735633</v>
      </c>
      <c r="E41" s="249">
        <v>13</v>
      </c>
      <c r="F41" s="249">
        <v>5</v>
      </c>
      <c r="G41" s="249"/>
      <c r="H41" s="4">
        <f t="shared" si="9"/>
        <v>116934.62643678162</v>
      </c>
      <c r="J41" s="115">
        <v>12521</v>
      </c>
    </row>
    <row r="42" spans="2:10" x14ac:dyDescent="0.25">
      <c r="B42" s="2" t="s">
        <v>360</v>
      </c>
      <c r="C42" s="3">
        <f t="shared" si="7"/>
        <v>144344.8275862069</v>
      </c>
      <c r="D42" s="249">
        <f t="shared" si="8"/>
        <v>2220.6896551724139</v>
      </c>
      <c r="E42" s="249">
        <v>13</v>
      </c>
      <c r="F42" s="249">
        <v>5</v>
      </c>
      <c r="G42" s="249"/>
      <c r="H42" s="4">
        <f t="shared" si="9"/>
        <v>144344.8275862069</v>
      </c>
      <c r="J42" s="115">
        <v>15456</v>
      </c>
    </row>
    <row r="43" spans="2:10" x14ac:dyDescent="0.25">
      <c r="B43" s="2" t="s">
        <v>361</v>
      </c>
      <c r="C43" s="3">
        <f t="shared" si="7"/>
        <v>144344.8275862069</v>
      </c>
      <c r="D43" s="249">
        <f t="shared" si="8"/>
        <v>2220.6896551724139</v>
      </c>
      <c r="E43" s="249">
        <v>13</v>
      </c>
      <c r="F43" s="249">
        <v>5</v>
      </c>
      <c r="G43" s="249"/>
      <c r="H43" s="4">
        <f t="shared" si="9"/>
        <v>144344.8275862069</v>
      </c>
      <c r="J43" s="115">
        <v>15456</v>
      </c>
    </row>
    <row r="44" spans="2:10" x14ac:dyDescent="0.25">
      <c r="B44" s="2" t="s">
        <v>362</v>
      </c>
      <c r="C44" s="3">
        <f t="shared" si="7"/>
        <v>144344.8275862069</v>
      </c>
      <c r="D44" s="249">
        <f t="shared" si="8"/>
        <v>2220.6896551724139</v>
      </c>
      <c r="E44" s="249">
        <v>13</v>
      </c>
      <c r="F44" s="249">
        <v>5</v>
      </c>
      <c r="G44" s="249"/>
      <c r="H44" s="4">
        <f t="shared" si="9"/>
        <v>144344.8275862069</v>
      </c>
      <c r="J44" s="115">
        <v>15456</v>
      </c>
    </row>
    <row r="45" spans="2:10" x14ac:dyDescent="0.25">
      <c r="B45" s="2" t="s">
        <v>363</v>
      </c>
      <c r="C45" s="3">
        <f t="shared" si="7"/>
        <v>144344.8275862069</v>
      </c>
      <c r="D45" s="249">
        <f t="shared" si="8"/>
        <v>2220.6896551724139</v>
      </c>
      <c r="E45" s="249">
        <v>13</v>
      </c>
      <c r="F45" s="249">
        <v>5</v>
      </c>
      <c r="G45" s="249"/>
      <c r="H45" s="4">
        <f t="shared" si="9"/>
        <v>144344.8275862069</v>
      </c>
      <c r="J45" s="115">
        <v>15456</v>
      </c>
    </row>
    <row r="46" spans="2:10" x14ac:dyDescent="0.25">
      <c r="B46" s="2" t="s">
        <v>364</v>
      </c>
      <c r="C46" s="3">
        <f t="shared" si="7"/>
        <v>144344.8275862069</v>
      </c>
      <c r="D46" s="249">
        <f t="shared" si="8"/>
        <v>2220.6896551724139</v>
      </c>
      <c r="E46" s="249">
        <v>13</v>
      </c>
      <c r="F46" s="249">
        <v>5</v>
      </c>
      <c r="G46" s="249"/>
      <c r="H46" s="4">
        <f t="shared" si="9"/>
        <v>144344.8275862069</v>
      </c>
      <c r="J46" s="115">
        <v>15456</v>
      </c>
    </row>
    <row r="47" spans="2:10" x14ac:dyDescent="0.25">
      <c r="B47" s="2" t="s">
        <v>365</v>
      </c>
      <c r="C47" s="3">
        <f t="shared" si="7"/>
        <v>144344.8275862069</v>
      </c>
      <c r="D47" s="249">
        <f t="shared" si="8"/>
        <v>2220.6896551724139</v>
      </c>
      <c r="E47" s="249">
        <v>13</v>
      </c>
      <c r="F47" s="249">
        <v>5</v>
      </c>
      <c r="G47" s="249"/>
      <c r="H47" s="4">
        <f t="shared" si="9"/>
        <v>144344.8275862069</v>
      </c>
      <c r="J47" s="115">
        <v>15456</v>
      </c>
    </row>
    <row r="48" spans="2:10" x14ac:dyDescent="0.25">
      <c r="B48" s="2" t="s">
        <v>499</v>
      </c>
      <c r="C48" s="3">
        <f t="shared" ref="C48:C52" si="10">H48</f>
        <v>144344.8275862069</v>
      </c>
      <c r="D48" s="249">
        <f t="shared" ref="D48:D52" si="11">J48/$J$6</f>
        <v>2220.6896551724139</v>
      </c>
      <c r="E48" s="249">
        <v>13</v>
      </c>
      <c r="F48" s="249">
        <v>5</v>
      </c>
      <c r="G48" s="249"/>
      <c r="H48" s="4">
        <f t="shared" ref="H48:H51" si="12">D48*E48*F48</f>
        <v>144344.8275862069</v>
      </c>
      <c r="J48" s="115">
        <v>15456</v>
      </c>
    </row>
    <row r="49" spans="2:10" x14ac:dyDescent="0.25">
      <c r="B49" s="2" t="s">
        <v>500</v>
      </c>
      <c r="C49" s="3">
        <f t="shared" si="10"/>
        <v>144344.8275862069</v>
      </c>
      <c r="D49" s="249">
        <f t="shared" si="11"/>
        <v>2220.6896551724139</v>
      </c>
      <c r="E49" s="249">
        <v>13</v>
      </c>
      <c r="F49" s="249">
        <v>5</v>
      </c>
      <c r="G49" s="249"/>
      <c r="H49" s="4">
        <f t="shared" si="12"/>
        <v>144344.8275862069</v>
      </c>
      <c r="J49" s="115">
        <v>15456</v>
      </c>
    </row>
    <row r="50" spans="2:10" x14ac:dyDescent="0.25">
      <c r="B50" s="2" t="s">
        <v>501</v>
      </c>
      <c r="C50" s="3">
        <f t="shared" si="10"/>
        <v>144344.8275862069</v>
      </c>
      <c r="D50" s="249">
        <f t="shared" si="11"/>
        <v>2220.6896551724139</v>
      </c>
      <c r="E50" s="249">
        <v>13</v>
      </c>
      <c r="F50" s="249">
        <v>5</v>
      </c>
      <c r="G50" s="249"/>
      <c r="H50" s="4">
        <f t="shared" si="12"/>
        <v>144344.8275862069</v>
      </c>
      <c r="J50" s="115">
        <v>15456</v>
      </c>
    </row>
    <row r="51" spans="2:10" x14ac:dyDescent="0.25">
      <c r="B51" s="2" t="s">
        <v>502</v>
      </c>
      <c r="C51" s="3">
        <f t="shared" si="10"/>
        <v>144344.8275862069</v>
      </c>
      <c r="D51" s="249">
        <f t="shared" si="11"/>
        <v>2220.6896551724139</v>
      </c>
      <c r="E51" s="249">
        <v>13</v>
      </c>
      <c r="F51" s="249">
        <v>5</v>
      </c>
      <c r="G51" s="249"/>
      <c r="H51" s="4">
        <f t="shared" si="12"/>
        <v>144344.8275862069</v>
      </c>
      <c r="J51" s="115">
        <v>15456</v>
      </c>
    </row>
    <row r="52" spans="2:10" x14ac:dyDescent="0.25">
      <c r="B52" s="2" t="s">
        <v>503</v>
      </c>
      <c r="C52" s="3">
        <f t="shared" si="10"/>
        <v>144344.8275862069</v>
      </c>
      <c r="D52" s="249">
        <f t="shared" si="11"/>
        <v>2220.6896551724139</v>
      </c>
      <c r="E52" s="249">
        <v>13</v>
      </c>
      <c r="F52" s="249">
        <v>5</v>
      </c>
      <c r="G52" s="249"/>
      <c r="H52" s="4">
        <f>D52*E52*F52+G52</f>
        <v>144344.8275862069</v>
      </c>
      <c r="J52" s="115">
        <v>15456</v>
      </c>
    </row>
    <row r="53" spans="2:10" x14ac:dyDescent="0.25">
      <c r="B53" s="2" t="s">
        <v>504</v>
      </c>
      <c r="C53" s="3">
        <f t="shared" ref="C53" si="13">H53</f>
        <v>144344.8275862069</v>
      </c>
      <c r="D53" s="249">
        <f t="shared" ref="D53" si="14">J53/$J$6</f>
        <v>2220.6896551724139</v>
      </c>
      <c r="E53" s="249">
        <v>13</v>
      </c>
      <c r="F53" s="249">
        <v>5</v>
      </c>
      <c r="G53" s="249"/>
      <c r="H53" s="4">
        <f t="shared" ref="H53:H56" si="15">D53*E53*F53+G53</f>
        <v>144344.8275862069</v>
      </c>
      <c r="J53" s="115">
        <v>15456</v>
      </c>
    </row>
    <row r="54" spans="2:10" x14ac:dyDescent="0.25">
      <c r="B54" s="2" t="s">
        <v>505</v>
      </c>
      <c r="C54" s="3">
        <f t="shared" ref="C54:C56" si="16">H54</f>
        <v>144354.16666666669</v>
      </c>
      <c r="D54" s="249">
        <f t="shared" ref="D54:D56" si="17">J54/$J$6</f>
        <v>2220.8333333333335</v>
      </c>
      <c r="E54" s="249">
        <v>13</v>
      </c>
      <c r="F54" s="249">
        <v>5</v>
      </c>
      <c r="G54" s="249"/>
      <c r="H54" s="4">
        <f t="shared" si="15"/>
        <v>144354.16666666669</v>
      </c>
      <c r="J54" s="115">
        <v>15457</v>
      </c>
    </row>
    <row r="55" spans="2:10" x14ac:dyDescent="0.25">
      <c r="B55" s="2" t="s">
        <v>506</v>
      </c>
      <c r="C55" s="3">
        <f t="shared" ref="C55" si="18">H55</f>
        <v>144363.50574712644</v>
      </c>
      <c r="D55" s="249">
        <f t="shared" ref="D55" si="19">J55/$J$6</f>
        <v>2220.977011494253</v>
      </c>
      <c r="E55" s="249">
        <v>13</v>
      </c>
      <c r="F55" s="249">
        <v>5</v>
      </c>
      <c r="G55" s="249"/>
      <c r="H55" s="4">
        <f t="shared" si="15"/>
        <v>144363.50574712644</v>
      </c>
      <c r="J55" s="115">
        <v>15458</v>
      </c>
    </row>
    <row r="56" spans="2:10" x14ac:dyDescent="0.25">
      <c r="B56" s="2" t="s">
        <v>507</v>
      </c>
      <c r="C56" s="3">
        <f t="shared" si="16"/>
        <v>144363.50574712644</v>
      </c>
      <c r="D56" s="249">
        <f t="shared" si="17"/>
        <v>2220.977011494253</v>
      </c>
      <c r="E56" s="249">
        <v>13</v>
      </c>
      <c r="F56" s="249">
        <v>5</v>
      </c>
      <c r="G56" s="249"/>
      <c r="H56" s="4">
        <f t="shared" si="15"/>
        <v>144363.50574712644</v>
      </c>
      <c r="J56" s="115">
        <v>15458</v>
      </c>
    </row>
    <row r="57" spans="2:10" x14ac:dyDescent="0.25">
      <c r="B57" s="2" t="s">
        <v>511</v>
      </c>
      <c r="C57" s="3">
        <f t="shared" ref="C57:C61" si="20">H57</f>
        <v>144372.8448275862</v>
      </c>
      <c r="D57" s="249">
        <f t="shared" ref="D57:D61" si="21">J57/$J$6</f>
        <v>2221.1206896551726</v>
      </c>
      <c r="E57" s="249">
        <v>13</v>
      </c>
      <c r="F57" s="249">
        <v>5</v>
      </c>
      <c r="G57" s="249"/>
      <c r="H57" s="4">
        <f t="shared" ref="H57:H61" si="22">D57*E57*F57+G57</f>
        <v>144372.8448275862</v>
      </c>
      <c r="J57" s="115">
        <v>15459</v>
      </c>
    </row>
    <row r="58" spans="2:10" x14ac:dyDescent="0.25">
      <c r="B58" s="2" t="s">
        <v>512</v>
      </c>
      <c r="C58" s="3">
        <f t="shared" si="20"/>
        <v>144382.18390804599</v>
      </c>
      <c r="D58" s="249">
        <f t="shared" si="21"/>
        <v>2221.2643678160921</v>
      </c>
      <c r="E58" s="249">
        <v>13</v>
      </c>
      <c r="F58" s="249">
        <v>5</v>
      </c>
      <c r="G58" s="249"/>
      <c r="H58" s="4">
        <f t="shared" si="22"/>
        <v>144382.18390804599</v>
      </c>
      <c r="J58" s="115">
        <v>15460</v>
      </c>
    </row>
    <row r="59" spans="2:10" x14ac:dyDescent="0.25">
      <c r="B59" s="2" t="s">
        <v>513</v>
      </c>
      <c r="C59" s="3">
        <f t="shared" si="20"/>
        <v>160365.52298850575</v>
      </c>
      <c r="D59" s="249">
        <f t="shared" si="21"/>
        <v>2221.4080459770116</v>
      </c>
      <c r="E59" s="249">
        <v>13</v>
      </c>
      <c r="F59" s="249">
        <v>5</v>
      </c>
      <c r="G59" s="249">
        <v>15974</v>
      </c>
      <c r="H59" s="4">
        <f t="shared" si="22"/>
        <v>160365.52298850575</v>
      </c>
      <c r="J59" s="115">
        <v>15461</v>
      </c>
    </row>
    <row r="60" spans="2:10" x14ac:dyDescent="0.25">
      <c r="B60" s="2" t="s">
        <v>514</v>
      </c>
      <c r="C60" s="3">
        <f t="shared" si="20"/>
        <v>0</v>
      </c>
      <c r="D60" s="249">
        <f t="shared" si="21"/>
        <v>2221.5517241379312</v>
      </c>
      <c r="E60" s="249">
        <v>13</v>
      </c>
      <c r="F60" s="249">
        <v>0</v>
      </c>
      <c r="G60" s="249"/>
      <c r="H60" s="4">
        <f t="shared" si="22"/>
        <v>0</v>
      </c>
      <c r="J60" s="115">
        <v>15462</v>
      </c>
    </row>
    <row r="61" spans="2:10" x14ac:dyDescent="0.25">
      <c r="B61" s="2" t="s">
        <v>515</v>
      </c>
      <c r="C61" s="3">
        <f t="shared" si="20"/>
        <v>0</v>
      </c>
      <c r="D61" s="249">
        <f t="shared" si="21"/>
        <v>2221.6954022988507</v>
      </c>
      <c r="E61" s="249">
        <v>13</v>
      </c>
      <c r="F61" s="249">
        <v>0</v>
      </c>
      <c r="G61" s="249"/>
      <c r="H61" s="4">
        <f t="shared" si="22"/>
        <v>0</v>
      </c>
      <c r="J61" s="115">
        <v>15463</v>
      </c>
    </row>
    <row r="62" spans="2:10" x14ac:dyDescent="0.25">
      <c r="B62" s="179" t="s">
        <v>171</v>
      </c>
      <c r="C62" s="181">
        <f>SUM(C34:C61)</f>
        <v>3749999.862068966</v>
      </c>
      <c r="D62" s="182">
        <f>SUM(D34:D61)</f>
        <v>61889.798850574705</v>
      </c>
      <c r="E62" s="182">
        <v>0</v>
      </c>
      <c r="F62" s="182"/>
      <c r="G62" s="182"/>
      <c r="H62" s="181">
        <f>SUM(H34:H61)</f>
        <v>3749999.862068966</v>
      </c>
    </row>
    <row r="63" spans="2:10" x14ac:dyDescent="0.25">
      <c r="B63" s="250" t="s">
        <v>366</v>
      </c>
    </row>
    <row r="65" spans="2:9" x14ac:dyDescent="0.25">
      <c r="B65" s="205" t="s">
        <v>367</v>
      </c>
      <c r="C65" s="205" t="s">
        <v>157</v>
      </c>
      <c r="D65" s="206">
        <v>2000000</v>
      </c>
      <c r="E65" s="205"/>
      <c r="F65" s="205"/>
      <c r="G65" s="205" t="s">
        <v>157</v>
      </c>
      <c r="H65" s="209">
        <f>H70</f>
        <v>799999.98800000013</v>
      </c>
    </row>
    <row r="66" spans="2:9" ht="25.5" x14ac:dyDescent="0.25">
      <c r="B66" s="179" t="s">
        <v>4</v>
      </c>
      <c r="C66" s="180" t="s">
        <v>157</v>
      </c>
      <c r="D66" s="180" t="s">
        <v>183</v>
      </c>
      <c r="E66" s="180" t="s">
        <v>13</v>
      </c>
      <c r="F66" s="180" t="s">
        <v>184</v>
      </c>
      <c r="G66" s="180" t="s">
        <v>93</v>
      </c>
      <c r="H66" s="179" t="s">
        <v>157</v>
      </c>
    </row>
    <row r="67" spans="2:9" x14ac:dyDescent="0.25">
      <c r="B67" s="1" t="s">
        <v>368</v>
      </c>
      <c r="C67" s="3">
        <f>H67</f>
        <v>574749.98600000003</v>
      </c>
      <c r="D67" s="110">
        <v>9573.6080999999995</v>
      </c>
      <c r="E67" s="110">
        <v>12</v>
      </c>
      <c r="F67" s="110">
        <v>5</v>
      </c>
      <c r="G67" s="110">
        <v>333.5</v>
      </c>
      <c r="H67" s="4">
        <f>(D67*E67*F67)+G67</f>
        <v>574749.98600000003</v>
      </c>
    </row>
    <row r="68" spans="2:9" x14ac:dyDescent="0.25">
      <c r="B68" s="2" t="s">
        <v>369</v>
      </c>
      <c r="C68" s="3">
        <f t="shared" ref="C68" si="23">H68</f>
        <v>225250.00200000004</v>
      </c>
      <c r="D68" s="110">
        <v>3754.1667000000002</v>
      </c>
      <c r="E68" s="110">
        <v>12</v>
      </c>
      <c r="F68" s="110">
        <v>5</v>
      </c>
      <c r="G68" s="110"/>
      <c r="H68" s="4">
        <f t="shared" ref="H68:H69" si="24">D68*E68*F68</f>
        <v>225250.00200000004</v>
      </c>
    </row>
    <row r="69" spans="2:9" x14ac:dyDescent="0.25">
      <c r="B69" s="2"/>
      <c r="C69" s="3"/>
      <c r="D69" s="110"/>
      <c r="E69" s="110"/>
      <c r="F69" s="110"/>
      <c r="G69" s="110"/>
      <c r="H69" s="4">
        <f t="shared" si="24"/>
        <v>0</v>
      </c>
    </row>
    <row r="70" spans="2:9" x14ac:dyDescent="0.25">
      <c r="B70" s="179" t="s">
        <v>171</v>
      </c>
      <c r="C70" s="181">
        <f>SUM(C67:C69)</f>
        <v>799999.98800000013</v>
      </c>
      <c r="D70" s="181">
        <f t="shared" ref="D70" si="25">SUM(D67:D69)</f>
        <v>13327.774799999999</v>
      </c>
      <c r="E70" s="181"/>
      <c r="F70" s="181"/>
      <c r="G70" s="181">
        <f t="shared" ref="G70:H70" si="26">SUM(G67:G69)</f>
        <v>333.5</v>
      </c>
      <c r="H70" s="181">
        <f t="shared" si="26"/>
        <v>799999.98800000013</v>
      </c>
    </row>
    <row r="73" spans="2:9" ht="26.25" x14ac:dyDescent="0.25">
      <c r="B73" s="205" t="s">
        <v>187</v>
      </c>
      <c r="G73" s="205" t="s">
        <v>157</v>
      </c>
      <c r="H73" s="208">
        <f>H74</f>
        <v>300000</v>
      </c>
    </row>
    <row r="74" spans="2:9" ht="26.25" x14ac:dyDescent="0.25">
      <c r="B74" s="205" t="s">
        <v>187</v>
      </c>
      <c r="C74" s="205" t="s">
        <v>157</v>
      </c>
      <c r="D74" s="206">
        <v>300000</v>
      </c>
      <c r="E74" s="205"/>
      <c r="F74" s="205"/>
      <c r="G74" s="205" t="s">
        <v>157</v>
      </c>
      <c r="H74" s="209">
        <f>H78</f>
        <v>300000</v>
      </c>
    </row>
    <row r="75" spans="2:9" ht="25.5" x14ac:dyDescent="0.25">
      <c r="B75" s="179" t="s">
        <v>4</v>
      </c>
      <c r="C75" s="180" t="s">
        <v>157</v>
      </c>
      <c r="D75" s="180" t="s">
        <v>183</v>
      </c>
      <c r="E75" s="180" t="s">
        <v>185</v>
      </c>
      <c r="F75" s="180" t="s">
        <v>184</v>
      </c>
      <c r="G75" s="180" t="s">
        <v>93</v>
      </c>
      <c r="H75" s="179" t="s">
        <v>157</v>
      </c>
    </row>
    <row r="76" spans="2:9" x14ac:dyDescent="0.25">
      <c r="B76" s="1" t="s">
        <v>370</v>
      </c>
      <c r="C76" s="3">
        <f>H76</f>
        <v>300000</v>
      </c>
      <c r="D76" s="110">
        <v>5000</v>
      </c>
      <c r="E76" s="110">
        <v>12</v>
      </c>
      <c r="F76" s="110">
        <v>5</v>
      </c>
      <c r="G76" s="110"/>
      <c r="H76" s="4">
        <f>D76*E76*F76</f>
        <v>300000</v>
      </c>
      <c r="I76" s="197">
        <f>D74/E76/F76</f>
        <v>5000</v>
      </c>
    </row>
    <row r="77" spans="2:9" x14ac:dyDescent="0.25">
      <c r="B77" s="2"/>
      <c r="C77" s="3"/>
      <c r="D77" s="110"/>
      <c r="E77" s="110"/>
      <c r="F77" s="110"/>
      <c r="G77" s="110"/>
      <c r="H77" s="4"/>
    </row>
    <row r="78" spans="2:9" x14ac:dyDescent="0.25">
      <c r="B78" s="179" t="s">
        <v>171</v>
      </c>
      <c r="C78" s="181">
        <f>SUM(C76:C77)</f>
        <v>300000</v>
      </c>
      <c r="D78" s="182">
        <f>SUM(D76:D77)</f>
        <v>5000</v>
      </c>
      <c r="E78" s="182">
        <v>0</v>
      </c>
      <c r="F78" s="182"/>
      <c r="G78" s="182"/>
      <c r="H78" s="181">
        <f>SUM(H76:H77)</f>
        <v>300000</v>
      </c>
      <c r="I78" s="6"/>
    </row>
    <row r="79" spans="2:9" x14ac:dyDescent="0.25">
      <c r="H79" s="18">
        <f>D74-H78</f>
        <v>0</v>
      </c>
    </row>
    <row r="81" spans="2:10" x14ac:dyDescent="0.25">
      <c r="B81" s="205" t="s">
        <v>371</v>
      </c>
      <c r="G81" s="205" t="s">
        <v>157</v>
      </c>
      <c r="H81" s="209">
        <f>H86</f>
        <v>0</v>
      </c>
    </row>
    <row r="82" spans="2:10" ht="25.5" x14ac:dyDescent="0.25">
      <c r="B82" s="179" t="s">
        <v>4</v>
      </c>
      <c r="C82" s="180" t="s">
        <v>157</v>
      </c>
      <c r="D82" s="180" t="s">
        <v>183</v>
      </c>
      <c r="E82" s="180" t="s">
        <v>13</v>
      </c>
      <c r="F82" s="180" t="s">
        <v>184</v>
      </c>
      <c r="G82" s="180" t="s">
        <v>93</v>
      </c>
      <c r="H82" s="179" t="s">
        <v>157</v>
      </c>
    </row>
    <row r="83" spans="2:10" x14ac:dyDescent="0.25">
      <c r="B83" s="1" t="s">
        <v>508</v>
      </c>
      <c r="C83" s="3">
        <v>0</v>
      </c>
      <c r="D83" s="110">
        <v>12500</v>
      </c>
      <c r="E83" s="110">
        <v>12</v>
      </c>
      <c r="F83" s="110">
        <v>0</v>
      </c>
      <c r="G83" s="110"/>
      <c r="H83" s="4">
        <f>D83*E83*F83</f>
        <v>0</v>
      </c>
      <c r="J83" t="e">
        <f>150000/E83/F83</f>
        <v>#DIV/0!</v>
      </c>
    </row>
    <row r="84" spans="2:10" x14ac:dyDescent="0.25">
      <c r="B84" s="2" t="s">
        <v>372</v>
      </c>
      <c r="C84" s="3">
        <v>0</v>
      </c>
      <c r="D84" s="110">
        <v>12500</v>
      </c>
      <c r="E84" s="110">
        <v>12</v>
      </c>
      <c r="F84" s="110">
        <v>0</v>
      </c>
      <c r="G84" s="110"/>
      <c r="H84" s="4">
        <f t="shared" ref="H84:H85" si="27">D84*E84*F84</f>
        <v>0</v>
      </c>
    </row>
    <row r="85" spans="2:10" x14ac:dyDescent="0.25">
      <c r="B85" s="2"/>
      <c r="C85" s="3"/>
      <c r="D85" s="110"/>
      <c r="E85" s="110"/>
      <c r="F85" s="110"/>
      <c r="G85" s="110"/>
      <c r="H85" s="4">
        <f t="shared" si="27"/>
        <v>0</v>
      </c>
    </row>
    <row r="86" spans="2:10" x14ac:dyDescent="0.25">
      <c r="B86" s="179" t="s">
        <v>171</v>
      </c>
      <c r="C86" s="181">
        <f>SUM(C83:C85)</f>
        <v>0</v>
      </c>
      <c r="D86" s="181">
        <f t="shared" ref="D86:H86" si="28">SUM(D83:D85)</f>
        <v>25000</v>
      </c>
      <c r="E86" s="181"/>
      <c r="F86" s="181"/>
      <c r="G86" s="181">
        <f t="shared" si="28"/>
        <v>0</v>
      </c>
      <c r="H86" s="181">
        <f t="shared" si="28"/>
        <v>0</v>
      </c>
    </row>
    <row r="89" spans="2:10" ht="26.25" x14ac:dyDescent="0.25">
      <c r="B89" s="205" t="s">
        <v>382</v>
      </c>
      <c r="G89" s="205" t="s">
        <v>157</v>
      </c>
      <c r="H89" s="209">
        <f>H90+H95</f>
        <v>2700000</v>
      </c>
    </row>
    <row r="90" spans="2:10" ht="26.25" x14ac:dyDescent="0.25">
      <c r="B90" s="205" t="s">
        <v>188</v>
      </c>
      <c r="G90" s="205" t="s">
        <v>157</v>
      </c>
      <c r="H90" s="209">
        <f>H92</f>
        <v>1800000</v>
      </c>
    </row>
    <row r="91" spans="2:10" x14ac:dyDescent="0.25">
      <c r="B91" s="179" t="s">
        <v>4</v>
      </c>
      <c r="C91" s="180" t="s">
        <v>157</v>
      </c>
      <c r="D91" s="180" t="s">
        <v>183</v>
      </c>
      <c r="E91" s="180" t="s">
        <v>13</v>
      </c>
      <c r="F91" s="180" t="s">
        <v>119</v>
      </c>
      <c r="G91" s="180" t="s">
        <v>93</v>
      </c>
      <c r="H91" s="179" t="s">
        <v>157</v>
      </c>
    </row>
    <row r="92" spans="2:10" ht="26.25" x14ac:dyDescent="0.25">
      <c r="B92" s="205" t="s">
        <v>189</v>
      </c>
      <c r="D92" s="33">
        <v>20000</v>
      </c>
      <c r="E92">
        <v>9</v>
      </c>
      <c r="F92">
        <v>10</v>
      </c>
      <c r="H92" s="6">
        <f>D92*E92*F92</f>
        <v>1800000</v>
      </c>
    </row>
    <row r="95" spans="2:10" ht="26.25" x14ac:dyDescent="0.25">
      <c r="B95" s="205" t="s">
        <v>373</v>
      </c>
      <c r="G95" s="205" t="s">
        <v>157</v>
      </c>
      <c r="H95" s="209">
        <f>H97</f>
        <v>900000</v>
      </c>
    </row>
    <row r="96" spans="2:10" x14ac:dyDescent="0.25">
      <c r="B96" s="179" t="s">
        <v>4</v>
      </c>
      <c r="C96" s="180" t="s">
        <v>157</v>
      </c>
      <c r="D96" s="180" t="s">
        <v>183</v>
      </c>
      <c r="E96" s="180" t="s">
        <v>13</v>
      </c>
      <c r="F96" s="180" t="s">
        <v>119</v>
      </c>
      <c r="G96" s="180" t="s">
        <v>93</v>
      </c>
      <c r="H96" s="179" t="s">
        <v>157</v>
      </c>
    </row>
    <row r="97" spans="2:11" ht="26.25" x14ac:dyDescent="0.25">
      <c r="B97" s="205" t="s">
        <v>374</v>
      </c>
      <c r="D97" s="33">
        <v>75000</v>
      </c>
      <c r="E97">
        <v>1</v>
      </c>
      <c r="F97">
        <v>12</v>
      </c>
      <c r="H97" s="6">
        <f>D97*E97*F97</f>
        <v>900000</v>
      </c>
      <c r="J97">
        <f>900000/E97/F97</f>
        <v>75000</v>
      </c>
    </row>
    <row r="99" spans="2:11" x14ac:dyDescent="0.25">
      <c r="B99" s="205" t="s">
        <v>380</v>
      </c>
      <c r="G99" s="205" t="s">
        <v>157</v>
      </c>
      <c r="H99" s="209">
        <f>H100+H108</f>
        <v>1599999.9552</v>
      </c>
    </row>
    <row r="100" spans="2:11" x14ac:dyDescent="0.25">
      <c r="B100" s="205" t="s">
        <v>190</v>
      </c>
      <c r="D100" s="17">
        <v>1100000</v>
      </c>
      <c r="G100" s="205" t="s">
        <v>157</v>
      </c>
      <c r="H100" s="209">
        <f>H105</f>
        <v>1099999.9752</v>
      </c>
      <c r="I100" s="18"/>
      <c r="J100" s="18"/>
      <c r="K100" s="197"/>
    </row>
    <row r="101" spans="2:11" x14ac:dyDescent="0.25">
      <c r="B101" s="179" t="s">
        <v>4</v>
      </c>
      <c r="C101" s="180" t="s">
        <v>157</v>
      </c>
      <c r="D101" s="180" t="s">
        <v>183</v>
      </c>
      <c r="E101" s="180" t="s">
        <v>13</v>
      </c>
      <c r="F101" s="180" t="s">
        <v>119</v>
      </c>
      <c r="G101" s="180" t="s">
        <v>93</v>
      </c>
      <c r="H101" s="179" t="s">
        <v>157</v>
      </c>
    </row>
    <row r="102" spans="2:11" ht="26.25" x14ac:dyDescent="0.25">
      <c r="B102" s="2" t="s">
        <v>191</v>
      </c>
      <c r="D102" s="201">
        <v>833.33330000000001</v>
      </c>
      <c r="E102" s="159">
        <v>31</v>
      </c>
      <c r="F102" s="159">
        <v>24</v>
      </c>
      <c r="G102" s="159"/>
      <c r="H102" s="210">
        <f>D102*E102*F102</f>
        <v>619999.97519999999</v>
      </c>
      <c r="I102" s="159"/>
    </row>
    <row r="103" spans="2:11" ht="26.25" x14ac:dyDescent="0.25">
      <c r="B103" s="2" t="s">
        <v>194</v>
      </c>
      <c r="D103" s="201">
        <v>2500</v>
      </c>
      <c r="E103" s="159">
        <v>8</v>
      </c>
      <c r="F103" s="159">
        <v>24</v>
      </c>
      <c r="G103" s="159"/>
      <c r="H103" s="210">
        <f>D103*E103*F103</f>
        <v>480000</v>
      </c>
      <c r="I103" s="59"/>
    </row>
    <row r="105" spans="2:11" x14ac:dyDescent="0.25">
      <c r="B105" s="179" t="s">
        <v>171</v>
      </c>
      <c r="C105" s="181">
        <f>SUM(C102:C104)</f>
        <v>0</v>
      </c>
      <c r="D105" s="181">
        <f t="shared" ref="D105" si="29">SUM(D102:D104)</f>
        <v>3333.3333000000002</v>
      </c>
      <c r="E105" s="181">
        <v>80</v>
      </c>
      <c r="F105" s="181"/>
      <c r="G105" s="181">
        <f t="shared" ref="G105" si="30">SUM(G102:G104)</f>
        <v>0</v>
      </c>
      <c r="H105" s="181">
        <f t="shared" ref="H105" si="31">SUM(H102:H104)</f>
        <v>1099999.9752</v>
      </c>
    </row>
    <row r="108" spans="2:11" x14ac:dyDescent="0.25">
      <c r="B108" s="205" t="s">
        <v>192</v>
      </c>
      <c r="D108" s="17">
        <v>900000</v>
      </c>
      <c r="G108" s="205" t="s">
        <v>157</v>
      </c>
      <c r="H108" s="209">
        <f>H113</f>
        <v>499999.98</v>
      </c>
    </row>
    <row r="109" spans="2:11" x14ac:dyDescent="0.25">
      <c r="B109" s="179" t="s">
        <v>4</v>
      </c>
      <c r="C109" s="180" t="s">
        <v>157</v>
      </c>
      <c r="D109" s="180" t="s">
        <v>183</v>
      </c>
      <c r="E109" s="180" t="s">
        <v>13</v>
      </c>
      <c r="F109" s="180" t="s">
        <v>119</v>
      </c>
      <c r="G109" s="180" t="s">
        <v>93</v>
      </c>
      <c r="H109" s="179" t="s">
        <v>157</v>
      </c>
    </row>
    <row r="110" spans="2:11" ht="26.25" x14ac:dyDescent="0.25">
      <c r="B110" s="2" t="s">
        <v>193</v>
      </c>
      <c r="D110" s="201">
        <v>833.33330000000001</v>
      </c>
      <c r="E110" s="159">
        <v>25</v>
      </c>
      <c r="F110" s="159">
        <v>24</v>
      </c>
      <c r="G110" s="159"/>
      <c r="H110" s="210">
        <f>D110*E110*F110</f>
        <v>499999.98</v>
      </c>
    </row>
    <row r="111" spans="2:11" x14ac:dyDescent="0.25">
      <c r="B111" s="2"/>
      <c r="D111" s="201"/>
      <c r="E111" s="159"/>
      <c r="F111" s="159"/>
      <c r="G111" s="159"/>
      <c r="H111" s="210"/>
    </row>
    <row r="113" spans="2:8" x14ac:dyDescent="0.25">
      <c r="B113" s="179" t="s">
        <v>171</v>
      </c>
      <c r="C113" s="181">
        <f>SUM(C110:C112)</f>
        <v>0</v>
      </c>
      <c r="D113" s="181">
        <f t="shared" ref="D113" si="32">SUM(D110:D112)</f>
        <v>833.33330000000001</v>
      </c>
      <c r="E113" s="181">
        <v>80</v>
      </c>
      <c r="F113" s="181"/>
      <c r="G113" s="181">
        <f t="shared" ref="G113" si="33">SUM(G110:G112)</f>
        <v>0</v>
      </c>
      <c r="H113" s="181">
        <f t="shared" ref="H113" si="34">SUM(H110:H112)</f>
        <v>499999.98</v>
      </c>
    </row>
    <row r="116" spans="2:8" x14ac:dyDescent="0.25">
      <c r="B116" s="205" t="s">
        <v>195</v>
      </c>
      <c r="G116" s="205" t="s">
        <v>157</v>
      </c>
      <c r="H116" s="209">
        <f>H117+H121+H127+H135</f>
        <v>1700000</v>
      </c>
    </row>
    <row r="117" spans="2:8" x14ac:dyDescent="0.25">
      <c r="B117" s="205" t="s">
        <v>483</v>
      </c>
      <c r="G117" s="205" t="s">
        <v>157</v>
      </c>
      <c r="H117" s="209">
        <f>H119</f>
        <v>250000</v>
      </c>
    </row>
    <row r="118" spans="2:8" x14ac:dyDescent="0.25">
      <c r="B118" s="179" t="s">
        <v>4</v>
      </c>
      <c r="C118" s="180" t="s">
        <v>157</v>
      </c>
      <c r="D118" s="180" t="s">
        <v>183</v>
      </c>
      <c r="E118" s="180" t="s">
        <v>13</v>
      </c>
      <c r="F118" s="180"/>
      <c r="G118" s="180" t="s">
        <v>93</v>
      </c>
      <c r="H118" s="179" t="s">
        <v>157</v>
      </c>
    </row>
    <row r="119" spans="2:8" x14ac:dyDescent="0.25">
      <c r="B119" s="205" t="s">
        <v>196</v>
      </c>
      <c r="D119" s="33">
        <v>50000</v>
      </c>
      <c r="E119">
        <v>5</v>
      </c>
      <c r="F119">
        <v>1</v>
      </c>
      <c r="H119" s="6">
        <f>D119*E119*F119</f>
        <v>250000</v>
      </c>
    </row>
    <row r="120" spans="2:8" x14ac:dyDescent="0.25">
      <c r="B120" s="205"/>
      <c r="D120" s="33"/>
      <c r="H120" s="6"/>
    </row>
    <row r="121" spans="2:8" x14ac:dyDescent="0.25">
      <c r="B121" s="205" t="s">
        <v>509</v>
      </c>
      <c r="G121" s="205" t="s">
        <v>157</v>
      </c>
      <c r="H121" s="209">
        <f>H123</f>
        <v>250000</v>
      </c>
    </row>
    <row r="122" spans="2:8" x14ac:dyDescent="0.25">
      <c r="B122" s="179" t="s">
        <v>4</v>
      </c>
      <c r="C122" s="180" t="s">
        <v>157</v>
      </c>
      <c r="D122" s="180" t="s">
        <v>183</v>
      </c>
      <c r="E122" s="180" t="s">
        <v>13</v>
      </c>
      <c r="F122" s="180"/>
      <c r="G122" s="180" t="s">
        <v>93</v>
      </c>
      <c r="H122" s="179" t="s">
        <v>157</v>
      </c>
    </row>
    <row r="123" spans="2:8" x14ac:dyDescent="0.25">
      <c r="B123" s="205" t="s">
        <v>196</v>
      </c>
      <c r="D123" s="33">
        <v>50000</v>
      </c>
      <c r="E123">
        <v>5</v>
      </c>
      <c r="F123">
        <v>1</v>
      </c>
      <c r="H123" s="6">
        <f>D123*E123*F123</f>
        <v>250000</v>
      </c>
    </row>
    <row r="124" spans="2:8" x14ac:dyDescent="0.25">
      <c r="B124" s="205"/>
      <c r="D124" s="33"/>
      <c r="H124" s="6"/>
    </row>
    <row r="127" spans="2:8" x14ac:dyDescent="0.25">
      <c r="B127" s="205" t="s">
        <v>197</v>
      </c>
      <c r="D127" s="17">
        <v>300000</v>
      </c>
      <c r="G127" s="205" t="s">
        <v>157</v>
      </c>
      <c r="H127" s="209">
        <f>H132</f>
        <v>300000</v>
      </c>
    </row>
    <row r="128" spans="2:8" x14ac:dyDescent="0.25">
      <c r="B128" s="179" t="s">
        <v>4</v>
      </c>
      <c r="C128" s="180" t="s">
        <v>157</v>
      </c>
      <c r="D128" s="180" t="s">
        <v>183</v>
      </c>
      <c r="E128" s="180" t="s">
        <v>13</v>
      </c>
      <c r="F128" s="180" t="s">
        <v>119</v>
      </c>
      <c r="G128" s="180" t="s">
        <v>93</v>
      </c>
      <c r="H128" s="179" t="s">
        <v>157</v>
      </c>
    </row>
    <row r="129" spans="2:8" x14ac:dyDescent="0.25">
      <c r="B129" s="2" t="s">
        <v>198</v>
      </c>
      <c r="D129" s="201">
        <v>12200</v>
      </c>
      <c r="E129" s="159">
        <v>3</v>
      </c>
      <c r="F129" s="159">
        <v>5</v>
      </c>
      <c r="G129" s="159"/>
      <c r="H129" s="210">
        <f>D129*E129*F129</f>
        <v>183000</v>
      </c>
    </row>
    <row r="130" spans="2:8" x14ac:dyDescent="0.25">
      <c r="B130" s="2" t="s">
        <v>199</v>
      </c>
      <c r="D130" s="201">
        <v>9000</v>
      </c>
      <c r="E130" s="159">
        <v>1</v>
      </c>
      <c r="F130" s="159">
        <v>4</v>
      </c>
      <c r="G130" s="159"/>
      <c r="H130" s="210">
        <f>D130*E130*F130</f>
        <v>36000</v>
      </c>
    </row>
    <row r="131" spans="2:8" ht="26.25" x14ac:dyDescent="0.25">
      <c r="B131" s="2" t="s">
        <v>200</v>
      </c>
      <c r="D131" s="201">
        <v>9000</v>
      </c>
      <c r="E131" s="159">
        <v>3</v>
      </c>
      <c r="F131" s="159">
        <v>3</v>
      </c>
      <c r="G131" s="159"/>
      <c r="H131" s="210">
        <f>D131*E131*F131</f>
        <v>81000</v>
      </c>
    </row>
    <row r="132" spans="2:8" x14ac:dyDescent="0.25">
      <c r="B132" s="179" t="s">
        <v>171</v>
      </c>
      <c r="C132" s="181">
        <f>SUM(C129:C131)</f>
        <v>0</v>
      </c>
      <c r="D132" s="181">
        <f t="shared" ref="D132" si="35">SUM(D129:D131)</f>
        <v>30200</v>
      </c>
      <c r="E132" s="181">
        <v>80</v>
      </c>
      <c r="F132" s="181"/>
      <c r="G132" s="181">
        <f t="shared" ref="G132" si="36">SUM(G129:G131)</f>
        <v>0</v>
      </c>
      <c r="H132" s="181">
        <f t="shared" ref="H132" si="37">SUM(H129:H131)</f>
        <v>300000</v>
      </c>
    </row>
    <row r="135" spans="2:8" x14ac:dyDescent="0.25">
      <c r="B135" s="205" t="s">
        <v>201</v>
      </c>
      <c r="D135" s="17">
        <v>900000</v>
      </c>
      <c r="G135" s="205" t="s">
        <v>157</v>
      </c>
      <c r="H135" s="209">
        <f>H140</f>
        <v>900000</v>
      </c>
    </row>
    <row r="136" spans="2:8" x14ac:dyDescent="0.25">
      <c r="B136" s="179" t="s">
        <v>4</v>
      </c>
      <c r="C136" s="180" t="s">
        <v>157</v>
      </c>
      <c r="D136" s="180" t="s">
        <v>183</v>
      </c>
      <c r="E136" s="180" t="s">
        <v>13</v>
      </c>
      <c r="F136" s="180" t="s">
        <v>119</v>
      </c>
      <c r="G136" s="180" t="s">
        <v>93</v>
      </c>
      <c r="H136" s="179" t="s">
        <v>157</v>
      </c>
    </row>
    <row r="137" spans="2:8" ht="26.25" x14ac:dyDescent="0.25">
      <c r="B137" s="2" t="s">
        <v>203</v>
      </c>
      <c r="D137" s="201">
        <v>34000</v>
      </c>
      <c r="E137" s="159">
        <v>2</v>
      </c>
      <c r="F137" s="159">
        <v>9</v>
      </c>
      <c r="G137" s="159"/>
      <c r="H137" s="210">
        <f>D137*E137*F137</f>
        <v>612000</v>
      </c>
    </row>
    <row r="138" spans="2:8" x14ac:dyDescent="0.25">
      <c r="B138" s="2" t="s">
        <v>202</v>
      </c>
      <c r="D138" s="201">
        <v>12000</v>
      </c>
      <c r="E138" s="159">
        <v>1</v>
      </c>
      <c r="F138" s="159">
        <v>24</v>
      </c>
      <c r="G138" s="159"/>
      <c r="H138" s="210">
        <f>D138*E138*F138</f>
        <v>288000</v>
      </c>
    </row>
    <row r="140" spans="2:8" x14ac:dyDescent="0.25">
      <c r="B140" s="179" t="s">
        <v>171</v>
      </c>
      <c r="C140" s="181">
        <f>SUM(C137:C139)</f>
        <v>0</v>
      </c>
      <c r="D140" s="181">
        <f t="shared" ref="D140" si="38">SUM(D137:D139)</f>
        <v>46000</v>
      </c>
      <c r="E140" s="181">
        <v>80</v>
      </c>
      <c r="F140" s="181"/>
      <c r="G140" s="181">
        <f t="shared" ref="G140" si="39">SUM(G137:G139)</f>
        <v>0</v>
      </c>
      <c r="H140" s="181">
        <f t="shared" ref="H140" si="40">SUM(H137:H139)</f>
        <v>900000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780EE-DF7B-4DBE-870A-F453BF84D1DA}">
  <sheetPr>
    <tabColor theme="4"/>
  </sheetPr>
  <dimension ref="B2:K45"/>
  <sheetViews>
    <sheetView zoomScale="112" zoomScaleNormal="112" workbookViewId="0">
      <selection activeCell="C45" sqref="C45:G45"/>
    </sheetView>
  </sheetViews>
  <sheetFormatPr defaultRowHeight="12.75" x14ac:dyDescent="0.2"/>
  <cols>
    <col min="1" max="1" width="9.140625" style="159"/>
    <col min="2" max="2" width="28.42578125" style="159" customWidth="1"/>
    <col min="3" max="3" width="41.140625" style="159" customWidth="1"/>
    <col min="4" max="4" width="12.42578125" style="159" bestFit="1" customWidth="1"/>
    <col min="5" max="5" width="11.140625" style="159" customWidth="1"/>
    <col min="6" max="6" width="10" style="159" customWidth="1"/>
    <col min="7" max="7" width="13.5703125" style="159" customWidth="1"/>
    <col min="8" max="9" width="9.140625" style="159"/>
    <col min="10" max="11" width="12" style="159" customWidth="1"/>
    <col min="12" max="16384" width="9.140625" style="159"/>
  </cols>
  <sheetData>
    <row r="2" spans="2:7" ht="15.75" x14ac:dyDescent="0.25">
      <c r="B2" s="192" t="s">
        <v>85</v>
      </c>
    </row>
    <row r="3" spans="2:7" x14ac:dyDescent="0.2">
      <c r="B3" s="425" t="s">
        <v>10</v>
      </c>
      <c r="C3" s="425"/>
      <c r="D3" s="162" t="s">
        <v>11</v>
      </c>
      <c r="E3" s="7" t="s">
        <v>62</v>
      </c>
      <c r="F3" s="7" t="s">
        <v>13</v>
      </c>
      <c r="G3" s="7" t="s">
        <v>68</v>
      </c>
    </row>
    <row r="4" spans="2:7" x14ac:dyDescent="0.2">
      <c r="B4" s="426" t="s">
        <v>65</v>
      </c>
      <c r="C4" s="163" t="s">
        <v>63</v>
      </c>
      <c r="D4" s="164" t="s">
        <v>14</v>
      </c>
      <c r="E4" s="165">
        <v>970</v>
      </c>
      <c r="F4" s="165">
        <v>25.92</v>
      </c>
      <c r="G4" s="166">
        <f>E4*F4</f>
        <v>25142.400000000001</v>
      </c>
    </row>
    <row r="5" spans="2:7" x14ac:dyDescent="0.2">
      <c r="B5" s="426"/>
      <c r="C5" s="163" t="s">
        <v>64</v>
      </c>
      <c r="D5" s="164" t="s">
        <v>15</v>
      </c>
      <c r="E5" s="165">
        <v>970</v>
      </c>
      <c r="F5" s="165">
        <v>25.92</v>
      </c>
      <c r="G5" s="166">
        <f>E5*F5</f>
        <v>25142.400000000001</v>
      </c>
    </row>
    <row r="6" spans="2:7" x14ac:dyDescent="0.2">
      <c r="B6" s="426"/>
      <c r="C6" s="163" t="s">
        <v>66</v>
      </c>
      <c r="D6" s="164" t="s">
        <v>15</v>
      </c>
      <c r="E6" s="165">
        <v>970</v>
      </c>
      <c r="F6" s="165">
        <v>25.92</v>
      </c>
      <c r="G6" s="166">
        <f>E6*F6</f>
        <v>25142.400000000001</v>
      </c>
    </row>
    <row r="7" spans="2:7" x14ac:dyDescent="0.2">
      <c r="B7" s="426"/>
      <c r="C7" s="163" t="s">
        <v>67</v>
      </c>
      <c r="D7" s="164" t="s">
        <v>15</v>
      </c>
      <c r="E7" s="165">
        <v>808.41</v>
      </c>
      <c r="F7" s="165">
        <v>100</v>
      </c>
      <c r="G7" s="166">
        <f>E7*F7</f>
        <v>80841</v>
      </c>
    </row>
    <row r="8" spans="2:7" x14ac:dyDescent="0.2">
      <c r="B8" s="167"/>
      <c r="C8" s="168" t="s">
        <v>68</v>
      </c>
      <c r="D8" s="163"/>
      <c r="E8" s="165"/>
      <c r="F8" s="165"/>
      <c r="G8" s="169">
        <f>SUM(G4:G7)</f>
        <v>156268.20000000001</v>
      </c>
    </row>
    <row r="9" spans="2:7" ht="29.25" customHeight="1" x14ac:dyDescent="0.2">
      <c r="B9" s="170" t="s">
        <v>69</v>
      </c>
      <c r="C9" s="163" t="s">
        <v>70</v>
      </c>
      <c r="D9" s="164" t="s">
        <v>15</v>
      </c>
      <c r="E9" s="165">
        <f>8284.02/6.86</f>
        <v>1207.5830903790088</v>
      </c>
      <c r="F9" s="165">
        <v>169</v>
      </c>
      <c r="G9" s="166">
        <f>E9*F9</f>
        <v>204081.54227405248</v>
      </c>
    </row>
    <row r="10" spans="2:7" x14ac:dyDescent="0.2">
      <c r="B10" s="171"/>
      <c r="C10" s="168" t="s">
        <v>68</v>
      </c>
      <c r="D10" s="163"/>
      <c r="E10" s="165"/>
      <c r="F10" s="165"/>
      <c r="G10" s="169">
        <f>G9</f>
        <v>204081.54227405248</v>
      </c>
    </row>
    <row r="11" spans="2:7" ht="25.5" x14ac:dyDescent="0.2">
      <c r="B11" s="171" t="s">
        <v>71</v>
      </c>
      <c r="C11" s="168" t="s">
        <v>68</v>
      </c>
      <c r="D11" s="163"/>
      <c r="E11" s="165"/>
      <c r="F11" s="165"/>
      <c r="G11" s="169">
        <f>G10+G8</f>
        <v>360349.74227405246</v>
      </c>
    </row>
    <row r="12" spans="2:7" x14ac:dyDescent="0.2">
      <c r="B12" s="171"/>
      <c r="C12" s="163"/>
      <c r="D12" s="163"/>
      <c r="E12" s="165"/>
      <c r="F12" s="165"/>
      <c r="G12" s="172"/>
    </row>
    <row r="13" spans="2:7" x14ac:dyDescent="0.2">
      <c r="B13" s="175"/>
      <c r="C13" s="176"/>
      <c r="D13" s="176"/>
      <c r="E13" s="177"/>
      <c r="F13" s="177"/>
      <c r="G13" s="178"/>
    </row>
    <row r="14" spans="2:7" x14ac:dyDescent="0.2">
      <c r="B14" s="160" t="s">
        <v>75</v>
      </c>
    </row>
    <row r="15" spans="2:7" x14ac:dyDescent="0.2">
      <c r="B15" s="425" t="s">
        <v>10</v>
      </c>
      <c r="C15" s="425"/>
      <c r="D15" s="162" t="s">
        <v>11</v>
      </c>
      <c r="E15" s="7" t="s">
        <v>62</v>
      </c>
      <c r="F15" s="7" t="s">
        <v>13</v>
      </c>
      <c r="G15" s="7" t="s">
        <v>68</v>
      </c>
    </row>
    <row r="16" spans="2:7" x14ac:dyDescent="0.2">
      <c r="B16" s="426" t="s">
        <v>86</v>
      </c>
      <c r="C16" s="163" t="s">
        <v>87</v>
      </c>
      <c r="D16" s="164" t="s">
        <v>14</v>
      </c>
      <c r="E16" s="165">
        <v>1198.74</v>
      </c>
      <c r="F16" s="165">
        <v>159</v>
      </c>
      <c r="G16" s="166">
        <f>E16*F16</f>
        <v>190599.66</v>
      </c>
    </row>
    <row r="17" spans="2:7" x14ac:dyDescent="0.2">
      <c r="B17" s="426"/>
      <c r="C17" s="163" t="s">
        <v>88</v>
      </c>
      <c r="D17" s="164" t="s">
        <v>15</v>
      </c>
      <c r="E17" s="165">
        <v>1198.557</v>
      </c>
      <c r="F17" s="165">
        <v>277</v>
      </c>
      <c r="G17" s="166">
        <f>E17*F17</f>
        <v>332000.28899999999</v>
      </c>
    </row>
    <row r="18" spans="2:7" x14ac:dyDescent="0.2">
      <c r="B18" s="426"/>
      <c r="C18" s="163" t="s">
        <v>89</v>
      </c>
      <c r="D18" s="164" t="s">
        <v>15</v>
      </c>
      <c r="E18" s="165">
        <v>1200</v>
      </c>
      <c r="F18" s="165">
        <v>57</v>
      </c>
      <c r="G18" s="166">
        <f>E18*F18</f>
        <v>68400</v>
      </c>
    </row>
    <row r="19" spans="2:7" x14ac:dyDescent="0.2">
      <c r="B19" s="426"/>
      <c r="C19" s="163" t="s">
        <v>90</v>
      </c>
      <c r="D19" s="164" t="s">
        <v>15</v>
      </c>
      <c r="E19" s="165">
        <v>45000</v>
      </c>
      <c r="F19" s="165">
        <v>1</v>
      </c>
      <c r="G19" s="166">
        <f>E19*F19</f>
        <v>45000</v>
      </c>
    </row>
    <row r="20" spans="2:7" x14ac:dyDescent="0.2">
      <c r="B20" s="167"/>
      <c r="C20" s="168" t="s">
        <v>68</v>
      </c>
      <c r="D20" s="163"/>
      <c r="E20" s="165"/>
      <c r="F20" s="165"/>
      <c r="G20" s="169">
        <f>SUM(G16:G19)</f>
        <v>635999.94900000002</v>
      </c>
    </row>
    <row r="23" spans="2:7" x14ac:dyDescent="0.2">
      <c r="B23" s="160" t="s">
        <v>76</v>
      </c>
    </row>
    <row r="24" spans="2:7" ht="25.5" x14ac:dyDescent="0.2">
      <c r="B24" s="425" t="s">
        <v>10</v>
      </c>
      <c r="C24" s="425"/>
      <c r="D24" s="162" t="s">
        <v>11</v>
      </c>
      <c r="E24" s="173" t="s">
        <v>79</v>
      </c>
      <c r="F24" s="7" t="s">
        <v>13</v>
      </c>
      <c r="G24" s="7" t="s">
        <v>68</v>
      </c>
    </row>
    <row r="25" spans="2:7" x14ac:dyDescent="0.2">
      <c r="B25" s="170" t="s">
        <v>76</v>
      </c>
      <c r="C25" s="163" t="s">
        <v>84</v>
      </c>
      <c r="D25" s="164" t="s">
        <v>83</v>
      </c>
      <c r="E25" s="165">
        <v>1000000</v>
      </c>
      <c r="F25" s="165">
        <v>1</v>
      </c>
      <c r="G25" s="166">
        <f>E25*F25</f>
        <v>1000000</v>
      </c>
    </row>
    <row r="26" spans="2:7" x14ac:dyDescent="0.2">
      <c r="B26" s="171"/>
      <c r="C26" s="168" t="s">
        <v>68</v>
      </c>
      <c r="D26" s="163"/>
      <c r="E26" s="165"/>
      <c r="F26" s="165"/>
      <c r="G26" s="169">
        <f>G25</f>
        <v>1000000</v>
      </c>
    </row>
    <row r="30" spans="2:7" ht="10.5" customHeight="1" x14ac:dyDescent="0.2">
      <c r="B30" s="159" t="s">
        <v>77</v>
      </c>
    </row>
    <row r="31" spans="2:7" ht="25.5" customHeight="1" x14ac:dyDescent="0.2">
      <c r="B31" s="425" t="s">
        <v>10</v>
      </c>
      <c r="C31" s="425"/>
      <c r="D31" s="162" t="s">
        <v>11</v>
      </c>
      <c r="E31" s="173" t="s">
        <v>79</v>
      </c>
      <c r="F31" s="7" t="s">
        <v>13</v>
      </c>
      <c r="G31" s="7" t="s">
        <v>68</v>
      </c>
    </row>
    <row r="32" spans="2:7" ht="25.5" x14ac:dyDescent="0.2">
      <c r="B32" s="426" t="s">
        <v>78</v>
      </c>
      <c r="C32" s="174" t="s">
        <v>82</v>
      </c>
      <c r="D32" s="164" t="s">
        <v>11</v>
      </c>
      <c r="E32" s="165">
        <f>10000/6.86</f>
        <v>1457.7259475218659</v>
      </c>
      <c r="F32" s="165">
        <v>25</v>
      </c>
      <c r="G32" s="166">
        <f>E32*F32</f>
        <v>36443.148688046647</v>
      </c>
    </row>
    <row r="33" spans="2:11" x14ac:dyDescent="0.2">
      <c r="B33" s="426"/>
      <c r="C33" s="163" t="s">
        <v>80</v>
      </c>
      <c r="D33" s="164" t="s">
        <v>83</v>
      </c>
      <c r="E33" s="165">
        <v>61808</v>
      </c>
      <c r="F33" s="165">
        <v>1</v>
      </c>
      <c r="G33" s="166">
        <f>E33*F33</f>
        <v>61808</v>
      </c>
    </row>
    <row r="34" spans="2:11" x14ac:dyDescent="0.2">
      <c r="B34" s="426"/>
      <c r="C34" s="163" t="s">
        <v>81</v>
      </c>
      <c r="D34" s="164" t="s">
        <v>83</v>
      </c>
      <c r="E34" s="165">
        <v>94781</v>
      </c>
      <c r="F34" s="165">
        <v>1</v>
      </c>
      <c r="G34" s="166">
        <f>E34*F34</f>
        <v>94781</v>
      </c>
    </row>
    <row r="35" spans="2:11" x14ac:dyDescent="0.2">
      <c r="B35" s="426"/>
      <c r="C35" s="163"/>
      <c r="D35" s="164"/>
      <c r="E35" s="165"/>
      <c r="F35" s="165"/>
      <c r="G35" s="166">
        <f>E35*F35</f>
        <v>0</v>
      </c>
    </row>
    <row r="36" spans="2:11" x14ac:dyDescent="0.2">
      <c r="B36" s="167"/>
      <c r="C36" s="168" t="s">
        <v>68</v>
      </c>
      <c r="D36" s="163"/>
      <c r="E36" s="165"/>
      <c r="F36" s="165"/>
      <c r="G36" s="169">
        <f>SUM(G32:G35)</f>
        <v>193032.14868804664</v>
      </c>
    </row>
    <row r="38" spans="2:11" x14ac:dyDescent="0.2">
      <c r="B38" s="160" t="s">
        <v>76</v>
      </c>
    </row>
    <row r="39" spans="2:11" ht="25.5" x14ac:dyDescent="0.2">
      <c r="B39" s="425" t="s">
        <v>10</v>
      </c>
      <c r="C39" s="425"/>
      <c r="D39" s="162" t="s">
        <v>11</v>
      </c>
      <c r="E39" s="173" t="s">
        <v>79</v>
      </c>
      <c r="F39" s="161" t="s">
        <v>13</v>
      </c>
      <c r="G39" s="161" t="s">
        <v>68</v>
      </c>
    </row>
    <row r="40" spans="2:11" x14ac:dyDescent="0.2">
      <c r="B40" s="170" t="s">
        <v>76</v>
      </c>
      <c r="C40" s="163" t="s">
        <v>121</v>
      </c>
      <c r="D40" s="164" t="s">
        <v>11</v>
      </c>
      <c r="E40" s="165">
        <v>109330</v>
      </c>
      <c r="F40" s="165">
        <v>1</v>
      </c>
      <c r="G40" s="166">
        <f>E40*F40</f>
        <v>109330</v>
      </c>
      <c r="J40" s="66" t="s">
        <v>117</v>
      </c>
    </row>
    <row r="41" spans="2:11" x14ac:dyDescent="0.2">
      <c r="B41" s="171"/>
      <c r="C41" s="168" t="s">
        <v>68</v>
      </c>
      <c r="D41" s="163"/>
      <c r="E41" s="165"/>
      <c r="F41" s="165"/>
      <c r="G41" s="169">
        <f>G40</f>
        <v>109330</v>
      </c>
      <c r="J41" s="187" t="s">
        <v>116</v>
      </c>
      <c r="K41" s="159">
        <v>60</v>
      </c>
    </row>
    <row r="42" spans="2:11" x14ac:dyDescent="0.2">
      <c r="J42" s="187" t="s">
        <v>120</v>
      </c>
      <c r="K42" s="159">
        <v>1500</v>
      </c>
    </row>
    <row r="43" spans="2:11" x14ac:dyDescent="0.2">
      <c r="C43" s="66" t="s">
        <v>91</v>
      </c>
      <c r="G43" s="5">
        <f>G36+G26+G20+G11+G41</f>
        <v>2298711.8399620992</v>
      </c>
      <c r="J43" s="187" t="s">
        <v>118</v>
      </c>
      <c r="K43" s="159">
        <v>60</v>
      </c>
    </row>
    <row r="44" spans="2:11" x14ac:dyDescent="0.2">
      <c r="J44" s="187" t="s">
        <v>119</v>
      </c>
      <c r="K44" s="159">
        <v>24</v>
      </c>
    </row>
    <row r="45" spans="2:11" ht="15.75" x14ac:dyDescent="0.25">
      <c r="C45" s="189" t="s">
        <v>122</v>
      </c>
      <c r="D45" s="190"/>
      <c r="E45" s="190"/>
      <c r="F45" s="190"/>
      <c r="G45" s="191">
        <f>G41+G36+G26</f>
        <v>1302362.1486880467</v>
      </c>
      <c r="K45" s="188">
        <f>K41*K42*K44</f>
        <v>2160000</v>
      </c>
    </row>
  </sheetData>
  <mergeCells count="8">
    <mergeCell ref="B39:C39"/>
    <mergeCell ref="B3:C3"/>
    <mergeCell ref="B4:B7"/>
    <mergeCell ref="B31:C31"/>
    <mergeCell ref="B32:B35"/>
    <mergeCell ref="B24:C24"/>
    <mergeCell ref="B15:C15"/>
    <mergeCell ref="B16:B19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B02B0-3487-44BE-8A6B-6E9EC929C125}">
  <sheetPr>
    <tabColor theme="5" tint="0.39997558519241921"/>
  </sheetPr>
  <dimension ref="B2:M41"/>
  <sheetViews>
    <sheetView topLeftCell="A13" zoomScale="115" zoomScaleNormal="115" workbookViewId="0">
      <selection activeCell="B36" sqref="B36"/>
    </sheetView>
  </sheetViews>
  <sheetFormatPr defaultRowHeight="12.75" x14ac:dyDescent="0.2"/>
  <cols>
    <col min="1" max="1" width="9.140625" style="159"/>
    <col min="2" max="2" width="28.42578125" style="159" customWidth="1"/>
    <col min="3" max="3" width="41.140625" style="159" customWidth="1"/>
    <col min="4" max="4" width="12.42578125" style="159" bestFit="1" customWidth="1"/>
    <col min="5" max="5" width="11.140625" style="159" customWidth="1"/>
    <col min="6" max="6" width="10" style="159" customWidth="1"/>
    <col min="7" max="7" width="13.5703125" style="159" customWidth="1"/>
    <col min="8" max="16384" width="9.140625" style="159"/>
  </cols>
  <sheetData>
    <row r="2" spans="2:7" x14ac:dyDescent="0.2">
      <c r="B2" s="160" t="s">
        <v>123</v>
      </c>
    </row>
    <row r="3" spans="2:7" x14ac:dyDescent="0.2">
      <c r="B3" s="425"/>
      <c r="C3" s="425"/>
      <c r="D3" s="162"/>
      <c r="E3" s="161"/>
      <c r="F3" s="161"/>
      <c r="G3" s="161"/>
    </row>
    <row r="4" spans="2:7" x14ac:dyDescent="0.2">
      <c r="B4" s="426"/>
      <c r="C4" s="163"/>
      <c r="D4" s="164"/>
      <c r="E4" s="165"/>
      <c r="F4" s="165"/>
      <c r="G4" s="166"/>
    </row>
    <row r="5" spans="2:7" x14ac:dyDescent="0.2">
      <c r="B5" s="426"/>
      <c r="C5" s="163"/>
      <c r="D5" s="164"/>
      <c r="E5" s="165"/>
      <c r="F5" s="165"/>
      <c r="G5" s="166"/>
    </row>
    <row r="6" spans="2:7" x14ac:dyDescent="0.2">
      <c r="B6" s="426"/>
      <c r="C6" s="163"/>
      <c r="D6" s="164"/>
      <c r="E6" s="165"/>
      <c r="F6" s="165"/>
      <c r="G6" s="166"/>
    </row>
    <row r="7" spans="2:7" x14ac:dyDescent="0.2">
      <c r="B7" s="426"/>
      <c r="C7" s="163"/>
      <c r="D7" s="164"/>
      <c r="E7" s="165"/>
      <c r="F7" s="165"/>
      <c r="G7" s="166"/>
    </row>
    <row r="8" spans="2:7" x14ac:dyDescent="0.2">
      <c r="B8" s="167"/>
      <c r="C8" s="168"/>
      <c r="D8" s="163"/>
      <c r="E8" s="165"/>
      <c r="F8" s="165"/>
      <c r="G8" s="169"/>
    </row>
    <row r="9" spans="2:7" ht="29.25" customHeight="1" x14ac:dyDescent="0.2">
      <c r="B9" s="170"/>
      <c r="C9" s="163"/>
      <c r="D9" s="164"/>
      <c r="E9" s="165"/>
      <c r="F9" s="165"/>
      <c r="G9" s="166"/>
    </row>
    <row r="10" spans="2:7" x14ac:dyDescent="0.2">
      <c r="B10" s="171"/>
      <c r="C10" s="168"/>
      <c r="D10" s="163"/>
      <c r="E10" s="165"/>
      <c r="F10" s="165"/>
      <c r="G10" s="169"/>
    </row>
    <row r="11" spans="2:7" x14ac:dyDescent="0.2">
      <c r="B11" s="171"/>
      <c r="C11" s="168"/>
      <c r="D11" s="163"/>
      <c r="E11" s="165"/>
      <c r="F11" s="165"/>
      <c r="G11" s="169"/>
    </row>
    <row r="12" spans="2:7" x14ac:dyDescent="0.2">
      <c r="B12" s="171"/>
      <c r="C12" s="163"/>
      <c r="D12" s="163"/>
      <c r="E12" s="165"/>
      <c r="F12" s="165"/>
      <c r="G12" s="172"/>
    </row>
    <row r="13" spans="2:7" x14ac:dyDescent="0.2">
      <c r="B13" s="175"/>
      <c r="C13" s="176"/>
      <c r="D13" s="176"/>
      <c r="E13" s="177"/>
      <c r="F13" s="177"/>
      <c r="G13" s="178"/>
    </row>
    <row r="14" spans="2:7" x14ac:dyDescent="0.2">
      <c r="B14" s="160"/>
    </row>
    <row r="15" spans="2:7" x14ac:dyDescent="0.2">
      <c r="B15" s="425"/>
      <c r="C15" s="425"/>
      <c r="D15" s="162"/>
      <c r="E15" s="161"/>
      <c r="F15" s="161"/>
      <c r="G15" s="161"/>
    </row>
    <row r="16" spans="2:7" x14ac:dyDescent="0.2">
      <c r="B16" s="426"/>
      <c r="C16" s="163"/>
      <c r="D16" s="164"/>
      <c r="E16" s="165"/>
      <c r="F16" s="165"/>
      <c r="G16" s="166"/>
    </row>
    <row r="17" spans="2:13" x14ac:dyDescent="0.2">
      <c r="B17" s="426"/>
      <c r="C17" s="163"/>
      <c r="D17" s="164"/>
      <c r="E17" s="165"/>
      <c r="F17" s="165"/>
      <c r="G17" s="166"/>
    </row>
    <row r="18" spans="2:13" x14ac:dyDescent="0.2">
      <c r="B18" s="426"/>
      <c r="C18" s="163"/>
      <c r="D18" s="164"/>
      <c r="E18" s="165"/>
      <c r="F18" s="165"/>
      <c r="G18" s="166"/>
    </row>
    <row r="19" spans="2:13" x14ac:dyDescent="0.2">
      <c r="B19" s="426"/>
      <c r="C19" s="163"/>
      <c r="D19" s="164"/>
      <c r="E19" s="165"/>
      <c r="F19" s="165"/>
      <c r="G19" s="166"/>
    </row>
    <row r="20" spans="2:13" x14ac:dyDescent="0.2">
      <c r="B20" s="167"/>
      <c r="C20" s="168"/>
      <c r="D20" s="163"/>
      <c r="E20" s="165"/>
      <c r="F20" s="165"/>
      <c r="G20" s="169"/>
    </row>
    <row r="23" spans="2:13" x14ac:dyDescent="0.2">
      <c r="B23" s="160"/>
    </row>
    <row r="24" spans="2:13" x14ac:dyDescent="0.2">
      <c r="B24" s="425"/>
      <c r="C24" s="425"/>
      <c r="D24" s="162"/>
      <c r="E24" s="173"/>
      <c r="F24" s="161"/>
      <c r="G24" s="161"/>
    </row>
    <row r="25" spans="2:13" x14ac:dyDescent="0.2">
      <c r="B25" s="170"/>
      <c r="C25" s="163"/>
      <c r="D25" s="164"/>
      <c r="E25" s="165"/>
      <c r="F25" s="165"/>
      <c r="G25" s="166"/>
    </row>
    <row r="26" spans="2:13" x14ac:dyDescent="0.2">
      <c r="B26" s="171"/>
      <c r="C26" s="168"/>
      <c r="D26" s="163"/>
      <c r="E26" s="165"/>
      <c r="F26" s="165"/>
      <c r="G26" s="169"/>
    </row>
    <row r="30" spans="2:13" ht="10.5" customHeight="1" x14ac:dyDescent="0.2">
      <c r="B30" s="159" t="s">
        <v>124</v>
      </c>
    </row>
    <row r="31" spans="2:13" ht="25.5" customHeight="1" x14ac:dyDescent="0.2">
      <c r="B31" s="425" t="s">
        <v>10</v>
      </c>
      <c r="C31" s="425"/>
      <c r="D31" s="162" t="s">
        <v>11</v>
      </c>
      <c r="E31" s="173" t="s">
        <v>79</v>
      </c>
      <c r="F31" s="161" t="s">
        <v>13</v>
      </c>
      <c r="G31" s="161" t="s">
        <v>68</v>
      </c>
      <c r="L31" s="159" t="s">
        <v>117</v>
      </c>
    </row>
    <row r="32" spans="2:13" x14ac:dyDescent="0.2">
      <c r="B32" s="426" t="s">
        <v>140</v>
      </c>
      <c r="C32" s="174" t="s">
        <v>126</v>
      </c>
      <c r="D32" s="164" t="s">
        <v>83</v>
      </c>
      <c r="E32" s="165">
        <v>583090.38</v>
      </c>
      <c r="F32" s="165">
        <v>1</v>
      </c>
      <c r="G32" s="166">
        <f>E32*F32</f>
        <v>583090.38</v>
      </c>
      <c r="L32" s="159" t="s">
        <v>116</v>
      </c>
      <c r="M32" s="159">
        <v>60</v>
      </c>
    </row>
    <row r="33" spans="2:13" x14ac:dyDescent="0.2">
      <c r="B33" s="426"/>
      <c r="C33" s="163" t="s">
        <v>125</v>
      </c>
      <c r="D33" s="164" t="s">
        <v>83</v>
      </c>
      <c r="E33" s="165">
        <v>294169.09999999998</v>
      </c>
      <c r="F33" s="165">
        <v>1</v>
      </c>
      <c r="G33" s="166">
        <f>E33*F33</f>
        <v>294169.09999999998</v>
      </c>
      <c r="L33" s="159" t="s">
        <v>120</v>
      </c>
      <c r="M33" s="159">
        <v>1500</v>
      </c>
    </row>
    <row r="34" spans="2:13" x14ac:dyDescent="0.2">
      <c r="B34" s="426"/>
      <c r="C34" s="163" t="s">
        <v>134</v>
      </c>
      <c r="D34" s="164" t="s">
        <v>11</v>
      </c>
      <c r="E34" s="165">
        <v>142359.51999999999</v>
      </c>
      <c r="F34" s="165">
        <v>1</v>
      </c>
      <c r="G34" s="166">
        <f>E34*F34</f>
        <v>142359.51999999999</v>
      </c>
      <c r="L34" s="159" t="s">
        <v>118</v>
      </c>
      <c r="M34" s="159">
        <v>60</v>
      </c>
    </row>
    <row r="35" spans="2:13" x14ac:dyDescent="0.2">
      <c r="B35" s="426"/>
      <c r="C35" s="163"/>
      <c r="D35" s="164"/>
      <c r="E35" s="165"/>
      <c r="F35" s="165">
        <v>1</v>
      </c>
      <c r="G35" s="166">
        <f>E35*F35</f>
        <v>0</v>
      </c>
      <c r="L35" s="159" t="s">
        <v>119</v>
      </c>
      <c r="M35" s="159">
        <v>24</v>
      </c>
    </row>
    <row r="36" spans="2:13" x14ac:dyDescent="0.2">
      <c r="B36" s="167"/>
      <c r="C36" s="168" t="s">
        <v>68</v>
      </c>
      <c r="D36" s="163"/>
      <c r="E36" s="165"/>
      <c r="F36" s="165"/>
      <c r="G36" s="169">
        <f>SUM(G32:G35)</f>
        <v>1019619</v>
      </c>
      <c r="M36" s="58">
        <f>M32*M33*M35</f>
        <v>2160000</v>
      </c>
    </row>
    <row r="39" spans="2:13" x14ac:dyDescent="0.2">
      <c r="C39" s="66" t="s">
        <v>128</v>
      </c>
      <c r="G39" s="5">
        <f>G36+G26+G20+G11</f>
        <v>1019619</v>
      </c>
    </row>
    <row r="41" spans="2:13" ht="15.75" x14ac:dyDescent="0.25">
      <c r="C41" s="189" t="s">
        <v>127</v>
      </c>
      <c r="D41" s="190"/>
      <c r="E41" s="190"/>
      <c r="F41" s="190"/>
      <c r="G41" s="191">
        <f>G36</f>
        <v>1019619</v>
      </c>
    </row>
  </sheetData>
  <mergeCells count="7">
    <mergeCell ref="B32:B35"/>
    <mergeCell ref="B3:C3"/>
    <mergeCell ref="B4:B7"/>
    <mergeCell ref="B15:C15"/>
    <mergeCell ref="B16:B19"/>
    <mergeCell ref="B24:C24"/>
    <mergeCell ref="B31:C3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3D89F-7EE7-407A-9477-6AA2CAE75C3E}">
  <sheetPr>
    <tabColor theme="7" tint="0.39997558519241921"/>
  </sheetPr>
  <dimension ref="B2:L41"/>
  <sheetViews>
    <sheetView topLeftCell="A10" workbookViewId="0">
      <selection activeCell="G45" sqref="G45"/>
    </sheetView>
  </sheetViews>
  <sheetFormatPr defaultRowHeight="12.75" x14ac:dyDescent="0.2"/>
  <cols>
    <col min="1" max="1" width="9.140625" style="159"/>
    <col min="2" max="2" width="28.42578125" style="159" customWidth="1"/>
    <col min="3" max="3" width="41.140625" style="159" customWidth="1"/>
    <col min="4" max="4" width="12.42578125" style="159" bestFit="1" customWidth="1"/>
    <col min="5" max="5" width="11.140625" style="159" customWidth="1"/>
    <col min="6" max="6" width="10" style="159" customWidth="1"/>
    <col min="7" max="7" width="13.5703125" style="159" customWidth="1"/>
    <col min="8" max="16384" width="9.140625" style="159"/>
  </cols>
  <sheetData>
    <row r="2" spans="2:7" x14ac:dyDescent="0.2">
      <c r="B2" s="160" t="s">
        <v>141</v>
      </c>
    </row>
    <row r="3" spans="2:7" x14ac:dyDescent="0.2">
      <c r="B3" s="425"/>
      <c r="C3" s="425"/>
      <c r="D3" s="162"/>
      <c r="E3" s="161"/>
      <c r="F3" s="161"/>
      <c r="G3" s="161"/>
    </row>
    <row r="4" spans="2:7" x14ac:dyDescent="0.2">
      <c r="B4" s="426"/>
      <c r="C4" s="163"/>
      <c r="D4" s="164"/>
      <c r="E4" s="165"/>
      <c r="F4" s="165"/>
      <c r="G4" s="166"/>
    </row>
    <row r="5" spans="2:7" x14ac:dyDescent="0.2">
      <c r="B5" s="426"/>
      <c r="C5" s="163"/>
      <c r="D5" s="164"/>
      <c r="E5" s="165"/>
      <c r="F5" s="165"/>
      <c r="G5" s="166"/>
    </row>
    <row r="6" spans="2:7" x14ac:dyDescent="0.2">
      <c r="B6" s="426"/>
      <c r="C6" s="163"/>
      <c r="D6" s="164"/>
      <c r="E6" s="165"/>
      <c r="F6" s="165"/>
      <c r="G6" s="166"/>
    </row>
    <row r="7" spans="2:7" x14ac:dyDescent="0.2">
      <c r="B7" s="426"/>
      <c r="C7" s="163"/>
      <c r="D7" s="164"/>
      <c r="E7" s="165"/>
      <c r="F7" s="165"/>
      <c r="G7" s="166"/>
    </row>
    <row r="8" spans="2:7" x14ac:dyDescent="0.2">
      <c r="B8" s="167"/>
      <c r="C8" s="168"/>
      <c r="D8" s="163"/>
      <c r="E8" s="165"/>
      <c r="F8" s="165"/>
      <c r="G8" s="169"/>
    </row>
    <row r="9" spans="2:7" ht="29.25" customHeight="1" x14ac:dyDescent="0.2">
      <c r="B9" s="170"/>
      <c r="C9" s="163"/>
      <c r="D9" s="164"/>
      <c r="E9" s="165"/>
      <c r="F9" s="165"/>
      <c r="G9" s="166"/>
    </row>
    <row r="10" spans="2:7" x14ac:dyDescent="0.2">
      <c r="B10" s="171"/>
      <c r="C10" s="168"/>
      <c r="D10" s="163"/>
      <c r="E10" s="165"/>
      <c r="F10" s="165"/>
      <c r="G10" s="169"/>
    </row>
    <row r="11" spans="2:7" x14ac:dyDescent="0.2">
      <c r="B11" s="171"/>
      <c r="C11" s="168"/>
      <c r="D11" s="163"/>
      <c r="E11" s="165"/>
      <c r="F11" s="165"/>
      <c r="G11" s="169"/>
    </row>
    <row r="12" spans="2:7" x14ac:dyDescent="0.2">
      <c r="B12" s="171"/>
      <c r="C12" s="163"/>
      <c r="D12" s="163"/>
      <c r="E12" s="165"/>
      <c r="F12" s="165"/>
      <c r="G12" s="172"/>
    </row>
    <row r="13" spans="2:7" x14ac:dyDescent="0.2">
      <c r="B13" s="175"/>
      <c r="C13" s="176"/>
      <c r="D13" s="176"/>
      <c r="E13" s="177"/>
      <c r="F13" s="177"/>
      <c r="G13" s="178"/>
    </row>
    <row r="14" spans="2:7" x14ac:dyDescent="0.2">
      <c r="B14" s="160"/>
    </row>
    <row r="15" spans="2:7" x14ac:dyDescent="0.2">
      <c r="B15" s="425"/>
      <c r="C15" s="425"/>
      <c r="D15" s="162"/>
      <c r="E15" s="161"/>
      <c r="F15" s="161"/>
      <c r="G15" s="161"/>
    </row>
    <row r="16" spans="2:7" x14ac:dyDescent="0.2">
      <c r="B16" s="426"/>
      <c r="C16" s="163"/>
      <c r="D16" s="164"/>
      <c r="E16" s="165"/>
      <c r="F16" s="165"/>
      <c r="G16" s="166"/>
    </row>
    <row r="17" spans="2:7" x14ac:dyDescent="0.2">
      <c r="B17" s="426"/>
      <c r="C17" s="163"/>
      <c r="D17" s="164"/>
      <c r="E17" s="165"/>
      <c r="F17" s="165"/>
      <c r="G17" s="166"/>
    </row>
    <row r="18" spans="2:7" x14ac:dyDescent="0.2">
      <c r="B18" s="426"/>
      <c r="C18" s="163"/>
      <c r="D18" s="164"/>
      <c r="E18" s="165"/>
      <c r="F18" s="165"/>
      <c r="G18" s="166"/>
    </row>
    <row r="19" spans="2:7" x14ac:dyDescent="0.2">
      <c r="B19" s="426"/>
      <c r="C19" s="163"/>
      <c r="D19" s="164"/>
      <c r="E19" s="165"/>
      <c r="F19" s="165"/>
      <c r="G19" s="166"/>
    </row>
    <row r="20" spans="2:7" x14ac:dyDescent="0.2">
      <c r="B20" s="167"/>
      <c r="C20" s="168"/>
      <c r="D20" s="163"/>
      <c r="E20" s="165"/>
      <c r="F20" s="165"/>
      <c r="G20" s="169"/>
    </row>
    <row r="23" spans="2:7" x14ac:dyDescent="0.2">
      <c r="B23" s="160" t="s">
        <v>135</v>
      </c>
    </row>
    <row r="24" spans="2:7" ht="25.5" x14ac:dyDescent="0.2">
      <c r="B24" s="425" t="s">
        <v>10</v>
      </c>
      <c r="C24" s="425"/>
      <c r="D24" s="162" t="s">
        <v>11</v>
      </c>
      <c r="E24" s="173" t="s">
        <v>79</v>
      </c>
      <c r="F24" s="161" t="s">
        <v>13</v>
      </c>
      <c r="G24" s="161" t="s">
        <v>68</v>
      </c>
    </row>
    <row r="25" spans="2:7" x14ac:dyDescent="0.2">
      <c r="B25" s="170" t="s">
        <v>135</v>
      </c>
      <c r="C25" s="163" t="s">
        <v>84</v>
      </c>
      <c r="D25" s="164" t="s">
        <v>83</v>
      </c>
      <c r="E25" s="165">
        <v>5439759</v>
      </c>
      <c r="F25" s="165">
        <v>1</v>
      </c>
      <c r="G25" s="166">
        <f>E25*F25</f>
        <v>5439759</v>
      </c>
    </row>
    <row r="26" spans="2:7" x14ac:dyDescent="0.2">
      <c r="B26" s="171"/>
      <c r="C26" s="168" t="s">
        <v>68</v>
      </c>
      <c r="D26" s="163"/>
      <c r="E26" s="165"/>
      <c r="F26" s="165"/>
      <c r="G26" s="169">
        <f>G25</f>
        <v>5439759</v>
      </c>
    </row>
    <row r="30" spans="2:7" ht="10.5" customHeight="1" x14ac:dyDescent="0.2">
      <c r="B30" s="159" t="s">
        <v>124</v>
      </c>
    </row>
    <row r="31" spans="2:7" ht="25.5" customHeight="1" x14ac:dyDescent="0.2">
      <c r="B31" s="425" t="s">
        <v>10</v>
      </c>
      <c r="C31" s="425"/>
      <c r="D31" s="162" t="s">
        <v>11</v>
      </c>
      <c r="E31" s="173" t="s">
        <v>79</v>
      </c>
      <c r="F31" s="161" t="s">
        <v>13</v>
      </c>
      <c r="G31" s="161" t="s">
        <v>68</v>
      </c>
    </row>
    <row r="32" spans="2:7" ht="25.5" x14ac:dyDescent="0.2">
      <c r="B32" s="426" t="s">
        <v>136</v>
      </c>
      <c r="C32" s="174" t="s">
        <v>137</v>
      </c>
      <c r="D32" s="164" t="s">
        <v>83</v>
      </c>
      <c r="E32" s="165">
        <v>230000</v>
      </c>
      <c r="F32" s="165">
        <v>1</v>
      </c>
      <c r="G32" s="166">
        <f>E32*F32</f>
        <v>230000</v>
      </c>
    </row>
    <row r="33" spans="2:12" x14ac:dyDescent="0.2">
      <c r="B33" s="426"/>
      <c r="C33" s="163"/>
      <c r="D33" s="164"/>
      <c r="E33" s="165"/>
      <c r="F33" s="165"/>
      <c r="G33" s="166"/>
    </row>
    <row r="34" spans="2:12" x14ac:dyDescent="0.2">
      <c r="B34" s="426"/>
      <c r="C34" s="163"/>
      <c r="D34" s="164"/>
      <c r="E34" s="165"/>
      <c r="F34" s="165"/>
      <c r="G34" s="166"/>
    </row>
    <row r="35" spans="2:12" x14ac:dyDescent="0.2">
      <c r="B35" s="426"/>
      <c r="C35" s="163"/>
      <c r="D35" s="164"/>
      <c r="E35" s="165"/>
      <c r="F35" s="165"/>
      <c r="G35" s="166"/>
    </row>
    <row r="36" spans="2:12" x14ac:dyDescent="0.2">
      <c r="B36" s="167"/>
      <c r="C36" s="168" t="s">
        <v>68</v>
      </c>
      <c r="D36" s="163"/>
      <c r="E36" s="165"/>
      <c r="F36" s="165"/>
      <c r="G36" s="169">
        <f>SUM(G32:G35)</f>
        <v>230000</v>
      </c>
    </row>
    <row r="39" spans="2:12" x14ac:dyDescent="0.2">
      <c r="C39" s="66" t="s">
        <v>138</v>
      </c>
      <c r="G39" s="5">
        <f>G36+G26+G20+G11</f>
        <v>5669759</v>
      </c>
    </row>
    <row r="41" spans="2:12" ht="15.75" x14ac:dyDescent="0.25">
      <c r="C41" s="189" t="s">
        <v>139</v>
      </c>
      <c r="D41" s="190"/>
      <c r="E41" s="190"/>
      <c r="F41" s="190"/>
      <c r="G41" s="191">
        <f>G36+G26</f>
        <v>5669759</v>
      </c>
      <c r="L41" s="58"/>
    </row>
  </sheetData>
  <mergeCells count="7">
    <mergeCell ref="B32:B35"/>
    <mergeCell ref="B3:C3"/>
    <mergeCell ref="B4:B7"/>
    <mergeCell ref="B15:C15"/>
    <mergeCell ref="B16:B19"/>
    <mergeCell ref="B24:C24"/>
    <mergeCell ref="B31:C3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B93D4744ABFE23448C7E79FB0D6B15C9" ma:contentTypeVersion="550" ma:contentTypeDescription="The base project type from which other project content types inherit their information." ma:contentTypeScope="" ma:versionID="cabbe58e1a9306b906a578c8f626ada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9ce71ad707da3ea15d278ee2b3dc2b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O-L1198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B93D4744ABFE23448C7E79FB0D6B15C9" ma:contentTypeVersion="571" ma:contentTypeDescription="The base project type from which other project content types inherit their information." ma:contentTypeScope="" ma:versionID="8209f72cf6e113f9afb6ddc6d469120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9ce71ad707da3ea15d278ee2b3dc2b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O-L1198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R0002451075</Record_x0020_Number>
    <Key_x0020_Document xmlns="cdc7663a-08f0-4737-9e8c-148ce897a09c" xsi:nil="true"/>
    <Division_x0020_or_x0020_Unit xmlns="cdc7663a-08f0-4737-9e8c-148ce897a09c">SCL/SPH</Division_x0020_or_x0020_Unit>
    <IDBDocs_x0020_Number xmlns="cdc7663a-08f0-4737-9e8c-148ce897a09c" xsi:nil="true"/>
    <Document_x0020_Author xmlns="cdc7663a-08f0-4737-9e8c-148ce897a09c">Aguilar Blandon, Maria Alejandra</Document_x0020_Author>
    <_dlc_DocId xmlns="cdc7663a-08f0-4737-9e8c-148ce897a09c">EZSHARE-1016115998-10</_dlc_DocId>
    <Operation_x0020_Type xmlns="cdc7663a-08f0-4737-9e8c-148ce897a09c">Loan 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Bolivia</TermName>
          <TermId xmlns="http://schemas.microsoft.com/office/infopath/2007/PartnerControls">6445a937-aea4-4907-9f24-bff96a7c61c8</TermId>
        </TermInfo>
      </Terms>
    </ic46d7e087fd4a108fb86518ca413cc6>
    <TaxCatchAll xmlns="cdc7663a-08f0-4737-9e8c-148ce897a09c">
      <Value>27</Value>
      <Value>26</Value>
      <Value>234</Value>
      <Value>157</Value>
      <Value>29</Value>
    </TaxCatchAll>
    <Fiscal_x0020_Year_x0020_IDB xmlns="cdc7663a-08f0-4737-9e8c-148ce897a09c">2018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BO-L1198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 xsi:nil="true"/>
    <SISCOR_x0020_Number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Budget</TermName>
          <TermId xmlns="http://schemas.microsoft.com/office/infopath/2007/PartnerControls">650b863c-7c5d-4182-a954-1cb536a85945</TermId>
        </TermInfo>
      </Terms>
    </e46fe2894295491da65140ffd2369f49>
    <Access_x0020_to_x0020_Information_x00a0_Policy xmlns="cdc7663a-08f0-4737-9e8c-148ce897a09c">Public - Simultaneous Disclosure</Access_x0020_to_x0020_Information_x00a0_Policy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BLD</TermName>
          <TermId xmlns="http://schemas.microsoft.com/office/infopath/2007/PartnerControls">60acb4c1-0ef3-40ba-9d70-f741cd9e6c23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</TermName>
          <TermId xmlns="http://schemas.microsoft.com/office/infopath/2007/PartnerControls">e15154b4-8fa2-4f19-a924-5a9b44dc8218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</TermName>
          <TermId xmlns="http://schemas.microsoft.com/office/infopath/2007/PartnerControls">47a17f02-ec54-486c-a3fb-4be9ec9a2bb3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https://idbg.sharepoint.com/teams/EZ-BO-LON/BO-L1198/_layouts/15/DocIdRedir.aspx?ID=EZSHARE-1016115998-10</Url>
      <Description>EZSHARE-1016115998-10</Description>
    </_dlc_DocIdUrl>
    <Phase xmlns="cdc7663a-08f0-4737-9e8c-148ce897a09c" xsi:nil="true"/>
    <Other_x0020_Autho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BC76F5F37D383489B1F477C1D7F61ED" ma:contentTypeVersion="571" ma:contentTypeDescription="A content type to manage public (operations) IDB documents" ma:contentTypeScope="" ma:versionID="05b981c9c0ea29d7822624b9bb6bee8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64af02581d48fc3071bc27247884e5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O-L119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EEF1F0D-FFD8-4D23-BF07-A3B7ECCD3318}"/>
</file>

<file path=customXml/itemProps2.xml><?xml version="1.0" encoding="utf-8"?>
<ds:datastoreItem xmlns:ds="http://schemas.openxmlformats.org/officeDocument/2006/customXml" ds:itemID="{F15107F9-4B74-4E89-9D8F-0511F43B39C4}"/>
</file>

<file path=customXml/itemProps3.xml><?xml version="1.0" encoding="utf-8"?>
<ds:datastoreItem xmlns:ds="http://schemas.openxmlformats.org/officeDocument/2006/customXml" ds:itemID="{7A5CACF7-6FB3-44D6-81F7-49AC40492154}"/>
</file>

<file path=customXml/itemProps4.xml><?xml version="1.0" encoding="utf-8"?>
<ds:datastoreItem xmlns:ds="http://schemas.openxmlformats.org/officeDocument/2006/customXml" ds:itemID="{E2F28EE3-A5FC-4848-8EBE-47D96D790F24}"/>
</file>

<file path=customXml/itemProps5.xml><?xml version="1.0" encoding="utf-8"?>
<ds:datastoreItem xmlns:ds="http://schemas.openxmlformats.org/officeDocument/2006/customXml" ds:itemID="{97A6DA72-87C1-4D98-BE27-33622E64C206}"/>
</file>

<file path=customXml/itemProps6.xml><?xml version="1.0" encoding="utf-8"?>
<ds:datastoreItem xmlns:ds="http://schemas.openxmlformats.org/officeDocument/2006/customXml" ds:itemID="{7979673C-BD47-4410-B98C-951AEF57715F}"/>
</file>

<file path=customXml/itemProps7.xml><?xml version="1.0" encoding="utf-8"?>
<ds:datastoreItem xmlns:ds="http://schemas.openxmlformats.org/officeDocument/2006/customXml" ds:itemID="{35E7AAEF-44EE-4F01-80A0-89EF5C6B68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DatosGenerales</vt:lpstr>
      <vt:lpstr>CuadroCostos</vt:lpstr>
      <vt:lpstr>Resumen</vt:lpstr>
      <vt:lpstr>Componente 1</vt:lpstr>
      <vt:lpstr>Componente 2</vt:lpstr>
      <vt:lpstr>Componente 3</vt:lpstr>
      <vt:lpstr>HEAN</vt:lpstr>
      <vt:lpstr>HEAS</vt:lpstr>
      <vt:lpstr>HOcuri</vt:lpstr>
      <vt:lpstr>HLlga</vt:lpstr>
      <vt:lpstr>HTNP</vt:lpstr>
      <vt:lpstr>Palos Blancos</vt:lpstr>
      <vt:lpstr>Ixiamas</vt:lpstr>
      <vt:lpstr>Puerto Suarez</vt:lpstr>
      <vt:lpstr>El Torno</vt:lpstr>
      <vt:lpstr>Camiri</vt:lpstr>
      <vt:lpstr>San Borja</vt:lpstr>
      <vt:lpstr>Monteagudo</vt:lpstr>
      <vt:lpstr>Villazón</vt:lpstr>
      <vt:lpstr>Tupiza</vt:lpstr>
      <vt:lpstr>HTNPEA</vt:lpstr>
      <vt:lpstr>HTNPotosi(Muestra)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hmendoza</dc:creator>
  <cp:keywords/>
  <cp:lastModifiedBy>Hector Mendoza</cp:lastModifiedBy>
  <cp:lastPrinted>2015-09-28T22:29:26Z</cp:lastPrinted>
  <dcterms:created xsi:type="dcterms:W3CDTF">2015-04-06T22:46:35Z</dcterms:created>
  <dcterms:modified xsi:type="dcterms:W3CDTF">2018-09-03T20:05:00Z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8d5fac20-b720-41a6-b58d-48f71360fe56</vt:lpwstr>
  </property>
  <property fmtid="{D5CDD505-2E9C-101B-9397-08002B2CF9AE}" pid="3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157;#HEALTH|47a17f02-ec54-486c-a3fb-4be9ec9a2bb3</vt:lpwstr>
  </property>
  <property fmtid="{D5CDD505-2E9C-101B-9397-08002B2CF9AE}" pid="8" name="Country">
    <vt:lpwstr>26;#Bolivia|6445a937-aea4-4907-9f24-bff96a7c61c8</vt:lpwstr>
  </property>
  <property fmtid="{D5CDD505-2E9C-101B-9397-08002B2CF9AE}" pid="9" name="Fund IDB">
    <vt:lpwstr>29;#BLD|60acb4c1-0ef3-40ba-9d70-f741cd9e6c23</vt:lpwstr>
  </property>
  <property fmtid="{D5CDD505-2E9C-101B-9397-08002B2CF9AE}" pid="10" name="_dlc_DocIdItemGuid">
    <vt:lpwstr>bb51cfc2-e956-4221-b42b-a5396bd86fda</vt:lpwstr>
  </property>
  <property fmtid="{D5CDD505-2E9C-101B-9397-08002B2CF9AE}" pid="11" name="Sector IDB">
    <vt:lpwstr>27;#HEALTH|e15154b4-8fa2-4f19-a924-5a9b44dc8218</vt:lpwstr>
  </property>
  <property fmtid="{D5CDD505-2E9C-101B-9397-08002B2CF9AE}" pid="12" name="Function Operations IDB">
    <vt:lpwstr>234;#Budget|650b863c-7c5d-4182-a954-1cb536a85945</vt:lpwstr>
  </property>
  <property fmtid="{D5CDD505-2E9C-101B-9397-08002B2CF9AE}" pid="13" name="Disclosure Activity">
    <vt:lpwstr>Loan Proposal</vt:lpwstr>
  </property>
  <property fmtid="{D5CDD505-2E9C-101B-9397-08002B2CF9AE}" pid="14" name="ContentTypeId">
    <vt:lpwstr>0x0101001A458A224826124E8B45B1D613300CFC004BC76F5F37D383489B1F477C1D7F61ED</vt:lpwstr>
  </property>
</Properties>
</file>