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sheets/sheet5.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comments1.xml" ContentType="application/vnd.openxmlformats-officedocument.spreadsheetml.comments+xml"/>
  <Override PartName="/xl/externalLinks/externalLink1.xml" ContentType="application/vnd.openxmlformats-officedocument.spreadsheetml.externalLink+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autoCompressPictures="0"/>
  <bookViews>
    <workbookView xWindow="0" yWindow="0" windowWidth="15360" windowHeight="6225"/>
  </bookViews>
  <sheets>
    <sheet name="1. Presupuesto detallado" sheetId="4" r:id="rId1"/>
    <sheet name="Precios" sheetId="10" r:id="rId2"/>
    <sheet name="2.Plan Ejecucion Plurianual-PEP" sheetId="7" r:id="rId3"/>
    <sheet name="5. Presupuesto  Componente" sheetId="6" r:id="rId4"/>
    <sheet name="Presupuesto Productos" sheetId="11" r:id="rId5"/>
  </sheets>
  <externalReferences>
    <externalReference r:id="rId6"/>
  </externalReferences>
  <definedNames>
    <definedName name="_xlnm.Print_Area" localSheetId="0">'1. Presupuesto detallado'!$A$1:$N$87</definedName>
  </definedNames>
  <calcPr calcId="145621"/>
</workbook>
</file>

<file path=xl/calcChain.xml><?xml version="1.0" encoding="utf-8"?>
<calcChain xmlns="http://schemas.openxmlformats.org/spreadsheetml/2006/main">
  <c r="C27" i="6" l="1"/>
  <c r="D27" i="6"/>
  <c r="E27" i="6"/>
  <c r="F27" i="6"/>
  <c r="B27" i="6"/>
  <c r="G26" i="6"/>
  <c r="D87" i="4" l="1"/>
  <c r="D86" i="4"/>
  <c r="D80" i="4"/>
  <c r="D79" i="4"/>
  <c r="L39" i="4" l="1"/>
  <c r="L38" i="4"/>
  <c r="L31" i="4"/>
  <c r="L30" i="4"/>
  <c r="L22" i="4" l="1"/>
  <c r="J21" i="4" l="1"/>
  <c r="D31" i="4"/>
  <c r="D30" i="4"/>
  <c r="D25" i="4"/>
  <c r="D24" i="4"/>
  <c r="D23" i="4"/>
  <c r="D22" i="4"/>
  <c r="M6" i="7" l="1"/>
  <c r="A6" i="7" l="1"/>
  <c r="A9" i="7"/>
  <c r="A8" i="7"/>
  <c r="A7" i="7"/>
  <c r="L43" i="4" l="1"/>
  <c r="E44" i="4"/>
  <c r="D44" i="4"/>
  <c r="A6" i="11" l="1"/>
  <c r="A20" i="11"/>
  <c r="A17" i="11"/>
  <c r="A22" i="11"/>
  <c r="A21" i="11"/>
  <c r="A19" i="11"/>
  <c r="A18" i="11"/>
  <c r="A16" i="11"/>
  <c r="A15" i="11"/>
  <c r="A14" i="11"/>
  <c r="A13" i="11"/>
  <c r="A12" i="11"/>
  <c r="A11" i="11"/>
  <c r="A5" i="11"/>
  <c r="A10" i="11"/>
  <c r="A9" i="11"/>
  <c r="A7" i="11"/>
  <c r="A8" i="11"/>
  <c r="D34" i="4"/>
  <c r="E34" i="4"/>
  <c r="H34" i="4"/>
  <c r="I34" i="4"/>
  <c r="N34" i="4"/>
  <c r="P34" i="4"/>
  <c r="Q34" i="4"/>
  <c r="F35" i="4"/>
  <c r="H35" i="4"/>
  <c r="I35" i="4"/>
  <c r="N35" i="4"/>
  <c r="R35" i="4"/>
  <c r="D12" i="4"/>
  <c r="E12" i="4"/>
  <c r="H12" i="4"/>
  <c r="I12" i="4"/>
  <c r="N12" i="4"/>
  <c r="R12" i="4"/>
  <c r="D38" i="4"/>
  <c r="E38" i="4"/>
  <c r="J38" i="4"/>
  <c r="N38" i="4"/>
  <c r="R38" i="4"/>
  <c r="F39" i="4"/>
  <c r="J39" i="4"/>
  <c r="N39" i="4"/>
  <c r="R39" i="4"/>
  <c r="F64" i="4"/>
  <c r="J64" i="4"/>
  <c r="N64" i="4"/>
  <c r="R64" i="4"/>
  <c r="F65" i="4"/>
  <c r="J65" i="4"/>
  <c r="N65" i="4"/>
  <c r="R65" i="4"/>
  <c r="F66" i="4"/>
  <c r="J66" i="4"/>
  <c r="N66" i="4"/>
  <c r="R66" i="4"/>
  <c r="F67" i="4"/>
  <c r="J67" i="4"/>
  <c r="L67" i="4"/>
  <c r="N67" i="4" s="1"/>
  <c r="R67" i="4"/>
  <c r="F68" i="4"/>
  <c r="J68" i="4"/>
  <c r="N68" i="4"/>
  <c r="R68" i="4"/>
  <c r="D71" i="4"/>
  <c r="F71" i="4" s="1"/>
  <c r="H71" i="4"/>
  <c r="J71" i="4" s="1"/>
  <c r="N71" i="4"/>
  <c r="R71" i="4"/>
  <c r="F72" i="4"/>
  <c r="H72" i="4"/>
  <c r="I72" i="4"/>
  <c r="N72" i="4"/>
  <c r="R72" i="4"/>
  <c r="D73" i="4"/>
  <c r="F73" i="4" s="1"/>
  <c r="J73" i="4"/>
  <c r="N73" i="4"/>
  <c r="R73" i="4"/>
  <c r="D74" i="4"/>
  <c r="E74" i="4"/>
  <c r="J74" i="4"/>
  <c r="N74" i="4"/>
  <c r="R74" i="4"/>
  <c r="N75" i="4" l="1"/>
  <c r="R75" i="4"/>
  <c r="J35" i="4"/>
  <c r="J34" i="4"/>
  <c r="F12" i="4"/>
  <c r="F34" i="4"/>
  <c r="J72" i="4"/>
  <c r="J75" i="4" s="1"/>
  <c r="R34" i="4"/>
  <c r="J12" i="4"/>
  <c r="F38" i="4"/>
  <c r="F74" i="4"/>
  <c r="N63" i="4"/>
  <c r="N62" i="4"/>
  <c r="N61" i="4"/>
  <c r="N60" i="4"/>
  <c r="N59" i="4"/>
  <c r="N58" i="4"/>
  <c r="N57" i="4"/>
  <c r="N56" i="4"/>
  <c r="N55" i="4"/>
  <c r="N54" i="4"/>
  <c r="N53" i="4"/>
  <c r="N51" i="4"/>
  <c r="B12" i="4" l="1"/>
  <c r="B6" i="7" s="1"/>
  <c r="B73" i="4"/>
  <c r="B22" i="11" s="1"/>
  <c r="B34" i="4"/>
  <c r="F75" i="4"/>
  <c r="B38" i="4"/>
  <c r="B12" i="11" s="1"/>
  <c r="B71" i="4"/>
  <c r="B21" i="11" s="1"/>
  <c r="B20" i="11" s="1"/>
  <c r="B64" i="4"/>
  <c r="B19" i="11" s="1"/>
  <c r="E41" i="4"/>
  <c r="B7" i="11" l="1"/>
  <c r="H6" i="7"/>
  <c r="L6" i="7"/>
  <c r="J6" i="7"/>
  <c r="F6" i="7"/>
  <c r="D6" i="7"/>
  <c r="B10" i="11"/>
  <c r="B9" i="7"/>
  <c r="Q32" i="4"/>
  <c r="R33" i="4" l="1"/>
  <c r="L33" i="4"/>
  <c r="N33" i="4" s="1"/>
  <c r="J33" i="4"/>
  <c r="E33" i="4"/>
  <c r="N32" i="4"/>
  <c r="J32" i="4"/>
  <c r="F32" i="4"/>
  <c r="R31" i="4"/>
  <c r="N31" i="4"/>
  <c r="J31" i="4"/>
  <c r="E31" i="4"/>
  <c r="Q30" i="4"/>
  <c r="P30" i="4"/>
  <c r="N30" i="4"/>
  <c r="J30" i="4"/>
  <c r="E30" i="4"/>
  <c r="R29" i="4"/>
  <c r="N29" i="4"/>
  <c r="J29" i="4"/>
  <c r="F29" i="4"/>
  <c r="P28" i="4"/>
  <c r="R28" i="4" s="1"/>
  <c r="N28" i="4"/>
  <c r="J28" i="4"/>
  <c r="F28" i="4"/>
  <c r="P27" i="4"/>
  <c r="R27" i="4" s="1"/>
  <c r="N27" i="4"/>
  <c r="J27" i="4"/>
  <c r="F27" i="4"/>
  <c r="P26" i="4"/>
  <c r="R26" i="4" s="1"/>
  <c r="J26" i="4"/>
  <c r="D26" i="4"/>
  <c r="F26" i="4" s="1"/>
  <c r="N26" i="4"/>
  <c r="J25" i="4"/>
  <c r="F25" i="4"/>
  <c r="N25" i="4"/>
  <c r="N24" i="4"/>
  <c r="J24" i="4"/>
  <c r="F24" i="4"/>
  <c r="R23" i="4"/>
  <c r="N23" i="4"/>
  <c r="F23" i="4"/>
  <c r="P22" i="4"/>
  <c r="R22" i="4" s="1"/>
  <c r="M22" i="4"/>
  <c r="J22" i="4"/>
  <c r="F22" i="4"/>
  <c r="F31" i="4" l="1"/>
  <c r="F30" i="4"/>
  <c r="R30" i="4"/>
  <c r="N22" i="4"/>
  <c r="L19" i="4"/>
  <c r="L18" i="4"/>
  <c r="L21" i="10"/>
  <c r="L17" i="4"/>
  <c r="L20" i="10"/>
  <c r="L16" i="4"/>
  <c r="L14" i="4"/>
  <c r="L13" i="4"/>
  <c r="R16" i="4" l="1"/>
  <c r="J15" i="4"/>
  <c r="E16" i="4"/>
  <c r="E15" i="4"/>
  <c r="R15" i="4"/>
  <c r="Q13" i="4"/>
  <c r="P13" i="4"/>
  <c r="I13" i="4"/>
  <c r="R13" i="4" l="1"/>
  <c r="N14" i="4"/>
  <c r="J14" i="4"/>
  <c r="P5" i="4"/>
  <c r="Q5" i="4"/>
  <c r="L9" i="4"/>
  <c r="N9" i="4" s="1"/>
  <c r="B9" i="10" l="1"/>
  <c r="D41" i="4" l="1"/>
  <c r="D11" i="4"/>
  <c r="D10" i="4"/>
  <c r="D9" i="4"/>
  <c r="F9" i="4" s="1"/>
  <c r="L8" i="4"/>
  <c r="L7" i="4"/>
  <c r="L6" i="4"/>
  <c r="L5" i="4"/>
  <c r="D104" i="10"/>
  <c r="D103" i="10"/>
  <c r="D102" i="10"/>
  <c r="D101" i="10"/>
  <c r="D100" i="10"/>
  <c r="D99" i="10"/>
  <c r="E90" i="10"/>
  <c r="E89" i="10"/>
  <c r="E88" i="10"/>
  <c r="E87" i="10"/>
  <c r="E86" i="10"/>
  <c r="E85" i="10"/>
  <c r="E84" i="10"/>
  <c r="E83" i="10"/>
  <c r="E82" i="10"/>
  <c r="E81" i="10"/>
  <c r="E80" i="10"/>
  <c r="D79" i="10"/>
  <c r="E79" i="10" s="1"/>
  <c r="C70" i="10"/>
  <c r="D62" i="10"/>
  <c r="D61" i="10"/>
  <c r="D60" i="10"/>
  <c r="D59" i="10"/>
  <c r="D58" i="10"/>
  <c r="D57" i="10"/>
  <c r="D56" i="10"/>
  <c r="D55" i="10"/>
  <c r="D54" i="10"/>
  <c r="D53" i="10"/>
  <c r="C11" i="10"/>
  <c r="D11" i="10" s="1"/>
  <c r="D8" i="4" s="1"/>
  <c r="D33" i="4" s="1"/>
  <c r="F33" i="4" s="1"/>
  <c r="B11" i="10"/>
  <c r="E10" i="10"/>
  <c r="C10" i="10"/>
  <c r="D10" i="10" s="1"/>
  <c r="B10" i="10"/>
  <c r="D9" i="10"/>
  <c r="C8" i="10"/>
  <c r="D8" i="10" s="1"/>
  <c r="B8" i="10"/>
  <c r="D6" i="10"/>
  <c r="E6" i="10" s="1"/>
  <c r="D5" i="10"/>
  <c r="E5" i="10" s="1"/>
  <c r="D4" i="10"/>
  <c r="E4" i="10" s="1"/>
  <c r="D3" i="10"/>
  <c r="E3" i="10" s="1"/>
  <c r="D2" i="10"/>
  <c r="E2" i="10" s="1"/>
  <c r="B1" i="10"/>
  <c r="P49" i="4" l="1"/>
  <c r="D42" i="4"/>
  <c r="H13" i="4"/>
  <c r="P32" i="4"/>
  <c r="R32" i="4" s="1"/>
  <c r="B21" i="4" s="1"/>
  <c r="D16" i="4"/>
  <c r="D15" i="4"/>
  <c r="P14" i="4"/>
  <c r="R14" i="4" s="1"/>
  <c r="P6" i="4"/>
  <c r="D13" i="4"/>
  <c r="D14" i="4"/>
  <c r="F14" i="4" s="1"/>
  <c r="D5" i="4"/>
  <c r="D6" i="4"/>
  <c r="E1" i="10"/>
  <c r="D7" i="4"/>
  <c r="R57" i="4" l="1"/>
  <c r="R56" i="4"/>
  <c r="R55" i="4"/>
  <c r="R54" i="4"/>
  <c r="R53" i="4"/>
  <c r="R52" i="4"/>
  <c r="N52" i="4"/>
  <c r="J57" i="4"/>
  <c r="J56" i="4"/>
  <c r="J55" i="4"/>
  <c r="J54" i="4"/>
  <c r="J53" i="4"/>
  <c r="J52" i="4"/>
  <c r="F57" i="4"/>
  <c r="F56" i="4"/>
  <c r="F55" i="4"/>
  <c r="F54" i="4"/>
  <c r="F53" i="4"/>
  <c r="F52" i="4"/>
  <c r="R20" i="4"/>
  <c r="R19" i="4"/>
  <c r="R18" i="4"/>
  <c r="R17" i="4"/>
  <c r="N20" i="4"/>
  <c r="N19" i="4"/>
  <c r="N18" i="4"/>
  <c r="N17" i="4"/>
  <c r="J20" i="4"/>
  <c r="J19" i="4"/>
  <c r="J18" i="4"/>
  <c r="J17" i="4"/>
  <c r="F20" i="4"/>
  <c r="F19" i="4"/>
  <c r="F18" i="4"/>
  <c r="F17" i="4"/>
  <c r="R11" i="4"/>
  <c r="N11" i="4"/>
  <c r="N10" i="4"/>
  <c r="J11" i="4"/>
  <c r="J10" i="4"/>
  <c r="F11" i="4"/>
  <c r="F10" i="4"/>
  <c r="R10" i="4"/>
  <c r="R8" i="4"/>
  <c r="M33" i="7" l="1"/>
  <c r="M32" i="7"/>
  <c r="M31" i="7"/>
  <c r="M30" i="7"/>
  <c r="M29" i="7"/>
  <c r="M28" i="7"/>
  <c r="M27" i="7"/>
  <c r="M23" i="7"/>
  <c r="M22" i="7"/>
  <c r="M21" i="7"/>
  <c r="M20" i="7"/>
  <c r="M17" i="7"/>
  <c r="M16" i="7"/>
  <c r="M15" i="7"/>
  <c r="M14" i="7"/>
  <c r="M13" i="7"/>
  <c r="M10" i="7"/>
  <c r="M9" i="7"/>
  <c r="M8" i="7"/>
  <c r="M7" i="7"/>
  <c r="M5" i="7"/>
  <c r="F5" i="4"/>
  <c r="J5" i="4"/>
  <c r="F6" i="4"/>
  <c r="F8" i="4"/>
  <c r="F81" i="4"/>
  <c r="A23" i="7"/>
  <c r="A22" i="7"/>
  <c r="A21" i="7"/>
  <c r="A20" i="7"/>
  <c r="A16" i="7"/>
  <c r="A15" i="7"/>
  <c r="A14" i="7"/>
  <c r="A13" i="7"/>
  <c r="R63" i="4"/>
  <c r="J63" i="4"/>
  <c r="F63" i="4"/>
  <c r="R51" i="4"/>
  <c r="J51" i="4"/>
  <c r="F51" i="4"/>
  <c r="R50" i="4"/>
  <c r="N50" i="4"/>
  <c r="J50" i="4"/>
  <c r="F50" i="4"/>
  <c r="R49" i="4"/>
  <c r="J49" i="4"/>
  <c r="F49" i="4"/>
  <c r="R45" i="4"/>
  <c r="N45" i="4"/>
  <c r="J45" i="4"/>
  <c r="F45" i="4"/>
  <c r="R44" i="4"/>
  <c r="N44" i="4"/>
  <c r="J44" i="4"/>
  <c r="F44" i="4"/>
  <c r="R43" i="4"/>
  <c r="N43" i="4"/>
  <c r="J43" i="4"/>
  <c r="F43" i="4"/>
  <c r="R42" i="4"/>
  <c r="N42" i="4"/>
  <c r="J42" i="4"/>
  <c r="F42" i="4"/>
  <c r="R41" i="4"/>
  <c r="N41" i="4"/>
  <c r="J41" i="4"/>
  <c r="F41" i="4"/>
  <c r="R40" i="4"/>
  <c r="R46" i="4" s="1"/>
  <c r="N40" i="4"/>
  <c r="J40" i="4"/>
  <c r="F40" i="4"/>
  <c r="F46" i="4" s="1"/>
  <c r="N16" i="4"/>
  <c r="N15" i="4"/>
  <c r="N13" i="4"/>
  <c r="J16" i="4"/>
  <c r="J13" i="4"/>
  <c r="F16" i="4"/>
  <c r="F15" i="4"/>
  <c r="R7" i="4"/>
  <c r="R6" i="4"/>
  <c r="R5" i="4"/>
  <c r="N8" i="4"/>
  <c r="N7" i="4"/>
  <c r="N6" i="4"/>
  <c r="N5" i="4"/>
  <c r="J8" i="4"/>
  <c r="J7" i="4"/>
  <c r="J6" i="4"/>
  <c r="F7" i="4"/>
  <c r="C7" i="6"/>
  <c r="C3" i="6"/>
  <c r="A5" i="7"/>
  <c r="R87" i="4"/>
  <c r="R86" i="4"/>
  <c r="R79" i="4"/>
  <c r="R85" i="4"/>
  <c r="R84" i="4"/>
  <c r="R83" i="4"/>
  <c r="R82" i="4"/>
  <c r="R81" i="4"/>
  <c r="R80" i="4"/>
  <c r="R78" i="4"/>
  <c r="N87" i="4"/>
  <c r="N86" i="4"/>
  <c r="N79" i="4"/>
  <c r="N85" i="4"/>
  <c r="N84" i="4"/>
  <c r="N83" i="4"/>
  <c r="N82" i="4"/>
  <c r="N81" i="4"/>
  <c r="N80" i="4"/>
  <c r="N78" i="4"/>
  <c r="J87" i="4"/>
  <c r="J86" i="4"/>
  <c r="J79" i="4"/>
  <c r="J85" i="4"/>
  <c r="J84" i="4"/>
  <c r="J83" i="4"/>
  <c r="J82" i="4"/>
  <c r="J81" i="4"/>
  <c r="J80" i="4"/>
  <c r="J78" i="4"/>
  <c r="F87" i="4"/>
  <c r="B87" i="4" s="1"/>
  <c r="F86" i="4"/>
  <c r="B86" i="4" s="1"/>
  <c r="F79" i="4"/>
  <c r="B79" i="4" s="1"/>
  <c r="F85" i="4"/>
  <c r="B85" i="4" s="1"/>
  <c r="F84" i="4"/>
  <c r="F83" i="4"/>
  <c r="F82" i="4"/>
  <c r="F80" i="4"/>
  <c r="B80" i="4" s="1"/>
  <c r="F78" i="4"/>
  <c r="F13" i="4"/>
  <c r="B93" i="4" l="1"/>
  <c r="B81" i="4"/>
  <c r="B28" i="11"/>
  <c r="R69" i="4"/>
  <c r="B78" i="4"/>
  <c r="F88" i="4"/>
  <c r="B27" i="11"/>
  <c r="J46" i="4"/>
  <c r="J69" i="4"/>
  <c r="N69" i="4"/>
  <c r="J36" i="4"/>
  <c r="B26" i="11"/>
  <c r="N36" i="4"/>
  <c r="R36" i="4"/>
  <c r="N46" i="4"/>
  <c r="F69" i="4"/>
  <c r="F36" i="4"/>
  <c r="B5" i="4"/>
  <c r="B13" i="4"/>
  <c r="B13" i="7"/>
  <c r="B40" i="4"/>
  <c r="B41" i="4"/>
  <c r="B44" i="4"/>
  <c r="B49" i="4"/>
  <c r="B47" i="4" s="1"/>
  <c r="B21" i="7"/>
  <c r="B22" i="7"/>
  <c r="B23" i="7"/>
  <c r="D11" i="6"/>
  <c r="B11" i="6" s="1"/>
  <c r="C13" i="6"/>
  <c r="A3" i="7"/>
  <c r="A28" i="7"/>
  <c r="A29" i="7"/>
  <c r="A30" i="7"/>
  <c r="A31" i="7"/>
  <c r="A32" i="7"/>
  <c r="A33" i="7"/>
  <c r="A27" i="7"/>
  <c r="A18" i="7"/>
  <c r="B33" i="7"/>
  <c r="L33" i="7" s="1"/>
  <c r="A25" i="7"/>
  <c r="A11" i="7"/>
  <c r="R76" i="4" l="1"/>
  <c r="B29" i="7"/>
  <c r="L29" i="7" s="1"/>
  <c r="D8" i="6"/>
  <c r="B8" i="6" s="1"/>
  <c r="B25" i="11"/>
  <c r="J76" i="4"/>
  <c r="B8" i="11"/>
  <c r="B7" i="7"/>
  <c r="B6" i="11"/>
  <c r="B5" i="7"/>
  <c r="B9" i="11"/>
  <c r="B8" i="7"/>
  <c r="N76" i="4"/>
  <c r="B24" i="11"/>
  <c r="D13" i="7"/>
  <c r="L13" i="7"/>
  <c r="H13" i="7"/>
  <c r="J13" i="7"/>
  <c r="F13" i="7"/>
  <c r="F76" i="4"/>
  <c r="B20" i="7"/>
  <c r="B19" i="7" s="1"/>
  <c r="B18" i="11"/>
  <c r="B14" i="7"/>
  <c r="B13" i="11"/>
  <c r="B16" i="7"/>
  <c r="J16" i="7" s="1"/>
  <c r="B15" i="11"/>
  <c r="B15" i="7"/>
  <c r="B14" i="11"/>
  <c r="B2" i="4"/>
  <c r="B37" i="4"/>
  <c r="B31" i="7"/>
  <c r="H31" i="7" s="1"/>
  <c r="D10" i="6"/>
  <c r="B10" i="6" s="1"/>
  <c r="D9" i="6"/>
  <c r="B9" i="6" s="1"/>
  <c r="B30" i="7"/>
  <c r="L30" i="7" s="1"/>
  <c r="B32" i="7"/>
  <c r="J22" i="7"/>
  <c r="D22" i="7"/>
  <c r="F22" i="7"/>
  <c r="L22" i="7"/>
  <c r="H22" i="7"/>
  <c r="B77" i="4"/>
  <c r="B27" i="7"/>
  <c r="B28" i="7"/>
  <c r="J33" i="7"/>
  <c r="D33" i="7"/>
  <c r="H33" i="7"/>
  <c r="F33" i="7"/>
  <c r="H29" i="7" l="1"/>
  <c r="D29" i="7"/>
  <c r="J29" i="7"/>
  <c r="F29" i="7"/>
  <c r="B23" i="11"/>
  <c r="B5" i="11"/>
  <c r="J14" i="7"/>
  <c r="L14" i="7"/>
  <c r="H14" i="7"/>
  <c r="B12" i="7"/>
  <c r="D16" i="7"/>
  <c r="H16" i="7"/>
  <c r="F16" i="7"/>
  <c r="L16" i="7"/>
  <c r="B11" i="11"/>
  <c r="B17" i="11"/>
  <c r="D6" i="6"/>
  <c r="B6" i="6" s="1"/>
  <c r="D5" i="6"/>
  <c r="B5" i="6" s="1"/>
  <c r="D4" i="6"/>
  <c r="B4" i="6" s="1"/>
  <c r="H30" i="7"/>
  <c r="J31" i="7"/>
  <c r="B1" i="4"/>
  <c r="J5" i="7"/>
  <c r="F5" i="7"/>
  <c r="L5" i="7"/>
  <c r="H5" i="7"/>
  <c r="D7" i="7"/>
  <c r="J7" i="7"/>
  <c r="F7" i="7"/>
  <c r="L7" i="7"/>
  <c r="H7" i="7"/>
  <c r="D9" i="7"/>
  <c r="L9" i="7"/>
  <c r="H9" i="7"/>
  <c r="J9" i="7"/>
  <c r="F9" i="7"/>
  <c r="B7" i="6"/>
  <c r="D7" i="6"/>
  <c r="D8" i="7"/>
  <c r="J8" i="7"/>
  <c r="F8" i="7"/>
  <c r="L8" i="7"/>
  <c r="H8" i="7"/>
  <c r="D31" i="7"/>
  <c r="L31" i="7"/>
  <c r="F31" i="7"/>
  <c r="D30" i="7"/>
  <c r="J30" i="7"/>
  <c r="F30" i="7"/>
  <c r="D32" i="7"/>
  <c r="H32" i="7"/>
  <c r="J32" i="7"/>
  <c r="L32" i="7"/>
  <c r="F32" i="7"/>
  <c r="F20" i="7"/>
  <c r="H20" i="7"/>
  <c r="D20" i="7"/>
  <c r="L20" i="7"/>
  <c r="J20" i="7"/>
  <c r="J23" i="7"/>
  <c r="F23" i="7"/>
  <c r="H23" i="7"/>
  <c r="L23" i="7"/>
  <c r="D23" i="7"/>
  <c r="D5" i="7"/>
  <c r="B4" i="7"/>
  <c r="J15" i="7"/>
  <c r="L15" i="7"/>
  <c r="H15" i="7"/>
  <c r="D15" i="7"/>
  <c r="F15" i="7"/>
  <c r="J28" i="7"/>
  <c r="H28" i="7"/>
  <c r="F28" i="7"/>
  <c r="D28" i="7"/>
  <c r="L28" i="7"/>
  <c r="B26" i="7"/>
  <c r="L27" i="7"/>
  <c r="J27" i="7"/>
  <c r="D27" i="7"/>
  <c r="H27" i="7"/>
  <c r="F27" i="7"/>
  <c r="L21" i="7"/>
  <c r="F21" i="7"/>
  <c r="J21" i="7"/>
  <c r="H21" i="7"/>
  <c r="D21" i="7"/>
  <c r="F14" i="7"/>
  <c r="D14" i="7"/>
  <c r="J12" i="7" l="1"/>
  <c r="D12" i="7"/>
  <c r="C12" i="7" s="1"/>
  <c r="L12" i="7"/>
  <c r="F12" i="7"/>
  <c r="F89" i="4"/>
  <c r="B16" i="11"/>
  <c r="D3" i="6"/>
  <c r="D4" i="7"/>
  <c r="C4" i="7" s="1"/>
  <c r="H4" i="7"/>
  <c r="L4" i="7"/>
  <c r="F4" i="7"/>
  <c r="J4" i="7"/>
  <c r="H19" i="7"/>
  <c r="F19" i="7"/>
  <c r="J19" i="7"/>
  <c r="L19" i="7"/>
  <c r="D19" i="7"/>
  <c r="C19" i="7" s="1"/>
  <c r="H26" i="7"/>
  <c r="G26" i="7" s="1"/>
  <c r="J26" i="7"/>
  <c r="I26" i="7" s="1"/>
  <c r="F26" i="7"/>
  <c r="E26" i="7" s="1"/>
  <c r="H12" i="7"/>
  <c r="D26" i="7"/>
  <c r="C26" i="7" s="1"/>
  <c r="L26" i="7"/>
  <c r="K26" i="7" s="1"/>
  <c r="B2" i="7"/>
  <c r="B3" i="6"/>
  <c r="B12" i="6" l="1"/>
  <c r="B4" i="11"/>
  <c r="J2" i="7"/>
  <c r="M26" i="7"/>
  <c r="F2" i="7"/>
  <c r="H2" i="7"/>
  <c r="D2" i="7"/>
  <c r="L2" i="7"/>
  <c r="K2" i="7" s="1"/>
  <c r="G23" i="6" s="1"/>
  <c r="G21" i="6" s="1"/>
  <c r="B13" i="6" l="1"/>
  <c r="D13" i="6" s="1"/>
  <c r="E3" i="6" s="1"/>
  <c r="D12" i="6"/>
  <c r="E2" i="7"/>
  <c r="G2" i="7"/>
  <c r="E23" i="6" s="1"/>
  <c r="E21" i="6" s="1"/>
  <c r="C2" i="7"/>
  <c r="C23" i="6" s="1"/>
  <c r="C20" i="6" s="1"/>
  <c r="I2" i="7"/>
  <c r="F23" i="6" s="1"/>
  <c r="E12" i="6" l="1"/>
  <c r="E5" i="6"/>
  <c r="E8" i="6"/>
  <c r="C14" i="6"/>
  <c r="E10" i="6"/>
  <c r="E6" i="6"/>
  <c r="E9" i="6"/>
  <c r="B14" i="6"/>
  <c r="E7" i="6"/>
  <c r="E11" i="6"/>
  <c r="E4" i="6"/>
  <c r="E13" i="6"/>
  <c r="G20" i="6"/>
  <c r="G22" i="6" s="1"/>
  <c r="D23" i="6"/>
  <c r="D21" i="6" s="1"/>
  <c r="M2" i="7"/>
  <c r="D14" i="6"/>
  <c r="E20" i="6"/>
  <c r="E22" i="6" s="1"/>
  <c r="F21" i="6"/>
  <c r="F20" i="6"/>
  <c r="C21" i="6"/>
  <c r="H23" i="6" l="1"/>
  <c r="H21" i="6"/>
  <c r="D20" i="6"/>
  <c r="D22" i="6" s="1"/>
  <c r="F22" i="6"/>
  <c r="C22" i="6"/>
  <c r="H20" i="6" l="1"/>
  <c r="H22" i="6" s="1"/>
  <c r="I21" i="6" s="1"/>
  <c r="I20" i="6" l="1"/>
  <c r="B29" i="11"/>
  <c r="B3" i="11" l="1"/>
  <c r="C29" i="11" s="1"/>
  <c r="C23" i="11" l="1"/>
  <c r="C5" i="11"/>
  <c r="C16" i="11"/>
  <c r="C11" i="11"/>
  <c r="C4" i="11"/>
  <c r="C3" i="11" l="1"/>
</calcChain>
</file>

<file path=xl/comments1.xml><?xml version="1.0" encoding="utf-8"?>
<comments xmlns="http://schemas.openxmlformats.org/spreadsheetml/2006/main">
  <authors>
    <author>Familia Cracel</author>
    <author>Gabriel de Jesus Guardado Gomez</author>
  </authors>
  <commentList>
    <comment ref="E5" authorId="0">
      <text>
        <r>
          <rPr>
            <b/>
            <sz val="9"/>
            <color indexed="81"/>
            <rFont val="Tahoma"/>
            <family val="2"/>
          </rPr>
          <t>Familia Cracel:</t>
        </r>
        <r>
          <rPr>
            <sz val="9"/>
            <color indexed="81"/>
            <rFont val="Tahoma"/>
            <family val="2"/>
          </rPr>
          <t xml:space="preserve">
5 consultores 1 mes</t>
        </r>
      </text>
    </comment>
    <comment ref="M38" authorId="1">
      <text>
        <r>
          <rPr>
            <b/>
            <sz val="9"/>
            <color indexed="81"/>
            <rFont val="Tahoma"/>
            <family val="2"/>
          </rPr>
          <t>Gabriel de Jesus Guardado Gomez:</t>
        </r>
        <r>
          <rPr>
            <sz val="9"/>
            <color indexed="81"/>
            <rFont val="Tahoma"/>
            <family val="2"/>
          </rPr>
          <t xml:space="preserve">
380 agregados por DGA</t>
        </r>
      </text>
    </comment>
    <comment ref="M39" authorId="1">
      <text>
        <r>
          <rPr>
            <b/>
            <sz val="9"/>
            <color indexed="81"/>
            <rFont val="Tahoma"/>
            <family val="2"/>
          </rPr>
          <t>Gabriel de Jesus Guardado Gomez:
Se agregan 90 laptops de la DGA</t>
        </r>
      </text>
    </comment>
    <comment ref="M44" authorId="1">
      <text>
        <r>
          <rPr>
            <b/>
            <sz val="9"/>
            <color indexed="81"/>
            <rFont val="Tahoma"/>
            <family val="2"/>
          </rPr>
          <t>Gabriel de Jesus Guardado Gomez:</t>
        </r>
        <r>
          <rPr>
            <sz val="9"/>
            <color indexed="81"/>
            <rFont val="Tahoma"/>
            <family val="2"/>
          </rPr>
          <t xml:space="preserve">
Se adicionan 60 para la DGA.</t>
        </r>
      </text>
    </comment>
    <comment ref="M45" authorId="1">
      <text>
        <r>
          <rPr>
            <b/>
            <sz val="9"/>
            <color indexed="81"/>
            <rFont val="Tahoma"/>
            <family val="2"/>
          </rPr>
          <t>Gabriel de Jesus Guardado Gomez:</t>
        </r>
        <r>
          <rPr>
            <sz val="9"/>
            <color indexed="81"/>
            <rFont val="Tahoma"/>
            <family val="2"/>
          </rPr>
          <t xml:space="preserve">
Se agregan10 microbuses para la fiscalización en DGA.</t>
        </r>
      </text>
    </comment>
  </commentList>
</comments>
</file>

<file path=xl/sharedStrings.xml><?xml version="1.0" encoding="utf-8"?>
<sst xmlns="http://schemas.openxmlformats.org/spreadsheetml/2006/main" count="381" uniqueCount="295">
  <si>
    <t>Total</t>
  </si>
  <si>
    <t>total</t>
  </si>
  <si>
    <t>BID</t>
  </si>
  <si>
    <t>Local</t>
  </si>
  <si>
    <t>%</t>
  </si>
  <si>
    <t>Actividades</t>
  </si>
  <si>
    <t>Valor Unitario</t>
  </si>
  <si>
    <t>Cantidad</t>
  </si>
  <si>
    <t>Servidores de Base de Datos Risc</t>
  </si>
  <si>
    <t>Storage tipo San</t>
  </si>
  <si>
    <t>Comunicación para servidores</t>
  </si>
  <si>
    <t>Comunicación para las oficinas</t>
  </si>
  <si>
    <t>Servidores de Aplicación</t>
  </si>
  <si>
    <t>Plataforma de seguridad</t>
  </si>
  <si>
    <t>Plataforma respaldo y contingencia</t>
  </si>
  <si>
    <t>BI</t>
  </si>
  <si>
    <t>Plataforma de gestión de documentos electrónicos</t>
  </si>
  <si>
    <t>Computadoras (Thin Client)</t>
  </si>
  <si>
    <t>Sistema Integrado de Bienes y recursos humanos</t>
  </si>
  <si>
    <t>Sala Noc (Network Operating Center)</t>
  </si>
  <si>
    <t>Administración del Programa</t>
  </si>
  <si>
    <t>Proyecto Total</t>
  </si>
  <si>
    <t>Componente I Total</t>
  </si>
  <si>
    <t>Componente II Total</t>
  </si>
  <si>
    <t>Componente III Total</t>
  </si>
  <si>
    <t>Administración del Programa Total</t>
  </si>
  <si>
    <t>Monitoreo</t>
  </si>
  <si>
    <t>Auditoria</t>
  </si>
  <si>
    <t>PCR</t>
  </si>
  <si>
    <t>Impacto</t>
  </si>
  <si>
    <t>Especialista financiero</t>
  </si>
  <si>
    <t>Bienes</t>
  </si>
  <si>
    <t>Plan de Ejecucion Plurianual (PEP)</t>
  </si>
  <si>
    <t>Total Producto</t>
  </si>
  <si>
    <t>Año 1</t>
  </si>
  <si>
    <t>Año 2</t>
  </si>
  <si>
    <t>Año 3</t>
  </si>
  <si>
    <t>Año 4</t>
  </si>
  <si>
    <t>Año 5</t>
  </si>
  <si>
    <t>Fuente</t>
  </si>
  <si>
    <t>2.3      Especialistas</t>
  </si>
  <si>
    <t>2.2      Monitoreo y Evaluación</t>
  </si>
  <si>
    <t>2.4      Auditoria</t>
  </si>
  <si>
    <t>2.   Administración del proyecto</t>
  </si>
  <si>
    <t>2.1      Coordinación técnico de la ejecución</t>
  </si>
  <si>
    <t>Cuadro 2.1. Presupuesto total del Proyecto (US$)</t>
  </si>
  <si>
    <t>Una por año, con informe semestral +las auditorias de las contrataciones</t>
  </si>
  <si>
    <t xml:space="preserve">Programa de Fortalecimiento de la Administración Tributaria
ES-L1131 </t>
  </si>
  <si>
    <t xml:space="preserve">Componente I. Mejora de la Gestión de los Tributos Internos. </t>
  </si>
  <si>
    <t xml:space="preserve">Componente II. Fortalecimiento de la Gestión de los Tributos Aduaneros. </t>
  </si>
  <si>
    <t>Componente III. Mejora de la gestión de la información y fortalecimiento estratégico del VMI y sus recursos humanos</t>
  </si>
  <si>
    <t>1.    Costos Directos</t>
  </si>
  <si>
    <t>Unidades de Almacenamiento (discos)</t>
  </si>
  <si>
    <t>Computadoras desktop</t>
  </si>
  <si>
    <t>Consultores</t>
  </si>
  <si>
    <t>Laptops</t>
  </si>
  <si>
    <t>Consultorías Firmas</t>
  </si>
  <si>
    <t>Categoría</t>
  </si>
  <si>
    <t>Consultoría Internacional</t>
  </si>
  <si>
    <t>Consultoría Local</t>
  </si>
  <si>
    <t>Consultoría firma</t>
  </si>
  <si>
    <t>Abogado Internacional</t>
  </si>
  <si>
    <t>Desarrollo del modelo de negocio (consultor Internacional)</t>
  </si>
  <si>
    <t>Implantación del modelo y del sistema (consultor Local)</t>
  </si>
  <si>
    <t>Colecta de la información de la distintas bases de datos (consultor Local)</t>
  </si>
  <si>
    <t>Adecuación en la legislación para incluir la reglamentación de los convenios con instituciones (abogado internacional)</t>
  </si>
  <si>
    <t>LapTops</t>
  </si>
  <si>
    <t>Meses</t>
  </si>
  <si>
    <t>Honorarios</t>
  </si>
  <si>
    <t>Funcionales</t>
  </si>
  <si>
    <t>Informaticos sistemas</t>
  </si>
  <si>
    <t>Informaticos infraestructura</t>
  </si>
  <si>
    <t>Informaticos SEGEPLAN</t>
  </si>
  <si>
    <t>Informaticos SIAF actual</t>
  </si>
  <si>
    <t>Honorarios Valor /mes</t>
  </si>
  <si>
    <t>Viático Boleto + honorarios</t>
  </si>
  <si>
    <t xml:space="preserve">con Impuesto </t>
  </si>
  <si>
    <t>Abogado Nacional</t>
  </si>
  <si>
    <t>Construcción / Adecuación M2</t>
  </si>
  <si>
    <t xml:space="preserve">Impresiones ejemplares Planificacion </t>
  </si>
  <si>
    <t>Servicios de Arte y Diagramacion</t>
  </si>
  <si>
    <t xml:space="preserve">Viatico diario </t>
  </si>
  <si>
    <t xml:space="preserve">precio taller capacitacion </t>
  </si>
  <si>
    <t>CAPACITACION SEGEPLAN</t>
  </si>
  <si>
    <t>Programa de capacitación sobre evaluación social y económica de proyectos a profesionales de la Subsecretaría de Inversión Pública</t>
  </si>
  <si>
    <t xml:space="preserve"> Cooperación Sur-Sur (CSS), basada en costos compartidos incluyendo revisión de experiencias exitosas y primera fase de implementación para intercambio de experiencias.</t>
  </si>
  <si>
    <t xml:space="preserve">Diplomado anual (por cuatro años) para integrantes de direcciones sustantivas de Segeplán (5 personas por dirección de las cuatro subsecretarías y el equipo de Seguimiento y Evaluación) -- Incluye ejercicios prácticos de ingreso de la planificación en el sistema informático integrado.
</t>
  </si>
  <si>
    <t>Diplomado anual (por cuatro años) para el Delegados Departamentales y Municipales, especialistas en inversión departamentales y, facilitadores territoriales de Segeplán -- Incluye ejercicios prácticos de ingreso de la planificación en el sistema informático integrado.</t>
  </si>
  <si>
    <t>Un curso anual (por cuatro años) para Técnicos Informáticos Departamentales de Segeplán.</t>
  </si>
  <si>
    <t>Conocer los avances que en materia de políticas, planificación, programación y Cooperación Iinternacional  están logrando otros países.</t>
  </si>
  <si>
    <t xml:space="preserve">EQUIPO SEGEPLAN </t>
  </si>
  <si>
    <t>CANTIDAD</t>
  </si>
  <si>
    <t>CANTIDAD TOTAL</t>
  </si>
  <si>
    <t>PRECIO DOLARES UNITARIO</t>
  </si>
  <si>
    <t>Servidores</t>
  </si>
  <si>
    <t>Estaciones de trabajo</t>
  </si>
  <si>
    <t>SAN nueva (almacenamiento)</t>
  </si>
  <si>
    <t>Mantenimiento y soporte técnico SAN (por tres años)</t>
  </si>
  <si>
    <t>Virtualización de servidores en la nube</t>
  </si>
  <si>
    <t>Licencia</t>
  </si>
  <si>
    <t>Paquete</t>
  </si>
  <si>
    <t>Licencia (una anual)</t>
  </si>
  <si>
    <t>Licencia anual</t>
  </si>
  <si>
    <t>Equipamiento DBE</t>
  </si>
  <si>
    <t>3 Estaciones Sokkia Set-510</t>
  </si>
  <si>
    <t>2 GPS de Doble Frecuencia</t>
  </si>
  <si>
    <t>3 Licencias de Procedimientos de Datos de GPS de doble Frecuencia</t>
  </si>
  <si>
    <t>4 Prismas con sus respectivos bastones</t>
  </si>
  <si>
    <t>1 Plotter Desing Jet 500</t>
  </si>
  <si>
    <t>Licencia corporativa (14 usurarios) de CIVIL 3D y AUTOCAD, reciente.</t>
  </si>
  <si>
    <t xml:space="preserve">5   Scanners </t>
  </si>
  <si>
    <t>2 Impresoras centrales</t>
  </si>
  <si>
    <t>EQUIPAMIENTO CONTRALORIA</t>
  </si>
  <si>
    <t>UNIDAD DE MEDIDA</t>
  </si>
  <si>
    <t>PRECIO TOTAL</t>
  </si>
  <si>
    <t>COSTO UNITARIO</t>
  </si>
  <si>
    <t>Compra de 315 equipos de computo para las delegaciones 15 por delegacion, para desconcentrarlos servicios fiscalizadora de las delegaciones</t>
  </si>
  <si>
    <t>equipos de computo</t>
  </si>
  <si>
    <t>Infraestructura de red de datos y telefonia (21 equipos concentradores (switches) de red</t>
  </si>
  <si>
    <t>equipos concentradores</t>
  </si>
  <si>
    <t>Cableado estructurado de red para 21 delegaciondes departamentales</t>
  </si>
  <si>
    <t>cableado por delegacion</t>
  </si>
  <si>
    <t>Infraestructura de sistema electrico de las delegacion</t>
  </si>
  <si>
    <t>infraestructura electrica por delegacion</t>
  </si>
  <si>
    <t>23 ups para proteccion contra variaciones electricas incluyendo zona 1 y zona 3 (1 ups regulando la corriente del edificio)</t>
  </si>
  <si>
    <t>ups</t>
  </si>
  <si>
    <t>Sala de video conferencia central y 21 salas remotas delegaciones departamentales</t>
  </si>
  <si>
    <t>salas de videoconferencia</t>
  </si>
  <si>
    <t>Remodelacion del centro de datos con certificacion TIER-3</t>
  </si>
  <si>
    <t>remodelacion</t>
  </si>
  <si>
    <t xml:space="preserve">Centro de Datos Alterno </t>
  </si>
  <si>
    <t xml:space="preserve">centro de datos </t>
  </si>
  <si>
    <t>Facilitar procesos de fiscalizacion a travez de la implementacion de una PKI, para intercambio de inforntacion y documentacion con firma electronica.</t>
  </si>
  <si>
    <t xml:space="preserve">pki </t>
  </si>
  <si>
    <t>Hardware y software para laboratoria de auditoria de sistemas informaticos</t>
  </si>
  <si>
    <t>hardware</t>
  </si>
  <si>
    <t>Hardware y software para laboratorio de auditoria de obra publica</t>
  </si>
  <si>
    <t>Compra de una solucion que fortalezca la seguridad del Centro de Datos</t>
  </si>
  <si>
    <t>aplicación</t>
  </si>
  <si>
    <t>CENTRO DE CAPACITACION VIRTUAL CONTRALORIA DE CUENTAS</t>
  </si>
  <si>
    <t>EQUIPO</t>
  </si>
  <si>
    <t xml:space="preserve">PRECIO UNITARIO </t>
  </si>
  <si>
    <t xml:space="preserve">TOTAL </t>
  </si>
  <si>
    <t xml:space="preserve">Equipo de computo </t>
  </si>
  <si>
    <t xml:space="preserve">Escritorios </t>
  </si>
  <si>
    <t>pizarra digital</t>
  </si>
  <si>
    <t>Cañoneras</t>
  </si>
  <si>
    <t>Lap Top</t>
  </si>
  <si>
    <t xml:space="preserve">Equipo para grabacion de audio y video </t>
  </si>
  <si>
    <t>Servicios diferentes de Consultorías</t>
  </si>
  <si>
    <t>Descripción</t>
  </si>
  <si>
    <t>Administrativa support Office</t>
  </si>
  <si>
    <t>Evaluación</t>
  </si>
  <si>
    <t>Económica</t>
  </si>
  <si>
    <t>Consultoria Capacitador</t>
  </si>
  <si>
    <t>Licencia de Oracle</t>
  </si>
  <si>
    <t>por procesador</t>
  </si>
  <si>
    <t>Servidor para Comunicación WS</t>
  </si>
  <si>
    <t>por punto</t>
  </si>
  <si>
    <t>RED LAN y core</t>
  </si>
  <si>
    <t>Licencias de Oracle</t>
  </si>
  <si>
    <t>2 Talleres internacionales de conocimiento de otras experiencias</t>
  </si>
  <si>
    <t>Programa de divulgación</t>
  </si>
  <si>
    <t>Servidores de Aplicación, base de datos y comunicación</t>
  </si>
  <si>
    <t>Realización de Convenios de cruzamiento de datos con terceros</t>
  </si>
  <si>
    <t>Servidores para Rack</t>
  </si>
  <si>
    <t>Servidores para Rack suporte virtualización</t>
  </si>
  <si>
    <t>Servidor Sam</t>
  </si>
  <si>
    <t>Rack - Gabinete</t>
  </si>
  <si>
    <t>Rack Gabinetes</t>
  </si>
  <si>
    <t>UPS</t>
  </si>
  <si>
    <t>UPS 5 kva</t>
  </si>
  <si>
    <t>Accesorio para Rack</t>
  </si>
  <si>
    <t>Accesorios para Rack</t>
  </si>
  <si>
    <t>Enlace de datos</t>
  </si>
  <si>
    <t>Evaluación de los procedimientos de auditoría vigentes y formulación de propuestas de mejora a los mismos en el Código Tributario.</t>
  </si>
  <si>
    <t>Dotación de Equipo Informático Portátil (laptop) de vanguardia para la ejecución de auditorías.</t>
  </si>
  <si>
    <t>Adquisición de Software (licencias) disponible en el mercado, para el desarrollo de Técnicas de Auditoría asistidas por Computadora (TAAC) (Proveer y capacitar en general al personal de fiscalización en  Programas Informáticos para el Control y Ejecución de la Auditoría Tributaria).</t>
  </si>
  <si>
    <t>Evaluar y proponer un enfoque más integral de fiscalizaciones conjuntas DGII-DGA. Desarrollando procedimientos básicos y fortalecimiento legal mediante reformas al Código Tributario.</t>
  </si>
  <si>
    <t>Actualización de mobiliario para puestos de trabajo. Optimizar el espacio de las unidades fiscalizadoras, incorporando módulos para puestos de trabajo.</t>
  </si>
  <si>
    <t>Revisión de los procedimientos determinativos con metodología OCDE y la sustentación de la prueba y  Propuestas de mejora a la normativa de los procedimientos tributarios que fortalezcan la determinación o liquidación de oficio, sustentada en materia de precios de transferencia.</t>
  </si>
  <si>
    <t>Dotación de microbuses, para labores de campo. Incrementar la cobertura de casos asignados, reducir tiempos de ejecución y mejorar la percepción de clima organizacional en la dotación de recursos.</t>
  </si>
  <si>
    <t>Capacitar en conocimiento de software financiero de empresas. Capacitación en el Manejo del sistemas SAP.</t>
  </si>
  <si>
    <t xml:space="preserve">Servidor dedicado para la ejecución de los procesos informáticos que realiza la Unidad de Selección de Casos, así como para el almacenamiento de las distintas bases de datos que son procesadas por el personal de la Unidad. </t>
  </si>
  <si>
    <t>Adecuación SIIT (Sistema Integrado de Información Tributaria) y ampliación del Módulo de Consulta  "Carpeta Electrónica", incorporándole otras fuentes de información interna y externa.</t>
  </si>
  <si>
    <t>Computadores desktop con suficiente capacidad de procesamiento de información y con licenciamiento de software que permitan el manejo de bases de datos con elevado número de registros.</t>
  </si>
  <si>
    <t>Adquisición de Licencias y Capacitación en Software Estadístico SPSS (En Red)</t>
  </si>
  <si>
    <t>Desarrollo del módulo de Aduanas en el CSMS</t>
  </si>
  <si>
    <t>Preparación del modelo de adecuación de la cuenta corriente y Plan de integración de los sistemas actuales, incluyendo los de Aduanas</t>
  </si>
  <si>
    <t>Mejoras al Sistema de Información MGR para incorporar como sujeto de riesgos la información de los Manifiestos de Carga. (Consultor Internacional)</t>
  </si>
  <si>
    <t>Análisis y Diseño del Sistema de Información para la generación de Mandamientos de Pago y el Pago Electrónico de los Tributos Aduaneros.</t>
  </si>
  <si>
    <t>Sala Cofre completa (llave en mano y soporte por 3 años)</t>
  </si>
  <si>
    <t>Servidores de Bases de Datos c/licencia</t>
  </si>
  <si>
    <t>Storage SAN (principal y backup)</t>
  </si>
  <si>
    <t>HSM para firma digital</t>
  </si>
  <si>
    <t>Enlaces de comunicación redundantes (por 3 años)</t>
  </si>
  <si>
    <t>Switches</t>
  </si>
  <si>
    <t>Balanceador de carga</t>
  </si>
  <si>
    <t>Routers</t>
  </si>
  <si>
    <t>Clientes Finos</t>
  </si>
  <si>
    <t>Racks</t>
  </si>
  <si>
    <t>Generador 100 KVA</t>
  </si>
  <si>
    <t>Licencias Antivirus (3 años)</t>
  </si>
  <si>
    <t>Diseño e Implementación de Portal de Servicios (con validaciones funcionales y de seguridad)</t>
  </si>
  <si>
    <t>Auditoría externa de seguridad</t>
  </si>
  <si>
    <t>Lectores de código de barra</t>
  </si>
  <si>
    <t>Plataforma de BI (de Inteligencia de Negocios)</t>
  </si>
  <si>
    <t xml:space="preserve"> Desarrollo un plan estratégico del VMI para aumentar la recaudación de la AT; </t>
  </si>
  <si>
    <t>Fortalecimiento del modelo de evaluación de desempeño para los funcionarios de todas las dependencias del VMI orientado a generar incentivos a la mayor  mejor rendimiento incluyendo un piloto</t>
  </si>
  <si>
    <t>Desarrollo de estrategia de conocimiento y de metodología de identificación de los temas a ser estudiados</t>
  </si>
  <si>
    <t>Apoyo en el desarrollo de estudios y recomendaciones de implementación</t>
  </si>
  <si>
    <t>Desarrollo de los informes tributarios por internet</t>
  </si>
  <si>
    <t>Desarrollo de Sistema de  Control de Calidad de la Información de los Informes Web</t>
  </si>
  <si>
    <t>Adquisición de equipo para la implementación del Sistema de Monitoreo de los Centros de Atención (impresoras, computadoras,  televisores, sillas de espera) 11 centros de atención</t>
  </si>
  <si>
    <t>Cuadro 2.3. Presupuesto total del Proyecto (US$)</t>
  </si>
  <si>
    <t>Costos Totales</t>
  </si>
  <si>
    <t>3. Imprevistos</t>
  </si>
  <si>
    <t>2.5      Consultorías Técnicas</t>
  </si>
  <si>
    <t>Ejecución y puesta en producción del Plan de Integración de los sistemas de la DGI, DGA y DGT a la Cuenta Corriente</t>
  </si>
  <si>
    <t>Dotación de microbuses, para labores de campo. Incrementar la cobertura de casos asignados, reducir tiempos de ejecución.</t>
  </si>
  <si>
    <t>Total por Categoría -Componente I</t>
  </si>
  <si>
    <t>Total por Categoría - Componente II</t>
  </si>
  <si>
    <t>Total por Categoría - Componente III</t>
  </si>
  <si>
    <t>Total por Categoría - Programa</t>
  </si>
  <si>
    <t>Total por Categoría Administración</t>
  </si>
  <si>
    <t>Imprevistos</t>
  </si>
  <si>
    <t>Desarrollo de un Sistema Integrado de Consolidación de la Información tributaria</t>
  </si>
  <si>
    <t>Capacitación para 100 personas para implementación sistema (3 consultores por 2 semanas)</t>
  </si>
  <si>
    <t>Logística para el taller y para capacitación</t>
  </si>
  <si>
    <t>Depuración de bases de datos y adecuación de protocolos</t>
  </si>
  <si>
    <t>Consultoría Internacional para el mejoramiento del control de correlativos y de imprentas de acuerdo al riesgo del contribuyente</t>
  </si>
  <si>
    <t>Firma para adecuar el sistema de gestión de correlativos y de imprentas de acuerdo al riesgo del contribuyente</t>
  </si>
  <si>
    <t>Adecuación de la normativa para permitir implementación plena de factura electrónica (1 abogado nacional y 1 internacional)</t>
  </si>
  <si>
    <t>Desarrollar  e implementar el sistema de gestión de la Factura Electrónica incluyendo un piloto</t>
  </si>
  <si>
    <t>Consultoría Internacional para la preparación de los Términos de Referencia para Selección y Contratación de Firma</t>
  </si>
  <si>
    <t>Licenciamientos Sistema |Operativo y Aplicativos</t>
  </si>
  <si>
    <t>Desarrollo de programas de incentivo al uso de la factura electrónica</t>
  </si>
  <si>
    <t>Licenciamiento Oracle</t>
  </si>
  <si>
    <t>Adquisición de licencias disponibles en el mercado para conversión  y manejo de bases de datos y capacitación en el uso. (Proveer y capacitar en general al personal de fiscalización en  Programas utilitarios para manejar bases de datos que permitan "trabajar" archivos magnéticos provistos por contribuyentes, sin importar el formato en el cual sean entregados).</t>
  </si>
  <si>
    <t>Preparación de perfiles de riesgo en materia de precios de transferencia. Integrar a la matriz de riesgo en proceso de desarrollo, parámetros o criterios que definan perfiles de riesgo en materia de precios de transferencia.</t>
  </si>
  <si>
    <t>Adquisición de Moduladores/Demodulador (MODEM) para el 100% del personal de fiscalización. Acceso remoto qa base de datos de la Administración Tributaria.</t>
  </si>
  <si>
    <t>Estudio de factibilidad de inversión en infraestructura tecnológica en apoyo a la Fiscalización. Definir un plan de acción para futuras inversiones, ante la creciente demanda de gestión en las unidades que integran la Dirección de Fiscalización.</t>
  </si>
  <si>
    <t>Licenciamiento para accesar bases de datos. Adquirir licencias a bases de consulta internacionales (OSIRIS, ORBIS o TP CATALYST), especializadas en precios de transferencia.</t>
  </si>
  <si>
    <t>Formación especializada en precios de transferencia. Capacitación Especializada al 100% del Cuerpo de Auditores (auditores, supervisores, Coordinadores, Jefes de Depto., Subdirectores, Audiencia y Tasaciones) y personal del TAIIA sobre Metodología OCDE para determinar rangos de plena competencia en operaciones efectuadas entre partes vinculadas.</t>
  </si>
  <si>
    <t>Desarrollo de competencias para auditores tributarios. (Materias específicas que demandan desarrollarse al fiscalizador: Normas internacionales NIAS, NIIF y NIIF para PYMES, Capacitaciones especializadas on line (CIAT. OCDE, etc.), Bancos, Telefónicas, Eléctricas, Seguros, Tributación internacional y planeación fiscal, Lavado de Dinero y de Activos,)</t>
  </si>
  <si>
    <t xml:space="preserve">Ampliación de las funcionabilidades del CSMS 2 (incluir el Modulo de la Oficina del Dictamen Fiscal), así como también la generación de reportes adicionales (Área de Análisis Documental Fiscalización Extensiva).  </t>
  </si>
  <si>
    <t>3 Talleres internacionales sobre el Análisis y Evaluación de Riesgos de Tributos Internos, a efecto de fortalecer los modelos que actualmente se están implementando para apoyar el proceso de selección de contribuyentes a fiscalizar, así como también definir el perfil de riesgo tributario del contribuyente (a ser utilizado en los procedimientos sensibles).</t>
  </si>
  <si>
    <t>Plan de Capacitación en derecho penal, procesal penal, técnica de investigación financiera</t>
  </si>
  <si>
    <t xml:space="preserve">Preparación de la metodología para el procedimiento de selección de Contribuyentes para Auditorias Conjuntas DGII -DGA, incluyendo la realización de por lo menos un caso  Plan Piloto </t>
  </si>
  <si>
    <t>Implementación del módulo de cobranzas en el CSMS integrado con la Cuenta Corriente</t>
  </si>
  <si>
    <t>Diseño y Implementación del Modelo Conceptual de  Cobranzas I incluida organigrama, flujograma, mapa de procesos</t>
  </si>
  <si>
    <t>Desarrollo  e implementación de un plana de capacitación técnicas (investigación patrimonial, sistemas de mandamiento de emisión de cobros, procedimientos operativos, adaptaciones legales)</t>
  </si>
  <si>
    <t>Desarrollo de un Plan de Mejora del flujo de la Mercancía en todas las Aduanas de frontera para asegurar el transito fluido</t>
  </si>
  <si>
    <t>Plan de implementación de la migración de SIDUNEA ++ a SIDUNEA WORLD incluyendo la Contratación de consultoría para capacitación de personal técnico informático interno en el Framework de Web Service y para la funcionalidad de los Manifiestos Electrónicos (Marítimo y Aéreo) y la conectividad con los sistemas de la DGII y de la DGT.</t>
  </si>
  <si>
    <t>Expansión del SIRAM piloto para una Aduana incluyendo bascula.</t>
  </si>
  <si>
    <t>Expansión del SIRAM  , sistema de video-vigilancia y personal capacitado para 3 Aduanas</t>
  </si>
  <si>
    <t>Expansión del RFID (34 antenas)</t>
  </si>
  <si>
    <t>Plan Estratégico de la tecnología informática de todas las dependencias del VMI</t>
  </si>
  <si>
    <t>Capacitación en Configuración de Firewall, IDS, Antivirus en Tecnología de Fuente Abierta, Administración de Equipos de Comunicación y en Windows 10</t>
  </si>
  <si>
    <t>Servidores de Base de Datos RISC</t>
  </si>
  <si>
    <t>Servidores de Seguridad (2 firewalls, 2 proxy reverso, 2 IDS, 1 Antivirus, 1 Backup) para plataformas de fuente abierta</t>
  </si>
  <si>
    <t>Plataforma de gestión documental incluyendo scanner</t>
  </si>
  <si>
    <t xml:space="preserve">Adecuación de Infraestructura para mesa de ayuda de los Servicios web(incluye mobiliario, equipo informático y accesorios) </t>
  </si>
  <si>
    <t>Remodelación y equipamiento de sala de capacitación para usuarios del Ministerio de Hacienda</t>
  </si>
  <si>
    <t>Establecimiento de un programa permanente de capacitación en procesos, uso de sistemas y nueva tecnología; incluyendo cursos específicos de cada una de las áreas dependientes del VMI</t>
  </si>
  <si>
    <t>Sistema de capacitación e-learning</t>
  </si>
  <si>
    <t>Consultorías Individuales</t>
  </si>
  <si>
    <t>Categorías</t>
  </si>
  <si>
    <t>1.1. Implementación del Sistema Integrado de Consolidación de Información Tributaria bajo la órbita del VMI con un único Número de Identificación Tributaria (NIT), integrada (a través de convenios, protocolos y estándares comunes) con bases de terceros del Registro Nacional de las Personas (RNP), Centro Nacional de Registros (CNR), y otros de interés tributario incluso los datos de facturación electrónica que mejore la calidad del RUC, ampliando la base impositiva.</t>
  </si>
  <si>
    <t>1.2. Adecuación de Sistemas de DGII, DGA y DGT, incluido el Sistema Integrado de Informacion Tributaria (SIIT) a la cuenta corriente de los contribuyentes</t>
  </si>
  <si>
    <t>1.3 Mejora en el control de la facturación hasta la implementación completa de la Factura Electrónica (FE), empezando con un Plan Piloto que incluya a un grupo de grandes cont.ribuyentes y proveedores tecnológicos, exclusivamente para transacciones de bienes y servicios entre empresas</t>
  </si>
  <si>
    <t>1.4. Fortalecimiento de la fiscalización y control que integre todo el proceso y optimice la fiscalización ex ante;</t>
  </si>
  <si>
    <t>1.5. Institucionalización total e integral de de un nuevo porceso de cobranzas, bajo la jurisdicción del VMI.</t>
  </si>
  <si>
    <t>2.1.  Mejora del modelo de control ex ante, fortaleciendo el procesamiento electrónico obligatorio de los manifiestos de carga y los conocimientos de embarque;</t>
  </si>
  <si>
    <t xml:space="preserve">2.2. Complementación de la funcionalidad de SIDUNEA World y la interoperabilidad con los sistemas de la DGII; </t>
  </si>
  <si>
    <t>2.4. Mejora del modelo de control Post-Despacho, con la implementación completa del pago electrónico de tributaciones aduaneras por Internet, el control automatizado de los morosos, integrando la fiscalización ex-post con la DGII.</t>
  </si>
  <si>
    <t xml:space="preserve">Subcomponente III.1. Mejora de la infraestructura tecnológica y de la gestión de la información. </t>
  </si>
  <si>
    <t xml:space="preserve">3.1.2.  Fortalecimiento del desarrollo de un portal único con todos los aplicativos y declaraciones en línea con la utilización del código de barras para el pago de impuestos en agencias bancarias o vía Internet. </t>
  </si>
  <si>
    <t xml:space="preserve">Subcomponente III.2. Fortalecimiento estratégico del VMI y de los recursos humanos. </t>
  </si>
  <si>
    <t>3.2.1. Fortalecimiento de la gestión estratégica y de RRHH del VMI</t>
  </si>
  <si>
    <t>3.2.2. Fortalecimiento del área de estudios tributarios y aduaneros que provean indicadores, diagnósticos y evaluaciones  para gestionar el aumento eficiente de la recaudación</t>
  </si>
  <si>
    <t>Evaluacion Intermedia y Final</t>
  </si>
  <si>
    <t>3.1.1.Fortalecimiento de la integración informática de la DGII, DGA y DGT, mejorando la seguridad de la información, con un nuevo modelo de infraestructura tecnológica resolviendo problema de obsolescencia.</t>
  </si>
  <si>
    <t>2.3. Perfeccionamiento del modelo de selección de casos masivos en base a análisis de riesgo, utilizando información electrónica anticipada de los manifiestos de embarque</t>
  </si>
  <si>
    <t xml:space="preserve">I.     Mejora de la Gestión de los Tributos Internos. </t>
  </si>
  <si>
    <t>II.    Fortalecimiento de la Gestión de los Tributos Aduaneros</t>
  </si>
  <si>
    <t>III  Mejora de la gestión de la información y fortalecimiento estratégico del VMI y sus recursos humanos</t>
  </si>
  <si>
    <t>2.1      Consultoría técnica y gerencial de apoyo a la  ejecución</t>
  </si>
  <si>
    <t xml:space="preserve">Consultoría técnica y gerencial de apoyo a la  ejecución
</t>
  </si>
  <si>
    <t>Consultoría técnica y gerencial de apoyo a la  ejecución</t>
  </si>
  <si>
    <t>60 meses</t>
  </si>
  <si>
    <t>3.       Imprevistos</t>
  </si>
  <si>
    <t>Especialista Senior en Adquisiciones</t>
  </si>
  <si>
    <t xml:space="preserve">Especialistas temáticas para la gerencia y especificaciones técnicas de adquisiciones del proyecto </t>
  </si>
  <si>
    <t>Cuadro 2.2. Cronograma de desembolso (US$)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</si>
</sst>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quot;Q&quot;#,##0.00"/>
  </numFmts>
  <fonts count="4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2"/>
      <color theme="1"/>
      <name val="Calibri"/>
      <family val="2"/>
      <scheme val="minor"/>
    </font>
    <font>
      <sz val="12"/>
      <color theme="1"/>
      <name val="Calibri"/>
      <family val="2"/>
      <scheme val="minor"/>
    </font>
    <font>
      <b/>
      <sz val="11"/>
      <color theme="1"/>
      <name val="Times New Roman"/>
      <family val="1"/>
    </font>
    <font>
      <sz val="11"/>
      <color theme="1"/>
      <name val="Times New Roman"/>
      <family val="1"/>
    </font>
    <font>
      <b/>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9"/>
      <color theme="1"/>
      <name val="Times New Roman"/>
      <family val="1"/>
    </font>
    <font>
      <b/>
      <sz val="9"/>
      <color theme="1"/>
      <name val="Times New Roman"/>
      <family val="1"/>
    </font>
    <font>
      <b/>
      <sz val="9"/>
      <color rgb="FF000000"/>
      <name val="Times New Roman"/>
      <family val="1"/>
    </font>
    <font>
      <b/>
      <sz val="10"/>
      <color theme="1"/>
      <name val="Times New Roman"/>
      <family val="1"/>
    </font>
    <font>
      <sz val="10"/>
      <color theme="1"/>
      <name val="Times New Roman"/>
      <family val="1"/>
    </font>
    <font>
      <sz val="8"/>
      <color theme="1"/>
      <name val="Times New Roman"/>
      <family val="1"/>
    </font>
    <font>
      <sz val="11"/>
      <name val="Times New Roman"/>
      <family val="1"/>
    </font>
    <font>
      <b/>
      <sz val="11"/>
      <color rgb="FF000000"/>
      <name val="Times New Roman"/>
      <family val="1"/>
    </font>
    <font>
      <sz val="9"/>
      <color indexed="81"/>
      <name val="Tahoma"/>
      <family val="2"/>
    </font>
    <font>
      <b/>
      <sz val="9"/>
      <color indexed="81"/>
      <name val="Tahoma"/>
      <family val="2"/>
    </font>
    <font>
      <sz val="11"/>
      <color theme="1"/>
      <name val="Candara"/>
      <family val="2"/>
    </font>
    <font>
      <sz val="11"/>
      <name val="Candara"/>
      <family val="2"/>
    </font>
    <font>
      <b/>
      <sz val="10"/>
      <color theme="1"/>
      <name val="Arial"/>
      <family val="2"/>
    </font>
    <font>
      <sz val="10"/>
      <color theme="1"/>
      <name val="Arial"/>
      <family val="2"/>
    </font>
    <font>
      <sz val="11"/>
      <color rgb="FF000000"/>
      <name val="Times New Roman"/>
      <family val="1"/>
      <charset val="1"/>
    </font>
    <font>
      <sz val="11"/>
      <color rgb="FF000000"/>
      <name val="Calibri"/>
      <family val="2"/>
      <charset val="1"/>
    </font>
  </fonts>
  <fills count="40">
    <fill>
      <patternFill patternType="none"/>
    </fill>
    <fill>
      <patternFill patternType="gray125"/>
    </fill>
    <fill>
      <patternFill patternType="solid">
        <fgColor rgb="FFFFFFFF"/>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0C0C0"/>
        <bgColor indexed="64"/>
      </patternFill>
    </fill>
    <fill>
      <patternFill patternType="solid">
        <fgColor rgb="FFBFBFBF"/>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rgb="FFC6D9F1"/>
        <bgColor rgb="FFB9CDE5"/>
      </patternFill>
    </fill>
    <fill>
      <patternFill patternType="solid">
        <fgColor theme="3" tint="0.59999389629810485"/>
        <bgColor indexed="64"/>
      </patternFill>
    </fill>
    <fill>
      <patternFill patternType="solid">
        <fgColor theme="9"/>
        <bgColor indexed="64"/>
      </patternFill>
    </fill>
  </fills>
  <borders count="3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rgb="FF000000"/>
      </right>
      <top/>
      <bottom style="medium">
        <color rgb="FF000000"/>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top/>
      <bottom style="thin">
        <color auto="1"/>
      </bottom>
      <diagonal/>
    </border>
    <border>
      <left/>
      <right/>
      <top/>
      <bottom style="thin">
        <color auto="1"/>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35">
    <xf numFmtId="0" fontId="0" fillId="0" borderId="0"/>
    <xf numFmtId="0" fontId="5" fillId="0" borderId="0"/>
    <xf numFmtId="0" fontId="5" fillId="0" borderId="0"/>
    <xf numFmtId="0" fontId="4" fillId="0" borderId="0"/>
    <xf numFmtId="0" fontId="3" fillId="0" borderId="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2"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5" borderId="0" applyNumberFormat="0" applyBorder="0" applyAlignment="0" applyProtection="0"/>
    <xf numFmtId="0" fontId="12" fillId="25" borderId="0" applyNumberFormat="0" applyBorder="0" applyAlignment="0" applyProtection="0"/>
    <xf numFmtId="0" fontId="12" fillId="25"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4" fillId="26" borderId="7" applyNumberFormat="0" applyAlignment="0" applyProtection="0"/>
    <xf numFmtId="0" fontId="14" fillId="26" borderId="7" applyNumberFormat="0" applyAlignment="0" applyProtection="0"/>
    <xf numFmtId="0" fontId="14" fillId="26" borderId="7" applyNumberFormat="0" applyAlignment="0" applyProtection="0"/>
    <xf numFmtId="0" fontId="15" fillId="27" borderId="8" applyNumberFormat="0" applyAlignment="0" applyProtection="0"/>
    <xf numFmtId="0" fontId="15" fillId="27" borderId="8" applyNumberFormat="0" applyAlignment="0" applyProtection="0"/>
    <xf numFmtId="0" fontId="15" fillId="27" borderId="8"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8" fillId="0" borderId="9" applyNumberFormat="0" applyFill="0" applyAlignment="0" applyProtection="0"/>
    <xf numFmtId="0" fontId="18" fillId="0" borderId="9" applyNumberFormat="0" applyFill="0" applyAlignment="0" applyProtection="0"/>
    <xf numFmtId="0" fontId="18" fillId="0" borderId="9" applyNumberFormat="0" applyFill="0" applyAlignment="0" applyProtection="0"/>
    <xf numFmtId="0" fontId="19" fillId="0" borderId="10" applyNumberFormat="0" applyFill="0" applyAlignment="0" applyProtection="0"/>
    <xf numFmtId="0" fontId="19" fillId="0" borderId="10" applyNumberFormat="0" applyFill="0" applyAlignment="0" applyProtection="0"/>
    <xf numFmtId="0" fontId="19" fillId="0" borderId="10" applyNumberFormat="0" applyFill="0" applyAlignment="0" applyProtection="0"/>
    <xf numFmtId="0" fontId="20" fillId="0" borderId="11" applyNumberFormat="0" applyFill="0" applyAlignment="0" applyProtection="0"/>
    <xf numFmtId="0" fontId="20" fillId="0" borderId="11" applyNumberFormat="0" applyFill="0" applyAlignment="0" applyProtection="0"/>
    <xf numFmtId="0" fontId="20" fillId="0" borderId="11"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13" borderId="7" applyNumberFormat="0" applyAlignment="0" applyProtection="0"/>
    <xf numFmtId="0" fontId="21" fillId="13" borderId="7" applyNumberFormat="0" applyAlignment="0" applyProtection="0"/>
    <xf numFmtId="0" fontId="21" fillId="13" borderId="7" applyNumberFormat="0" applyAlignment="0" applyProtection="0"/>
    <xf numFmtId="0" fontId="22" fillId="0" borderId="12" applyNumberFormat="0" applyFill="0" applyAlignment="0" applyProtection="0"/>
    <xf numFmtId="0" fontId="22" fillId="0" borderId="12" applyNumberFormat="0" applyFill="0" applyAlignment="0" applyProtection="0"/>
    <xf numFmtId="0" fontId="22" fillId="0" borderId="12" applyNumberFormat="0" applyFill="0" applyAlignment="0" applyProtection="0"/>
    <xf numFmtId="0" fontId="23" fillId="28"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5" fillId="0" borderId="0"/>
    <xf numFmtId="0" fontId="5" fillId="0" borderId="0"/>
    <xf numFmtId="0" fontId="5" fillId="0" borderId="0"/>
    <xf numFmtId="0" fontId="5" fillId="0" borderId="0"/>
    <xf numFmtId="0" fontId="5" fillId="29" borderId="13" applyNumberFormat="0" applyFont="0" applyAlignment="0" applyProtection="0"/>
    <xf numFmtId="0" fontId="5" fillId="29" borderId="13" applyNumberFormat="0" applyFont="0" applyAlignment="0" applyProtection="0"/>
    <xf numFmtId="0" fontId="5" fillId="29" borderId="13" applyNumberFormat="0" applyFont="0" applyAlignment="0" applyProtection="0"/>
    <xf numFmtId="0" fontId="24" fillId="26" borderId="14" applyNumberFormat="0" applyAlignment="0" applyProtection="0"/>
    <xf numFmtId="0" fontId="24" fillId="26" borderId="14" applyNumberFormat="0" applyAlignment="0" applyProtection="0"/>
    <xf numFmtId="0" fontId="24" fillId="26" borderId="14" applyNumberFormat="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15" applyNumberFormat="0" applyFill="0" applyAlignment="0" applyProtection="0"/>
    <xf numFmtId="0" fontId="26" fillId="0" borderId="15" applyNumberFormat="0" applyFill="0" applyAlignment="0" applyProtection="0"/>
    <xf numFmtId="0" fontId="26" fillId="0" borderId="15"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43" fontId="7" fillId="0" borderId="0" applyFont="0" applyFill="0" applyBorder="0" applyAlignment="0" applyProtection="0"/>
    <xf numFmtId="0" fontId="2" fillId="0" borderId="0"/>
    <xf numFmtId="0" fontId="43" fillId="0" borderId="0"/>
  </cellStyleXfs>
  <cellXfs count="188">
    <xf numFmtId="0" fontId="0" fillId="0" borderId="0" xfId="0"/>
    <xf numFmtId="0" fontId="3" fillId="0" borderId="0" xfId="4"/>
    <xf numFmtId="0" fontId="29" fillId="30" borderId="17" xfId="4" applyFont="1" applyFill="1" applyBorder="1" applyAlignment="1">
      <alignment horizontal="center" vertical="center" wrapText="1"/>
    </xf>
    <xf numFmtId="0" fontId="29" fillId="30" borderId="18" xfId="4" applyFont="1" applyFill="1" applyBorder="1" applyAlignment="1">
      <alignment horizontal="center" vertical="center" wrapText="1"/>
    </xf>
    <xf numFmtId="0" fontId="29" fillId="0" borderId="19" xfId="4" applyFont="1" applyBorder="1" applyAlignment="1">
      <alignment horizontal="left" vertical="center" wrapText="1" indent="1"/>
    </xf>
    <xf numFmtId="3" fontId="29" fillId="0" borderId="20" xfId="4" applyNumberFormat="1" applyFont="1" applyBorder="1" applyAlignment="1">
      <alignment horizontal="right" vertical="center" wrapText="1"/>
    </xf>
    <xf numFmtId="4" fontId="30" fillId="0" borderId="20" xfId="4" applyNumberFormat="1" applyFont="1" applyBorder="1" applyAlignment="1">
      <alignment horizontal="center" vertical="center" wrapText="1"/>
    </xf>
    <xf numFmtId="0" fontId="28" fillId="0" borderId="19" xfId="4" applyFont="1" applyBorder="1" applyAlignment="1">
      <alignment horizontal="left" vertical="center" wrapText="1" indent="4"/>
    </xf>
    <xf numFmtId="3" fontId="28" fillId="0" borderId="20" xfId="4" applyNumberFormat="1" applyFont="1" applyBorder="1" applyAlignment="1">
      <alignment horizontal="right" vertical="center" wrapText="1"/>
    </xf>
    <xf numFmtId="0" fontId="28" fillId="0" borderId="20" xfId="4" applyFont="1" applyBorder="1" applyAlignment="1">
      <alignment horizontal="right" vertical="center" wrapText="1"/>
    </xf>
    <xf numFmtId="0" fontId="29" fillId="30" borderId="19" xfId="4" applyFont="1" applyFill="1" applyBorder="1" applyAlignment="1">
      <alignment vertical="center" wrapText="1"/>
    </xf>
    <xf numFmtId="3" fontId="29" fillId="30" borderId="20" xfId="4" applyNumberFormat="1" applyFont="1" applyFill="1" applyBorder="1" applyAlignment="1">
      <alignment horizontal="right" vertical="center" wrapText="1"/>
    </xf>
    <xf numFmtId="4" fontId="30" fillId="6" borderId="20" xfId="4" applyNumberFormat="1" applyFont="1" applyFill="1" applyBorder="1" applyAlignment="1">
      <alignment horizontal="center" vertical="center" wrapText="1"/>
    </xf>
    <xf numFmtId="3" fontId="32" fillId="0" borderId="22" xfId="4" applyNumberFormat="1" applyFont="1" applyBorder="1" applyAlignment="1">
      <alignment horizontal="center" vertical="center" wrapText="1"/>
    </xf>
    <xf numFmtId="0" fontId="33" fillId="0" borderId="0" xfId="4" applyFont="1" applyAlignment="1">
      <alignment vertical="center"/>
    </xf>
    <xf numFmtId="3" fontId="3" fillId="0" borderId="0" xfId="4" applyNumberFormat="1"/>
    <xf numFmtId="0" fontId="0" fillId="0" borderId="0" xfId="0" applyBorder="1"/>
    <xf numFmtId="0" fontId="31" fillId="0" borderId="30" xfId="4" applyFont="1" applyBorder="1" applyAlignment="1">
      <alignment horizontal="center" vertical="center" wrapText="1"/>
    </xf>
    <xf numFmtId="0" fontId="31" fillId="31" borderId="30" xfId="4" applyFont="1" applyFill="1" applyBorder="1" applyAlignment="1">
      <alignment horizontal="center" vertical="center" wrapText="1"/>
    </xf>
    <xf numFmtId="0" fontId="31" fillId="31" borderId="31" xfId="4" applyFont="1" applyFill="1" applyBorder="1" applyAlignment="1">
      <alignment horizontal="center" vertical="center" wrapText="1"/>
    </xf>
    <xf numFmtId="0" fontId="31" fillId="31" borderId="32" xfId="4" applyFont="1" applyFill="1" applyBorder="1" applyAlignment="1">
      <alignment horizontal="center" vertical="center" wrapText="1"/>
    </xf>
    <xf numFmtId="0" fontId="31" fillId="31" borderId="20" xfId="4" applyFont="1" applyFill="1" applyBorder="1" applyAlignment="1">
      <alignment horizontal="center" vertical="center" wrapText="1"/>
    </xf>
    <xf numFmtId="0" fontId="31" fillId="6" borderId="27" xfId="4" applyFont="1" applyFill="1" applyBorder="1" applyAlignment="1">
      <alignment horizontal="center" vertical="center" wrapText="1"/>
    </xf>
    <xf numFmtId="3" fontId="10" fillId="6" borderId="4" xfId="4" applyNumberFormat="1" applyFont="1" applyFill="1" applyBorder="1" applyAlignment="1">
      <alignment horizontal="center"/>
    </xf>
    <xf numFmtId="0" fontId="31" fillId="6" borderId="28" xfId="4" applyFont="1" applyFill="1" applyBorder="1" applyAlignment="1">
      <alignment horizontal="center" vertical="center" wrapText="1"/>
    </xf>
    <xf numFmtId="0" fontId="31" fillId="6" borderId="29" xfId="4" applyFont="1" applyFill="1" applyBorder="1" applyAlignment="1">
      <alignment horizontal="center" vertical="center" wrapText="1"/>
    </xf>
    <xf numFmtId="4" fontId="31" fillId="0" borderId="31" xfId="4" applyNumberFormat="1" applyFont="1" applyBorder="1" applyAlignment="1">
      <alignment horizontal="center" vertical="center" wrapText="1"/>
    </xf>
    <xf numFmtId="3" fontId="31" fillId="31" borderId="22" xfId="4" applyNumberFormat="1" applyFont="1" applyFill="1" applyBorder="1" applyAlignment="1">
      <alignment horizontal="center" vertical="center" wrapText="1"/>
    </xf>
    <xf numFmtId="3" fontId="31" fillId="0" borderId="22" xfId="4" applyNumberFormat="1" applyFont="1" applyBorder="1" applyAlignment="1">
      <alignment horizontal="center" vertical="center" wrapText="1"/>
    </xf>
    <xf numFmtId="2" fontId="29" fillId="30" borderId="20" xfId="4" applyNumberFormat="1" applyFont="1" applyFill="1" applyBorder="1" applyAlignment="1">
      <alignment horizontal="center" vertical="center" wrapText="1"/>
    </xf>
    <xf numFmtId="3" fontId="9" fillId="35" borderId="1" xfId="3" applyNumberFormat="1" applyFont="1" applyFill="1" applyBorder="1" applyAlignment="1" applyProtection="1">
      <alignment horizontal="right" vertical="center" wrapText="1"/>
    </xf>
    <xf numFmtId="0" fontId="4" fillId="0" borderId="0" xfId="3" applyProtection="1">
      <protection locked="0"/>
    </xf>
    <xf numFmtId="0" fontId="8" fillId="4" borderId="23" xfId="3" applyFont="1" applyFill="1" applyBorder="1" applyAlignment="1" applyProtection="1">
      <alignment horizontal="center" vertical="center"/>
      <protection locked="0"/>
    </xf>
    <xf numFmtId="0" fontId="8" fillId="4" borderId="23" xfId="3" applyFont="1" applyFill="1" applyBorder="1" applyAlignment="1" applyProtection="1">
      <alignment horizontal="center" vertical="center" wrapText="1"/>
      <protection locked="0"/>
    </xf>
    <xf numFmtId="0" fontId="9" fillId="35" borderId="1" xfId="0" applyFont="1" applyFill="1" applyBorder="1" applyAlignment="1" applyProtection="1">
      <alignment horizontal="left" vertical="center" wrapText="1"/>
      <protection locked="0"/>
    </xf>
    <xf numFmtId="3" fontId="9" fillId="35" borderId="1" xfId="0" applyNumberFormat="1" applyFont="1" applyFill="1" applyBorder="1" applyAlignment="1" applyProtection="1">
      <alignment horizontal="right" vertical="center" wrapText="1"/>
      <protection locked="0"/>
    </xf>
    <xf numFmtId="0" fontId="9" fillId="35" borderId="23" xfId="0" applyFont="1" applyFill="1" applyBorder="1" applyAlignment="1" applyProtection="1">
      <alignment horizontal="left" vertical="center" wrapText="1"/>
      <protection locked="0"/>
    </xf>
    <xf numFmtId="3" fontId="9" fillId="35" borderId="23" xfId="0" applyNumberFormat="1" applyFont="1" applyFill="1" applyBorder="1" applyAlignment="1" applyProtection="1">
      <alignment horizontal="right" vertical="center" wrapText="1"/>
      <protection locked="0"/>
    </xf>
    <xf numFmtId="0" fontId="8" fillId="3" borderId="1" xfId="3" applyFont="1" applyFill="1" applyBorder="1" applyAlignment="1" applyProtection="1">
      <alignment horizontal="center"/>
      <protection locked="0"/>
    </xf>
    <xf numFmtId="3" fontId="8" fillId="3" borderId="1" xfId="3" applyNumberFormat="1" applyFont="1" applyFill="1" applyBorder="1" applyAlignment="1" applyProtection="1">
      <alignment horizontal="center"/>
      <protection locked="0"/>
    </xf>
    <xf numFmtId="3" fontId="8" fillId="0" borderId="1" xfId="3" applyNumberFormat="1" applyFont="1" applyFill="1" applyBorder="1" applyAlignment="1" applyProtection="1">
      <alignment horizontal="right" wrapText="1"/>
      <protection locked="0"/>
    </xf>
    <xf numFmtId="0" fontId="9" fillId="0" borderId="0" xfId="3" applyFont="1" applyBorder="1" applyProtection="1">
      <protection locked="0"/>
    </xf>
    <xf numFmtId="0" fontId="9" fillId="0" borderId="0" xfId="3" applyFont="1" applyProtection="1">
      <protection locked="0"/>
    </xf>
    <xf numFmtId="3" fontId="9" fillId="0" borderId="0" xfId="3" applyNumberFormat="1" applyFont="1" applyBorder="1" applyProtection="1">
      <protection locked="0"/>
    </xf>
    <xf numFmtId="0" fontId="3" fillId="0" borderId="0" xfId="4" applyProtection="1">
      <protection locked="0"/>
    </xf>
    <xf numFmtId="0" fontId="6" fillId="7" borderId="1" xfId="4" applyFont="1" applyFill="1" applyBorder="1" applyAlignment="1" applyProtection="1">
      <alignment horizontal="center"/>
      <protection locked="0"/>
    </xf>
    <xf numFmtId="4" fontId="3" fillId="33" borderId="1" xfId="4" applyNumberFormat="1" applyFill="1" applyBorder="1" applyAlignment="1" applyProtection="1">
      <alignment horizontal="center"/>
      <protection locked="0"/>
    </xf>
    <xf numFmtId="3" fontId="3" fillId="0" borderId="0" xfId="4" applyNumberFormat="1" applyProtection="1">
      <protection locked="0"/>
    </xf>
    <xf numFmtId="3" fontId="10" fillId="33" borderId="1" xfId="4" applyNumberFormat="1" applyFont="1" applyFill="1" applyBorder="1" applyProtection="1">
      <protection locked="0"/>
    </xf>
    <xf numFmtId="3" fontId="3" fillId="33" borderId="1" xfId="4" applyNumberFormat="1" applyFill="1" applyBorder="1" applyAlignment="1" applyProtection="1">
      <alignment horizontal="center"/>
      <protection locked="0"/>
    </xf>
    <xf numFmtId="3" fontId="10" fillId="33" borderId="1" xfId="4" applyNumberFormat="1" applyFont="1" applyFill="1" applyBorder="1" applyAlignment="1" applyProtection="1">
      <alignment horizontal="center"/>
      <protection locked="0"/>
    </xf>
    <xf numFmtId="3" fontId="3" fillId="0" borderId="1" xfId="4" applyNumberFormat="1" applyBorder="1" applyProtection="1">
      <protection locked="0"/>
    </xf>
    <xf numFmtId="3" fontId="9" fillId="33" borderId="1" xfId="4" applyNumberFormat="1" applyFont="1" applyFill="1" applyBorder="1" applyAlignment="1" applyProtection="1">
      <alignment horizontal="center" vertical="top" wrapText="1"/>
      <protection locked="0"/>
    </xf>
    <xf numFmtId="3" fontId="3" fillId="0" borderId="0" xfId="4" applyNumberFormat="1" applyFill="1" applyProtection="1">
      <protection locked="0"/>
    </xf>
    <xf numFmtId="0" fontId="3" fillId="0" borderId="0" xfId="4" applyFill="1" applyProtection="1">
      <protection locked="0"/>
    </xf>
    <xf numFmtId="0" fontId="9" fillId="0" borderId="0" xfId="4" applyFont="1" applyProtection="1">
      <protection locked="0"/>
    </xf>
    <xf numFmtId="3" fontId="3" fillId="0" borderId="0" xfId="4" applyNumberFormat="1" applyAlignment="1" applyProtection="1">
      <alignment horizontal="center"/>
      <protection locked="0"/>
    </xf>
    <xf numFmtId="0" fontId="3" fillId="0" borderId="0" xfId="4" applyAlignment="1" applyProtection="1">
      <alignment horizontal="center"/>
      <protection locked="0"/>
    </xf>
    <xf numFmtId="0" fontId="3" fillId="0" borderId="1" xfId="4" applyBorder="1" applyAlignment="1" applyProtection="1">
      <alignment horizontal="left" vertical="center" wrapText="1"/>
    </xf>
    <xf numFmtId="3" fontId="3" fillId="0" borderId="1" xfId="4" applyNumberFormat="1" applyBorder="1" applyProtection="1"/>
    <xf numFmtId="3" fontId="10" fillId="0" borderId="1" xfId="4" applyNumberFormat="1" applyFont="1" applyBorder="1" applyProtection="1"/>
    <xf numFmtId="3" fontId="10" fillId="33" borderId="1" xfId="4" applyNumberFormat="1" applyFont="1" applyFill="1" applyBorder="1" applyProtection="1"/>
    <xf numFmtId="0" fontId="9" fillId="5" borderId="1" xfId="4" applyFont="1" applyFill="1" applyBorder="1" applyAlignment="1" applyProtection="1">
      <alignment vertical="top" wrapText="1"/>
    </xf>
    <xf numFmtId="3" fontId="1" fillId="0" borderId="1" xfId="4" applyNumberFormat="1" applyFont="1" applyBorder="1" applyProtection="1"/>
    <xf numFmtId="3" fontId="3" fillId="7" borderId="1" xfId="4" applyNumberFormat="1" applyFill="1" applyBorder="1" applyProtection="1"/>
    <xf numFmtId="4" fontId="3" fillId="33" borderId="1" xfId="4" applyNumberFormat="1" applyFill="1" applyBorder="1" applyAlignment="1" applyProtection="1">
      <alignment horizontal="center"/>
    </xf>
    <xf numFmtId="0" fontId="9" fillId="0" borderId="1" xfId="3" applyFont="1" applyFill="1" applyBorder="1" applyAlignment="1" applyProtection="1">
      <alignment horizontal="left" vertical="center" wrapText="1"/>
      <protection locked="0"/>
    </xf>
    <xf numFmtId="3" fontId="9" fillId="0" borderId="1" xfId="0" applyNumberFormat="1" applyFont="1" applyFill="1" applyBorder="1" applyAlignment="1" applyProtection="1">
      <alignment horizontal="right" vertical="center" wrapText="1"/>
      <protection locked="0"/>
    </xf>
    <xf numFmtId="3" fontId="9" fillId="0" borderId="1" xfId="3" applyNumberFormat="1" applyFont="1" applyFill="1" applyBorder="1" applyAlignment="1" applyProtection="1">
      <alignment horizontal="right" vertical="center" wrapText="1"/>
    </xf>
    <xf numFmtId="0" fontId="9" fillId="0" borderId="23" xfId="3" applyFont="1" applyFill="1" applyBorder="1" applyAlignment="1" applyProtection="1">
      <alignment horizontal="left" vertical="center" wrapText="1"/>
      <protection locked="0"/>
    </xf>
    <xf numFmtId="0" fontId="6" fillId="0" borderId="0" xfId="0" applyFont="1" applyFill="1" applyAlignment="1" applyProtection="1">
      <alignment wrapText="1"/>
      <protection locked="0"/>
    </xf>
    <xf numFmtId="0" fontId="8" fillId="36" borderId="23" xfId="3" applyFont="1" applyFill="1" applyBorder="1" applyAlignment="1" applyProtection="1">
      <alignment horizontal="center" vertical="center" wrapText="1"/>
      <protection locked="0"/>
    </xf>
    <xf numFmtId="3" fontId="8" fillId="36" borderId="23" xfId="3" applyNumberFormat="1" applyFont="1" applyFill="1" applyBorder="1" applyAlignment="1" applyProtection="1">
      <alignment horizontal="center"/>
      <protection locked="0"/>
    </xf>
    <xf numFmtId="0" fontId="8" fillId="36" borderId="23" xfId="3" applyFont="1" applyFill="1" applyBorder="1" applyAlignment="1" applyProtection="1">
      <alignment horizontal="center"/>
      <protection locked="0"/>
    </xf>
    <xf numFmtId="3" fontId="9" fillId="35" borderId="23" xfId="3" applyNumberFormat="1" applyFont="1" applyFill="1" applyBorder="1" applyAlignment="1" applyProtection="1">
      <alignment horizontal="right" vertical="center" wrapText="1"/>
    </xf>
    <xf numFmtId="3" fontId="9" fillId="0" borderId="23" xfId="0" applyNumberFormat="1" applyFont="1" applyFill="1" applyBorder="1" applyAlignment="1" applyProtection="1">
      <alignment horizontal="right" vertical="center" wrapText="1"/>
      <protection locked="0"/>
    </xf>
    <xf numFmtId="3" fontId="9" fillId="0" borderId="23" xfId="3" applyNumberFormat="1" applyFont="1" applyFill="1" applyBorder="1" applyAlignment="1" applyProtection="1">
      <alignment horizontal="right" vertical="center" wrapText="1"/>
    </xf>
    <xf numFmtId="0" fontId="8" fillId="0" borderId="1" xfId="3" applyFont="1" applyFill="1" applyBorder="1" applyAlignment="1" applyProtection="1">
      <alignment vertical="center" wrapText="1"/>
      <protection locked="0"/>
    </xf>
    <xf numFmtId="0" fontId="6" fillId="35" borderId="23" xfId="0" applyFont="1" applyFill="1" applyBorder="1"/>
    <xf numFmtId="3" fontId="0" fillId="0" borderId="0" xfId="0" applyNumberFormat="1"/>
    <xf numFmtId="0" fontId="9" fillId="0" borderId="0" xfId="0" applyFont="1" applyBorder="1" applyAlignment="1">
      <alignment vertical="top" wrapText="1"/>
    </xf>
    <xf numFmtId="3" fontId="9" fillId="0" borderId="0" xfId="0" applyNumberFormat="1" applyFont="1" applyBorder="1" applyAlignment="1">
      <alignment vertical="center"/>
    </xf>
    <xf numFmtId="3" fontId="9" fillId="0" borderId="0" xfId="0" applyNumberFormat="1" applyFont="1" applyFill="1" applyBorder="1" applyAlignment="1">
      <alignment vertical="center"/>
    </xf>
    <xf numFmtId="0" fontId="9" fillId="0" borderId="0" xfId="0" applyFont="1" applyFill="1" applyBorder="1" applyAlignment="1">
      <alignment vertical="top" wrapText="1"/>
    </xf>
    <xf numFmtId="0" fontId="6" fillId="0" borderId="0" xfId="0" applyFont="1"/>
    <xf numFmtId="0" fontId="6" fillId="0" borderId="0" xfId="0" applyFont="1" applyAlignment="1">
      <alignment horizontal="center"/>
    </xf>
    <xf numFmtId="3" fontId="6" fillId="0" borderId="0" xfId="0" applyNumberFormat="1" applyFont="1" applyAlignment="1">
      <alignment horizontal="center"/>
    </xf>
    <xf numFmtId="0" fontId="6" fillId="35" borderId="23" xfId="0" applyFont="1" applyFill="1" applyBorder="1" applyAlignment="1">
      <alignment horizontal="center" wrapText="1"/>
    </xf>
    <xf numFmtId="0" fontId="0" fillId="0" borderId="0" xfId="0" applyAlignment="1">
      <alignment wrapText="1"/>
    </xf>
    <xf numFmtId="0" fontId="8" fillId="0" borderId="0" xfId="0" applyFont="1" applyFill="1" applyBorder="1" applyAlignment="1">
      <alignment vertical="top" wrapText="1"/>
    </xf>
    <xf numFmtId="0" fontId="38" fillId="0" borderId="23" xfId="0" applyFont="1" applyFill="1" applyBorder="1" applyAlignment="1">
      <alignment horizontal="left" vertical="top" wrapText="1"/>
    </xf>
    <xf numFmtId="0" fontId="39" fillId="0" borderId="24" xfId="0" applyFont="1" applyFill="1" applyBorder="1" applyAlignment="1">
      <alignment horizontal="left" vertical="top" wrapText="1"/>
    </xf>
    <xf numFmtId="0" fontId="38" fillId="0" borderId="35" xfId="0" applyFont="1" applyFill="1" applyBorder="1" applyAlignment="1">
      <alignment horizontal="left" vertical="top" wrapText="1"/>
    </xf>
    <xf numFmtId="0" fontId="0" fillId="0" borderId="23" xfId="0" applyBorder="1"/>
    <xf numFmtId="0" fontId="0" fillId="0" borderId="23" xfId="0" applyBorder="1" applyAlignment="1">
      <alignment wrapText="1"/>
    </xf>
    <xf numFmtId="0" fontId="0" fillId="0" borderId="23" xfId="0" applyFont="1" applyFill="1" applyBorder="1" applyAlignment="1">
      <alignment horizontal="left" vertical="top" wrapText="1"/>
    </xf>
    <xf numFmtId="0" fontId="0" fillId="0" borderId="23" xfId="0" applyNumberFormat="1" applyFont="1" applyFill="1" applyBorder="1" applyAlignment="1">
      <alignment horizontal="left" vertical="top"/>
    </xf>
    <xf numFmtId="165" fontId="0" fillId="0" borderId="23" xfId="0" applyNumberFormat="1" applyFont="1" applyFill="1" applyBorder="1" applyAlignment="1">
      <alignment horizontal="left" vertical="top"/>
    </xf>
    <xf numFmtId="4" fontId="0" fillId="0" borderId="23" xfId="0" applyNumberFormat="1" applyFont="1" applyFill="1" applyBorder="1" applyAlignment="1">
      <alignment horizontal="right" vertical="top"/>
    </xf>
    <xf numFmtId="0" fontId="40" fillId="0" borderId="0" xfId="0" applyFont="1" applyAlignment="1">
      <alignment vertical="center"/>
    </xf>
    <xf numFmtId="0" fontId="41" fillId="0" borderId="0" xfId="0" applyFont="1" applyAlignment="1">
      <alignment vertical="center"/>
    </xf>
    <xf numFmtId="0" fontId="41" fillId="0" borderId="0" xfId="0" applyFont="1" applyAlignment="1">
      <alignment vertical="center" wrapText="1"/>
    </xf>
    <xf numFmtId="0" fontId="40" fillId="0" borderId="23" xfId="0" applyFont="1" applyBorder="1" applyAlignment="1">
      <alignment vertical="center"/>
    </xf>
    <xf numFmtId="0" fontId="41" fillId="0" borderId="23" xfId="0" applyFont="1" applyBorder="1" applyAlignment="1">
      <alignment vertical="center" wrapText="1"/>
    </xf>
    <xf numFmtId="0" fontId="40" fillId="0" borderId="23" xfId="0" applyFont="1" applyBorder="1" applyAlignment="1">
      <alignment vertical="center" wrapText="1"/>
    </xf>
    <xf numFmtId="4" fontId="0" fillId="0" borderId="23" xfId="0" applyNumberFormat="1" applyFont="1" applyFill="1" applyBorder="1" applyAlignment="1">
      <alignment horizontal="right"/>
    </xf>
    <xf numFmtId="4" fontId="0" fillId="0" borderId="5" xfId="0" applyNumberFormat="1" applyFont="1" applyFill="1" applyBorder="1" applyAlignment="1">
      <alignment horizontal="right"/>
    </xf>
    <xf numFmtId="0" fontId="9" fillId="0" borderId="23" xfId="0" applyFont="1" applyFill="1" applyBorder="1" applyAlignment="1" applyProtection="1">
      <alignment horizontal="left" vertical="center" wrapText="1"/>
      <protection locked="0"/>
    </xf>
    <xf numFmtId="0" fontId="42" fillId="37" borderId="23" xfId="0" applyFont="1" applyFill="1" applyBorder="1" applyAlignment="1" applyProtection="1">
      <alignment horizontal="left" vertical="center"/>
      <protection locked="0"/>
    </xf>
    <xf numFmtId="3" fontId="42" fillId="37" borderId="23" xfId="0" applyNumberFormat="1" applyFont="1" applyFill="1" applyBorder="1" applyAlignment="1" applyProtection="1">
      <alignment horizontal="right" vertical="center" wrapText="1"/>
      <protection locked="0"/>
    </xf>
    <xf numFmtId="3" fontId="42" fillId="37" borderId="23" xfId="134" applyNumberFormat="1" applyFont="1" applyFill="1" applyBorder="1" applyAlignment="1" applyProtection="1">
      <alignment horizontal="right" vertical="center" wrapText="1"/>
    </xf>
    <xf numFmtId="0" fontId="42" fillId="37" borderId="23" xfId="0" applyFont="1" applyFill="1" applyBorder="1" applyAlignment="1" applyProtection="1">
      <alignment horizontal="left" vertical="center" wrapText="1"/>
      <protection locked="0"/>
    </xf>
    <xf numFmtId="0" fontId="28" fillId="0" borderId="19" xfId="4" applyFont="1" applyBorder="1" applyAlignment="1">
      <alignment horizontal="left" vertical="center" wrapText="1"/>
    </xf>
    <xf numFmtId="0" fontId="29" fillId="0" borderId="19" xfId="4" applyFont="1" applyBorder="1" applyAlignment="1">
      <alignment horizontal="left" vertical="center" wrapText="1"/>
    </xf>
    <xf numFmtId="0" fontId="29" fillId="6" borderId="19" xfId="4" applyFont="1" applyFill="1" applyBorder="1" applyAlignment="1">
      <alignment horizontal="left" vertical="center" wrapText="1" indent="1"/>
    </xf>
    <xf numFmtId="3" fontId="29" fillId="6" borderId="20" xfId="4" applyNumberFormat="1" applyFont="1" applyFill="1" applyBorder="1" applyAlignment="1">
      <alignment horizontal="right" vertical="center" wrapText="1"/>
    </xf>
    <xf numFmtId="0" fontId="34" fillId="0" borderId="23" xfId="0" applyFont="1" applyFill="1" applyBorder="1" applyAlignment="1" applyProtection="1">
      <alignment horizontal="left" vertical="center" wrapText="1"/>
      <protection locked="0"/>
    </xf>
    <xf numFmtId="0" fontId="29" fillId="35" borderId="19" xfId="4" applyFont="1" applyFill="1" applyBorder="1" applyAlignment="1">
      <alignment horizontal="left" vertical="center" wrapText="1" indent="1"/>
    </xf>
    <xf numFmtId="3" fontId="29" fillId="35" borderId="20" xfId="4" applyNumberFormat="1" applyFont="1" applyFill="1" applyBorder="1" applyAlignment="1">
      <alignment horizontal="right" vertical="center" wrapText="1"/>
    </xf>
    <xf numFmtId="4" fontId="30" fillId="35" borderId="20" xfId="4" applyNumberFormat="1" applyFont="1" applyFill="1" applyBorder="1" applyAlignment="1">
      <alignment horizontal="center" vertical="center" wrapText="1"/>
    </xf>
    <xf numFmtId="3" fontId="28" fillId="35" borderId="20" xfId="4" applyNumberFormat="1" applyFont="1" applyFill="1" applyBorder="1" applyAlignment="1">
      <alignment horizontal="right" vertical="center" wrapText="1"/>
    </xf>
    <xf numFmtId="0" fontId="8" fillId="3" borderId="6" xfId="3" applyFont="1" applyFill="1" applyBorder="1" applyAlignment="1" applyProtection="1">
      <alignment horizontal="center"/>
      <protection locked="0"/>
    </xf>
    <xf numFmtId="3" fontId="8" fillId="3" borderId="6" xfId="3" applyNumberFormat="1" applyFont="1" applyFill="1" applyBorder="1" applyAlignment="1" applyProtection="1">
      <alignment horizontal="center"/>
      <protection locked="0"/>
    </xf>
    <xf numFmtId="0" fontId="10" fillId="0" borderId="23" xfId="3" applyFont="1" applyFill="1" applyBorder="1" applyProtection="1">
      <protection locked="0"/>
    </xf>
    <xf numFmtId="0" fontId="8" fillId="39" borderId="23" xfId="0" applyFont="1" applyFill="1" applyBorder="1" applyAlignment="1" applyProtection="1">
      <alignment horizontal="left" vertical="center" wrapText="1"/>
      <protection locked="0"/>
    </xf>
    <xf numFmtId="3" fontId="8" fillId="39" borderId="23" xfId="0" applyNumberFormat="1" applyFont="1" applyFill="1" applyBorder="1" applyAlignment="1" applyProtection="1">
      <alignment horizontal="right" vertical="center" wrapText="1"/>
      <protection locked="0"/>
    </xf>
    <xf numFmtId="3" fontId="8" fillId="39" borderId="23" xfId="3" applyNumberFormat="1" applyFont="1" applyFill="1" applyBorder="1" applyAlignment="1" applyProtection="1">
      <alignment horizontal="right" vertical="center" wrapText="1"/>
    </xf>
    <xf numFmtId="0" fontId="8" fillId="39" borderId="23" xfId="3" applyFont="1" applyFill="1" applyBorder="1" applyAlignment="1" applyProtection="1">
      <alignment horizontal="left" vertical="center" wrapText="1"/>
      <protection locked="0"/>
    </xf>
    <xf numFmtId="0" fontId="10" fillId="39" borderId="23" xfId="3" applyFont="1" applyFill="1" applyBorder="1" applyProtection="1">
      <protection locked="0"/>
    </xf>
    <xf numFmtId="0" fontId="8" fillId="0" borderId="0" xfId="3" applyFont="1" applyBorder="1" applyProtection="1">
      <protection locked="0"/>
    </xf>
    <xf numFmtId="3" fontId="8" fillId="0" borderId="0" xfId="3" applyNumberFormat="1" applyFont="1" applyProtection="1">
      <protection locked="0"/>
    </xf>
    <xf numFmtId="3" fontId="31" fillId="31" borderId="33" xfId="4" applyNumberFormat="1" applyFont="1" applyFill="1" applyBorder="1" applyAlignment="1">
      <alignment horizontal="center" vertical="center" wrapText="1"/>
    </xf>
    <xf numFmtId="0" fontId="3" fillId="0" borderId="23" xfId="4" applyBorder="1" applyAlignment="1" applyProtection="1">
      <alignment horizontal="left" vertical="center" wrapText="1"/>
    </xf>
    <xf numFmtId="3" fontId="3" fillId="0" borderId="23" xfId="4" applyNumberFormat="1" applyBorder="1" applyProtection="1"/>
    <xf numFmtId="0" fontId="9" fillId="0" borderId="24" xfId="0" applyFont="1" applyBorder="1" applyAlignment="1" applyProtection="1">
      <alignment vertical="center" wrapText="1"/>
      <protection locked="0"/>
    </xf>
    <xf numFmtId="3" fontId="35" fillId="0" borderId="24" xfId="0" applyNumberFormat="1" applyFont="1" applyBorder="1" applyAlignment="1" applyProtection="1">
      <alignment vertical="center" wrapText="1"/>
    </xf>
    <xf numFmtId="2" fontId="3" fillId="0" borderId="0" xfId="4" applyNumberFormat="1"/>
    <xf numFmtId="0" fontId="8" fillId="39" borderId="34" xfId="0" applyFont="1" applyFill="1" applyBorder="1" applyAlignment="1" applyProtection="1">
      <alignment vertical="center" wrapText="1"/>
      <protection locked="0"/>
    </xf>
    <xf numFmtId="0" fontId="0" fillId="0" borderId="36" xfId="0" applyBorder="1" applyAlignment="1">
      <alignment vertical="center" wrapText="1"/>
    </xf>
    <xf numFmtId="0" fontId="8" fillId="0" borderId="24" xfId="3" applyFont="1" applyFill="1" applyBorder="1" applyAlignment="1" applyProtection="1">
      <alignment horizontal="left" vertical="center" wrapText="1"/>
      <protection locked="0"/>
    </xf>
    <xf numFmtId="0" fontId="8" fillId="0" borderId="5" xfId="3" applyFont="1" applyFill="1" applyBorder="1" applyAlignment="1" applyProtection="1">
      <alignment horizontal="left" vertical="center" wrapText="1"/>
      <protection locked="0"/>
    </xf>
    <xf numFmtId="0" fontId="8" fillId="0" borderId="6" xfId="3" applyFont="1" applyFill="1" applyBorder="1" applyAlignment="1" applyProtection="1">
      <alignment horizontal="left" vertical="center" wrapText="1"/>
      <protection locked="0"/>
    </xf>
    <xf numFmtId="0" fontId="9" fillId="0" borderId="24" xfId="0" applyFont="1" applyBorder="1" applyAlignment="1" applyProtection="1">
      <alignment vertical="center" wrapText="1"/>
      <protection locked="0"/>
    </xf>
    <xf numFmtId="0" fontId="9" fillId="0" borderId="5" xfId="0" applyFont="1" applyBorder="1" applyAlignment="1" applyProtection="1">
      <alignment vertical="center" wrapText="1"/>
      <protection locked="0"/>
    </xf>
    <xf numFmtId="3" fontId="8" fillId="0" borderId="24" xfId="3" applyNumberFormat="1" applyFont="1" applyFill="1" applyBorder="1" applyAlignment="1" applyProtection="1">
      <alignment horizontal="right" wrapText="1"/>
      <protection locked="0"/>
    </xf>
    <xf numFmtId="0" fontId="0" fillId="0" borderId="5" xfId="0" applyBorder="1" applyAlignment="1" applyProtection="1">
      <alignment horizontal="right" wrapText="1"/>
      <protection locked="0"/>
    </xf>
    <xf numFmtId="0" fontId="0" fillId="0" borderId="6" xfId="0" applyBorder="1" applyAlignment="1" applyProtection="1">
      <alignment horizontal="right" wrapText="1"/>
      <protection locked="0"/>
    </xf>
    <xf numFmtId="0" fontId="9" fillId="0" borderId="6" xfId="0" applyFont="1" applyBorder="1" applyAlignment="1" applyProtection="1">
      <alignment vertical="center" wrapText="1"/>
      <protection locked="0"/>
    </xf>
    <xf numFmtId="0" fontId="8" fillId="36" borderId="34" xfId="3" applyFont="1" applyFill="1" applyBorder="1" applyAlignment="1" applyProtection="1">
      <alignment vertical="center" wrapText="1"/>
      <protection locked="0"/>
    </xf>
    <xf numFmtId="0" fontId="0" fillId="0" borderId="35" xfId="0" applyBorder="1" applyAlignment="1">
      <alignment wrapText="1"/>
    </xf>
    <xf numFmtId="0" fontId="0" fillId="0" borderId="36" xfId="0" applyBorder="1" applyAlignment="1">
      <alignment wrapText="1"/>
    </xf>
    <xf numFmtId="164" fontId="8" fillId="36" borderId="23" xfId="132" applyNumberFormat="1" applyFont="1" applyFill="1" applyBorder="1" applyAlignment="1" applyProtection="1">
      <alignment horizontal="left" vertical="center" wrapText="1"/>
      <protection locked="0"/>
    </xf>
    <xf numFmtId="0" fontId="0" fillId="36" borderId="23" xfId="0" applyFill="1" applyBorder="1" applyAlignment="1">
      <alignment wrapText="1"/>
    </xf>
    <xf numFmtId="3" fontId="35" fillId="0" borderId="24" xfId="0" applyNumberFormat="1" applyFont="1" applyBorder="1" applyAlignment="1" applyProtection="1">
      <alignment vertical="center" wrapText="1"/>
    </xf>
    <xf numFmtId="0" fontId="0" fillId="0" borderId="5" xfId="0" applyBorder="1" applyAlignment="1">
      <alignment vertical="center" wrapText="1"/>
    </xf>
    <xf numFmtId="0" fontId="0" fillId="0" borderId="6" xfId="0" applyBorder="1" applyAlignment="1">
      <alignment vertical="center" wrapText="1"/>
    </xf>
    <xf numFmtId="3" fontId="35" fillId="0" borderId="5" xfId="0" applyNumberFormat="1" applyFont="1" applyBorder="1" applyAlignment="1" applyProtection="1">
      <alignment vertical="center" wrapText="1"/>
    </xf>
    <xf numFmtId="3" fontId="35" fillId="0" borderId="24" xfId="0" applyNumberFormat="1" applyFont="1" applyBorder="1" applyAlignment="1" applyProtection="1">
      <alignment horizontal="right" vertical="center" wrapText="1"/>
    </xf>
    <xf numFmtId="3" fontId="35" fillId="0" borderId="6" xfId="0" applyNumberFormat="1" applyFont="1" applyBorder="1" applyAlignment="1" applyProtection="1">
      <alignment horizontal="right" vertical="center" wrapText="1"/>
    </xf>
    <xf numFmtId="0" fontId="8" fillId="3" borderId="2" xfId="3" applyFont="1" applyFill="1" applyBorder="1" applyAlignment="1" applyProtection="1">
      <alignment horizontal="center"/>
      <protection locked="0"/>
    </xf>
    <xf numFmtId="0" fontId="8" fillId="3" borderId="3" xfId="3" applyFont="1" applyFill="1" applyBorder="1" applyAlignment="1" applyProtection="1">
      <alignment horizontal="center"/>
      <protection locked="0"/>
    </xf>
    <xf numFmtId="0" fontId="8" fillId="36" borderId="23" xfId="3" applyFont="1" applyFill="1" applyBorder="1" applyAlignment="1" applyProtection="1">
      <alignment horizontal="center" wrapText="1"/>
      <protection locked="0"/>
    </xf>
    <xf numFmtId="0" fontId="8" fillId="3" borderId="23" xfId="3" applyFont="1" applyFill="1" applyBorder="1" applyAlignment="1" applyProtection="1">
      <alignment horizontal="center" vertical="center"/>
      <protection locked="0"/>
    </xf>
    <xf numFmtId="0" fontId="0" fillId="3" borderId="23" xfId="0" applyFill="1" applyBorder="1" applyAlignment="1" applyProtection="1">
      <alignment horizontal="center" vertical="center"/>
      <protection locked="0"/>
    </xf>
    <xf numFmtId="0" fontId="8" fillId="36" borderId="23" xfId="3" applyFont="1" applyFill="1" applyBorder="1" applyAlignment="1" applyProtection="1">
      <alignment horizontal="center"/>
      <protection locked="0"/>
    </xf>
    <xf numFmtId="0" fontId="8" fillId="3" borderId="25" xfId="3" applyFont="1" applyFill="1" applyBorder="1" applyAlignment="1" applyProtection="1">
      <alignment horizontal="center"/>
      <protection locked="0"/>
    </xf>
    <xf numFmtId="0" fontId="8" fillId="3" borderId="26" xfId="3" applyFont="1" applyFill="1" applyBorder="1" applyAlignment="1" applyProtection="1">
      <alignment horizontal="center"/>
      <protection locked="0"/>
    </xf>
    <xf numFmtId="0" fontId="8" fillId="4" borderId="23" xfId="3" applyFont="1" applyFill="1" applyBorder="1" applyAlignment="1" applyProtection="1">
      <alignment horizontal="center" vertical="center"/>
      <protection locked="0"/>
    </xf>
    <xf numFmtId="0" fontId="0" fillId="0" borderId="23" xfId="0" applyBorder="1" applyAlignment="1" applyProtection="1">
      <alignment horizontal="center" vertical="center"/>
      <protection locked="0"/>
    </xf>
    <xf numFmtId="3" fontId="35" fillId="0" borderId="6" xfId="0" applyNumberFormat="1" applyFont="1" applyBorder="1" applyAlignment="1" applyProtection="1">
      <alignment vertical="center" wrapText="1"/>
    </xf>
    <xf numFmtId="0" fontId="0" fillId="0" borderId="0" xfId="0" applyAlignment="1">
      <alignment horizontal="center" wrapText="1"/>
    </xf>
    <xf numFmtId="0" fontId="8" fillId="4" borderId="24" xfId="4" applyFont="1" applyFill="1" applyBorder="1" applyAlignment="1" applyProtection="1">
      <alignment horizontal="left" vertical="center" wrapText="1"/>
      <protection locked="0"/>
    </xf>
    <xf numFmtId="0" fontId="3" fillId="0" borderId="6" xfId="4" applyBorder="1" applyAlignment="1" applyProtection="1">
      <alignment horizontal="left" vertical="center" wrapText="1"/>
      <protection locked="0"/>
    </xf>
    <xf numFmtId="0" fontId="6" fillId="32" borderId="1" xfId="4" applyFont="1" applyFill="1" applyBorder="1" applyAlignment="1" applyProtection="1">
      <alignment horizontal="center"/>
      <protection locked="0"/>
    </xf>
    <xf numFmtId="0" fontId="8" fillId="4" borderId="1" xfId="4" applyFont="1" applyFill="1" applyBorder="1" applyAlignment="1" applyProtection="1">
      <alignment horizontal="center" vertical="center"/>
    </xf>
    <xf numFmtId="0" fontId="3" fillId="0" borderId="1" xfId="4" applyBorder="1" applyAlignment="1" applyProtection="1">
      <alignment horizontal="center" vertical="center"/>
    </xf>
    <xf numFmtId="0" fontId="8" fillId="4" borderId="24" xfId="4" applyFont="1" applyFill="1" applyBorder="1" applyAlignment="1" applyProtection="1">
      <alignment horizontal="center" vertical="center" wrapText="1"/>
      <protection locked="0"/>
    </xf>
    <xf numFmtId="0" fontId="8" fillId="4" borderId="6" xfId="4" applyFont="1" applyFill="1" applyBorder="1" applyAlignment="1" applyProtection="1">
      <alignment horizontal="center" vertical="center" wrapText="1"/>
      <protection locked="0"/>
    </xf>
    <xf numFmtId="0" fontId="3" fillId="34" borderId="34" xfId="4" applyFill="1" applyBorder="1" applyAlignment="1" applyProtection="1">
      <alignment horizontal="left"/>
      <protection locked="0"/>
    </xf>
    <xf numFmtId="0" fontId="0" fillId="0" borderId="35" xfId="0" applyBorder="1" applyAlignment="1" applyProtection="1">
      <protection locked="0"/>
    </xf>
    <xf numFmtId="0" fontId="0" fillId="0" borderId="36" xfId="0" applyBorder="1" applyAlignment="1" applyProtection="1">
      <protection locked="0"/>
    </xf>
    <xf numFmtId="0" fontId="29" fillId="0" borderId="16" xfId="4" applyFont="1" applyBorder="1" applyAlignment="1">
      <alignment horizontal="center" wrapText="1"/>
    </xf>
    <xf numFmtId="0" fontId="28" fillId="0" borderId="16" xfId="4" applyFont="1" applyBorder="1" applyAlignment="1">
      <alignment horizontal="center" wrapText="1"/>
    </xf>
    <xf numFmtId="0" fontId="28" fillId="2" borderId="21" xfId="4" applyFont="1" applyFill="1" applyBorder="1" applyAlignment="1">
      <alignment vertical="center" wrapText="1"/>
    </xf>
    <xf numFmtId="0" fontId="29" fillId="0" borderId="0" xfId="4" applyFont="1" applyBorder="1" applyAlignment="1">
      <alignment horizontal="center" wrapText="1"/>
    </xf>
    <xf numFmtId="0" fontId="28" fillId="0" borderId="0" xfId="4" applyFont="1" applyBorder="1" applyAlignment="1">
      <alignment horizontal="center" wrapText="1"/>
    </xf>
    <xf numFmtId="0" fontId="29" fillId="38" borderId="16" xfId="4" applyFont="1" applyFill="1" applyBorder="1" applyAlignment="1">
      <alignment horizontal="center" wrapText="1"/>
    </xf>
    <xf numFmtId="0" fontId="28" fillId="38" borderId="16" xfId="4" applyFont="1" applyFill="1" applyBorder="1" applyAlignment="1">
      <alignment horizontal="center" wrapText="1"/>
    </xf>
  </cellXfs>
  <cellStyles count="135">
    <cellStyle name="20% - Accent1 2" xfId="5"/>
    <cellStyle name="20% - Accent1 3" xfId="6"/>
    <cellStyle name="20% - Accent1 4" xfId="7"/>
    <cellStyle name="20% - Accent2 2" xfId="8"/>
    <cellStyle name="20% - Accent2 3" xfId="9"/>
    <cellStyle name="20% - Accent2 4" xfId="10"/>
    <cellStyle name="20% - Accent3 2" xfId="11"/>
    <cellStyle name="20% - Accent3 3" xfId="12"/>
    <cellStyle name="20% - Accent3 4" xfId="13"/>
    <cellStyle name="20% - Accent4 2" xfId="14"/>
    <cellStyle name="20% - Accent4 3" xfId="15"/>
    <cellStyle name="20% - Accent4 4" xfId="16"/>
    <cellStyle name="20% - Accent5 2" xfId="17"/>
    <cellStyle name="20% - Accent5 3" xfId="18"/>
    <cellStyle name="20% - Accent5 4" xfId="19"/>
    <cellStyle name="20% - Accent6 2" xfId="20"/>
    <cellStyle name="20% - Accent6 3" xfId="21"/>
    <cellStyle name="20% - Accent6 4" xfId="22"/>
    <cellStyle name="40% - Accent1 2" xfId="23"/>
    <cellStyle name="40% - Accent1 3" xfId="24"/>
    <cellStyle name="40% - Accent1 4" xfId="25"/>
    <cellStyle name="40% - Accent2 2" xfId="26"/>
    <cellStyle name="40% - Accent2 3" xfId="27"/>
    <cellStyle name="40% - Accent2 4" xfId="28"/>
    <cellStyle name="40% - Accent3 2" xfId="29"/>
    <cellStyle name="40% - Accent3 3" xfId="30"/>
    <cellStyle name="40% - Accent3 4" xfId="31"/>
    <cellStyle name="40% - Accent4 2" xfId="32"/>
    <cellStyle name="40% - Accent4 3" xfId="33"/>
    <cellStyle name="40% - Accent4 4" xfId="34"/>
    <cellStyle name="40% - Accent5 2" xfId="35"/>
    <cellStyle name="40% - Accent5 3" xfId="36"/>
    <cellStyle name="40% - Accent5 4" xfId="37"/>
    <cellStyle name="40% - Accent6 2" xfId="38"/>
    <cellStyle name="40% - Accent6 3" xfId="39"/>
    <cellStyle name="40% - Accent6 4" xfId="40"/>
    <cellStyle name="60% - Accent1 2" xfId="41"/>
    <cellStyle name="60% - Accent1 3" xfId="42"/>
    <cellStyle name="60% - Accent1 4" xfId="43"/>
    <cellStyle name="60% - Accent2 2" xfId="44"/>
    <cellStyle name="60% - Accent2 3" xfId="45"/>
    <cellStyle name="60% - Accent2 4" xfId="46"/>
    <cellStyle name="60% - Accent3 2" xfId="47"/>
    <cellStyle name="60% - Accent3 3" xfId="48"/>
    <cellStyle name="60% - Accent3 4" xfId="49"/>
    <cellStyle name="60% - Accent4 2" xfId="50"/>
    <cellStyle name="60% - Accent4 3" xfId="51"/>
    <cellStyle name="60% - Accent4 4" xfId="52"/>
    <cellStyle name="60% - Accent5 2" xfId="53"/>
    <cellStyle name="60% - Accent5 3" xfId="54"/>
    <cellStyle name="60% - Accent5 4" xfId="55"/>
    <cellStyle name="60% - Accent6 2" xfId="56"/>
    <cellStyle name="60% - Accent6 3" xfId="57"/>
    <cellStyle name="60% - Accent6 4" xfId="58"/>
    <cellStyle name="Accent1 2" xfId="59"/>
    <cellStyle name="Accent1 3" xfId="60"/>
    <cellStyle name="Accent1 4" xfId="61"/>
    <cellStyle name="Accent2 2" xfId="62"/>
    <cellStyle name="Accent2 3" xfId="63"/>
    <cellStyle name="Accent2 4" xfId="64"/>
    <cellStyle name="Accent3 2" xfId="65"/>
    <cellStyle name="Accent3 3" xfId="66"/>
    <cellStyle name="Accent3 4" xfId="67"/>
    <cellStyle name="Accent4 2" xfId="68"/>
    <cellStyle name="Accent4 3" xfId="69"/>
    <cellStyle name="Accent4 4" xfId="70"/>
    <cellStyle name="Accent5 2" xfId="71"/>
    <cellStyle name="Accent5 3" xfId="72"/>
    <cellStyle name="Accent5 4" xfId="73"/>
    <cellStyle name="Accent6 2" xfId="74"/>
    <cellStyle name="Accent6 3" xfId="75"/>
    <cellStyle name="Accent6 4" xfId="76"/>
    <cellStyle name="Bad 2" xfId="77"/>
    <cellStyle name="Bad 3" xfId="78"/>
    <cellStyle name="Bad 4" xfId="79"/>
    <cellStyle name="Calculation 2" xfId="80"/>
    <cellStyle name="Calculation 3" xfId="81"/>
    <cellStyle name="Calculation 4" xfId="82"/>
    <cellStyle name="Check Cell 2" xfId="83"/>
    <cellStyle name="Check Cell 3" xfId="84"/>
    <cellStyle name="Check Cell 4" xfId="85"/>
    <cellStyle name="Comma" xfId="132" builtinId="3"/>
    <cellStyle name="Explanatory Text 2" xfId="86"/>
    <cellStyle name="Explanatory Text 3" xfId="87"/>
    <cellStyle name="Explanatory Text 4" xfId="88"/>
    <cellStyle name="Good 2" xfId="89"/>
    <cellStyle name="Good 3" xfId="90"/>
    <cellStyle name="Good 4" xfId="91"/>
    <cellStyle name="Heading 1 2" xfId="92"/>
    <cellStyle name="Heading 1 3" xfId="93"/>
    <cellStyle name="Heading 1 4" xfId="94"/>
    <cellStyle name="Heading 2 2" xfId="95"/>
    <cellStyle name="Heading 2 3" xfId="96"/>
    <cellStyle name="Heading 2 4" xfId="97"/>
    <cellStyle name="Heading 3 2" xfId="98"/>
    <cellStyle name="Heading 3 3" xfId="99"/>
    <cellStyle name="Heading 3 4" xfId="100"/>
    <cellStyle name="Heading 4 2" xfId="101"/>
    <cellStyle name="Heading 4 3" xfId="102"/>
    <cellStyle name="Heading 4 4" xfId="103"/>
    <cellStyle name="Input 2" xfId="104"/>
    <cellStyle name="Input 3" xfId="105"/>
    <cellStyle name="Input 4" xfId="106"/>
    <cellStyle name="Linked Cell 2" xfId="107"/>
    <cellStyle name="Linked Cell 3" xfId="108"/>
    <cellStyle name="Linked Cell 4" xfId="109"/>
    <cellStyle name="Neutral 2" xfId="110"/>
    <cellStyle name="Neutral 3" xfId="111"/>
    <cellStyle name="Neutral 4" xfId="112"/>
    <cellStyle name="Normal" xfId="0" builtinId="0"/>
    <cellStyle name="Normal 2" xfId="1"/>
    <cellStyle name="Normal 2 2" xfId="113"/>
    <cellStyle name="Normal 2 3" xfId="114"/>
    <cellStyle name="Normal 2 4" xfId="115"/>
    <cellStyle name="Normal 3" xfId="2"/>
    <cellStyle name="Normal 3 2" xfId="116"/>
    <cellStyle name="Normal 4" xfId="3"/>
    <cellStyle name="Normal 5" xfId="4"/>
    <cellStyle name="Normal 6" xfId="133"/>
    <cellStyle name="Note 2" xfId="117"/>
    <cellStyle name="Note 3" xfId="118"/>
    <cellStyle name="Note 4" xfId="119"/>
    <cellStyle name="Output 2" xfId="120"/>
    <cellStyle name="Output 3" xfId="121"/>
    <cellStyle name="Output 4" xfId="122"/>
    <cellStyle name="TableStyleLight1" xfId="134"/>
    <cellStyle name="Title 2" xfId="123"/>
    <cellStyle name="Title 3" xfId="124"/>
    <cellStyle name="Title 4" xfId="125"/>
    <cellStyle name="Total 2" xfId="126"/>
    <cellStyle name="Total 3" xfId="127"/>
    <cellStyle name="Total 4" xfId="128"/>
    <cellStyle name="Warning Text 2" xfId="129"/>
    <cellStyle name="Warning Text 3" xfId="130"/>
    <cellStyle name="Warning Text 4" xfId="131"/>
  </cellStyles>
  <dxfs count="0"/>
  <tableStyles count="0" defaultTableStyle="TableStyleMedium9" defaultPivotStyle="PivotStyleMedium4"/>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ara.reyes/Desktop/Respaldo%20UP/UP%2007%20SEPT%202015/2016/COORD%20PLANIFICACION/COORD%20PLANIFICACION/PROYECTOS/BID/JDL%20ES-L1131%20Presupuesto%208%20de%20agosto%20de%202016%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Presupuesto detallado"/>
      <sheetName val="Precios"/>
      <sheetName val="2. Plan de Adquisiciones Sint."/>
      <sheetName val="3. Plan de Adquisiciones Global"/>
      <sheetName val="4.Plan Ejecucion Plurianual-PEP"/>
      <sheetName val="5. Presupuesto POD"/>
      <sheetName val="Presupuesto original HN2"/>
    </sheetNames>
    <sheetDataSet>
      <sheetData sheetId="0" refreshError="1"/>
      <sheetData sheetId="1" refreshError="1">
        <row r="8">
          <cell r="D8">
            <v>16500</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S108"/>
  <sheetViews>
    <sheetView tabSelected="1" zoomScale="70" zoomScaleNormal="70" workbookViewId="0">
      <pane xSplit="2" ySplit="4" topLeftCell="C65" activePane="bottomRight" state="frozen"/>
      <selection pane="topRight" activeCell="C1" sqref="C1"/>
      <selection pane="bottomLeft" activeCell="A5" sqref="A5"/>
      <selection pane="bottomRight" activeCell="C73" sqref="C73"/>
    </sheetView>
  </sheetViews>
  <sheetFormatPr defaultColWidth="9" defaultRowHeight="15" x14ac:dyDescent="0.25"/>
  <cols>
    <col min="1" max="1" width="32.875" style="42" customWidth="1"/>
    <col min="2" max="2" width="14.75" style="42" customWidth="1"/>
    <col min="3" max="3" width="30.5" style="42" customWidth="1"/>
    <col min="4" max="4" width="9.375" style="42" bestFit="1" customWidth="1"/>
    <col min="5" max="5" width="8.125" style="42" bestFit="1" customWidth="1"/>
    <col min="6" max="6" width="11.625" style="42" customWidth="1"/>
    <col min="7" max="7" width="23.375" style="42" customWidth="1"/>
    <col min="8" max="8" width="13.75" style="42" customWidth="1"/>
    <col min="9" max="9" width="8.125" style="42" bestFit="1" customWidth="1"/>
    <col min="10" max="10" width="9.5" style="42" customWidth="1"/>
    <col min="11" max="11" width="21" style="42" customWidth="1"/>
    <col min="12" max="12" width="8" style="42" bestFit="1" customWidth="1"/>
    <col min="13" max="13" width="8.375" style="42" bestFit="1" customWidth="1"/>
    <col min="14" max="14" width="9.875" style="42" customWidth="1"/>
    <col min="15" max="15" width="24.25" style="42" customWidth="1"/>
    <col min="16" max="16" width="8.5" style="42" customWidth="1"/>
    <col min="17" max="17" width="8.25" style="42" customWidth="1"/>
    <col min="18" max="18" width="7.875" style="42" customWidth="1"/>
    <col min="19" max="16384" width="9" style="31"/>
  </cols>
  <sheetData>
    <row r="1" spans="1:18" ht="29.45" customHeight="1" x14ac:dyDescent="0.25">
      <c r="A1" s="71" t="s">
        <v>21</v>
      </c>
      <c r="B1" s="72">
        <f>B2+B37+B47+B77</f>
        <v>29767435.799999997</v>
      </c>
      <c r="C1" s="161" t="s">
        <v>47</v>
      </c>
      <c r="D1" s="161"/>
      <c r="E1" s="161"/>
      <c r="F1" s="161"/>
      <c r="G1" s="161"/>
      <c r="H1" s="161"/>
      <c r="I1" s="161"/>
      <c r="J1" s="161"/>
      <c r="K1" s="161"/>
      <c r="L1" s="161"/>
      <c r="M1" s="161"/>
      <c r="N1" s="161"/>
      <c r="O1" s="161"/>
      <c r="P1" s="161"/>
      <c r="Q1" s="161"/>
      <c r="R1" s="161"/>
    </row>
    <row r="2" spans="1:18" x14ac:dyDescent="0.25">
      <c r="A2" s="73" t="s">
        <v>22</v>
      </c>
      <c r="B2" s="72">
        <f>SUM(B5:B35)</f>
        <v>13457858.4</v>
      </c>
      <c r="C2" s="164" t="s">
        <v>48</v>
      </c>
      <c r="D2" s="164"/>
      <c r="E2" s="164"/>
      <c r="F2" s="164"/>
      <c r="G2" s="164"/>
      <c r="H2" s="164"/>
      <c r="I2" s="164"/>
      <c r="J2" s="164"/>
      <c r="K2" s="164"/>
      <c r="L2" s="164"/>
      <c r="M2" s="164"/>
      <c r="N2" s="164"/>
      <c r="O2" s="164"/>
      <c r="P2" s="164"/>
      <c r="Q2" s="164"/>
      <c r="R2" s="164"/>
    </row>
    <row r="3" spans="1:18" ht="14.45" customHeight="1" x14ac:dyDescent="0.25">
      <c r="A3" s="167" t="s">
        <v>5</v>
      </c>
      <c r="B3" s="168"/>
      <c r="C3" s="162" t="s">
        <v>266</v>
      </c>
      <c r="D3" s="163"/>
      <c r="E3" s="163"/>
      <c r="F3" s="163"/>
      <c r="G3" s="162" t="s">
        <v>56</v>
      </c>
      <c r="H3" s="163"/>
      <c r="I3" s="163"/>
      <c r="J3" s="163"/>
      <c r="K3" s="162" t="s">
        <v>31</v>
      </c>
      <c r="L3" s="163"/>
      <c r="M3" s="163"/>
      <c r="N3" s="163"/>
      <c r="O3" s="162" t="s">
        <v>149</v>
      </c>
      <c r="P3" s="163"/>
      <c r="Q3" s="163"/>
      <c r="R3" s="163"/>
    </row>
    <row r="4" spans="1:18" ht="28.5" x14ac:dyDescent="0.25">
      <c r="A4" s="168"/>
      <c r="B4" s="168"/>
      <c r="C4" s="32" t="s">
        <v>150</v>
      </c>
      <c r="D4" s="33" t="s">
        <v>6</v>
      </c>
      <c r="E4" s="32" t="s">
        <v>7</v>
      </c>
      <c r="F4" s="32" t="s">
        <v>1</v>
      </c>
      <c r="G4" s="32" t="s">
        <v>150</v>
      </c>
      <c r="H4" s="33" t="s">
        <v>6</v>
      </c>
      <c r="I4" s="32" t="s">
        <v>7</v>
      </c>
      <c r="J4" s="32" t="s">
        <v>1</v>
      </c>
      <c r="K4" s="32" t="s">
        <v>150</v>
      </c>
      <c r="L4" s="33" t="s">
        <v>6</v>
      </c>
      <c r="M4" s="32" t="s">
        <v>7</v>
      </c>
      <c r="N4" s="32" t="s">
        <v>1</v>
      </c>
      <c r="O4" s="32" t="s">
        <v>150</v>
      </c>
      <c r="P4" s="33" t="s">
        <v>6</v>
      </c>
      <c r="Q4" s="32" t="s">
        <v>7</v>
      </c>
      <c r="R4" s="32" t="s">
        <v>1</v>
      </c>
    </row>
    <row r="5" spans="1:18" ht="51.75" customHeight="1" x14ac:dyDescent="0.25">
      <c r="A5" s="142" t="s">
        <v>268</v>
      </c>
      <c r="B5" s="153">
        <f>SUM(F5:F11)+SUM(J5:J11)+SUM(N5:N11)+SUM(R5:R11)</f>
        <v>3674070</v>
      </c>
      <c r="C5" s="34" t="s">
        <v>62</v>
      </c>
      <c r="D5" s="35">
        <f>Precios!D11</f>
        <v>16500</v>
      </c>
      <c r="E5" s="35">
        <v>5</v>
      </c>
      <c r="F5" s="30">
        <f t="shared" ref="F5:F20" si="0">D5*E5</f>
        <v>82500</v>
      </c>
      <c r="G5" s="66" t="s">
        <v>226</v>
      </c>
      <c r="H5" s="67">
        <v>1500000</v>
      </c>
      <c r="I5" s="67">
        <v>1</v>
      </c>
      <c r="J5" s="68">
        <f>H5*I5</f>
        <v>1500000</v>
      </c>
      <c r="K5" s="34" t="s">
        <v>163</v>
      </c>
      <c r="L5" s="35">
        <f>Precios!B17</f>
        <v>50000</v>
      </c>
      <c r="M5" s="35">
        <v>4</v>
      </c>
      <c r="N5" s="30">
        <f t="shared" ref="N5:N35" si="1">L5*M5</f>
        <v>200000</v>
      </c>
      <c r="O5" s="66" t="s">
        <v>161</v>
      </c>
      <c r="P5" s="67">
        <f>400+170</f>
        <v>570</v>
      </c>
      <c r="Q5" s="67">
        <f>10*7</f>
        <v>70</v>
      </c>
      <c r="R5" s="68">
        <f t="shared" ref="R5:R35" si="2">P5*Q5</f>
        <v>39900</v>
      </c>
    </row>
    <row r="6" spans="1:18" ht="56.25" customHeight="1" x14ac:dyDescent="0.25">
      <c r="A6" s="143"/>
      <c r="B6" s="154"/>
      <c r="C6" s="36" t="s">
        <v>63</v>
      </c>
      <c r="D6" s="35">
        <f>Precios!D11</f>
        <v>16500</v>
      </c>
      <c r="E6" s="35">
        <v>3</v>
      </c>
      <c r="F6" s="30">
        <f t="shared" si="0"/>
        <v>49500</v>
      </c>
      <c r="G6" s="69"/>
      <c r="H6" s="67"/>
      <c r="I6" s="67"/>
      <c r="J6" s="68">
        <f>H6*I6</f>
        <v>0</v>
      </c>
      <c r="K6" s="34" t="s">
        <v>52</v>
      </c>
      <c r="L6" s="35">
        <f>Precios!B19</f>
        <v>300000</v>
      </c>
      <c r="M6" s="35">
        <v>2</v>
      </c>
      <c r="N6" s="30">
        <f t="shared" si="1"/>
        <v>600000</v>
      </c>
      <c r="O6" s="69" t="s">
        <v>227</v>
      </c>
      <c r="P6" s="67">
        <f>Precios!$D$8/2</f>
        <v>8250</v>
      </c>
      <c r="Q6" s="67">
        <v>3</v>
      </c>
      <c r="R6" s="68">
        <f t="shared" si="2"/>
        <v>24750</v>
      </c>
    </row>
    <row r="7" spans="1:18" ht="45" x14ac:dyDescent="0.25">
      <c r="A7" s="143"/>
      <c r="B7" s="154"/>
      <c r="C7" s="36" t="s">
        <v>64</v>
      </c>
      <c r="D7" s="35">
        <f>Precios!D11</f>
        <v>16500</v>
      </c>
      <c r="E7" s="35">
        <v>10</v>
      </c>
      <c r="F7" s="30">
        <f t="shared" si="0"/>
        <v>165000</v>
      </c>
      <c r="G7" s="69"/>
      <c r="H7" s="67"/>
      <c r="I7" s="67"/>
      <c r="J7" s="68">
        <f>H7*I7</f>
        <v>0</v>
      </c>
      <c r="K7" s="34" t="s">
        <v>53</v>
      </c>
      <c r="L7" s="35">
        <f>Precios!B33</f>
        <v>2000</v>
      </c>
      <c r="M7" s="35">
        <v>200</v>
      </c>
      <c r="N7" s="30">
        <f t="shared" si="1"/>
        <v>400000</v>
      </c>
      <c r="O7" s="69" t="s">
        <v>228</v>
      </c>
      <c r="P7" s="67">
        <v>3000</v>
      </c>
      <c r="Q7" s="67">
        <v>2</v>
      </c>
      <c r="R7" s="68">
        <f t="shared" si="2"/>
        <v>6000</v>
      </c>
    </row>
    <row r="8" spans="1:18" ht="48.75" customHeight="1" x14ac:dyDescent="0.25">
      <c r="A8" s="143"/>
      <c r="B8" s="154"/>
      <c r="C8" s="36" t="s">
        <v>65</v>
      </c>
      <c r="D8" s="35">
        <f>Precios!D11</f>
        <v>16500</v>
      </c>
      <c r="E8" s="35">
        <v>1</v>
      </c>
      <c r="F8" s="30">
        <f t="shared" si="0"/>
        <v>16500</v>
      </c>
      <c r="G8" s="69"/>
      <c r="H8" s="67"/>
      <c r="I8" s="67"/>
      <c r="J8" s="68">
        <f>H8*I8</f>
        <v>0</v>
      </c>
      <c r="K8" s="34" t="s">
        <v>55</v>
      </c>
      <c r="L8" s="35">
        <f>Precios!B33</f>
        <v>2000</v>
      </c>
      <c r="M8" s="35">
        <v>50</v>
      </c>
      <c r="N8" s="30">
        <f t="shared" si="1"/>
        <v>100000</v>
      </c>
      <c r="O8" s="69"/>
      <c r="P8" s="67"/>
      <c r="Q8" s="67"/>
      <c r="R8" s="68">
        <f t="shared" si="2"/>
        <v>0</v>
      </c>
    </row>
    <row r="9" spans="1:18" ht="48.75" customHeight="1" x14ac:dyDescent="0.25">
      <c r="A9" s="143"/>
      <c r="B9" s="154"/>
      <c r="C9" s="36" t="s">
        <v>65</v>
      </c>
      <c r="D9" s="37">
        <f>Precios!$B$9</f>
        <v>3080</v>
      </c>
      <c r="E9" s="37">
        <v>2</v>
      </c>
      <c r="F9" s="74">
        <f t="shared" si="0"/>
        <v>6160</v>
      </c>
      <c r="G9" s="69"/>
      <c r="H9" s="75"/>
      <c r="I9" s="75"/>
      <c r="J9" s="76"/>
      <c r="K9" s="36" t="s">
        <v>160</v>
      </c>
      <c r="L9" s="37">
        <f>Precios!$B$18</f>
        <v>65500</v>
      </c>
      <c r="M9" s="37">
        <v>4</v>
      </c>
      <c r="N9" s="74">
        <f t="shared" si="1"/>
        <v>262000</v>
      </c>
      <c r="O9" s="69"/>
      <c r="P9" s="75"/>
      <c r="Q9" s="75"/>
      <c r="R9" s="76"/>
    </row>
    <row r="10" spans="1:18" ht="32.25" customHeight="1" x14ac:dyDescent="0.25">
      <c r="A10" s="143"/>
      <c r="B10" s="154"/>
      <c r="C10" s="36" t="s">
        <v>229</v>
      </c>
      <c r="D10" s="37">
        <f>Precios!$B$9</f>
        <v>3080</v>
      </c>
      <c r="E10" s="37">
        <v>48</v>
      </c>
      <c r="F10" s="74">
        <f t="shared" si="0"/>
        <v>147840</v>
      </c>
      <c r="G10" s="69"/>
      <c r="H10" s="67"/>
      <c r="I10" s="67"/>
      <c r="J10" s="68">
        <f t="shared" ref="J10:J12" si="3">H10*I10</f>
        <v>0</v>
      </c>
      <c r="K10" s="36"/>
      <c r="L10" s="37"/>
      <c r="M10" s="37"/>
      <c r="N10" s="30">
        <f t="shared" si="1"/>
        <v>0</v>
      </c>
      <c r="O10" s="69"/>
      <c r="P10" s="75"/>
      <c r="Q10" s="75"/>
      <c r="R10" s="76">
        <f t="shared" si="2"/>
        <v>0</v>
      </c>
    </row>
    <row r="11" spans="1:18" ht="29.25" customHeight="1" x14ac:dyDescent="0.25">
      <c r="A11" s="143"/>
      <c r="B11" s="154"/>
      <c r="C11" s="36" t="s">
        <v>164</v>
      </c>
      <c r="D11" s="37">
        <f>Precios!$B$9</f>
        <v>3080</v>
      </c>
      <c r="E11" s="37">
        <v>24</v>
      </c>
      <c r="F11" s="74">
        <f t="shared" si="0"/>
        <v>73920</v>
      </c>
      <c r="G11" s="69"/>
      <c r="H11" s="75"/>
      <c r="I11" s="75"/>
      <c r="J11" s="76">
        <f t="shared" si="3"/>
        <v>0</v>
      </c>
      <c r="K11" s="36"/>
      <c r="L11" s="37"/>
      <c r="M11" s="37"/>
      <c r="N11" s="74">
        <f t="shared" si="1"/>
        <v>0</v>
      </c>
      <c r="O11" s="69"/>
      <c r="P11" s="75"/>
      <c r="Q11" s="75"/>
      <c r="R11" s="76">
        <f t="shared" si="2"/>
        <v>0</v>
      </c>
    </row>
    <row r="12" spans="1:18" ht="84" customHeight="1" x14ac:dyDescent="0.25">
      <c r="A12" s="134" t="s">
        <v>269</v>
      </c>
      <c r="B12" s="135">
        <f>SUM(F12:F12)+SUM(J12:J12)+SUM(N12:N12)+SUM(R12:R12)</f>
        <v>858105.6</v>
      </c>
      <c r="C12" s="36" t="s">
        <v>218</v>
      </c>
      <c r="D12" s="37">
        <f>Precios!B9</f>
        <v>3080</v>
      </c>
      <c r="E12" s="35">
        <f>10*12</f>
        <v>120</v>
      </c>
      <c r="F12" s="30">
        <f t="shared" si="0"/>
        <v>369600</v>
      </c>
      <c r="G12" s="69" t="s">
        <v>188</v>
      </c>
      <c r="H12" s="75">
        <f>Precios!D10</f>
        <v>20354.399999999998</v>
      </c>
      <c r="I12" s="75">
        <f>8*3</f>
        <v>24</v>
      </c>
      <c r="J12" s="76">
        <f t="shared" si="3"/>
        <v>488505.59999999998</v>
      </c>
      <c r="K12" s="34"/>
      <c r="L12" s="35"/>
      <c r="M12" s="35"/>
      <c r="N12" s="30">
        <f t="shared" ref="N12" si="4">L12*M12</f>
        <v>0</v>
      </c>
      <c r="O12" s="66"/>
      <c r="P12" s="67"/>
      <c r="Q12" s="67"/>
      <c r="R12" s="68">
        <f t="shared" ref="R12" si="5">P12*Q12</f>
        <v>0</v>
      </c>
    </row>
    <row r="13" spans="1:18" ht="57.75" customHeight="1" x14ac:dyDescent="0.25">
      <c r="A13" s="142" t="s">
        <v>270</v>
      </c>
      <c r="B13" s="153">
        <f>SUM(F13:F20)+SUM(J13:J20)+SUM(N13:N20)+SUM(R13:R20)</f>
        <v>5612748.4000000004</v>
      </c>
      <c r="C13" s="34" t="s">
        <v>230</v>
      </c>
      <c r="D13" s="35">
        <f>Precios!$B$11</f>
        <v>9988</v>
      </c>
      <c r="E13" s="35">
        <v>3</v>
      </c>
      <c r="F13" s="30">
        <f t="shared" si="0"/>
        <v>29964</v>
      </c>
      <c r="G13" s="66" t="s">
        <v>231</v>
      </c>
      <c r="H13" s="67">
        <f>Precios!$D$10</f>
        <v>20354.399999999998</v>
      </c>
      <c r="I13" s="67">
        <f>4*4</f>
        <v>16</v>
      </c>
      <c r="J13" s="68">
        <f t="shared" ref="J13:J22" si="6">H13*I13</f>
        <v>325670.39999999997</v>
      </c>
      <c r="K13" s="34" t="s">
        <v>165</v>
      </c>
      <c r="L13" s="35">
        <f>Precios!B20</f>
        <v>30000</v>
      </c>
      <c r="M13" s="35">
        <v>2</v>
      </c>
      <c r="N13" s="30">
        <f t="shared" si="1"/>
        <v>60000</v>
      </c>
      <c r="O13" s="66" t="s">
        <v>161</v>
      </c>
      <c r="P13" s="67">
        <f>400+170</f>
        <v>570</v>
      </c>
      <c r="Q13" s="67">
        <f>10*7</f>
        <v>70</v>
      </c>
      <c r="R13" s="68">
        <f t="shared" ref="R13:R16" si="7">P13*Q13</f>
        <v>39900</v>
      </c>
    </row>
    <row r="14" spans="1:18" ht="69.95" customHeight="1" x14ac:dyDescent="0.25">
      <c r="A14" s="143"/>
      <c r="B14" s="156"/>
      <c r="C14" s="34" t="s">
        <v>232</v>
      </c>
      <c r="D14" s="35">
        <f>Precios!$B$11+Precios!B12</f>
        <v>13488</v>
      </c>
      <c r="E14" s="35">
        <v>3</v>
      </c>
      <c r="F14" s="30">
        <f t="shared" si="0"/>
        <v>40464</v>
      </c>
      <c r="G14" s="66" t="s">
        <v>233</v>
      </c>
      <c r="H14" s="67">
        <v>4000000</v>
      </c>
      <c r="I14" s="67">
        <v>1</v>
      </c>
      <c r="J14" s="68">
        <f t="shared" si="6"/>
        <v>4000000</v>
      </c>
      <c r="K14" s="34" t="s">
        <v>167</v>
      </c>
      <c r="L14" s="35">
        <f>Precios!B19</f>
        <v>300000</v>
      </c>
      <c r="M14" s="35">
        <v>1</v>
      </c>
      <c r="N14" s="30">
        <f t="shared" ref="N14" si="8">L14*M14</f>
        <v>300000</v>
      </c>
      <c r="O14" s="69" t="s">
        <v>227</v>
      </c>
      <c r="P14" s="67">
        <f>Precios!$D$8/2</f>
        <v>8250</v>
      </c>
      <c r="Q14" s="67">
        <v>3</v>
      </c>
      <c r="R14" s="68">
        <f t="shared" si="7"/>
        <v>24750</v>
      </c>
    </row>
    <row r="15" spans="1:18" ht="59.25" customHeight="1" x14ac:dyDescent="0.25">
      <c r="A15" s="143"/>
      <c r="B15" s="154"/>
      <c r="C15" s="36" t="s">
        <v>234</v>
      </c>
      <c r="D15" s="37">
        <f>Precios!D8</f>
        <v>16500</v>
      </c>
      <c r="E15" s="35">
        <f>2*3</f>
        <v>6</v>
      </c>
      <c r="F15" s="30">
        <f t="shared" si="0"/>
        <v>99000</v>
      </c>
      <c r="G15" s="69" t="s">
        <v>162</v>
      </c>
      <c r="H15" s="67">
        <v>300000</v>
      </c>
      <c r="I15" s="67">
        <v>1</v>
      </c>
      <c r="J15" s="68">
        <f t="shared" si="6"/>
        <v>300000</v>
      </c>
      <c r="K15" s="34" t="s">
        <v>235</v>
      </c>
      <c r="L15" s="35">
        <v>50000</v>
      </c>
      <c r="M15" s="35">
        <v>1</v>
      </c>
      <c r="N15" s="30">
        <f t="shared" si="1"/>
        <v>50000</v>
      </c>
      <c r="O15" s="69" t="s">
        <v>228</v>
      </c>
      <c r="P15" s="67">
        <v>3000</v>
      </c>
      <c r="Q15" s="67">
        <v>2</v>
      </c>
      <c r="R15" s="68">
        <f t="shared" si="7"/>
        <v>6000</v>
      </c>
    </row>
    <row r="16" spans="1:18" ht="35.25" customHeight="1" x14ac:dyDescent="0.25">
      <c r="A16" s="143"/>
      <c r="B16" s="154"/>
      <c r="C16" s="36" t="s">
        <v>236</v>
      </c>
      <c r="D16" s="37">
        <f>Precios!D8</f>
        <v>16500</v>
      </c>
      <c r="E16" s="35">
        <f>1*3</f>
        <v>3</v>
      </c>
      <c r="F16" s="30">
        <f t="shared" si="0"/>
        <v>49500</v>
      </c>
      <c r="G16" s="69"/>
      <c r="H16" s="67"/>
      <c r="I16" s="67"/>
      <c r="J16" s="68">
        <f t="shared" si="6"/>
        <v>0</v>
      </c>
      <c r="K16" s="34" t="s">
        <v>237</v>
      </c>
      <c r="L16" s="35">
        <f>Precios!B18</f>
        <v>65500</v>
      </c>
      <c r="M16" s="35">
        <v>1</v>
      </c>
      <c r="N16" s="30">
        <f t="shared" si="1"/>
        <v>65500</v>
      </c>
      <c r="O16" s="69"/>
      <c r="P16" s="67"/>
      <c r="Q16" s="67"/>
      <c r="R16" s="68">
        <f t="shared" si="7"/>
        <v>0</v>
      </c>
    </row>
    <row r="17" spans="1:18" ht="15" customHeight="1" x14ac:dyDescent="0.25">
      <c r="A17" s="143"/>
      <c r="B17" s="154"/>
      <c r="C17" s="36"/>
      <c r="D17" s="37"/>
      <c r="E17" s="37"/>
      <c r="F17" s="30">
        <f t="shared" si="0"/>
        <v>0</v>
      </c>
      <c r="G17" s="69"/>
      <c r="H17" s="75"/>
      <c r="I17" s="75"/>
      <c r="J17" s="76">
        <f t="shared" si="6"/>
        <v>0</v>
      </c>
      <c r="K17" s="36" t="s">
        <v>168</v>
      </c>
      <c r="L17" s="37">
        <f>Precios!B34</f>
        <v>18000</v>
      </c>
      <c r="M17" s="37">
        <v>2</v>
      </c>
      <c r="N17" s="74">
        <f t="shared" si="1"/>
        <v>36000</v>
      </c>
      <c r="O17" s="69"/>
      <c r="P17" s="75"/>
      <c r="Q17" s="75"/>
      <c r="R17" s="76">
        <f t="shared" si="2"/>
        <v>0</v>
      </c>
    </row>
    <row r="18" spans="1:18" ht="15" customHeight="1" x14ac:dyDescent="0.25">
      <c r="A18" s="143"/>
      <c r="B18" s="154"/>
      <c r="C18" s="36"/>
      <c r="D18" s="37"/>
      <c r="E18" s="37"/>
      <c r="F18" s="30">
        <f t="shared" si="0"/>
        <v>0</v>
      </c>
      <c r="G18" s="69"/>
      <c r="H18" s="75"/>
      <c r="I18" s="75"/>
      <c r="J18" s="76">
        <f t="shared" si="6"/>
        <v>0</v>
      </c>
      <c r="K18" s="36" t="s">
        <v>170</v>
      </c>
      <c r="L18" s="37">
        <f>Precios!B35</f>
        <v>8000</v>
      </c>
      <c r="M18" s="37">
        <v>2</v>
      </c>
      <c r="N18" s="74">
        <f t="shared" si="1"/>
        <v>16000</v>
      </c>
      <c r="O18" s="69"/>
      <c r="P18" s="75"/>
      <c r="Q18" s="75"/>
      <c r="R18" s="76">
        <f t="shared" si="2"/>
        <v>0</v>
      </c>
    </row>
    <row r="19" spans="1:18" ht="15" customHeight="1" x14ac:dyDescent="0.25">
      <c r="A19" s="143"/>
      <c r="B19" s="154"/>
      <c r="C19" s="36"/>
      <c r="D19" s="37"/>
      <c r="E19" s="37"/>
      <c r="F19" s="30">
        <f t="shared" si="0"/>
        <v>0</v>
      </c>
      <c r="G19" s="69"/>
      <c r="H19" s="75"/>
      <c r="I19" s="75"/>
      <c r="J19" s="76">
        <f t="shared" si="6"/>
        <v>0</v>
      </c>
      <c r="K19" s="36" t="s">
        <v>173</v>
      </c>
      <c r="L19" s="37">
        <f>Precios!B40</f>
        <v>10000</v>
      </c>
      <c r="M19" s="37">
        <v>2</v>
      </c>
      <c r="N19" s="74">
        <f t="shared" si="1"/>
        <v>20000</v>
      </c>
      <c r="O19" s="69"/>
      <c r="P19" s="75"/>
      <c r="Q19" s="75"/>
      <c r="R19" s="76">
        <f t="shared" si="2"/>
        <v>0</v>
      </c>
    </row>
    <row r="20" spans="1:18" ht="15" customHeight="1" x14ac:dyDescent="0.25">
      <c r="A20" s="143"/>
      <c r="B20" s="154"/>
      <c r="C20" s="36"/>
      <c r="D20" s="37"/>
      <c r="E20" s="37"/>
      <c r="F20" s="30">
        <f t="shared" si="0"/>
        <v>0</v>
      </c>
      <c r="G20" s="69"/>
      <c r="H20" s="75"/>
      <c r="I20" s="75"/>
      <c r="J20" s="76">
        <f t="shared" si="6"/>
        <v>0</v>
      </c>
      <c r="K20" s="36" t="s">
        <v>174</v>
      </c>
      <c r="L20" s="37">
        <v>30000</v>
      </c>
      <c r="M20" s="37">
        <v>5</v>
      </c>
      <c r="N20" s="74">
        <f t="shared" si="1"/>
        <v>150000</v>
      </c>
      <c r="O20" s="69"/>
      <c r="P20" s="75"/>
      <c r="Q20" s="75"/>
      <c r="R20" s="76">
        <f t="shared" si="2"/>
        <v>0</v>
      </c>
    </row>
    <row r="21" spans="1:18" ht="18" customHeight="1" x14ac:dyDescent="0.25">
      <c r="A21" s="142" t="s">
        <v>271</v>
      </c>
      <c r="B21" s="153">
        <f>SUM(F21:F33)++SUM(J21:J33)+SUM(N21:N33)+SUM(R21:R33)</f>
        <v>2035692.8</v>
      </c>
      <c r="C21" s="34"/>
      <c r="D21" s="37"/>
      <c r="E21" s="35"/>
      <c r="F21" s="30"/>
      <c r="G21" s="66"/>
      <c r="H21" s="67"/>
      <c r="I21" s="67"/>
      <c r="J21" s="68">
        <f t="shared" si="6"/>
        <v>0</v>
      </c>
      <c r="K21" s="34"/>
      <c r="L21" s="35"/>
      <c r="M21" s="35"/>
      <c r="N21" s="30"/>
      <c r="O21" s="66"/>
      <c r="P21" s="67"/>
      <c r="Q21" s="67"/>
      <c r="R21" s="68"/>
    </row>
    <row r="22" spans="1:18" ht="128.25" customHeight="1" x14ac:dyDescent="0.25">
      <c r="A22" s="143"/>
      <c r="B22" s="156"/>
      <c r="C22" s="36" t="s">
        <v>175</v>
      </c>
      <c r="D22" s="37">
        <f>Precios!$D$8</f>
        <v>16500</v>
      </c>
      <c r="E22" s="37">
        <v>3</v>
      </c>
      <c r="F22" s="74">
        <f t="shared" ref="F22:F35" si="9">D22*E22</f>
        <v>49500</v>
      </c>
      <c r="G22" s="69"/>
      <c r="H22" s="75"/>
      <c r="I22" s="75"/>
      <c r="J22" s="76">
        <f t="shared" si="6"/>
        <v>0</v>
      </c>
      <c r="K22" s="36" t="s">
        <v>176</v>
      </c>
      <c r="L22" s="37">
        <f>Precios!$B$33</f>
        <v>2000</v>
      </c>
      <c r="M22" s="37">
        <f>200+1</f>
        <v>201</v>
      </c>
      <c r="N22" s="74">
        <f t="shared" si="1"/>
        <v>402000</v>
      </c>
      <c r="O22" s="107" t="s">
        <v>177</v>
      </c>
      <c r="P22" s="75">
        <f>500</f>
        <v>500</v>
      </c>
      <c r="Q22" s="75">
        <v>100</v>
      </c>
      <c r="R22" s="76">
        <f t="shared" si="2"/>
        <v>50000</v>
      </c>
    </row>
    <row r="23" spans="1:18" ht="186.95" customHeight="1" x14ac:dyDescent="0.25">
      <c r="A23" s="143"/>
      <c r="B23" s="156"/>
      <c r="C23" s="36" t="s">
        <v>178</v>
      </c>
      <c r="D23" s="37">
        <f>Precios!$D$8</f>
        <v>16500</v>
      </c>
      <c r="E23" s="37">
        <v>2</v>
      </c>
      <c r="F23" s="74">
        <f t="shared" si="9"/>
        <v>33000</v>
      </c>
      <c r="G23" s="69"/>
      <c r="H23" s="75"/>
      <c r="I23" s="75"/>
      <c r="J23" s="76"/>
      <c r="K23" s="36" t="s">
        <v>179</v>
      </c>
      <c r="L23" s="37">
        <v>100</v>
      </c>
      <c r="M23" s="37">
        <v>300</v>
      </c>
      <c r="N23" s="74">
        <f t="shared" si="1"/>
        <v>30000</v>
      </c>
      <c r="O23" s="116" t="s">
        <v>238</v>
      </c>
      <c r="P23" s="75">
        <v>500</v>
      </c>
      <c r="Q23" s="75">
        <v>100</v>
      </c>
      <c r="R23" s="76">
        <f t="shared" si="2"/>
        <v>50000</v>
      </c>
    </row>
    <row r="24" spans="1:18" ht="135" x14ac:dyDescent="0.25">
      <c r="A24" s="143"/>
      <c r="B24" s="156"/>
      <c r="C24" s="36" t="s">
        <v>180</v>
      </c>
      <c r="D24" s="37">
        <f>Precios!$D$8</f>
        <v>16500</v>
      </c>
      <c r="E24" s="37">
        <v>3</v>
      </c>
      <c r="F24" s="74">
        <f t="shared" si="9"/>
        <v>49500</v>
      </c>
      <c r="G24" s="69"/>
      <c r="H24" s="75"/>
      <c r="I24" s="75"/>
      <c r="J24" s="76">
        <f t="shared" ref="J24:J35" si="10">H24*I24</f>
        <v>0</v>
      </c>
      <c r="K24" s="36" t="s">
        <v>181</v>
      </c>
      <c r="L24" s="37">
        <v>30000</v>
      </c>
      <c r="M24" s="37">
        <v>10</v>
      </c>
      <c r="N24" s="74">
        <f t="shared" si="1"/>
        <v>300000</v>
      </c>
      <c r="O24" s="75"/>
      <c r="P24" s="75"/>
      <c r="Q24" s="75"/>
      <c r="R24" s="75"/>
    </row>
    <row r="25" spans="1:18" ht="120" x14ac:dyDescent="0.25">
      <c r="A25" s="143"/>
      <c r="B25" s="156"/>
      <c r="C25" s="36" t="s">
        <v>239</v>
      </c>
      <c r="D25" s="37">
        <f>Precios!$D$8</f>
        <v>16500</v>
      </c>
      <c r="E25" s="37">
        <v>2</v>
      </c>
      <c r="F25" s="74">
        <f t="shared" si="9"/>
        <v>33000</v>
      </c>
      <c r="G25" s="69"/>
      <c r="H25" s="75"/>
      <c r="I25" s="75"/>
      <c r="J25" s="76">
        <f t="shared" si="10"/>
        <v>0</v>
      </c>
      <c r="K25" s="36" t="s">
        <v>240</v>
      </c>
      <c r="L25" s="37">
        <v>100</v>
      </c>
      <c r="M25" s="37">
        <v>300</v>
      </c>
      <c r="N25" s="74">
        <f>L25*M25</f>
        <v>30000</v>
      </c>
      <c r="O25" s="75"/>
      <c r="P25" s="75"/>
      <c r="Q25" s="75"/>
      <c r="R25" s="75"/>
    </row>
    <row r="26" spans="1:18" ht="241.5" customHeight="1" x14ac:dyDescent="0.25">
      <c r="A26" s="143"/>
      <c r="B26" s="156"/>
      <c r="C26" s="36" t="s">
        <v>241</v>
      </c>
      <c r="D26" s="37">
        <f>[1]Precios!D8</f>
        <v>16500</v>
      </c>
      <c r="E26" s="37">
        <v>3</v>
      </c>
      <c r="F26" s="74">
        <f t="shared" si="9"/>
        <v>49500</v>
      </c>
      <c r="G26" s="69"/>
      <c r="H26" s="75"/>
      <c r="I26" s="75"/>
      <c r="J26" s="76">
        <f t="shared" si="10"/>
        <v>0</v>
      </c>
      <c r="K26" s="36" t="s">
        <v>242</v>
      </c>
      <c r="L26" s="37">
        <v>25000</v>
      </c>
      <c r="M26" s="37">
        <v>3</v>
      </c>
      <c r="N26" s="74">
        <f>L26*M26</f>
        <v>75000</v>
      </c>
      <c r="O26" s="107" t="s">
        <v>243</v>
      </c>
      <c r="P26" s="75">
        <f>[1]Precios!D8/2</f>
        <v>8250</v>
      </c>
      <c r="Q26" s="75">
        <v>4</v>
      </c>
      <c r="R26" s="76">
        <f t="shared" si="2"/>
        <v>33000</v>
      </c>
    </row>
    <row r="27" spans="1:18" ht="210" x14ac:dyDescent="0.25">
      <c r="A27" s="143"/>
      <c r="B27" s="156"/>
      <c r="C27" s="36"/>
      <c r="D27" s="37"/>
      <c r="E27" s="37"/>
      <c r="F27" s="74">
        <f t="shared" si="9"/>
        <v>0</v>
      </c>
      <c r="G27" s="69"/>
      <c r="H27" s="75"/>
      <c r="I27" s="75"/>
      <c r="J27" s="76">
        <f t="shared" si="10"/>
        <v>0</v>
      </c>
      <c r="K27" s="36"/>
      <c r="L27" s="37"/>
      <c r="M27" s="37"/>
      <c r="N27" s="74">
        <f t="shared" si="1"/>
        <v>0</v>
      </c>
      <c r="O27" s="107" t="s">
        <v>244</v>
      </c>
      <c r="P27" s="75">
        <f>[1]Precios!D8/2</f>
        <v>8250</v>
      </c>
      <c r="Q27" s="75">
        <v>10</v>
      </c>
      <c r="R27" s="76">
        <f>P27*Q27</f>
        <v>82500</v>
      </c>
    </row>
    <row r="28" spans="1:18" ht="60" x14ac:dyDescent="0.25">
      <c r="A28" s="143"/>
      <c r="B28" s="156"/>
      <c r="C28" s="36"/>
      <c r="D28" s="37"/>
      <c r="E28" s="37"/>
      <c r="F28" s="74">
        <f t="shared" si="9"/>
        <v>0</v>
      </c>
      <c r="G28" s="69"/>
      <c r="H28" s="75"/>
      <c r="I28" s="75"/>
      <c r="J28" s="76">
        <f t="shared" si="10"/>
        <v>0</v>
      </c>
      <c r="K28" s="36"/>
      <c r="L28" s="37"/>
      <c r="M28" s="37"/>
      <c r="N28" s="74">
        <f t="shared" si="1"/>
        <v>0</v>
      </c>
      <c r="O28" s="107" t="s">
        <v>182</v>
      </c>
      <c r="P28" s="75">
        <f>[1]Precios!D8/2</f>
        <v>8250</v>
      </c>
      <c r="Q28" s="75">
        <v>3</v>
      </c>
      <c r="R28" s="76">
        <f>P28*Q28</f>
        <v>24750</v>
      </c>
    </row>
    <row r="29" spans="1:18" ht="30" x14ac:dyDescent="0.25">
      <c r="A29" s="143"/>
      <c r="B29" s="156"/>
      <c r="C29" s="36"/>
      <c r="D29" s="37"/>
      <c r="E29" s="37"/>
      <c r="F29" s="74">
        <f t="shared" si="9"/>
        <v>0</v>
      </c>
      <c r="G29" s="69"/>
      <c r="H29" s="75"/>
      <c r="I29" s="75"/>
      <c r="J29" s="76">
        <f t="shared" si="10"/>
        <v>0</v>
      </c>
      <c r="K29" s="36"/>
      <c r="L29" s="37"/>
      <c r="M29" s="37"/>
      <c r="N29" s="74">
        <f t="shared" si="1"/>
        <v>0</v>
      </c>
      <c r="O29" s="69" t="s">
        <v>228</v>
      </c>
      <c r="P29" s="75">
        <v>3000</v>
      </c>
      <c r="Q29" s="75">
        <v>17</v>
      </c>
      <c r="R29" s="76">
        <f>P29*Q29</f>
        <v>51000</v>
      </c>
    </row>
    <row r="30" spans="1:18" ht="126" customHeight="1" x14ac:dyDescent="0.25">
      <c r="A30" s="143"/>
      <c r="B30" s="156"/>
      <c r="C30" s="36" t="s">
        <v>245</v>
      </c>
      <c r="D30" s="37">
        <f>Precios!$B$9</f>
        <v>3080</v>
      </c>
      <c r="E30" s="37">
        <f>12*4</f>
        <v>48</v>
      </c>
      <c r="F30" s="74">
        <f t="shared" si="9"/>
        <v>147840</v>
      </c>
      <c r="G30" s="69"/>
      <c r="H30" s="75"/>
      <c r="I30" s="75"/>
      <c r="J30" s="76">
        <f t="shared" si="10"/>
        <v>0</v>
      </c>
      <c r="K30" s="36" t="s">
        <v>183</v>
      </c>
      <c r="L30" s="37">
        <f>Precios!$B$17</f>
        <v>50000</v>
      </c>
      <c r="M30" s="37">
        <v>1</v>
      </c>
      <c r="N30" s="74">
        <f t="shared" si="1"/>
        <v>50000</v>
      </c>
      <c r="O30" s="69" t="s">
        <v>246</v>
      </c>
      <c r="P30" s="75">
        <f>400+170</f>
        <v>570</v>
      </c>
      <c r="Q30" s="75">
        <f>9*7</f>
        <v>63</v>
      </c>
      <c r="R30" s="76">
        <f t="shared" ref="R30:R34" si="11">P30*Q30</f>
        <v>35910</v>
      </c>
    </row>
    <row r="31" spans="1:18" ht="135" x14ac:dyDescent="0.25">
      <c r="A31" s="143"/>
      <c r="B31" s="156"/>
      <c r="C31" s="36" t="s">
        <v>184</v>
      </c>
      <c r="D31" s="37">
        <f>Precios!$B$9</f>
        <v>3080</v>
      </c>
      <c r="E31" s="37">
        <f>3*2</f>
        <v>6</v>
      </c>
      <c r="F31" s="74">
        <f t="shared" si="9"/>
        <v>18480</v>
      </c>
      <c r="G31" s="69"/>
      <c r="H31" s="75"/>
      <c r="I31" s="75"/>
      <c r="J31" s="76">
        <f t="shared" si="10"/>
        <v>0</v>
      </c>
      <c r="K31" s="36" t="s">
        <v>185</v>
      </c>
      <c r="L31" s="37">
        <f>Precios!$B$33</f>
        <v>2000</v>
      </c>
      <c r="M31" s="37">
        <v>20</v>
      </c>
      <c r="N31" s="74">
        <f t="shared" si="1"/>
        <v>40000</v>
      </c>
      <c r="O31" s="69"/>
      <c r="P31" s="75"/>
      <c r="Q31" s="75"/>
      <c r="R31" s="76">
        <f t="shared" si="11"/>
        <v>0</v>
      </c>
    </row>
    <row r="32" spans="1:18" ht="83.1" customHeight="1" x14ac:dyDescent="0.25">
      <c r="A32" s="143"/>
      <c r="B32" s="156"/>
      <c r="C32" s="36"/>
      <c r="D32" s="37"/>
      <c r="E32" s="37"/>
      <c r="F32" s="74">
        <f t="shared" si="9"/>
        <v>0</v>
      </c>
      <c r="G32" s="69"/>
      <c r="H32" s="75"/>
      <c r="I32" s="75"/>
      <c r="J32" s="76">
        <f t="shared" si="10"/>
        <v>0</v>
      </c>
      <c r="K32" s="36"/>
      <c r="L32" s="37"/>
      <c r="M32" s="37"/>
      <c r="N32" s="74">
        <f t="shared" si="1"/>
        <v>0</v>
      </c>
      <c r="O32" s="69" t="s">
        <v>247</v>
      </c>
      <c r="P32" s="75">
        <f>Precios!$D$10</f>
        <v>20354.399999999998</v>
      </c>
      <c r="Q32" s="75">
        <f>6*2</f>
        <v>12</v>
      </c>
      <c r="R32" s="76">
        <f t="shared" si="11"/>
        <v>244252.79999999999</v>
      </c>
    </row>
    <row r="33" spans="1:149" ht="159" customHeight="1" x14ac:dyDescent="0.25">
      <c r="A33" s="147"/>
      <c r="B33" s="169"/>
      <c r="C33" s="36" t="s">
        <v>248</v>
      </c>
      <c r="D33" s="37">
        <f>D8</f>
        <v>16500</v>
      </c>
      <c r="E33" s="37">
        <f>4*1</f>
        <v>4</v>
      </c>
      <c r="F33" s="74">
        <f t="shared" si="9"/>
        <v>66000</v>
      </c>
      <c r="G33" s="69"/>
      <c r="H33" s="75"/>
      <c r="I33" s="75"/>
      <c r="J33" s="76">
        <f t="shared" si="10"/>
        <v>0</v>
      </c>
      <c r="K33" s="36" t="s">
        <v>186</v>
      </c>
      <c r="L33" s="37">
        <f>32800+12430</f>
        <v>45230</v>
      </c>
      <c r="M33" s="37">
        <v>2</v>
      </c>
      <c r="N33" s="74">
        <f t="shared" si="1"/>
        <v>90460</v>
      </c>
      <c r="O33" s="69"/>
      <c r="P33" s="75"/>
      <c r="Q33" s="75"/>
      <c r="R33" s="76">
        <f t="shared" si="11"/>
        <v>0</v>
      </c>
    </row>
    <row r="34" spans="1:149" ht="114.75" customHeight="1" x14ac:dyDescent="0.25">
      <c r="A34" s="142" t="s">
        <v>272</v>
      </c>
      <c r="B34" s="153">
        <f>SUM(F34:F35)++SUM(J34:J35)+SUM(N34:N35)+SUM(R34:R35)</f>
        <v>1277241.5999999999</v>
      </c>
      <c r="C34" s="34" t="s">
        <v>249</v>
      </c>
      <c r="D34" s="35">
        <f>Precios!$B$9</f>
        <v>3080</v>
      </c>
      <c r="E34" s="35">
        <f>18*8</f>
        <v>144</v>
      </c>
      <c r="F34" s="30">
        <f t="shared" si="9"/>
        <v>443520</v>
      </c>
      <c r="G34" s="66" t="s">
        <v>250</v>
      </c>
      <c r="H34" s="67">
        <f>Precios!$D$10</f>
        <v>20354.399999999998</v>
      </c>
      <c r="I34" s="67">
        <f>3*3</f>
        <v>9</v>
      </c>
      <c r="J34" s="68">
        <f t="shared" si="10"/>
        <v>183189.59999999998</v>
      </c>
      <c r="K34" s="34"/>
      <c r="L34" s="35"/>
      <c r="M34" s="35"/>
      <c r="N34" s="30">
        <f t="shared" si="1"/>
        <v>0</v>
      </c>
      <c r="O34" s="66" t="s">
        <v>161</v>
      </c>
      <c r="P34" s="67">
        <f>400+170</f>
        <v>570</v>
      </c>
      <c r="Q34" s="67">
        <f>10*7</f>
        <v>70</v>
      </c>
      <c r="R34" s="68">
        <f t="shared" si="11"/>
        <v>39900</v>
      </c>
    </row>
    <row r="35" spans="1:149" ht="128.25" customHeight="1" x14ac:dyDescent="0.25">
      <c r="A35" s="143"/>
      <c r="B35" s="156"/>
      <c r="C35" s="36"/>
      <c r="D35" s="37"/>
      <c r="E35" s="35"/>
      <c r="F35" s="30">
        <f t="shared" si="9"/>
        <v>0</v>
      </c>
      <c r="G35" s="66" t="s">
        <v>251</v>
      </c>
      <c r="H35" s="67">
        <f>Precios!$D$10</f>
        <v>20354.399999999998</v>
      </c>
      <c r="I35" s="67">
        <f>3*10</f>
        <v>30</v>
      </c>
      <c r="J35" s="68">
        <f t="shared" si="10"/>
        <v>610631.99999999988</v>
      </c>
      <c r="K35" s="34"/>
      <c r="L35" s="35"/>
      <c r="M35" s="35"/>
      <c r="N35" s="30">
        <f t="shared" si="1"/>
        <v>0</v>
      </c>
      <c r="O35" s="69"/>
      <c r="P35" s="67"/>
      <c r="Q35" s="67"/>
      <c r="R35" s="68">
        <f t="shared" si="2"/>
        <v>0</v>
      </c>
    </row>
    <row r="36" spans="1:149" s="128" customFormat="1" ht="15" customHeight="1" x14ac:dyDescent="0.25">
      <c r="A36" s="137" t="s">
        <v>220</v>
      </c>
      <c r="B36" s="138"/>
      <c r="C36" s="124"/>
      <c r="D36" s="125"/>
      <c r="E36" s="125"/>
      <c r="F36" s="126">
        <f>SUM(F5:F35)</f>
        <v>2020288</v>
      </c>
      <c r="G36" s="127"/>
      <c r="H36" s="125"/>
      <c r="I36" s="125"/>
      <c r="J36" s="126">
        <f>SUM(J5:J35)</f>
        <v>7407997.5999999996</v>
      </c>
      <c r="K36" s="124"/>
      <c r="L36" s="125"/>
      <c r="M36" s="125"/>
      <c r="N36" s="126">
        <f>SUM(N5:N35)</f>
        <v>3276960</v>
      </c>
      <c r="O36" s="127"/>
      <c r="P36" s="125"/>
      <c r="Q36" s="125"/>
      <c r="R36" s="126">
        <f>SUM(R5:R35)</f>
        <v>752612.8</v>
      </c>
    </row>
    <row r="37" spans="1:149" x14ac:dyDescent="0.25">
      <c r="A37" s="121" t="s">
        <v>23</v>
      </c>
      <c r="B37" s="122">
        <f>SUM(B38:B45)</f>
        <v>3872919</v>
      </c>
      <c r="C37" s="165" t="s">
        <v>49</v>
      </c>
      <c r="D37" s="166"/>
      <c r="E37" s="166"/>
      <c r="F37" s="166"/>
      <c r="G37" s="166"/>
      <c r="H37" s="166"/>
      <c r="I37" s="166"/>
      <c r="J37" s="166"/>
      <c r="K37" s="166"/>
      <c r="L37" s="166"/>
      <c r="M37" s="166"/>
      <c r="N37" s="166"/>
      <c r="O37" s="166"/>
      <c r="P37" s="166"/>
      <c r="Q37" s="166"/>
      <c r="R37" s="166"/>
    </row>
    <row r="38" spans="1:149" ht="60" x14ac:dyDescent="0.25">
      <c r="A38" s="142" t="s">
        <v>273</v>
      </c>
      <c r="B38" s="153">
        <f>SUM(F38:F39)++SUM(J38:J39)+SUM(N38:N39)+SUM(R38:R39)</f>
        <v>1022500</v>
      </c>
      <c r="C38" s="34" t="s">
        <v>252</v>
      </c>
      <c r="D38" s="35">
        <f>Precios!$D$8</f>
        <v>16500</v>
      </c>
      <c r="E38" s="35">
        <f>1*5</f>
        <v>5</v>
      </c>
      <c r="F38" s="30">
        <f>D38*E38</f>
        <v>82500</v>
      </c>
      <c r="G38" s="66"/>
      <c r="H38" s="67"/>
      <c r="I38" s="67"/>
      <c r="J38" s="68">
        <f t="shared" ref="J38:J39" si="12">H38*I38</f>
        <v>0</v>
      </c>
      <c r="K38" s="34" t="s">
        <v>53</v>
      </c>
      <c r="L38" s="35">
        <f>Precios!$B$33</f>
        <v>2000</v>
      </c>
      <c r="M38" s="35">
        <v>380</v>
      </c>
      <c r="N38" s="30">
        <f t="shared" ref="N38:N39" si="13">L38*M38</f>
        <v>760000</v>
      </c>
      <c r="O38" s="66"/>
      <c r="P38" s="67"/>
      <c r="Q38" s="67"/>
      <c r="R38" s="68">
        <f t="shared" ref="R38:R39" si="14">P38*Q38</f>
        <v>0</v>
      </c>
    </row>
    <row r="39" spans="1:149" ht="20.25" customHeight="1" x14ac:dyDescent="0.25">
      <c r="A39" s="143"/>
      <c r="B39" s="156"/>
      <c r="C39" s="36"/>
      <c r="D39" s="37"/>
      <c r="E39" s="35"/>
      <c r="F39" s="30">
        <f t="shared" ref="F39" si="15">D39*E39</f>
        <v>0</v>
      </c>
      <c r="G39" s="69"/>
      <c r="H39" s="67"/>
      <c r="I39" s="67"/>
      <c r="J39" s="68">
        <f t="shared" si="12"/>
        <v>0</v>
      </c>
      <c r="K39" s="34" t="s">
        <v>55</v>
      </c>
      <c r="L39" s="35">
        <f>Precios!$B$33</f>
        <v>2000</v>
      </c>
      <c r="M39" s="35">
        <v>90</v>
      </c>
      <c r="N39" s="30">
        <f t="shared" si="13"/>
        <v>180000</v>
      </c>
      <c r="O39" s="69"/>
      <c r="P39" s="67"/>
      <c r="Q39" s="67"/>
      <c r="R39" s="68">
        <f t="shared" si="14"/>
        <v>0</v>
      </c>
    </row>
    <row r="40" spans="1:149" ht="125.25" customHeight="1" x14ac:dyDescent="0.25">
      <c r="A40" s="134" t="s">
        <v>274</v>
      </c>
      <c r="B40" s="135">
        <f>SUM(F40:F40)++SUM(J40:J40)+SUM(N40:N40)+SUM(R40:R40)</f>
        <v>1000000</v>
      </c>
      <c r="C40" s="34"/>
      <c r="D40" s="35"/>
      <c r="E40" s="35"/>
      <c r="F40" s="30">
        <f>D40*E40</f>
        <v>0</v>
      </c>
      <c r="G40" s="66" t="s">
        <v>253</v>
      </c>
      <c r="H40" s="67">
        <v>1000000</v>
      </c>
      <c r="I40" s="67">
        <v>1</v>
      </c>
      <c r="J40" s="68">
        <f t="shared" ref="J40" si="16">H40*I40</f>
        <v>1000000</v>
      </c>
      <c r="K40" s="34"/>
      <c r="L40" s="35"/>
      <c r="M40" s="35"/>
      <c r="N40" s="30">
        <f t="shared" ref="N40" si="17">L40*M40</f>
        <v>0</v>
      </c>
      <c r="O40" s="66"/>
      <c r="P40" s="67"/>
      <c r="Q40" s="67"/>
      <c r="R40" s="68">
        <f t="shared" ref="R40" si="18">P40*Q40</f>
        <v>0</v>
      </c>
    </row>
    <row r="41" spans="1:149" ht="101.25" customHeight="1" x14ac:dyDescent="0.25">
      <c r="A41" s="142" t="s">
        <v>283</v>
      </c>
      <c r="B41" s="153">
        <f>SUM(F41:F43)++SUM(J41:J43)+SUM(N41:N43)+SUM(R41:R43)</f>
        <v>1283419</v>
      </c>
      <c r="C41" s="34" t="s">
        <v>187</v>
      </c>
      <c r="D41" s="35">
        <f>Precios!$B$9</f>
        <v>3080</v>
      </c>
      <c r="E41" s="35">
        <f>5*7</f>
        <v>35</v>
      </c>
      <c r="F41" s="30">
        <f>D41*E41</f>
        <v>107800</v>
      </c>
      <c r="G41" s="66"/>
      <c r="H41" s="67"/>
      <c r="I41" s="67"/>
      <c r="J41" s="68">
        <f t="shared" ref="J41:J43" si="19">H41*I41</f>
        <v>0</v>
      </c>
      <c r="K41" s="34" t="s">
        <v>254</v>
      </c>
      <c r="L41" s="35">
        <v>350000</v>
      </c>
      <c r="M41" s="35">
        <v>1</v>
      </c>
      <c r="N41" s="30">
        <f t="shared" ref="N41:N43" si="20">L41*M41</f>
        <v>350000</v>
      </c>
      <c r="O41" s="66"/>
      <c r="P41" s="67"/>
      <c r="Q41" s="67"/>
      <c r="R41" s="68">
        <f t="shared" ref="R41:R43" si="21">P41*Q41</f>
        <v>0</v>
      </c>
    </row>
    <row r="42" spans="1:149" ht="70.5" customHeight="1" x14ac:dyDescent="0.25">
      <c r="A42" s="143"/>
      <c r="B42" s="154"/>
      <c r="C42" s="36" t="s">
        <v>189</v>
      </c>
      <c r="D42" s="37">
        <f>Precios!$D$8</f>
        <v>16500</v>
      </c>
      <c r="E42" s="35">
        <v>21</v>
      </c>
      <c r="F42" s="30">
        <f t="shared" ref="F42:F43" si="22">D42*E42</f>
        <v>346500</v>
      </c>
      <c r="G42" s="69"/>
      <c r="H42" s="67"/>
      <c r="I42" s="67"/>
      <c r="J42" s="68">
        <f t="shared" si="19"/>
        <v>0</v>
      </c>
      <c r="K42" s="34" t="s">
        <v>255</v>
      </c>
      <c r="L42" s="35">
        <v>22200</v>
      </c>
      <c r="M42" s="35">
        <v>3</v>
      </c>
      <c r="N42" s="30">
        <f t="shared" si="20"/>
        <v>66600</v>
      </c>
      <c r="O42" s="69"/>
      <c r="P42" s="67"/>
      <c r="Q42" s="67"/>
      <c r="R42" s="68">
        <f t="shared" si="21"/>
        <v>0</v>
      </c>
    </row>
    <row r="43" spans="1:149" ht="50.25" customHeight="1" x14ac:dyDescent="0.25">
      <c r="A43" s="143"/>
      <c r="B43" s="154"/>
      <c r="C43" s="36"/>
      <c r="D43" s="37"/>
      <c r="E43" s="35"/>
      <c r="F43" s="30">
        <f t="shared" si="22"/>
        <v>0</v>
      </c>
      <c r="G43" s="69"/>
      <c r="H43" s="67"/>
      <c r="I43" s="67"/>
      <c r="J43" s="68">
        <f t="shared" si="19"/>
        <v>0</v>
      </c>
      <c r="K43" s="34" t="s">
        <v>256</v>
      </c>
      <c r="L43" s="35">
        <f>412519</f>
        <v>412519</v>
      </c>
      <c r="M43" s="35">
        <v>1</v>
      </c>
      <c r="N43" s="30">
        <f t="shared" si="20"/>
        <v>412519</v>
      </c>
      <c r="O43" s="69"/>
      <c r="P43" s="67"/>
      <c r="Q43" s="67"/>
      <c r="R43" s="68">
        <f t="shared" si="21"/>
        <v>0</v>
      </c>
    </row>
    <row r="44" spans="1:149" ht="73.5" customHeight="1" x14ac:dyDescent="0.25">
      <c r="A44" s="142" t="s">
        <v>275</v>
      </c>
      <c r="B44" s="153">
        <f>SUM(F44:F45)++SUM(J44:J45)+SUM(N44:N45)+SUM(R44:R45)</f>
        <v>567000</v>
      </c>
      <c r="C44" s="34" t="s">
        <v>190</v>
      </c>
      <c r="D44" s="35">
        <f>Precios!D8</f>
        <v>16500</v>
      </c>
      <c r="E44" s="35">
        <f>3*6</f>
        <v>18</v>
      </c>
      <c r="F44" s="30">
        <f>D44*E44</f>
        <v>297000</v>
      </c>
      <c r="G44" s="66"/>
      <c r="H44" s="67"/>
      <c r="I44" s="67"/>
      <c r="J44" s="68">
        <f t="shared" ref="J44:J45" si="23">H44*I44</f>
        <v>0</v>
      </c>
      <c r="K44" s="34" t="s">
        <v>176</v>
      </c>
      <c r="L44" s="35">
        <v>2000</v>
      </c>
      <c r="M44" s="35">
        <v>60</v>
      </c>
      <c r="N44" s="30">
        <f t="shared" ref="N44:N45" si="24">L44*M44</f>
        <v>120000</v>
      </c>
      <c r="O44" s="66"/>
      <c r="P44" s="67"/>
      <c r="Q44" s="67"/>
      <c r="R44" s="68">
        <f t="shared" ref="R44:R45" si="25">P44*Q44</f>
        <v>0</v>
      </c>
    </row>
    <row r="45" spans="1:149" ht="90" x14ac:dyDescent="0.25">
      <c r="A45" s="143"/>
      <c r="B45" s="154"/>
      <c r="C45" s="36"/>
      <c r="D45" s="37"/>
      <c r="E45" s="35"/>
      <c r="F45" s="30">
        <f t="shared" ref="F45" si="26">D45*E45</f>
        <v>0</v>
      </c>
      <c r="G45" s="69"/>
      <c r="H45" s="67"/>
      <c r="I45" s="67"/>
      <c r="J45" s="68">
        <f t="shared" si="23"/>
        <v>0</v>
      </c>
      <c r="K45" s="34" t="s">
        <v>219</v>
      </c>
      <c r="L45" s="35">
        <v>30000</v>
      </c>
      <c r="M45" s="35">
        <v>5</v>
      </c>
      <c r="N45" s="30">
        <f t="shared" si="24"/>
        <v>150000</v>
      </c>
      <c r="O45" s="69"/>
      <c r="P45" s="67"/>
      <c r="Q45" s="67"/>
      <c r="R45" s="68">
        <f t="shared" si="25"/>
        <v>0</v>
      </c>
    </row>
    <row r="46" spans="1:149" s="128" customFormat="1" ht="15" customHeight="1" x14ac:dyDescent="0.25">
      <c r="A46" s="137" t="s">
        <v>221</v>
      </c>
      <c r="B46" s="138"/>
      <c r="C46" s="124"/>
      <c r="D46" s="125"/>
      <c r="E46" s="125"/>
      <c r="F46" s="126">
        <f>SUM(F38:F45)</f>
        <v>833800</v>
      </c>
      <c r="G46" s="127"/>
      <c r="H46" s="125"/>
      <c r="I46" s="125"/>
      <c r="J46" s="126">
        <f>SUM(J38:J45)</f>
        <v>1000000</v>
      </c>
      <c r="K46" s="124"/>
      <c r="L46" s="125"/>
      <c r="M46" s="125"/>
      <c r="N46" s="126">
        <f>SUM(N38:N45)</f>
        <v>2039119</v>
      </c>
      <c r="O46" s="127"/>
      <c r="P46" s="125"/>
      <c r="Q46" s="125"/>
      <c r="R46" s="126">
        <f>SUM(R38:R45)</f>
        <v>0</v>
      </c>
      <c r="S46" s="123"/>
      <c r="T46" s="123"/>
      <c r="U46" s="123"/>
      <c r="V46" s="123"/>
      <c r="W46" s="123"/>
      <c r="X46" s="123"/>
      <c r="Y46" s="123"/>
      <c r="Z46" s="123"/>
      <c r="AA46" s="123"/>
      <c r="AB46" s="123"/>
      <c r="AC46" s="123"/>
      <c r="AD46" s="123"/>
      <c r="AE46" s="123"/>
      <c r="AF46" s="123"/>
      <c r="AG46" s="123"/>
      <c r="AH46" s="123"/>
      <c r="AI46" s="123"/>
      <c r="AJ46" s="123"/>
      <c r="AK46" s="123"/>
      <c r="AL46" s="123"/>
      <c r="AM46" s="123"/>
      <c r="AN46" s="123"/>
      <c r="AO46" s="123"/>
      <c r="AP46" s="123"/>
      <c r="AQ46" s="123"/>
      <c r="AR46" s="123"/>
      <c r="AS46" s="123"/>
      <c r="AT46" s="123"/>
      <c r="AU46" s="123"/>
      <c r="AV46" s="123"/>
      <c r="AW46" s="123"/>
      <c r="AX46" s="123"/>
      <c r="AY46" s="123"/>
      <c r="AZ46" s="123"/>
      <c r="BA46" s="123"/>
      <c r="BB46" s="123"/>
      <c r="BC46" s="123"/>
      <c r="BD46" s="123"/>
      <c r="BE46" s="123"/>
      <c r="BF46" s="123"/>
      <c r="BG46" s="123"/>
      <c r="BH46" s="123"/>
      <c r="BI46" s="123"/>
      <c r="BJ46" s="123"/>
      <c r="BK46" s="123"/>
      <c r="BL46" s="123"/>
      <c r="BM46" s="123"/>
      <c r="BN46" s="123"/>
      <c r="BO46" s="123"/>
      <c r="BP46" s="123"/>
      <c r="BQ46" s="123"/>
      <c r="BR46" s="123"/>
      <c r="BS46" s="123"/>
      <c r="BT46" s="123"/>
      <c r="BU46" s="123"/>
      <c r="BV46" s="123"/>
      <c r="BW46" s="123"/>
      <c r="BX46" s="123"/>
      <c r="BY46" s="123"/>
      <c r="BZ46" s="123"/>
      <c r="CA46" s="123"/>
      <c r="CB46" s="123"/>
      <c r="CC46" s="123"/>
      <c r="CD46" s="123"/>
      <c r="CE46" s="123"/>
      <c r="CF46" s="123"/>
      <c r="CG46" s="123"/>
      <c r="CH46" s="123"/>
      <c r="CI46" s="123"/>
      <c r="CJ46" s="123"/>
      <c r="CK46" s="123"/>
      <c r="CL46" s="123"/>
      <c r="CM46" s="123"/>
      <c r="CN46" s="123"/>
      <c r="CO46" s="123"/>
      <c r="CP46" s="123"/>
      <c r="CQ46" s="123"/>
      <c r="CR46" s="123"/>
      <c r="CS46" s="123"/>
      <c r="CT46" s="123"/>
      <c r="CU46" s="123"/>
      <c r="CV46" s="123"/>
      <c r="CW46" s="123"/>
      <c r="CX46" s="123"/>
      <c r="CY46" s="123"/>
      <c r="CZ46" s="123"/>
      <c r="DA46" s="123"/>
      <c r="DB46" s="123"/>
      <c r="DC46" s="123"/>
      <c r="DD46" s="123"/>
      <c r="DE46" s="123"/>
      <c r="DF46" s="123"/>
      <c r="DG46" s="123"/>
      <c r="DH46" s="123"/>
      <c r="DI46" s="123"/>
      <c r="DJ46" s="123"/>
      <c r="DK46" s="123"/>
      <c r="DL46" s="123"/>
      <c r="DM46" s="123"/>
      <c r="DN46" s="123"/>
      <c r="DO46" s="123"/>
      <c r="DP46" s="123"/>
      <c r="DQ46" s="123"/>
      <c r="DR46" s="123"/>
      <c r="DS46" s="123"/>
      <c r="DT46" s="123"/>
      <c r="DU46" s="123"/>
      <c r="DV46" s="123"/>
      <c r="DW46" s="123"/>
      <c r="DX46" s="123"/>
      <c r="DY46" s="123"/>
      <c r="DZ46" s="123"/>
      <c r="EA46" s="123"/>
      <c r="EB46" s="123"/>
      <c r="EC46" s="123"/>
      <c r="ED46" s="123"/>
      <c r="EE46" s="123"/>
      <c r="EF46" s="123"/>
      <c r="EG46" s="123"/>
      <c r="EH46" s="123"/>
      <c r="EI46" s="123"/>
      <c r="EJ46" s="123"/>
      <c r="EK46" s="123"/>
      <c r="EL46" s="123"/>
      <c r="EM46" s="123"/>
      <c r="EN46" s="123"/>
      <c r="EO46" s="123"/>
      <c r="EP46" s="123"/>
      <c r="EQ46" s="123"/>
      <c r="ER46" s="123"/>
      <c r="ES46" s="123"/>
    </row>
    <row r="47" spans="1:149" x14ac:dyDescent="0.25">
      <c r="A47" s="121" t="s">
        <v>24</v>
      </c>
      <c r="B47" s="122">
        <f>SUM(B49:B74)</f>
        <v>9947258.4000000004</v>
      </c>
      <c r="C47" s="165" t="s">
        <v>50</v>
      </c>
      <c r="D47" s="166"/>
      <c r="E47" s="166"/>
      <c r="F47" s="166"/>
      <c r="G47" s="166"/>
      <c r="H47" s="166"/>
      <c r="I47" s="166"/>
      <c r="J47" s="166"/>
      <c r="K47" s="166"/>
      <c r="L47" s="166"/>
      <c r="M47" s="166"/>
      <c r="N47" s="166"/>
      <c r="O47" s="166"/>
      <c r="P47" s="166"/>
      <c r="Q47" s="166"/>
      <c r="R47" s="166"/>
    </row>
    <row r="48" spans="1:149" s="70" customFormat="1" ht="20.25" customHeight="1" x14ac:dyDescent="0.25">
      <c r="A48" s="151" t="s">
        <v>276</v>
      </c>
      <c r="B48" s="152"/>
      <c r="C48" s="152"/>
      <c r="D48" s="152"/>
      <c r="E48" s="152"/>
      <c r="F48" s="152"/>
      <c r="G48" s="152"/>
      <c r="H48" s="152"/>
      <c r="I48" s="152"/>
      <c r="J48" s="152"/>
      <c r="K48" s="152"/>
      <c r="L48" s="152"/>
      <c r="M48" s="152"/>
      <c r="N48" s="152"/>
      <c r="O48" s="152"/>
      <c r="P48" s="152"/>
      <c r="Q48" s="152"/>
      <c r="R48" s="152"/>
    </row>
    <row r="49" spans="1:18" ht="90" x14ac:dyDescent="0.25">
      <c r="A49" s="142" t="s">
        <v>282</v>
      </c>
      <c r="B49" s="153">
        <f>SUM(F49:F63)++SUM(J49:J63)+SUM(N49:N58)+SUM(R49:R63)</f>
        <v>5686000</v>
      </c>
      <c r="C49" s="34"/>
      <c r="D49" s="35"/>
      <c r="E49" s="35"/>
      <c r="F49" s="30">
        <f>D49*E49</f>
        <v>0</v>
      </c>
      <c r="G49" s="69" t="s">
        <v>257</v>
      </c>
      <c r="H49" s="67">
        <v>100000</v>
      </c>
      <c r="I49" s="67">
        <v>1</v>
      </c>
      <c r="J49" s="68">
        <f>H49*I49</f>
        <v>100000</v>
      </c>
      <c r="K49" s="108"/>
      <c r="L49" s="109"/>
      <c r="M49" s="109"/>
      <c r="N49" s="110"/>
      <c r="O49" s="66" t="s">
        <v>258</v>
      </c>
      <c r="P49" s="67">
        <f>Precios!$D$8</f>
        <v>16500</v>
      </c>
      <c r="Q49" s="67">
        <v>4</v>
      </c>
      <c r="R49" s="68">
        <f t="shared" ref="R49:R63" si="27">P49*Q49</f>
        <v>66000</v>
      </c>
    </row>
    <row r="50" spans="1:18" ht="27" customHeight="1" x14ac:dyDescent="0.25">
      <c r="A50" s="143"/>
      <c r="B50" s="154"/>
      <c r="C50" s="36"/>
      <c r="D50" s="37"/>
      <c r="E50" s="35"/>
      <c r="F50" s="30">
        <f t="shared" ref="F50:F63" si="28">D50*E50</f>
        <v>0</v>
      </c>
      <c r="G50" s="69"/>
      <c r="H50" s="67"/>
      <c r="I50" s="67"/>
      <c r="J50" s="68">
        <f t="shared" ref="J50:J64" si="29">H50*I50</f>
        <v>0</v>
      </c>
      <c r="K50" s="108" t="s">
        <v>191</v>
      </c>
      <c r="L50" s="109">
        <v>2000000</v>
      </c>
      <c r="M50" s="109">
        <v>1</v>
      </c>
      <c r="N50" s="110">
        <f t="shared" ref="N50:N57" si="30">L50*M50</f>
        <v>2000000</v>
      </c>
      <c r="O50" s="69"/>
      <c r="P50" s="67"/>
      <c r="Q50" s="67"/>
      <c r="R50" s="68">
        <f t="shared" si="27"/>
        <v>0</v>
      </c>
    </row>
    <row r="51" spans="1:18" ht="23.25" customHeight="1" x14ac:dyDescent="0.25">
      <c r="A51" s="143"/>
      <c r="B51" s="154"/>
      <c r="C51" s="36"/>
      <c r="D51" s="37"/>
      <c r="E51" s="35"/>
      <c r="F51" s="30">
        <f t="shared" si="28"/>
        <v>0</v>
      </c>
      <c r="G51" s="69"/>
      <c r="H51" s="67"/>
      <c r="I51" s="67"/>
      <c r="J51" s="68">
        <f t="shared" si="29"/>
        <v>0</v>
      </c>
      <c r="K51" s="108" t="s">
        <v>192</v>
      </c>
      <c r="L51" s="109">
        <v>900000</v>
      </c>
      <c r="M51" s="109">
        <v>2</v>
      </c>
      <c r="N51" s="110">
        <f t="shared" si="30"/>
        <v>1800000</v>
      </c>
      <c r="O51" s="69"/>
      <c r="P51" s="67"/>
      <c r="Q51" s="67"/>
      <c r="R51" s="68">
        <f t="shared" si="27"/>
        <v>0</v>
      </c>
    </row>
    <row r="52" spans="1:18" ht="37.5" customHeight="1" x14ac:dyDescent="0.25">
      <c r="A52" s="143"/>
      <c r="B52" s="154"/>
      <c r="C52" s="36"/>
      <c r="D52" s="37"/>
      <c r="E52" s="37"/>
      <c r="F52" s="74">
        <f t="shared" si="28"/>
        <v>0</v>
      </c>
      <c r="G52" s="69"/>
      <c r="H52" s="75"/>
      <c r="I52" s="75"/>
      <c r="J52" s="76">
        <f t="shared" si="29"/>
        <v>0</v>
      </c>
      <c r="K52" s="108" t="s">
        <v>259</v>
      </c>
      <c r="L52" s="109">
        <v>50000</v>
      </c>
      <c r="M52" s="109">
        <v>2</v>
      </c>
      <c r="N52" s="110">
        <f t="shared" si="30"/>
        <v>100000</v>
      </c>
      <c r="O52" s="69"/>
      <c r="P52" s="75"/>
      <c r="Q52" s="75"/>
      <c r="R52" s="76">
        <f t="shared" si="27"/>
        <v>0</v>
      </c>
    </row>
    <row r="53" spans="1:18" ht="23.25" customHeight="1" x14ac:dyDescent="0.25">
      <c r="A53" s="143"/>
      <c r="B53" s="154"/>
      <c r="C53" s="36"/>
      <c r="D53" s="37"/>
      <c r="E53" s="37"/>
      <c r="F53" s="74">
        <f t="shared" si="28"/>
        <v>0</v>
      </c>
      <c r="G53" s="69"/>
      <c r="H53" s="75"/>
      <c r="I53" s="75"/>
      <c r="J53" s="76">
        <f t="shared" si="29"/>
        <v>0</v>
      </c>
      <c r="K53" s="108" t="s">
        <v>260</v>
      </c>
      <c r="L53" s="109">
        <v>25000</v>
      </c>
      <c r="M53" s="109">
        <v>8</v>
      </c>
      <c r="N53" s="110">
        <f t="shared" si="30"/>
        <v>200000</v>
      </c>
      <c r="O53" s="69"/>
      <c r="P53" s="75"/>
      <c r="Q53" s="75"/>
      <c r="R53" s="76">
        <f t="shared" si="27"/>
        <v>0</v>
      </c>
    </row>
    <row r="54" spans="1:18" ht="23.25" customHeight="1" x14ac:dyDescent="0.25">
      <c r="A54" s="143"/>
      <c r="B54" s="154"/>
      <c r="C54" s="36"/>
      <c r="D54" s="37"/>
      <c r="E54" s="37"/>
      <c r="F54" s="74">
        <f t="shared" si="28"/>
        <v>0</v>
      </c>
      <c r="G54" s="69"/>
      <c r="H54" s="75"/>
      <c r="I54" s="75"/>
      <c r="J54" s="76">
        <f t="shared" si="29"/>
        <v>0</v>
      </c>
      <c r="K54" s="108" t="s">
        <v>193</v>
      </c>
      <c r="L54" s="109">
        <v>300000</v>
      </c>
      <c r="M54" s="109">
        <v>2</v>
      </c>
      <c r="N54" s="110">
        <f t="shared" si="30"/>
        <v>600000</v>
      </c>
      <c r="O54" s="69"/>
      <c r="P54" s="75"/>
      <c r="Q54" s="75"/>
      <c r="R54" s="76">
        <f t="shared" si="27"/>
        <v>0</v>
      </c>
    </row>
    <row r="55" spans="1:18" ht="23.25" customHeight="1" x14ac:dyDescent="0.25">
      <c r="A55" s="143"/>
      <c r="B55" s="154"/>
      <c r="C55" s="36"/>
      <c r="D55" s="37"/>
      <c r="E55" s="37"/>
      <c r="F55" s="74">
        <f t="shared" si="28"/>
        <v>0</v>
      </c>
      <c r="G55" s="69"/>
      <c r="H55" s="75"/>
      <c r="I55" s="75"/>
      <c r="J55" s="76">
        <f t="shared" si="29"/>
        <v>0</v>
      </c>
      <c r="K55" s="108" t="s">
        <v>194</v>
      </c>
      <c r="L55" s="109">
        <v>70000</v>
      </c>
      <c r="M55" s="109">
        <v>3</v>
      </c>
      <c r="N55" s="110">
        <f t="shared" si="30"/>
        <v>210000</v>
      </c>
      <c r="O55" s="69"/>
      <c r="P55" s="75"/>
      <c r="Q55" s="75"/>
      <c r="R55" s="76">
        <f t="shared" si="27"/>
        <v>0</v>
      </c>
    </row>
    <row r="56" spans="1:18" ht="23.25" customHeight="1" x14ac:dyDescent="0.25">
      <c r="A56" s="143"/>
      <c r="B56" s="154"/>
      <c r="C56" s="36"/>
      <c r="D56" s="37"/>
      <c r="E56" s="37"/>
      <c r="F56" s="74">
        <f t="shared" si="28"/>
        <v>0</v>
      </c>
      <c r="G56" s="69"/>
      <c r="H56" s="75"/>
      <c r="I56" s="75"/>
      <c r="J56" s="76">
        <f t="shared" si="29"/>
        <v>0</v>
      </c>
      <c r="K56" s="108" t="s">
        <v>195</v>
      </c>
      <c r="L56" s="109">
        <v>180000</v>
      </c>
      <c r="M56" s="109">
        <v>3</v>
      </c>
      <c r="N56" s="110">
        <f t="shared" si="30"/>
        <v>540000</v>
      </c>
      <c r="O56" s="69"/>
      <c r="P56" s="75"/>
      <c r="Q56" s="75"/>
      <c r="R56" s="76">
        <f t="shared" si="27"/>
        <v>0</v>
      </c>
    </row>
    <row r="57" spans="1:18" ht="23.25" customHeight="1" x14ac:dyDescent="0.25">
      <c r="A57" s="143"/>
      <c r="B57" s="154"/>
      <c r="C57" s="36"/>
      <c r="D57" s="37"/>
      <c r="E57" s="37"/>
      <c r="F57" s="74">
        <f t="shared" si="28"/>
        <v>0</v>
      </c>
      <c r="G57" s="69"/>
      <c r="H57" s="75"/>
      <c r="I57" s="75"/>
      <c r="J57" s="76">
        <f t="shared" si="29"/>
        <v>0</v>
      </c>
      <c r="K57" s="108" t="s">
        <v>196</v>
      </c>
      <c r="L57" s="109">
        <v>10000</v>
      </c>
      <c r="M57" s="109">
        <v>5</v>
      </c>
      <c r="N57" s="110">
        <f t="shared" si="30"/>
        <v>50000</v>
      </c>
      <c r="O57" s="69"/>
      <c r="P57" s="75"/>
      <c r="Q57" s="75"/>
      <c r="R57" s="76">
        <f t="shared" si="27"/>
        <v>0</v>
      </c>
    </row>
    <row r="58" spans="1:18" ht="23.25" customHeight="1" x14ac:dyDescent="0.25">
      <c r="A58" s="143"/>
      <c r="B58" s="154"/>
      <c r="C58" s="36"/>
      <c r="D58" s="37"/>
      <c r="E58" s="37"/>
      <c r="F58" s="74"/>
      <c r="G58" s="69"/>
      <c r="H58" s="75"/>
      <c r="I58" s="75"/>
      <c r="J58" s="76"/>
      <c r="K58" s="108" t="s">
        <v>197</v>
      </c>
      <c r="L58" s="109">
        <v>20000</v>
      </c>
      <c r="M58" s="109">
        <v>1</v>
      </c>
      <c r="N58" s="110">
        <f>L58*M58</f>
        <v>20000</v>
      </c>
      <c r="O58" s="69"/>
      <c r="P58" s="75"/>
      <c r="Q58" s="75"/>
      <c r="R58" s="76"/>
    </row>
    <row r="59" spans="1:18" ht="23.25" customHeight="1" x14ac:dyDescent="0.25">
      <c r="A59" s="143"/>
      <c r="B59" s="154"/>
      <c r="C59" s="36"/>
      <c r="D59" s="37"/>
      <c r="E59" s="37"/>
      <c r="F59" s="74"/>
      <c r="G59" s="69"/>
      <c r="H59" s="75"/>
      <c r="I59" s="75"/>
      <c r="J59" s="76"/>
      <c r="K59" s="108" t="s">
        <v>198</v>
      </c>
      <c r="L59" s="109">
        <v>3000</v>
      </c>
      <c r="M59" s="109">
        <v>3</v>
      </c>
      <c r="N59" s="110">
        <f>L59*M59</f>
        <v>9000</v>
      </c>
      <c r="O59" s="69"/>
      <c r="P59" s="75"/>
      <c r="Q59" s="75"/>
      <c r="R59" s="76"/>
    </row>
    <row r="60" spans="1:18" ht="23.25" customHeight="1" x14ac:dyDescent="0.25">
      <c r="A60" s="143"/>
      <c r="B60" s="154"/>
      <c r="C60" s="36"/>
      <c r="D60" s="37"/>
      <c r="E60" s="37"/>
      <c r="F60" s="74"/>
      <c r="G60" s="69"/>
      <c r="H60" s="75"/>
      <c r="I60" s="75"/>
      <c r="J60" s="76"/>
      <c r="K60" s="108" t="s">
        <v>199</v>
      </c>
      <c r="L60" s="109">
        <v>1000</v>
      </c>
      <c r="M60" s="109">
        <v>200</v>
      </c>
      <c r="N60" s="110">
        <f t="shared" ref="N60:N63" si="31">L60*M60</f>
        <v>200000</v>
      </c>
      <c r="O60" s="69"/>
      <c r="P60" s="75"/>
      <c r="Q60" s="75"/>
      <c r="R60" s="76"/>
    </row>
    <row r="61" spans="1:18" ht="23.25" customHeight="1" x14ac:dyDescent="0.25">
      <c r="A61" s="143"/>
      <c r="B61" s="154"/>
      <c r="C61" s="36"/>
      <c r="D61" s="37"/>
      <c r="E61" s="37"/>
      <c r="F61" s="74"/>
      <c r="G61" s="69"/>
      <c r="H61" s="75"/>
      <c r="I61" s="75"/>
      <c r="J61" s="76"/>
      <c r="K61" s="108" t="s">
        <v>200</v>
      </c>
      <c r="L61" s="109">
        <v>2000</v>
      </c>
      <c r="M61" s="109">
        <v>20</v>
      </c>
      <c r="N61" s="110">
        <f t="shared" si="31"/>
        <v>40000</v>
      </c>
      <c r="O61" s="69"/>
      <c r="P61" s="75"/>
      <c r="Q61" s="75"/>
      <c r="R61" s="76"/>
    </row>
    <row r="62" spans="1:18" ht="23.25" customHeight="1" x14ac:dyDescent="0.25">
      <c r="A62" s="143"/>
      <c r="B62" s="154"/>
      <c r="C62" s="36"/>
      <c r="D62" s="37"/>
      <c r="E62" s="37"/>
      <c r="F62" s="74"/>
      <c r="G62" s="69"/>
      <c r="H62" s="75"/>
      <c r="I62" s="75"/>
      <c r="J62" s="76"/>
      <c r="K62" s="108" t="s">
        <v>201</v>
      </c>
      <c r="L62" s="109">
        <v>90000</v>
      </c>
      <c r="M62" s="109">
        <v>1</v>
      </c>
      <c r="N62" s="110">
        <f t="shared" si="31"/>
        <v>90000</v>
      </c>
      <c r="O62" s="69"/>
      <c r="P62" s="75"/>
      <c r="Q62" s="75"/>
      <c r="R62" s="76"/>
    </row>
    <row r="63" spans="1:18" ht="24" customHeight="1" x14ac:dyDescent="0.25">
      <c r="A63" s="147"/>
      <c r="B63" s="155"/>
      <c r="C63" s="36"/>
      <c r="D63" s="37"/>
      <c r="E63" s="35"/>
      <c r="F63" s="30">
        <f t="shared" si="28"/>
        <v>0</v>
      </c>
      <c r="G63" s="69"/>
      <c r="H63" s="67"/>
      <c r="I63" s="67"/>
      <c r="J63" s="68">
        <f t="shared" si="29"/>
        <v>0</v>
      </c>
      <c r="K63" s="108" t="s">
        <v>202</v>
      </c>
      <c r="L63" s="109">
        <v>45000</v>
      </c>
      <c r="M63" s="109">
        <v>1</v>
      </c>
      <c r="N63" s="110">
        <f t="shared" si="31"/>
        <v>45000</v>
      </c>
      <c r="O63" s="69"/>
      <c r="P63" s="67"/>
      <c r="Q63" s="67"/>
      <c r="R63" s="68">
        <f t="shared" si="27"/>
        <v>0</v>
      </c>
    </row>
    <row r="64" spans="1:18" ht="54" customHeight="1" x14ac:dyDescent="0.25">
      <c r="A64" s="142" t="s">
        <v>277</v>
      </c>
      <c r="B64" s="153">
        <f>SUM(F64:F68)++SUM(J64:J68)+SUM(N59:N68)+SUM(R64:R68)</f>
        <v>2584500</v>
      </c>
      <c r="C64" s="34"/>
      <c r="D64" s="35"/>
      <c r="E64" s="35"/>
      <c r="F64" s="30">
        <f>D64*E64</f>
        <v>0</v>
      </c>
      <c r="G64" s="69" t="s">
        <v>203</v>
      </c>
      <c r="H64" s="67">
        <v>500000</v>
      </c>
      <c r="I64" s="67">
        <v>1</v>
      </c>
      <c r="J64" s="68">
        <f t="shared" si="29"/>
        <v>500000</v>
      </c>
      <c r="K64" s="108" t="s">
        <v>261</v>
      </c>
      <c r="L64" s="109">
        <v>800000</v>
      </c>
      <c r="M64" s="109">
        <v>1</v>
      </c>
      <c r="N64" s="110">
        <f>L64*I64</f>
        <v>800000</v>
      </c>
      <c r="O64" s="66"/>
      <c r="P64" s="67"/>
      <c r="Q64" s="67"/>
      <c r="R64" s="68">
        <f t="shared" ref="R64:R68" si="32">P64*Q64</f>
        <v>0</v>
      </c>
    </row>
    <row r="65" spans="1:18" ht="27" customHeight="1" x14ac:dyDescent="0.25">
      <c r="A65" s="143"/>
      <c r="B65" s="156"/>
      <c r="C65" s="36"/>
      <c r="D65" s="37"/>
      <c r="E65" s="35"/>
      <c r="F65" s="30">
        <f t="shared" ref="F65:F68" si="33">D65*E65</f>
        <v>0</v>
      </c>
      <c r="G65" s="69" t="s">
        <v>204</v>
      </c>
      <c r="H65" s="67">
        <v>50000</v>
      </c>
      <c r="I65" s="67">
        <v>1</v>
      </c>
      <c r="J65" s="68">
        <f t="shared" ref="J65:J67" si="34">H65*I65</f>
        <v>50000</v>
      </c>
      <c r="K65" s="111" t="s">
        <v>205</v>
      </c>
      <c r="L65" s="109">
        <v>300</v>
      </c>
      <c r="M65" s="109">
        <v>100</v>
      </c>
      <c r="N65" s="110">
        <f t="shared" ref="N65:N68" si="35">L65*M65</f>
        <v>30000</v>
      </c>
      <c r="O65" s="69"/>
      <c r="P65" s="67"/>
      <c r="Q65" s="67"/>
      <c r="R65" s="68">
        <f t="shared" si="32"/>
        <v>0</v>
      </c>
    </row>
    <row r="66" spans="1:18" ht="30.75" customHeight="1" x14ac:dyDescent="0.25">
      <c r="A66" s="143"/>
      <c r="B66" s="156"/>
      <c r="C66" s="36"/>
      <c r="D66" s="37"/>
      <c r="E66" s="35"/>
      <c r="F66" s="30">
        <f t="shared" si="33"/>
        <v>0</v>
      </c>
      <c r="G66" s="69" t="s">
        <v>211</v>
      </c>
      <c r="H66" s="75">
        <v>250000</v>
      </c>
      <c r="I66" s="75">
        <v>1</v>
      </c>
      <c r="J66" s="76">
        <f t="shared" si="34"/>
        <v>250000</v>
      </c>
      <c r="K66" s="111" t="s">
        <v>206</v>
      </c>
      <c r="L66" s="109">
        <v>300000</v>
      </c>
      <c r="M66" s="109">
        <v>1</v>
      </c>
      <c r="N66" s="110">
        <f t="shared" si="35"/>
        <v>300000</v>
      </c>
      <c r="O66" s="69"/>
      <c r="P66" s="67"/>
      <c r="Q66" s="67"/>
      <c r="R66" s="68">
        <f t="shared" si="32"/>
        <v>0</v>
      </c>
    </row>
    <row r="67" spans="1:18" ht="56.1" customHeight="1" x14ac:dyDescent="0.25">
      <c r="A67" s="143"/>
      <c r="B67" s="156"/>
      <c r="C67" s="36"/>
      <c r="D67" s="37"/>
      <c r="E67" s="37"/>
      <c r="F67" s="74">
        <f t="shared" si="33"/>
        <v>0</v>
      </c>
      <c r="G67" s="69" t="s">
        <v>212</v>
      </c>
      <c r="H67" s="75">
        <v>200000</v>
      </c>
      <c r="I67" s="75">
        <v>1</v>
      </c>
      <c r="J67" s="76">
        <f t="shared" si="34"/>
        <v>200000</v>
      </c>
      <c r="K67" s="36" t="s">
        <v>262</v>
      </c>
      <c r="L67" s="37">
        <f>1500*10+500*10+500</f>
        <v>20500</v>
      </c>
      <c r="M67" s="37">
        <v>1</v>
      </c>
      <c r="N67" s="74">
        <f t="shared" si="35"/>
        <v>20500</v>
      </c>
      <c r="O67" s="69"/>
      <c r="P67" s="75"/>
      <c r="Q67" s="75"/>
      <c r="R67" s="76">
        <f t="shared" si="32"/>
        <v>0</v>
      </c>
    </row>
    <row r="68" spans="1:18" ht="34.5" customHeight="1" x14ac:dyDescent="0.25">
      <c r="A68" s="143"/>
      <c r="B68" s="156"/>
      <c r="C68" s="36"/>
      <c r="D68" s="37"/>
      <c r="E68" s="37"/>
      <c r="F68" s="74">
        <f t="shared" si="33"/>
        <v>0</v>
      </c>
      <c r="G68" s="69"/>
      <c r="H68" s="75"/>
      <c r="I68" s="75"/>
      <c r="J68" s="76">
        <f t="shared" ref="J68" si="36">H68*I68</f>
        <v>0</v>
      </c>
      <c r="K68" s="36" t="s">
        <v>213</v>
      </c>
      <c r="L68" s="37">
        <v>50000</v>
      </c>
      <c r="M68" s="37">
        <v>1</v>
      </c>
      <c r="N68" s="74">
        <f t="shared" si="35"/>
        <v>50000</v>
      </c>
      <c r="O68" s="69"/>
      <c r="P68" s="75"/>
      <c r="Q68" s="75"/>
      <c r="R68" s="76">
        <f t="shared" si="32"/>
        <v>0</v>
      </c>
    </row>
    <row r="69" spans="1:18" ht="14.1" customHeight="1" x14ac:dyDescent="0.25">
      <c r="A69" s="137"/>
      <c r="B69" s="138"/>
      <c r="C69" s="124"/>
      <c r="D69" s="125"/>
      <c r="E69" s="125"/>
      <c r="F69" s="126">
        <f>SUM(F49:F68)</f>
        <v>0</v>
      </c>
      <c r="G69" s="127"/>
      <c r="H69" s="125"/>
      <c r="I69" s="125"/>
      <c r="J69" s="126">
        <f>SUM(J49:J68)</f>
        <v>1100000</v>
      </c>
      <c r="K69" s="124"/>
      <c r="L69" s="125"/>
      <c r="M69" s="125"/>
      <c r="N69" s="126">
        <f>SUM(N49:N68)</f>
        <v>7104500</v>
      </c>
      <c r="O69" s="127"/>
      <c r="P69" s="125"/>
      <c r="Q69" s="125"/>
      <c r="R69" s="126">
        <f>SUM(R49:R68)</f>
        <v>66000</v>
      </c>
    </row>
    <row r="70" spans="1:18" s="70" customFormat="1" ht="15.75" x14ac:dyDescent="0.25">
      <c r="A70" s="148" t="s">
        <v>278</v>
      </c>
      <c r="B70" s="149"/>
      <c r="C70" s="149"/>
      <c r="D70" s="149"/>
      <c r="E70" s="149"/>
      <c r="F70" s="149"/>
      <c r="G70" s="149"/>
      <c r="H70" s="149"/>
      <c r="I70" s="149"/>
      <c r="J70" s="149"/>
      <c r="K70" s="149"/>
      <c r="L70" s="149"/>
      <c r="M70" s="149"/>
      <c r="N70" s="149"/>
      <c r="O70" s="149"/>
      <c r="P70" s="149"/>
      <c r="Q70" s="149"/>
      <c r="R70" s="150"/>
    </row>
    <row r="71" spans="1:18" ht="105.75" customHeight="1" x14ac:dyDescent="0.25">
      <c r="A71" s="142" t="s">
        <v>279</v>
      </c>
      <c r="B71" s="153">
        <f>SUM(F71:F72)++SUM(J71:J72)+SUM(N71:N72)+SUM(R71:R72)</f>
        <v>1132258.3999999999</v>
      </c>
      <c r="C71" s="34" t="s">
        <v>207</v>
      </c>
      <c r="D71" s="35">
        <f>Precios!$D$8</f>
        <v>16500</v>
      </c>
      <c r="E71" s="35">
        <v>3</v>
      </c>
      <c r="F71" s="30">
        <f>D71*E71</f>
        <v>49500</v>
      </c>
      <c r="G71" s="69" t="s">
        <v>208</v>
      </c>
      <c r="H71" s="75">
        <f>Precios!$D$10</f>
        <v>20354.399999999998</v>
      </c>
      <c r="I71" s="75">
        <v>6</v>
      </c>
      <c r="J71" s="76">
        <f>H71*I71</f>
        <v>122126.39999999999</v>
      </c>
      <c r="K71" s="34" t="s">
        <v>263</v>
      </c>
      <c r="L71" s="35">
        <v>250000</v>
      </c>
      <c r="M71" s="35">
        <v>1</v>
      </c>
      <c r="N71" s="30">
        <f t="shared" ref="N71:N72" si="37">L71*M71</f>
        <v>250000</v>
      </c>
      <c r="O71" s="68"/>
      <c r="P71" s="68"/>
      <c r="Q71" s="68"/>
      <c r="R71" s="68">
        <f t="shared" ref="R71:R72" si="38">P71*Q71</f>
        <v>0</v>
      </c>
    </row>
    <row r="72" spans="1:18" ht="97.5" customHeight="1" x14ac:dyDescent="0.25">
      <c r="A72" s="143"/>
      <c r="B72" s="156"/>
      <c r="C72" s="34"/>
      <c r="D72" s="35"/>
      <c r="E72" s="35"/>
      <c r="F72" s="30">
        <f t="shared" ref="F72" si="39">D72*E72</f>
        <v>0</v>
      </c>
      <c r="G72" s="69" t="s">
        <v>264</v>
      </c>
      <c r="H72" s="75">
        <f>Precios!$D$10</f>
        <v>20354.399999999998</v>
      </c>
      <c r="I72" s="75">
        <f>6*5</f>
        <v>30</v>
      </c>
      <c r="J72" s="76">
        <f>H72*I72</f>
        <v>610631.99999999988</v>
      </c>
      <c r="K72" s="34" t="s">
        <v>265</v>
      </c>
      <c r="L72" s="35">
        <v>100000</v>
      </c>
      <c r="M72" s="35">
        <v>1</v>
      </c>
      <c r="N72" s="30">
        <f t="shared" si="37"/>
        <v>100000</v>
      </c>
      <c r="O72" s="68"/>
      <c r="P72" s="68"/>
      <c r="Q72" s="68"/>
      <c r="R72" s="68">
        <f t="shared" si="38"/>
        <v>0</v>
      </c>
    </row>
    <row r="73" spans="1:18" ht="60" customHeight="1" x14ac:dyDescent="0.25">
      <c r="A73" s="142" t="s">
        <v>280</v>
      </c>
      <c r="B73" s="157">
        <f>SUM(F73:F74)++SUM(J73:J74)+SUM(N73:N74)+SUM(R73:R74)</f>
        <v>544500</v>
      </c>
      <c r="C73" s="34" t="s">
        <v>209</v>
      </c>
      <c r="D73" s="35">
        <f>Precios!D8</f>
        <v>16500</v>
      </c>
      <c r="E73" s="35">
        <v>3</v>
      </c>
      <c r="F73" s="30">
        <f>D73*E73</f>
        <v>49500</v>
      </c>
      <c r="G73" s="69"/>
      <c r="H73" s="67"/>
      <c r="I73" s="67"/>
      <c r="J73" s="68">
        <f t="shared" ref="J73:J74" si="40">H73*I73</f>
        <v>0</v>
      </c>
      <c r="K73" s="34"/>
      <c r="L73" s="35"/>
      <c r="M73" s="35"/>
      <c r="N73" s="30">
        <f t="shared" ref="N73:N74" si="41">L73*M73</f>
        <v>0</v>
      </c>
      <c r="O73" s="68"/>
      <c r="P73" s="68"/>
      <c r="Q73" s="68"/>
      <c r="R73" s="68">
        <f t="shared" ref="R73:R74" si="42">P73*Q73</f>
        <v>0</v>
      </c>
    </row>
    <row r="74" spans="1:18" ht="42" customHeight="1" x14ac:dyDescent="0.25">
      <c r="A74" s="143"/>
      <c r="B74" s="158"/>
      <c r="C74" s="34" t="s">
        <v>210</v>
      </c>
      <c r="D74" s="35">
        <f>Precios!D8</f>
        <v>16500</v>
      </c>
      <c r="E74" s="35">
        <f>10*3</f>
        <v>30</v>
      </c>
      <c r="F74" s="30">
        <f t="shared" ref="F74" si="43">D74*E74</f>
        <v>495000</v>
      </c>
      <c r="G74" s="69"/>
      <c r="H74" s="67"/>
      <c r="I74" s="67"/>
      <c r="J74" s="68">
        <f t="shared" si="40"/>
        <v>0</v>
      </c>
      <c r="K74" s="34"/>
      <c r="L74" s="35"/>
      <c r="M74" s="35"/>
      <c r="N74" s="30">
        <f t="shared" si="41"/>
        <v>0</v>
      </c>
      <c r="O74" s="68"/>
      <c r="P74" s="68"/>
      <c r="Q74" s="68"/>
      <c r="R74" s="68">
        <f t="shared" si="42"/>
        <v>0</v>
      </c>
    </row>
    <row r="75" spans="1:18" ht="14.25" customHeight="1" x14ac:dyDescent="0.25">
      <c r="A75" s="137" t="s">
        <v>222</v>
      </c>
      <c r="B75" s="138"/>
      <c r="C75" s="124"/>
      <c r="D75" s="125"/>
      <c r="E75" s="125"/>
      <c r="F75" s="126">
        <f>SUM(F71:F74)</f>
        <v>594000</v>
      </c>
      <c r="G75" s="127"/>
      <c r="H75" s="125"/>
      <c r="I75" s="125"/>
      <c r="J75" s="126">
        <f>SUM(J71:J74)</f>
        <v>732758.39999999991</v>
      </c>
      <c r="K75" s="124"/>
      <c r="L75" s="125"/>
      <c r="M75" s="125"/>
      <c r="N75" s="126">
        <f>SUM(N71:N74)</f>
        <v>350000</v>
      </c>
      <c r="O75" s="127"/>
      <c r="P75" s="125"/>
      <c r="Q75" s="125"/>
      <c r="R75" s="126">
        <f>SUM(R71:R74)</f>
        <v>0</v>
      </c>
    </row>
    <row r="76" spans="1:18" ht="14.25" customHeight="1" x14ac:dyDescent="0.25">
      <c r="A76" s="137" t="s">
        <v>223</v>
      </c>
      <c r="B76" s="138"/>
      <c r="C76" s="124"/>
      <c r="D76" s="125"/>
      <c r="E76" s="125"/>
      <c r="F76" s="126">
        <f>F75+F69+F46+F36</f>
        <v>3448088</v>
      </c>
      <c r="G76" s="127"/>
      <c r="H76" s="125"/>
      <c r="I76" s="125"/>
      <c r="J76" s="126">
        <f>J75+J69+J46+J36</f>
        <v>10240756</v>
      </c>
      <c r="K76" s="124"/>
      <c r="L76" s="125"/>
      <c r="M76" s="125"/>
      <c r="N76" s="126">
        <f>N75+N69+N46+N36</f>
        <v>12770579</v>
      </c>
      <c r="O76" s="127"/>
      <c r="P76" s="125"/>
      <c r="Q76" s="125"/>
      <c r="R76" s="126">
        <f>R75+R69+R46+R36</f>
        <v>818612.8</v>
      </c>
    </row>
    <row r="77" spans="1:18" x14ac:dyDescent="0.25">
      <c r="A77" s="38" t="s">
        <v>25</v>
      </c>
      <c r="B77" s="39">
        <f>SUM(B78:B87)</f>
        <v>2489400</v>
      </c>
      <c r="C77" s="159" t="s">
        <v>20</v>
      </c>
      <c r="D77" s="160"/>
      <c r="E77" s="160"/>
      <c r="F77" s="160"/>
      <c r="G77" s="160"/>
      <c r="H77" s="160"/>
      <c r="I77" s="160"/>
      <c r="J77" s="160"/>
      <c r="K77" s="160"/>
      <c r="L77" s="160"/>
      <c r="M77" s="160"/>
      <c r="N77" s="160"/>
      <c r="O77" s="160"/>
      <c r="P77" s="160"/>
      <c r="Q77" s="160"/>
      <c r="R77" s="160"/>
    </row>
    <row r="78" spans="1:18" ht="45" x14ac:dyDescent="0.25">
      <c r="A78" s="77" t="s">
        <v>289</v>
      </c>
      <c r="B78" s="40">
        <f>F78</f>
        <v>1400000</v>
      </c>
      <c r="C78" s="34" t="s">
        <v>288</v>
      </c>
      <c r="D78" s="35">
        <v>1400000</v>
      </c>
      <c r="E78" s="35">
        <v>1</v>
      </c>
      <c r="F78" s="30">
        <f t="shared" ref="F78:F86" si="44">D78*E78</f>
        <v>1400000</v>
      </c>
      <c r="G78" s="66"/>
      <c r="H78" s="67"/>
      <c r="I78" s="67"/>
      <c r="J78" s="68">
        <f t="shared" ref="J78:J87" si="45">H78*I78</f>
        <v>0</v>
      </c>
      <c r="K78" s="34"/>
      <c r="L78" s="35"/>
      <c r="M78" s="35"/>
      <c r="N78" s="30">
        <f t="shared" ref="N78:N87" si="46">L78*M78</f>
        <v>0</v>
      </c>
      <c r="O78" s="68"/>
      <c r="P78" s="68"/>
      <c r="Q78" s="68"/>
      <c r="R78" s="68">
        <f t="shared" ref="R78:R87" si="47">P78*Q78</f>
        <v>0</v>
      </c>
    </row>
    <row r="79" spans="1:18" x14ac:dyDescent="0.25">
      <c r="A79" s="77" t="s">
        <v>30</v>
      </c>
      <c r="B79" s="40">
        <f>F79</f>
        <v>184800</v>
      </c>
      <c r="C79" s="34"/>
      <c r="D79" s="35">
        <f>Precios!$B$9</f>
        <v>3080</v>
      </c>
      <c r="E79" s="35">
        <v>60</v>
      </c>
      <c r="F79" s="30">
        <f>D79*E79</f>
        <v>184800</v>
      </c>
      <c r="G79" s="69"/>
      <c r="H79" s="67"/>
      <c r="I79" s="67"/>
      <c r="J79" s="68">
        <f>H79*I79</f>
        <v>0</v>
      </c>
      <c r="K79" s="34"/>
      <c r="L79" s="35"/>
      <c r="M79" s="35"/>
      <c r="N79" s="30">
        <f>L79*M79</f>
        <v>0</v>
      </c>
      <c r="O79" s="68"/>
      <c r="P79" s="68"/>
      <c r="Q79" s="68"/>
      <c r="R79" s="68">
        <f>P79*Q79</f>
        <v>0</v>
      </c>
    </row>
    <row r="80" spans="1:18" ht="15.75" customHeight="1" x14ac:dyDescent="0.25">
      <c r="A80" s="77" t="s">
        <v>26</v>
      </c>
      <c r="B80" s="40">
        <f>F80</f>
        <v>184800</v>
      </c>
      <c r="C80" s="34" t="s">
        <v>151</v>
      </c>
      <c r="D80" s="35">
        <f>Precios!$B$9</f>
        <v>3080</v>
      </c>
      <c r="E80" s="35">
        <v>60</v>
      </c>
      <c r="F80" s="30">
        <f t="shared" si="44"/>
        <v>184800</v>
      </c>
      <c r="G80" s="69"/>
      <c r="H80" s="67"/>
      <c r="I80" s="67"/>
      <c r="J80" s="68">
        <f t="shared" si="45"/>
        <v>0</v>
      </c>
      <c r="K80" s="34"/>
      <c r="L80" s="35"/>
      <c r="M80" s="35"/>
      <c r="N80" s="30">
        <f t="shared" si="46"/>
        <v>0</v>
      </c>
      <c r="O80" s="68"/>
      <c r="P80" s="68"/>
      <c r="Q80" s="68"/>
      <c r="R80" s="68">
        <f t="shared" si="47"/>
        <v>0</v>
      </c>
    </row>
    <row r="81" spans="1:18" x14ac:dyDescent="0.25">
      <c r="A81" s="139" t="s">
        <v>152</v>
      </c>
      <c r="B81" s="144">
        <f>+F81+F83+F84</f>
        <v>250000</v>
      </c>
      <c r="C81" s="34" t="s">
        <v>281</v>
      </c>
      <c r="D81" s="35">
        <v>20000</v>
      </c>
      <c r="E81" s="35">
        <v>2</v>
      </c>
      <c r="F81" s="30">
        <f t="shared" si="44"/>
        <v>40000</v>
      </c>
      <c r="G81" s="69"/>
      <c r="H81" s="67"/>
      <c r="I81" s="67"/>
      <c r="J81" s="68">
        <f t="shared" si="45"/>
        <v>0</v>
      </c>
      <c r="K81" s="34"/>
      <c r="L81" s="35"/>
      <c r="M81" s="35"/>
      <c r="N81" s="30">
        <f t="shared" si="46"/>
        <v>0</v>
      </c>
      <c r="O81" s="68"/>
      <c r="P81" s="68"/>
      <c r="Q81" s="68"/>
      <c r="R81" s="68">
        <f t="shared" si="47"/>
        <v>0</v>
      </c>
    </row>
    <row r="82" spans="1:18" ht="15" customHeight="1" x14ac:dyDescent="0.25">
      <c r="A82" s="140"/>
      <c r="B82" s="145"/>
      <c r="C82" s="34" t="s">
        <v>153</v>
      </c>
      <c r="D82" s="35">
        <v>0</v>
      </c>
      <c r="E82" s="35">
        <v>0</v>
      </c>
      <c r="F82" s="30">
        <f t="shared" si="44"/>
        <v>0</v>
      </c>
      <c r="G82" s="69"/>
      <c r="H82" s="67"/>
      <c r="I82" s="67"/>
      <c r="J82" s="68">
        <f t="shared" si="45"/>
        <v>0</v>
      </c>
      <c r="K82" s="34"/>
      <c r="L82" s="35"/>
      <c r="M82" s="35"/>
      <c r="N82" s="30">
        <f t="shared" si="46"/>
        <v>0</v>
      </c>
      <c r="O82" s="68"/>
      <c r="P82" s="68"/>
      <c r="Q82" s="68"/>
      <c r="R82" s="68">
        <f t="shared" si="47"/>
        <v>0</v>
      </c>
    </row>
    <row r="83" spans="1:18" ht="15" customHeight="1" x14ac:dyDescent="0.25">
      <c r="A83" s="140"/>
      <c r="B83" s="145"/>
      <c r="C83" s="34" t="s">
        <v>29</v>
      </c>
      <c r="D83" s="35">
        <v>190000</v>
      </c>
      <c r="E83" s="35">
        <v>1</v>
      </c>
      <c r="F83" s="30">
        <f t="shared" si="44"/>
        <v>190000</v>
      </c>
      <c r="G83" s="66"/>
      <c r="H83" s="67"/>
      <c r="I83" s="67"/>
      <c r="J83" s="68">
        <f t="shared" si="45"/>
        <v>0</v>
      </c>
      <c r="K83" s="34"/>
      <c r="L83" s="35"/>
      <c r="M83" s="35"/>
      <c r="N83" s="30">
        <f t="shared" si="46"/>
        <v>0</v>
      </c>
      <c r="O83" s="68"/>
      <c r="P83" s="68"/>
      <c r="Q83" s="68"/>
      <c r="R83" s="68">
        <f t="shared" si="47"/>
        <v>0</v>
      </c>
    </row>
    <row r="84" spans="1:18" ht="15" customHeight="1" x14ac:dyDescent="0.25">
      <c r="A84" s="141"/>
      <c r="B84" s="146"/>
      <c r="C84" s="34" t="s">
        <v>28</v>
      </c>
      <c r="D84" s="35">
        <v>20000</v>
      </c>
      <c r="E84" s="35">
        <v>1</v>
      </c>
      <c r="F84" s="30">
        <f t="shared" si="44"/>
        <v>20000</v>
      </c>
      <c r="G84" s="69"/>
      <c r="H84" s="67"/>
      <c r="I84" s="67"/>
      <c r="J84" s="68">
        <f t="shared" si="45"/>
        <v>0</v>
      </c>
      <c r="K84" s="34"/>
      <c r="L84" s="35"/>
      <c r="M84" s="35"/>
      <c r="N84" s="30">
        <f t="shared" si="46"/>
        <v>0</v>
      </c>
      <c r="O84" s="68"/>
      <c r="P84" s="68"/>
      <c r="Q84" s="68"/>
      <c r="R84" s="68">
        <f t="shared" si="47"/>
        <v>0</v>
      </c>
    </row>
    <row r="85" spans="1:18" ht="30" x14ac:dyDescent="0.25">
      <c r="A85" s="77" t="s">
        <v>27</v>
      </c>
      <c r="B85" s="40">
        <f>F85</f>
        <v>120000</v>
      </c>
      <c r="C85" s="34" t="s">
        <v>46</v>
      </c>
      <c r="D85" s="35">
        <v>20000</v>
      </c>
      <c r="E85" s="35">
        <v>6</v>
      </c>
      <c r="F85" s="30">
        <f t="shared" si="44"/>
        <v>120000</v>
      </c>
      <c r="G85" s="69"/>
      <c r="H85" s="67"/>
      <c r="I85" s="67"/>
      <c r="J85" s="68">
        <f t="shared" si="45"/>
        <v>0</v>
      </c>
      <c r="K85" s="34"/>
      <c r="L85" s="35"/>
      <c r="M85" s="35"/>
      <c r="N85" s="30">
        <f t="shared" si="46"/>
        <v>0</v>
      </c>
      <c r="O85" s="68"/>
      <c r="P85" s="68"/>
      <c r="Q85" s="68"/>
      <c r="R85" s="68">
        <f t="shared" si="47"/>
        <v>0</v>
      </c>
    </row>
    <row r="86" spans="1:18" ht="27.75" customHeight="1" x14ac:dyDescent="0.25">
      <c r="A86" s="77" t="s">
        <v>292</v>
      </c>
      <c r="B86" s="40">
        <f>F86</f>
        <v>184800</v>
      </c>
      <c r="C86" s="34" t="s">
        <v>290</v>
      </c>
      <c r="D86" s="35">
        <f>Precios!$D$2</f>
        <v>3080</v>
      </c>
      <c r="E86" s="35">
        <v>60</v>
      </c>
      <c r="F86" s="30">
        <f t="shared" si="44"/>
        <v>184800</v>
      </c>
      <c r="G86" s="66"/>
      <c r="H86" s="67"/>
      <c r="I86" s="67"/>
      <c r="J86" s="68">
        <f t="shared" si="45"/>
        <v>0</v>
      </c>
      <c r="K86" s="34"/>
      <c r="L86" s="35"/>
      <c r="M86" s="35"/>
      <c r="N86" s="30">
        <f t="shared" si="46"/>
        <v>0</v>
      </c>
      <c r="O86" s="68"/>
      <c r="P86" s="68"/>
      <c r="Q86" s="68"/>
      <c r="R86" s="68">
        <f t="shared" si="47"/>
        <v>0</v>
      </c>
    </row>
    <row r="87" spans="1:18" ht="57.6" customHeight="1" x14ac:dyDescent="0.25">
      <c r="A87" s="77" t="s">
        <v>293</v>
      </c>
      <c r="B87" s="40">
        <f>F87</f>
        <v>165000</v>
      </c>
      <c r="C87" s="34" t="s">
        <v>54</v>
      </c>
      <c r="D87" s="35">
        <f>Precios!$D$3</f>
        <v>2750</v>
      </c>
      <c r="E87" s="35">
        <v>60</v>
      </c>
      <c r="F87" s="30">
        <f>D87*E87</f>
        <v>165000</v>
      </c>
      <c r="G87" s="69"/>
      <c r="H87" s="67"/>
      <c r="I87" s="67"/>
      <c r="J87" s="68">
        <f t="shared" si="45"/>
        <v>0</v>
      </c>
      <c r="K87" s="34"/>
      <c r="L87" s="35"/>
      <c r="M87" s="35"/>
      <c r="N87" s="30">
        <f t="shared" si="46"/>
        <v>0</v>
      </c>
      <c r="O87" s="68"/>
      <c r="P87" s="68"/>
      <c r="Q87" s="68"/>
      <c r="R87" s="68">
        <f t="shared" si="47"/>
        <v>0</v>
      </c>
    </row>
    <row r="88" spans="1:18" ht="15.75" x14ac:dyDescent="0.25">
      <c r="A88" s="137" t="s">
        <v>224</v>
      </c>
      <c r="B88" s="138"/>
      <c r="C88" s="124"/>
      <c r="D88" s="125"/>
      <c r="E88" s="125"/>
      <c r="F88" s="126">
        <f>SUM(F78:F87)</f>
        <v>2489400</v>
      </c>
      <c r="G88" s="127"/>
      <c r="H88" s="125"/>
      <c r="I88" s="125"/>
      <c r="J88" s="126"/>
      <c r="K88" s="124"/>
      <c r="L88" s="125"/>
      <c r="M88" s="125"/>
      <c r="N88" s="126"/>
      <c r="O88" s="127"/>
      <c r="P88" s="125"/>
      <c r="Q88" s="125"/>
      <c r="R88" s="126"/>
    </row>
    <row r="89" spans="1:18" x14ac:dyDescent="0.25">
      <c r="A89" s="129" t="s">
        <v>225</v>
      </c>
      <c r="B89" s="41"/>
      <c r="C89" s="41"/>
      <c r="D89" s="41"/>
      <c r="F89" s="130">
        <f>30000000-B1</f>
        <v>232564.20000000298</v>
      </c>
    </row>
    <row r="90" spans="1:18" x14ac:dyDescent="0.25">
      <c r="A90" s="41"/>
      <c r="B90" s="41"/>
      <c r="C90" s="43"/>
      <c r="D90" s="41"/>
    </row>
    <row r="91" spans="1:18" x14ac:dyDescent="0.25">
      <c r="A91" s="41"/>
      <c r="B91" s="41"/>
      <c r="C91" s="41"/>
      <c r="D91" s="41"/>
    </row>
    <row r="92" spans="1:18" x14ac:dyDescent="0.25">
      <c r="A92" s="41"/>
      <c r="B92" s="41"/>
      <c r="C92" s="41"/>
      <c r="D92" s="41"/>
    </row>
    <row r="93" spans="1:18" x14ac:dyDescent="0.25">
      <c r="A93" s="41"/>
      <c r="B93" s="43">
        <f>+B79+B86+B87</f>
        <v>534600</v>
      </c>
      <c r="C93" s="41"/>
      <c r="D93" s="41"/>
    </row>
    <row r="94" spans="1:18" x14ac:dyDescent="0.25">
      <c r="A94" s="41"/>
      <c r="B94" s="41"/>
      <c r="C94" s="41"/>
      <c r="D94" s="41"/>
    </row>
    <row r="95" spans="1:18" x14ac:dyDescent="0.25">
      <c r="A95" s="41"/>
      <c r="B95" s="41"/>
      <c r="C95" s="41"/>
      <c r="D95" s="41"/>
    </row>
    <row r="96" spans="1:18" x14ac:dyDescent="0.25">
      <c r="A96" s="41"/>
      <c r="B96" s="41"/>
      <c r="C96" s="41"/>
      <c r="D96" s="41"/>
    </row>
    <row r="97" spans="1:4" x14ac:dyDescent="0.25">
      <c r="A97" s="41"/>
      <c r="B97" s="41"/>
      <c r="C97" s="41"/>
      <c r="D97" s="41"/>
    </row>
    <row r="98" spans="1:4" x14ac:dyDescent="0.25">
      <c r="A98" s="41"/>
      <c r="B98" s="41"/>
      <c r="C98" s="41"/>
      <c r="D98" s="41"/>
    </row>
    <row r="99" spans="1:4" x14ac:dyDescent="0.25">
      <c r="A99" s="41"/>
      <c r="B99" s="41"/>
      <c r="C99" s="41"/>
      <c r="D99" s="41"/>
    </row>
    <row r="100" spans="1:4" x14ac:dyDescent="0.25">
      <c r="A100" s="41"/>
      <c r="B100" s="41"/>
      <c r="C100" s="41"/>
      <c r="D100" s="41"/>
    </row>
    <row r="101" spans="1:4" x14ac:dyDescent="0.25">
      <c r="A101" s="41"/>
      <c r="B101" s="41"/>
      <c r="C101" s="41"/>
      <c r="D101" s="41"/>
    </row>
    <row r="102" spans="1:4" x14ac:dyDescent="0.25">
      <c r="A102" s="41"/>
      <c r="B102" s="41"/>
      <c r="C102" s="41"/>
      <c r="D102" s="41"/>
    </row>
    <row r="103" spans="1:4" x14ac:dyDescent="0.25">
      <c r="A103" s="41"/>
      <c r="B103" s="41"/>
      <c r="C103" s="41"/>
      <c r="D103" s="41"/>
    </row>
    <row r="104" spans="1:4" x14ac:dyDescent="0.25">
      <c r="A104" s="41"/>
      <c r="B104" s="41"/>
      <c r="C104" s="41"/>
      <c r="D104" s="41"/>
    </row>
    <row r="105" spans="1:4" x14ac:dyDescent="0.25">
      <c r="A105" s="41"/>
      <c r="B105" s="41"/>
      <c r="C105" s="41"/>
      <c r="D105" s="41"/>
    </row>
    <row r="106" spans="1:4" x14ac:dyDescent="0.25">
      <c r="A106" s="41"/>
      <c r="B106" s="41"/>
      <c r="C106" s="41"/>
      <c r="D106" s="41"/>
    </row>
    <row r="107" spans="1:4" x14ac:dyDescent="0.25">
      <c r="A107" s="41"/>
      <c r="B107" s="41"/>
      <c r="C107" s="41"/>
      <c r="D107" s="41"/>
    </row>
    <row r="108" spans="1:4" x14ac:dyDescent="0.25">
      <c r="A108" s="41"/>
      <c r="B108" s="41"/>
      <c r="C108" s="41"/>
      <c r="D108" s="41"/>
    </row>
  </sheetData>
  <mergeCells count="42">
    <mergeCell ref="A5:A11"/>
    <mergeCell ref="B5:B11"/>
    <mergeCell ref="B13:B20"/>
    <mergeCell ref="B21:B33"/>
    <mergeCell ref="B34:B35"/>
    <mergeCell ref="C77:R77"/>
    <mergeCell ref="A36:B36"/>
    <mergeCell ref="C1:R1"/>
    <mergeCell ref="G3:J3"/>
    <mergeCell ref="K3:N3"/>
    <mergeCell ref="C2:R2"/>
    <mergeCell ref="C3:F3"/>
    <mergeCell ref="O3:R3"/>
    <mergeCell ref="C37:R37"/>
    <mergeCell ref="C47:R47"/>
    <mergeCell ref="A3:B4"/>
    <mergeCell ref="A13:A20"/>
    <mergeCell ref="A21:A33"/>
    <mergeCell ref="A34:A35"/>
    <mergeCell ref="A38:A39"/>
    <mergeCell ref="A76:B76"/>
    <mergeCell ref="B41:B43"/>
    <mergeCell ref="B44:B45"/>
    <mergeCell ref="A41:A43"/>
    <mergeCell ref="B38:B39"/>
    <mergeCell ref="B73:B74"/>
    <mergeCell ref="A88:B88"/>
    <mergeCell ref="A81:A84"/>
    <mergeCell ref="A44:A45"/>
    <mergeCell ref="A73:A74"/>
    <mergeCell ref="B81:B84"/>
    <mergeCell ref="A49:A63"/>
    <mergeCell ref="A64:A68"/>
    <mergeCell ref="A71:A72"/>
    <mergeCell ref="A70:R70"/>
    <mergeCell ref="A48:R48"/>
    <mergeCell ref="B49:B63"/>
    <mergeCell ref="B64:B68"/>
    <mergeCell ref="B71:B72"/>
    <mergeCell ref="A46:B46"/>
    <mergeCell ref="A69:B69"/>
    <mergeCell ref="A75:B75"/>
  </mergeCells>
  <pageMargins left="0.7" right="0.7" top="0.75" bottom="0.75" header="0.3" footer="0.3"/>
  <pageSetup orientation="landscape" horizontalDpi="4294967294" verticalDpi="4294967293"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4"/>
  <sheetViews>
    <sheetView workbookViewId="0">
      <selection activeCell="D3" sqref="D3"/>
    </sheetView>
  </sheetViews>
  <sheetFormatPr defaultColWidth="9" defaultRowHeight="15.75" x14ac:dyDescent="0.25"/>
  <cols>
    <col min="1" max="1" width="28.375" customWidth="1"/>
    <col min="2" max="2" width="15.25" customWidth="1"/>
    <col min="3" max="3" width="14.5" customWidth="1"/>
    <col min="4" max="4" width="12.25" customWidth="1"/>
  </cols>
  <sheetData>
    <row r="1" spans="1:5" x14ac:dyDescent="0.25">
      <c r="A1" s="84" t="s">
        <v>0</v>
      </c>
      <c r="B1">
        <f>SUM(B2:B6)</f>
        <v>34</v>
      </c>
      <c r="C1" s="85" t="s">
        <v>67</v>
      </c>
      <c r="D1" s="85" t="s">
        <v>68</v>
      </c>
      <c r="E1" s="86">
        <f>SUM(E2:E6)</f>
        <v>3766400</v>
      </c>
    </row>
    <row r="2" spans="1:5" x14ac:dyDescent="0.25">
      <c r="A2" s="84" t="s">
        <v>69</v>
      </c>
      <c r="B2">
        <v>10</v>
      </c>
      <c r="C2">
        <v>48</v>
      </c>
      <c r="D2" s="79">
        <f>B9</f>
        <v>3080</v>
      </c>
      <c r="E2" s="79">
        <f>B2*C2*D2</f>
        <v>1478400</v>
      </c>
    </row>
    <row r="3" spans="1:5" x14ac:dyDescent="0.25">
      <c r="A3" s="84" t="s">
        <v>70</v>
      </c>
      <c r="B3">
        <v>10</v>
      </c>
      <c r="C3">
        <v>48</v>
      </c>
      <c r="D3" s="79">
        <f>125*22</f>
        <v>2750</v>
      </c>
      <c r="E3" s="79">
        <f>B3*C3*D3</f>
        <v>1320000</v>
      </c>
    </row>
    <row r="4" spans="1:5" x14ac:dyDescent="0.25">
      <c r="A4" s="84" t="s">
        <v>71</v>
      </c>
      <c r="B4">
        <v>3</v>
      </c>
      <c r="C4">
        <v>48</v>
      </c>
      <c r="D4" s="79">
        <f>125*22</f>
        <v>2750</v>
      </c>
      <c r="E4" s="79">
        <f>B4*C4*D4</f>
        <v>396000</v>
      </c>
    </row>
    <row r="5" spans="1:5" x14ac:dyDescent="0.25">
      <c r="A5" s="84" t="s">
        <v>72</v>
      </c>
      <c r="B5">
        <v>3</v>
      </c>
      <c r="C5">
        <v>48</v>
      </c>
      <c r="D5" s="79">
        <f>125*22</f>
        <v>2750</v>
      </c>
      <c r="E5" s="79">
        <f>B5*C5*D5</f>
        <v>396000</v>
      </c>
    </row>
    <row r="6" spans="1:5" x14ac:dyDescent="0.25">
      <c r="A6" s="84" t="s">
        <v>73</v>
      </c>
      <c r="B6">
        <v>8</v>
      </c>
      <c r="C6">
        <v>8</v>
      </c>
      <c r="D6" s="79">
        <f>125*22</f>
        <v>2750</v>
      </c>
      <c r="E6" s="79">
        <f>B6*C6*D6</f>
        <v>176000</v>
      </c>
    </row>
    <row r="7" spans="1:5" ht="31.5" x14ac:dyDescent="0.25">
      <c r="A7" s="78" t="s">
        <v>57</v>
      </c>
      <c r="B7" s="87" t="s">
        <v>74</v>
      </c>
      <c r="C7" s="87" t="s">
        <v>75</v>
      </c>
      <c r="D7" s="87" t="s">
        <v>76</v>
      </c>
    </row>
    <row r="8" spans="1:5" x14ac:dyDescent="0.25">
      <c r="A8" t="s">
        <v>58</v>
      </c>
      <c r="B8" s="79">
        <f>454*22</f>
        <v>9988</v>
      </c>
      <c r="C8" s="79">
        <f>625*22</f>
        <v>13750</v>
      </c>
      <c r="D8" s="79">
        <f>C8*1.2</f>
        <v>16500</v>
      </c>
    </row>
    <row r="9" spans="1:5" x14ac:dyDescent="0.25">
      <c r="A9" t="s">
        <v>59</v>
      </c>
      <c r="B9" s="79">
        <f>140*22</f>
        <v>3080</v>
      </c>
      <c r="C9" s="79"/>
      <c r="D9" s="79">
        <f>C9*1.25</f>
        <v>0</v>
      </c>
    </row>
    <row r="10" spans="1:5" x14ac:dyDescent="0.25">
      <c r="A10" t="s">
        <v>60</v>
      </c>
      <c r="B10" s="79">
        <f>600*22</f>
        <v>13200</v>
      </c>
      <c r="C10" s="79">
        <f>771*22</f>
        <v>16962</v>
      </c>
      <c r="D10" s="79">
        <f>C10*1.2</f>
        <v>20354.399999999998</v>
      </c>
      <c r="E10">
        <f>E8+E9</f>
        <v>0</v>
      </c>
    </row>
    <row r="11" spans="1:5" x14ac:dyDescent="0.25">
      <c r="A11" t="s">
        <v>61</v>
      </c>
      <c r="B11" s="79">
        <f>454*22</f>
        <v>9988</v>
      </c>
      <c r="C11" s="79">
        <f>625*22</f>
        <v>13750</v>
      </c>
      <c r="D11" s="79">
        <f>C11*1.2</f>
        <v>16500</v>
      </c>
    </row>
    <row r="12" spans="1:5" x14ac:dyDescent="0.25">
      <c r="A12" t="s">
        <v>77</v>
      </c>
      <c r="B12" s="79">
        <v>3500</v>
      </c>
      <c r="C12" s="79"/>
      <c r="D12" s="79"/>
    </row>
    <row r="13" spans="1:5" x14ac:dyDescent="0.25">
      <c r="A13" s="88" t="s">
        <v>154</v>
      </c>
      <c r="B13" s="79">
        <v>1500</v>
      </c>
      <c r="C13" s="79"/>
    </row>
    <row r="14" spans="1:5" x14ac:dyDescent="0.25">
      <c r="B14" s="79"/>
      <c r="C14" s="79"/>
    </row>
    <row r="15" spans="1:5" x14ac:dyDescent="0.25">
      <c r="A15" t="s">
        <v>78</v>
      </c>
      <c r="B15" s="79">
        <v>400</v>
      </c>
      <c r="C15" s="79"/>
    </row>
    <row r="16" spans="1:5" x14ac:dyDescent="0.25">
      <c r="B16" s="79"/>
      <c r="C16" s="79"/>
    </row>
    <row r="17" spans="1:12" x14ac:dyDescent="0.25">
      <c r="A17" s="80" t="s">
        <v>8</v>
      </c>
      <c r="B17" s="81">
        <v>50000</v>
      </c>
      <c r="C17" s="81"/>
      <c r="D17" s="81"/>
      <c r="E17" s="16"/>
    </row>
    <row r="18" spans="1:12" x14ac:dyDescent="0.25">
      <c r="A18" s="80" t="s">
        <v>155</v>
      </c>
      <c r="B18" s="81">
        <v>65500</v>
      </c>
      <c r="C18" s="81" t="s">
        <v>156</v>
      </c>
      <c r="D18" s="81"/>
      <c r="E18" s="16"/>
    </row>
    <row r="19" spans="1:12" x14ac:dyDescent="0.25">
      <c r="A19" s="80" t="s">
        <v>9</v>
      </c>
      <c r="B19" s="81">
        <v>300000</v>
      </c>
      <c r="C19" s="81"/>
      <c r="D19" s="82"/>
      <c r="E19" s="16"/>
    </row>
    <row r="20" spans="1:12" ht="30" x14ac:dyDescent="0.25">
      <c r="A20" s="80" t="s">
        <v>166</v>
      </c>
      <c r="B20" s="81">
        <v>30000</v>
      </c>
      <c r="C20" s="81"/>
      <c r="D20" s="82"/>
      <c r="E20" s="16"/>
      <c r="L20" t="e">
        <f>Precios!A34Rack -Precios!A34Rack Precios!A34R</f>
        <v>#NAME?</v>
      </c>
    </row>
    <row r="21" spans="1:12" x14ac:dyDescent="0.25">
      <c r="A21" s="80" t="s">
        <v>10</v>
      </c>
      <c r="B21" s="81">
        <v>100000</v>
      </c>
      <c r="C21" s="81"/>
      <c r="D21" s="81"/>
      <c r="E21" s="16"/>
      <c r="L21" t="e">
        <f>Precios!A40u</f>
        <v>#NAME?</v>
      </c>
    </row>
    <row r="22" spans="1:12" x14ac:dyDescent="0.25">
      <c r="A22" s="80" t="s">
        <v>159</v>
      </c>
      <c r="B22" s="81">
        <v>60000</v>
      </c>
      <c r="C22" s="81"/>
      <c r="D22" s="81"/>
      <c r="E22" s="16"/>
    </row>
    <row r="23" spans="1:12" x14ac:dyDescent="0.25">
      <c r="A23" s="80" t="s">
        <v>157</v>
      </c>
      <c r="B23" s="81">
        <v>15000</v>
      </c>
      <c r="C23" s="81" t="s">
        <v>158</v>
      </c>
      <c r="D23" s="81"/>
      <c r="E23" s="16"/>
    </row>
    <row r="24" spans="1:12" x14ac:dyDescent="0.25">
      <c r="A24" s="80" t="s">
        <v>11</v>
      </c>
      <c r="B24" s="81">
        <v>1500</v>
      </c>
      <c r="C24" s="81"/>
      <c r="D24" s="81"/>
      <c r="E24" s="16"/>
    </row>
    <row r="25" spans="1:12" x14ac:dyDescent="0.25">
      <c r="A25" s="80" t="s">
        <v>12</v>
      </c>
      <c r="B25" s="81">
        <v>13000</v>
      </c>
      <c r="C25" s="81"/>
      <c r="D25" s="82"/>
      <c r="E25" s="16"/>
    </row>
    <row r="26" spans="1:12" x14ac:dyDescent="0.25">
      <c r="A26" s="80" t="s">
        <v>13</v>
      </c>
      <c r="B26" s="81">
        <v>200000</v>
      </c>
      <c r="C26" s="81"/>
      <c r="D26" s="82"/>
      <c r="E26" s="16"/>
    </row>
    <row r="27" spans="1:12" x14ac:dyDescent="0.25">
      <c r="A27" s="80" t="s">
        <v>14</v>
      </c>
      <c r="B27" s="81">
        <v>200000</v>
      </c>
      <c r="C27" s="81"/>
      <c r="D27" s="81"/>
      <c r="E27" s="16"/>
    </row>
    <row r="28" spans="1:12" x14ac:dyDescent="0.25">
      <c r="A28" s="80" t="s">
        <v>15</v>
      </c>
      <c r="B28" s="81">
        <v>300000</v>
      </c>
      <c r="C28" s="81"/>
      <c r="D28" s="81"/>
      <c r="E28" s="16"/>
    </row>
    <row r="29" spans="1:12" ht="30" x14ac:dyDescent="0.25">
      <c r="A29" s="80" t="s">
        <v>16</v>
      </c>
      <c r="B29" s="81">
        <v>800000</v>
      </c>
      <c r="C29" s="81"/>
      <c r="D29" s="81"/>
      <c r="E29" s="16"/>
    </row>
    <row r="30" spans="1:12" x14ac:dyDescent="0.25">
      <c r="A30" s="80" t="s">
        <v>17</v>
      </c>
      <c r="B30" s="81">
        <v>1000</v>
      </c>
      <c r="C30" s="81"/>
      <c r="D30" s="81"/>
      <c r="E30" s="16"/>
    </row>
    <row r="31" spans="1:12" ht="30" x14ac:dyDescent="0.25">
      <c r="A31" s="80" t="s">
        <v>18</v>
      </c>
      <c r="B31" s="81">
        <v>520000</v>
      </c>
      <c r="C31" s="81"/>
      <c r="D31" s="81"/>
      <c r="E31" s="16"/>
    </row>
    <row r="32" spans="1:12" ht="18.95" customHeight="1" x14ac:dyDescent="0.25">
      <c r="A32" s="80" t="s">
        <v>19</v>
      </c>
      <c r="B32" s="81">
        <v>150000</v>
      </c>
      <c r="C32" s="81"/>
      <c r="D32" s="81"/>
      <c r="E32" s="16"/>
    </row>
    <row r="33" spans="1:5" x14ac:dyDescent="0.25">
      <c r="A33" s="83" t="s">
        <v>66</v>
      </c>
      <c r="B33" s="82">
        <v>2000</v>
      </c>
      <c r="C33" s="16"/>
      <c r="D33" s="16"/>
      <c r="E33" s="16"/>
    </row>
    <row r="34" spans="1:5" x14ac:dyDescent="0.25">
      <c r="A34" s="83" t="s">
        <v>169</v>
      </c>
      <c r="B34" s="82">
        <v>18000</v>
      </c>
      <c r="C34" s="16"/>
      <c r="D34" s="16"/>
      <c r="E34" s="16"/>
    </row>
    <row r="35" spans="1:5" x14ac:dyDescent="0.25">
      <c r="A35" s="83" t="s">
        <v>171</v>
      </c>
      <c r="B35" s="82">
        <v>8000</v>
      </c>
      <c r="C35" s="16"/>
      <c r="D35" s="16"/>
      <c r="E35" s="16"/>
    </row>
    <row r="36" spans="1:5" ht="30" x14ac:dyDescent="0.25">
      <c r="A36" s="83" t="s">
        <v>79</v>
      </c>
      <c r="B36" s="82">
        <v>7</v>
      </c>
      <c r="C36" s="16"/>
      <c r="D36" s="16"/>
      <c r="E36" s="16"/>
    </row>
    <row r="37" spans="1:5" x14ac:dyDescent="0.25">
      <c r="A37" s="83" t="s">
        <v>80</v>
      </c>
      <c r="B37" s="82">
        <v>2000</v>
      </c>
      <c r="C37" s="16"/>
      <c r="D37" s="16"/>
      <c r="E37" s="16"/>
    </row>
    <row r="38" spans="1:5" x14ac:dyDescent="0.25">
      <c r="A38" s="83" t="s">
        <v>81</v>
      </c>
      <c r="B38" s="82">
        <v>40</v>
      </c>
    </row>
    <row r="39" spans="1:5" x14ac:dyDescent="0.25">
      <c r="A39" s="83" t="s">
        <v>82</v>
      </c>
      <c r="B39" s="82">
        <v>20</v>
      </c>
    </row>
    <row r="40" spans="1:5" x14ac:dyDescent="0.25">
      <c r="A40" s="83" t="s">
        <v>172</v>
      </c>
      <c r="B40" s="82">
        <v>10000</v>
      </c>
    </row>
    <row r="42" spans="1:5" x14ac:dyDescent="0.25">
      <c r="A42" s="89" t="s">
        <v>83</v>
      </c>
    </row>
    <row r="43" spans="1:5" ht="60" x14ac:dyDescent="0.25">
      <c r="A43" s="90" t="s">
        <v>84</v>
      </c>
      <c r="B43">
        <v>12000</v>
      </c>
    </row>
    <row r="44" spans="1:5" ht="90" x14ac:dyDescent="0.25">
      <c r="A44" s="91" t="s">
        <v>85</v>
      </c>
      <c r="B44">
        <v>8000</v>
      </c>
    </row>
    <row r="45" spans="1:5" ht="150" x14ac:dyDescent="0.25">
      <c r="A45" s="92" t="s">
        <v>86</v>
      </c>
      <c r="B45">
        <v>1500</v>
      </c>
    </row>
    <row r="46" spans="1:5" ht="135" x14ac:dyDescent="0.25">
      <c r="A46" s="92" t="s">
        <v>87</v>
      </c>
      <c r="B46">
        <v>5000</v>
      </c>
    </row>
    <row r="47" spans="1:5" ht="45" x14ac:dyDescent="0.25">
      <c r="A47" s="92" t="s">
        <v>88</v>
      </c>
      <c r="B47">
        <v>2000</v>
      </c>
    </row>
    <row r="48" spans="1:5" ht="75" x14ac:dyDescent="0.25">
      <c r="A48" s="90" t="s">
        <v>89</v>
      </c>
      <c r="B48">
        <v>9500</v>
      </c>
    </row>
    <row r="52" spans="1:4" ht="47.25" x14ac:dyDescent="0.25">
      <c r="A52" s="93" t="s">
        <v>90</v>
      </c>
      <c r="B52" s="94" t="s">
        <v>91</v>
      </c>
      <c r="C52" s="94" t="s">
        <v>92</v>
      </c>
      <c r="D52" s="94" t="s">
        <v>93</v>
      </c>
    </row>
    <row r="53" spans="1:4" x14ac:dyDescent="0.25">
      <c r="A53" s="95" t="s">
        <v>94</v>
      </c>
      <c r="B53" s="96">
        <v>2</v>
      </c>
      <c r="C53" s="97">
        <v>230000</v>
      </c>
      <c r="D53" s="98">
        <f>(C53/B53)/7.8</f>
        <v>14743.589743589744</v>
      </c>
    </row>
    <row r="54" spans="1:4" x14ac:dyDescent="0.25">
      <c r="A54" s="95" t="s">
        <v>95</v>
      </c>
      <c r="B54" s="96">
        <v>6</v>
      </c>
      <c r="C54" s="97">
        <v>35000</v>
      </c>
      <c r="D54" s="98">
        <f t="shared" ref="D54:D62" si="0">(C54/B54)/7.8</f>
        <v>747.86324786324781</v>
      </c>
    </row>
    <row r="55" spans="1:4" x14ac:dyDescent="0.25">
      <c r="A55" s="95" t="s">
        <v>96</v>
      </c>
      <c r="B55" s="96">
        <v>1</v>
      </c>
      <c r="C55" s="97">
        <v>600000</v>
      </c>
      <c r="D55" s="98">
        <f t="shared" si="0"/>
        <v>76923.076923076922</v>
      </c>
    </row>
    <row r="56" spans="1:4" ht="31.5" x14ac:dyDescent="0.25">
      <c r="A56" s="95" t="s">
        <v>97</v>
      </c>
      <c r="B56" s="96">
        <v>2</v>
      </c>
      <c r="C56" s="97">
        <v>120000</v>
      </c>
      <c r="D56" s="98">
        <f t="shared" si="0"/>
        <v>7692.3076923076924</v>
      </c>
    </row>
    <row r="57" spans="1:4" ht="31.5" x14ac:dyDescent="0.25">
      <c r="A57" s="95" t="s">
        <v>98</v>
      </c>
      <c r="B57" s="96">
        <v>1</v>
      </c>
      <c r="C57" s="97">
        <v>1440000</v>
      </c>
      <c r="D57" s="98">
        <f t="shared" si="0"/>
        <v>184615.38461538462</v>
      </c>
    </row>
    <row r="58" spans="1:4" x14ac:dyDescent="0.25">
      <c r="A58" s="95" t="s">
        <v>99</v>
      </c>
      <c r="B58" s="96">
        <v>3</v>
      </c>
      <c r="C58" s="97">
        <v>15000</v>
      </c>
      <c r="D58" s="98">
        <f t="shared" si="0"/>
        <v>641.02564102564099</v>
      </c>
    </row>
    <row r="59" spans="1:4" x14ac:dyDescent="0.25">
      <c r="A59" s="95" t="s">
        <v>99</v>
      </c>
      <c r="B59" s="96">
        <v>3</v>
      </c>
      <c r="C59" s="97">
        <v>55000</v>
      </c>
      <c r="D59" s="98">
        <f t="shared" si="0"/>
        <v>2350.4273504273501</v>
      </c>
    </row>
    <row r="60" spans="1:4" x14ac:dyDescent="0.25">
      <c r="A60" s="95" t="s">
        <v>100</v>
      </c>
      <c r="B60" s="96">
        <v>3</v>
      </c>
      <c r="C60" s="97">
        <v>14000</v>
      </c>
      <c r="D60" s="98">
        <f t="shared" si="0"/>
        <v>598.29059829059838</v>
      </c>
    </row>
    <row r="61" spans="1:4" x14ac:dyDescent="0.25">
      <c r="A61" s="95" t="s">
        <v>101</v>
      </c>
      <c r="B61" s="96">
        <v>4</v>
      </c>
      <c r="C61" s="97">
        <v>90000</v>
      </c>
      <c r="D61" s="98">
        <f t="shared" si="0"/>
        <v>2884.6153846153848</v>
      </c>
    </row>
    <row r="62" spans="1:4" x14ac:dyDescent="0.25">
      <c r="A62" s="95" t="s">
        <v>102</v>
      </c>
      <c r="B62" s="96">
        <v>2</v>
      </c>
      <c r="C62" s="97">
        <v>30000</v>
      </c>
      <c r="D62" s="98">
        <f t="shared" si="0"/>
        <v>1923.0769230769231</v>
      </c>
    </row>
    <row r="67" spans="1:5" x14ac:dyDescent="0.25">
      <c r="A67" s="99" t="s">
        <v>103</v>
      </c>
    </row>
    <row r="68" spans="1:5" x14ac:dyDescent="0.25">
      <c r="A68" s="100" t="s">
        <v>104</v>
      </c>
      <c r="B68">
        <v>10000</v>
      </c>
      <c r="C68">
        <v>3000</v>
      </c>
    </row>
    <row r="69" spans="1:5" x14ac:dyDescent="0.25">
      <c r="A69" s="100" t="s">
        <v>105</v>
      </c>
      <c r="B69">
        <v>4000</v>
      </c>
      <c r="C69">
        <v>2000</v>
      </c>
    </row>
    <row r="70" spans="1:5" ht="25.5" x14ac:dyDescent="0.25">
      <c r="A70" s="101" t="s">
        <v>106</v>
      </c>
      <c r="B70">
        <v>15000</v>
      </c>
      <c r="C70">
        <f>B70/3</f>
        <v>5000</v>
      </c>
    </row>
    <row r="71" spans="1:5" ht="25.5" x14ac:dyDescent="0.25">
      <c r="A71" s="101" t="s">
        <v>107</v>
      </c>
      <c r="B71">
        <v>8000</v>
      </c>
      <c r="C71">
        <v>2000</v>
      </c>
    </row>
    <row r="72" spans="1:5" x14ac:dyDescent="0.25">
      <c r="A72" s="100" t="s">
        <v>108</v>
      </c>
      <c r="B72">
        <v>4000</v>
      </c>
      <c r="C72">
        <v>4000</v>
      </c>
    </row>
    <row r="73" spans="1:5" ht="25.5" x14ac:dyDescent="0.25">
      <c r="A73" s="101" t="s">
        <v>109</v>
      </c>
      <c r="B73">
        <v>21000</v>
      </c>
      <c r="C73">
        <v>1500</v>
      </c>
    </row>
    <row r="74" spans="1:5" x14ac:dyDescent="0.25">
      <c r="A74" s="100" t="s">
        <v>110</v>
      </c>
      <c r="B74">
        <v>5000</v>
      </c>
      <c r="C74">
        <v>1000</v>
      </c>
    </row>
    <row r="75" spans="1:5" x14ac:dyDescent="0.25">
      <c r="A75" s="100" t="s">
        <v>111</v>
      </c>
      <c r="B75">
        <v>4000</v>
      </c>
      <c r="C75">
        <v>2000</v>
      </c>
    </row>
    <row r="76" spans="1:5" x14ac:dyDescent="0.25">
      <c r="A76" s="100"/>
    </row>
    <row r="77" spans="1:5" x14ac:dyDescent="0.25">
      <c r="A77" s="100"/>
    </row>
    <row r="78" spans="1:5" ht="31.5" x14ac:dyDescent="0.25">
      <c r="A78" s="102" t="s">
        <v>112</v>
      </c>
      <c r="B78" s="93" t="s">
        <v>91</v>
      </c>
      <c r="C78" s="93" t="s">
        <v>113</v>
      </c>
      <c r="D78" s="93" t="s">
        <v>114</v>
      </c>
      <c r="E78" s="94" t="s">
        <v>115</v>
      </c>
    </row>
    <row r="79" spans="1:5" ht="63.75" x14ac:dyDescent="0.25">
      <c r="A79" s="103" t="s">
        <v>116</v>
      </c>
      <c r="B79" s="94">
        <v>315</v>
      </c>
      <c r="C79" s="93" t="s">
        <v>117</v>
      </c>
      <c r="D79" s="98">
        <f>((315*2000))</f>
        <v>630000</v>
      </c>
      <c r="E79" s="98">
        <f>D79/B79</f>
        <v>2000</v>
      </c>
    </row>
    <row r="80" spans="1:5" ht="38.25" x14ac:dyDescent="0.25">
      <c r="A80" s="104" t="s">
        <v>118</v>
      </c>
      <c r="B80" s="94">
        <v>21</v>
      </c>
      <c r="C80" s="93" t="s">
        <v>119</v>
      </c>
      <c r="D80" s="98">
        <v>78750</v>
      </c>
      <c r="E80" s="98">
        <f t="shared" ref="E80:E90" si="1">D80/B80</f>
        <v>3750</v>
      </c>
    </row>
    <row r="81" spans="1:5" ht="47.25" x14ac:dyDescent="0.25">
      <c r="A81" s="94" t="s">
        <v>120</v>
      </c>
      <c r="B81" s="94">
        <v>21</v>
      </c>
      <c r="C81" s="93" t="s">
        <v>121</v>
      </c>
      <c r="D81" s="98">
        <v>50000</v>
      </c>
      <c r="E81" s="98">
        <f t="shared" si="1"/>
        <v>2380.9523809523807</v>
      </c>
    </row>
    <row r="82" spans="1:5" ht="47.25" x14ac:dyDescent="0.25">
      <c r="A82" s="94" t="s">
        <v>122</v>
      </c>
      <c r="B82" s="94">
        <v>21</v>
      </c>
      <c r="C82" s="94" t="s">
        <v>123</v>
      </c>
      <c r="D82" s="98">
        <v>50000</v>
      </c>
      <c r="E82" s="98">
        <f t="shared" si="1"/>
        <v>2380.9523809523807</v>
      </c>
    </row>
    <row r="83" spans="1:5" ht="63" x14ac:dyDescent="0.25">
      <c r="A83" s="94" t="s">
        <v>124</v>
      </c>
      <c r="B83" s="94">
        <v>23</v>
      </c>
      <c r="C83" s="93" t="s">
        <v>125</v>
      </c>
      <c r="D83" s="98">
        <v>46000</v>
      </c>
      <c r="E83" s="98">
        <f t="shared" si="1"/>
        <v>2000</v>
      </c>
    </row>
    <row r="84" spans="1:5" ht="47.25" x14ac:dyDescent="0.25">
      <c r="A84" s="94" t="s">
        <v>126</v>
      </c>
      <c r="B84" s="94">
        <v>22</v>
      </c>
      <c r="C84" s="93" t="s">
        <v>127</v>
      </c>
      <c r="D84" s="98">
        <v>257863.03</v>
      </c>
      <c r="E84" s="98">
        <f t="shared" si="1"/>
        <v>11721.046818181818</v>
      </c>
    </row>
    <row r="85" spans="1:5" ht="31.5" x14ac:dyDescent="0.25">
      <c r="A85" s="94" t="s">
        <v>128</v>
      </c>
      <c r="B85" s="94">
        <v>1</v>
      </c>
      <c r="C85" s="93" t="s">
        <v>129</v>
      </c>
      <c r="D85" s="98">
        <v>1200000</v>
      </c>
      <c r="E85" s="98">
        <f t="shared" si="1"/>
        <v>1200000</v>
      </c>
    </row>
    <row r="86" spans="1:5" x14ac:dyDescent="0.25">
      <c r="A86" s="94" t="s">
        <v>130</v>
      </c>
      <c r="B86" s="94">
        <v>1</v>
      </c>
      <c r="C86" s="93" t="s">
        <v>131</v>
      </c>
      <c r="D86" s="98">
        <v>800000</v>
      </c>
      <c r="E86" s="98">
        <f t="shared" si="1"/>
        <v>800000</v>
      </c>
    </row>
    <row r="87" spans="1:5" ht="94.5" x14ac:dyDescent="0.25">
      <c r="A87" s="94" t="s">
        <v>132</v>
      </c>
      <c r="B87" s="94">
        <v>1</v>
      </c>
      <c r="C87" s="93" t="s">
        <v>133</v>
      </c>
      <c r="D87" s="98">
        <v>1200000</v>
      </c>
      <c r="E87" s="98">
        <f t="shared" si="1"/>
        <v>1200000</v>
      </c>
    </row>
    <row r="88" spans="1:5" ht="47.25" x14ac:dyDescent="0.25">
      <c r="A88" s="94" t="s">
        <v>134</v>
      </c>
      <c r="B88" s="94">
        <v>1</v>
      </c>
      <c r="C88" s="93" t="s">
        <v>135</v>
      </c>
      <c r="D88" s="98">
        <v>302500</v>
      </c>
      <c r="E88" s="98">
        <f t="shared" si="1"/>
        <v>302500</v>
      </c>
    </row>
    <row r="89" spans="1:5" ht="47.25" x14ac:dyDescent="0.25">
      <c r="A89" s="94" t="s">
        <v>136</v>
      </c>
      <c r="B89" s="94">
        <v>1</v>
      </c>
      <c r="C89" s="93" t="s">
        <v>135</v>
      </c>
      <c r="D89" s="98">
        <v>300000</v>
      </c>
      <c r="E89" s="98">
        <f t="shared" si="1"/>
        <v>300000</v>
      </c>
    </row>
    <row r="90" spans="1:5" ht="47.25" x14ac:dyDescent="0.25">
      <c r="A90" s="94" t="s">
        <v>137</v>
      </c>
      <c r="B90" s="94">
        <v>1</v>
      </c>
      <c r="C90" s="93" t="s">
        <v>138</v>
      </c>
      <c r="D90" s="98">
        <v>200000</v>
      </c>
      <c r="E90" s="98">
        <f t="shared" si="1"/>
        <v>200000</v>
      </c>
    </row>
    <row r="96" spans="1:5" x14ac:dyDescent="0.25">
      <c r="A96" s="170" t="s">
        <v>139</v>
      </c>
      <c r="B96" s="170"/>
      <c r="C96" s="170"/>
    </row>
    <row r="97" spans="1:6" x14ac:dyDescent="0.25">
      <c r="A97" t="s">
        <v>140</v>
      </c>
      <c r="B97" t="s">
        <v>91</v>
      </c>
      <c r="C97" t="s">
        <v>141</v>
      </c>
      <c r="D97" t="s">
        <v>142</v>
      </c>
    </row>
    <row r="99" spans="1:6" x14ac:dyDescent="0.25">
      <c r="A99" t="s">
        <v>143</v>
      </c>
      <c r="B99">
        <v>50</v>
      </c>
      <c r="C99">
        <v>2000</v>
      </c>
      <c r="D99" s="105">
        <f t="shared" ref="D99:D104" si="2">B99*C99</f>
        <v>100000</v>
      </c>
      <c r="E99" s="88"/>
      <c r="F99" s="88"/>
    </row>
    <row r="100" spans="1:6" x14ac:dyDescent="0.25">
      <c r="A100" t="s">
        <v>144</v>
      </c>
      <c r="B100">
        <v>50</v>
      </c>
      <c r="C100">
        <v>300</v>
      </c>
      <c r="D100" s="105">
        <f t="shared" si="2"/>
        <v>15000</v>
      </c>
    </row>
    <row r="101" spans="1:6" x14ac:dyDescent="0.25">
      <c r="A101" t="s">
        <v>145</v>
      </c>
      <c r="B101">
        <v>5</v>
      </c>
      <c r="C101">
        <v>2000</v>
      </c>
      <c r="D101" s="105">
        <f t="shared" si="2"/>
        <v>10000</v>
      </c>
    </row>
    <row r="102" spans="1:6" x14ac:dyDescent="0.25">
      <c r="A102" t="s">
        <v>146</v>
      </c>
      <c r="B102">
        <v>5</v>
      </c>
      <c r="C102">
        <v>2000</v>
      </c>
      <c r="D102" s="105">
        <f t="shared" si="2"/>
        <v>10000</v>
      </c>
    </row>
    <row r="103" spans="1:6" x14ac:dyDescent="0.25">
      <c r="A103" t="s">
        <v>147</v>
      </c>
      <c r="B103">
        <v>5</v>
      </c>
      <c r="C103">
        <v>2000</v>
      </c>
      <c r="D103" s="105">
        <f t="shared" si="2"/>
        <v>10000</v>
      </c>
    </row>
    <row r="104" spans="1:6" ht="31.5" x14ac:dyDescent="0.25">
      <c r="A104" s="88" t="s">
        <v>148</v>
      </c>
      <c r="B104">
        <v>1</v>
      </c>
      <c r="C104">
        <v>10000</v>
      </c>
      <c r="D104" s="106">
        <f t="shared" si="2"/>
        <v>10000</v>
      </c>
    </row>
  </sheetData>
  <mergeCells count="1">
    <mergeCell ref="A96:C9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4"/>
  <sheetViews>
    <sheetView topLeftCell="A6" zoomScale="115" zoomScaleNormal="115" workbookViewId="0">
      <selection activeCell="B13" sqref="B13"/>
    </sheetView>
  </sheetViews>
  <sheetFormatPr defaultColWidth="9" defaultRowHeight="15" x14ac:dyDescent="0.25"/>
  <cols>
    <col min="1" max="1" width="45.25" style="55" customWidth="1"/>
    <col min="2" max="2" width="12.125" style="44" bestFit="1" customWidth="1"/>
    <col min="3" max="3" width="7.625" style="57" bestFit="1" customWidth="1"/>
    <col min="4" max="4" width="9.875" style="44" bestFit="1" customWidth="1"/>
    <col min="5" max="5" width="6.75" style="57" bestFit="1" customWidth="1"/>
    <col min="6" max="6" width="9.875" style="44" bestFit="1" customWidth="1"/>
    <col min="7" max="7" width="6.75" style="57" bestFit="1" customWidth="1"/>
    <col min="8" max="8" width="8.875" style="44" bestFit="1" customWidth="1"/>
    <col min="9" max="9" width="6.75" style="57" bestFit="1" customWidth="1"/>
    <col min="10" max="10" width="9" style="44"/>
    <col min="11" max="11" width="6.75" style="57" bestFit="1" customWidth="1"/>
    <col min="12" max="12" width="15.875" style="44" customWidth="1"/>
    <col min="13" max="16384" width="9" style="44"/>
  </cols>
  <sheetData>
    <row r="1" spans="1:39" ht="15.75" x14ac:dyDescent="0.25">
      <c r="A1" s="173" t="s">
        <v>32</v>
      </c>
      <c r="B1" s="173"/>
      <c r="C1" s="173"/>
      <c r="D1" s="173"/>
      <c r="E1" s="173"/>
      <c r="F1" s="173"/>
      <c r="G1" s="173"/>
      <c r="H1" s="173"/>
      <c r="I1" s="173"/>
      <c r="J1" s="173"/>
      <c r="K1" s="173"/>
      <c r="L1" s="173"/>
    </row>
    <row r="2" spans="1:39" ht="15.75" x14ac:dyDescent="0.25">
      <c r="A2" s="45" t="s">
        <v>21</v>
      </c>
      <c r="B2" s="64">
        <f>B4+B12+B19+B26</f>
        <v>29767435.799999997</v>
      </c>
      <c r="C2" s="65">
        <f>D2/$B2*100</f>
        <v>14.048777657899578</v>
      </c>
      <c r="D2" s="64">
        <f>D4+D12+D19+D26</f>
        <v>4181960.87</v>
      </c>
      <c r="E2" s="65">
        <f>F2/$B$2*100</f>
        <v>16.04157906674649</v>
      </c>
      <c r="F2" s="64">
        <f>F4+F12+F19+F26</f>
        <v>4775166.75</v>
      </c>
      <c r="G2" s="65">
        <f>H2/$B$2*100</f>
        <v>19.957211363163498</v>
      </c>
      <c r="H2" s="64">
        <f>H4+H12+H19+H26</f>
        <v>5940750.0799999991</v>
      </c>
      <c r="I2" s="65">
        <f>J2/$B$2*100</f>
        <v>29.311297884784555</v>
      </c>
      <c r="J2" s="64">
        <f>J4+J12+J19+J26</f>
        <v>8725221.7799999993</v>
      </c>
      <c r="K2" s="65">
        <f>L2/$B$2*100</f>
        <v>20.641134027405879</v>
      </c>
      <c r="L2" s="64">
        <f>L4+L12+L19+L26</f>
        <v>6144336.3199999994</v>
      </c>
      <c r="M2" s="47">
        <f>C2+E2+G2+I2+K2</f>
        <v>100</v>
      </c>
      <c r="N2" s="47"/>
      <c r="O2" s="47"/>
      <c r="P2" s="47"/>
      <c r="Q2" s="47"/>
      <c r="R2" s="47"/>
      <c r="S2" s="47"/>
      <c r="T2" s="47"/>
      <c r="U2" s="47"/>
      <c r="V2" s="47"/>
      <c r="W2" s="47"/>
      <c r="X2" s="47"/>
      <c r="Y2" s="47"/>
      <c r="Z2" s="47"/>
      <c r="AA2" s="47"/>
      <c r="AB2" s="47"/>
      <c r="AC2" s="47"/>
      <c r="AD2" s="47"/>
      <c r="AE2" s="47"/>
      <c r="AF2" s="47"/>
      <c r="AG2" s="47"/>
      <c r="AH2" s="47"/>
      <c r="AI2" s="47"/>
      <c r="AJ2" s="47"/>
      <c r="AK2" s="47"/>
      <c r="AL2" s="47"/>
      <c r="AM2" s="47"/>
    </row>
    <row r="3" spans="1:39" ht="14.45" customHeight="1" x14ac:dyDescent="0.25">
      <c r="A3" s="171" t="str">
        <f>'1. Presupuesto detallado'!C2</f>
        <v xml:space="preserve">Componente I. Mejora de la Gestión de los Tributos Internos. </v>
      </c>
      <c r="B3" s="48" t="s">
        <v>33</v>
      </c>
      <c r="C3" s="49" t="s">
        <v>4</v>
      </c>
      <c r="D3" s="50" t="s">
        <v>34</v>
      </c>
      <c r="E3" s="50" t="s">
        <v>4</v>
      </c>
      <c r="F3" s="50" t="s">
        <v>35</v>
      </c>
      <c r="G3" s="50" t="s">
        <v>4</v>
      </c>
      <c r="H3" s="50" t="s">
        <v>36</v>
      </c>
      <c r="I3" s="50" t="s">
        <v>4</v>
      </c>
      <c r="J3" s="50" t="s">
        <v>37</v>
      </c>
      <c r="K3" s="50" t="s">
        <v>4</v>
      </c>
      <c r="L3" s="50" t="s">
        <v>38</v>
      </c>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row>
    <row r="4" spans="1:39" x14ac:dyDescent="0.25">
      <c r="A4" s="172"/>
      <c r="B4" s="60">
        <f>SUM(B5:B9)</f>
        <v>13457858.4</v>
      </c>
      <c r="C4" s="46">
        <f>D4/$B4*100</f>
        <v>12.440161058612414</v>
      </c>
      <c r="D4" s="59">
        <f>SUM(D5:D9)</f>
        <v>1674179.2599999998</v>
      </c>
      <c r="E4" s="46">
        <v>15</v>
      </c>
      <c r="F4" s="59">
        <f>SUM(F5:F9)</f>
        <v>2267385.14</v>
      </c>
      <c r="G4" s="46">
        <v>20</v>
      </c>
      <c r="H4" s="59">
        <f>SUM(H5:H9)</f>
        <v>2627709.5999999996</v>
      </c>
      <c r="I4" s="46">
        <v>30</v>
      </c>
      <c r="J4" s="59">
        <f>SUM(J5:J9)</f>
        <v>4069288.56</v>
      </c>
      <c r="K4" s="46">
        <v>20</v>
      </c>
      <c r="L4" s="59">
        <f>SUM(L5:L9)</f>
        <v>2819295.84</v>
      </c>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row>
    <row r="5" spans="1:39" ht="150" x14ac:dyDescent="0.25">
      <c r="A5" s="58" t="str">
        <f>'1. Presupuesto detallado'!A5</f>
        <v>1.1. Implementación del Sistema Integrado de Consolidación de Información Tributaria bajo la órbita del VMI con un único Número de Identificación Tributaria (NIT), integrada (a través de convenios, protocolos y estándares comunes) con bases de terceros del Registro Nacional de las Personas (RNP), Centro Nacional de Registros (CNR), y otros de interés tributario incluso los datos de facturación electrónica que mejore la calidad del RUC, ampliando la base impositiva.</v>
      </c>
      <c r="B5" s="59">
        <f>'1. Presupuesto detallado'!B5:B11</f>
        <v>3674070</v>
      </c>
      <c r="C5" s="46">
        <v>15</v>
      </c>
      <c r="D5" s="59">
        <f>$B5*C5/100</f>
        <v>551110.5</v>
      </c>
      <c r="E5" s="46">
        <v>15</v>
      </c>
      <c r="F5" s="59">
        <f t="shared" ref="F5:F9" si="0">$B5*E5/100</f>
        <v>551110.5</v>
      </c>
      <c r="G5" s="46">
        <v>20</v>
      </c>
      <c r="H5" s="59">
        <f t="shared" ref="H5:H9" si="1">$B5*G5/100</f>
        <v>734814</v>
      </c>
      <c r="I5" s="46">
        <v>30</v>
      </c>
      <c r="J5" s="59">
        <f t="shared" ref="J5:J9" si="2">$B5*I5/100</f>
        <v>1102221</v>
      </c>
      <c r="K5" s="46">
        <v>20</v>
      </c>
      <c r="L5" s="59">
        <f t="shared" ref="L5:L9" si="3">$B5*K5/100</f>
        <v>734814</v>
      </c>
      <c r="M5" s="47">
        <f>C5+E5+G5+I5+K5</f>
        <v>100</v>
      </c>
      <c r="N5" s="47"/>
      <c r="O5" s="47"/>
      <c r="P5" s="47"/>
      <c r="Q5" s="47"/>
      <c r="R5" s="47"/>
      <c r="S5" s="47"/>
      <c r="T5" s="47"/>
      <c r="U5" s="47"/>
      <c r="V5" s="47"/>
      <c r="W5" s="47"/>
      <c r="X5" s="47"/>
      <c r="Y5" s="47"/>
      <c r="Z5" s="47"/>
      <c r="AA5" s="47"/>
      <c r="AB5" s="47"/>
      <c r="AC5" s="47"/>
      <c r="AD5" s="47"/>
      <c r="AE5" s="47"/>
      <c r="AF5" s="47"/>
      <c r="AG5" s="47"/>
      <c r="AH5" s="47"/>
      <c r="AI5" s="47"/>
      <c r="AJ5" s="47"/>
      <c r="AK5" s="47"/>
      <c r="AL5" s="47"/>
      <c r="AM5" s="47"/>
    </row>
    <row r="6" spans="1:39" ht="30.6" customHeight="1" x14ac:dyDescent="0.25">
      <c r="A6" s="132" t="str">
        <f>'1. Presupuesto detallado'!$A$12</f>
        <v>1.2. Adecuación de Sistemas de DGII, DGA y DGT, incluido el Sistema Integrado de Informacion Tributaria (SIIT) a la cuenta corriente de los contribuyentes</v>
      </c>
      <c r="B6" s="133">
        <f>'1. Presupuesto detallado'!$B$12</f>
        <v>858105.6</v>
      </c>
      <c r="C6" s="46">
        <v>15</v>
      </c>
      <c r="D6" s="59">
        <f>$B6*C6/100</f>
        <v>128715.84</v>
      </c>
      <c r="E6" s="46">
        <v>15</v>
      </c>
      <c r="F6" s="59">
        <f t="shared" ref="F6" si="4">$B6*E6/100</f>
        <v>128715.84</v>
      </c>
      <c r="G6" s="46">
        <v>20</v>
      </c>
      <c r="H6" s="59">
        <f t="shared" ref="H6" si="5">$B6*G6/100</f>
        <v>171621.12</v>
      </c>
      <c r="I6" s="46">
        <v>30</v>
      </c>
      <c r="J6" s="59">
        <f t="shared" ref="J6" si="6">$B6*I6/100</f>
        <v>257431.67999999999</v>
      </c>
      <c r="K6" s="46">
        <v>20</v>
      </c>
      <c r="L6" s="59">
        <f t="shared" ref="L6" si="7">$B6*K6/100</f>
        <v>171621.12</v>
      </c>
      <c r="M6" s="47">
        <f>C6+E6+G6+I6+K6</f>
        <v>100</v>
      </c>
      <c r="N6" s="47"/>
      <c r="O6" s="47"/>
      <c r="P6" s="47"/>
      <c r="Q6" s="47"/>
      <c r="R6" s="47"/>
      <c r="S6" s="47"/>
      <c r="T6" s="47"/>
      <c r="U6" s="47"/>
      <c r="V6" s="47"/>
      <c r="W6" s="47"/>
      <c r="X6" s="47"/>
      <c r="Y6" s="47"/>
      <c r="Z6" s="47"/>
      <c r="AA6" s="47"/>
      <c r="AB6" s="47"/>
      <c r="AC6" s="47"/>
      <c r="AD6" s="47"/>
      <c r="AE6" s="47"/>
      <c r="AF6" s="47"/>
      <c r="AG6" s="47"/>
      <c r="AH6" s="47"/>
      <c r="AI6" s="47"/>
      <c r="AJ6" s="47"/>
      <c r="AK6" s="47"/>
      <c r="AL6" s="47"/>
      <c r="AM6" s="47"/>
    </row>
    <row r="7" spans="1:39" ht="90" x14ac:dyDescent="0.25">
      <c r="A7" s="58" t="str">
        <f>'1. Presupuesto detallado'!$A$13</f>
        <v>1.3 Mejora en el control de la facturación hasta la implementación completa de la Factura Electrónica (FE), empezando con un Plan Piloto que incluya a un grupo de grandes cont.ribuyentes y proveedores tecnológicos, exclusivamente para transacciones de bienes y servicios entre empresas</v>
      </c>
      <c r="B7" s="59">
        <f>'1. Presupuesto detallado'!$B$13</f>
        <v>5612748.4000000004</v>
      </c>
      <c r="C7" s="46">
        <v>10</v>
      </c>
      <c r="D7" s="59">
        <f t="shared" ref="D7:D9" si="8">$B7*C7/100</f>
        <v>561274.84</v>
      </c>
      <c r="E7" s="46">
        <v>20</v>
      </c>
      <c r="F7" s="59">
        <f t="shared" si="0"/>
        <v>1122549.68</v>
      </c>
      <c r="G7" s="46">
        <v>20</v>
      </c>
      <c r="H7" s="59">
        <f t="shared" si="1"/>
        <v>1122549.68</v>
      </c>
      <c r="I7" s="46">
        <v>30</v>
      </c>
      <c r="J7" s="59">
        <f t="shared" si="2"/>
        <v>1683824.52</v>
      </c>
      <c r="K7" s="46">
        <v>20</v>
      </c>
      <c r="L7" s="59">
        <f t="shared" si="3"/>
        <v>1122549.68</v>
      </c>
      <c r="M7" s="47">
        <f t="shared" ref="M7:M33" si="9">C7+E7+G7+I7+K7</f>
        <v>100</v>
      </c>
      <c r="N7" s="47"/>
      <c r="O7" s="47"/>
      <c r="P7" s="47"/>
      <c r="Q7" s="47"/>
      <c r="R7" s="47"/>
      <c r="S7" s="47"/>
      <c r="T7" s="47"/>
      <c r="U7" s="47"/>
      <c r="V7" s="47"/>
      <c r="W7" s="47"/>
      <c r="X7" s="47"/>
      <c r="Y7" s="47"/>
      <c r="Z7" s="47"/>
      <c r="AA7" s="47"/>
      <c r="AB7" s="47"/>
      <c r="AC7" s="47"/>
      <c r="AD7" s="47"/>
      <c r="AE7" s="47"/>
      <c r="AF7" s="47"/>
      <c r="AG7" s="47"/>
      <c r="AH7" s="47"/>
      <c r="AI7" s="47"/>
      <c r="AJ7" s="47"/>
      <c r="AK7" s="47"/>
      <c r="AL7" s="47"/>
      <c r="AM7" s="47"/>
    </row>
    <row r="8" spans="1:39" ht="45" x14ac:dyDescent="0.25">
      <c r="A8" s="58" t="str">
        <f>'1. Presupuesto detallado'!$A$21</f>
        <v>1.4. Fortalecimiento de la fiscalización y control que integre todo el proceso y optimice la fiscalización ex ante;</v>
      </c>
      <c r="B8" s="59">
        <f>'1. Presupuesto detallado'!$B$21</f>
        <v>2035692.8</v>
      </c>
      <c r="C8" s="46">
        <v>15</v>
      </c>
      <c r="D8" s="59">
        <f t="shared" si="8"/>
        <v>305353.92</v>
      </c>
      <c r="E8" s="46">
        <v>15</v>
      </c>
      <c r="F8" s="59">
        <f t="shared" si="0"/>
        <v>305353.92</v>
      </c>
      <c r="G8" s="46">
        <v>20</v>
      </c>
      <c r="H8" s="59">
        <f t="shared" si="1"/>
        <v>407138.56</v>
      </c>
      <c r="I8" s="46">
        <v>30</v>
      </c>
      <c r="J8" s="59">
        <f t="shared" si="2"/>
        <v>610707.84</v>
      </c>
      <c r="K8" s="46">
        <v>20</v>
      </c>
      <c r="L8" s="59">
        <f t="shared" si="3"/>
        <v>407138.56</v>
      </c>
      <c r="M8" s="47">
        <f t="shared" si="9"/>
        <v>100</v>
      </c>
      <c r="N8" s="47"/>
      <c r="O8" s="47"/>
      <c r="P8" s="47"/>
      <c r="Q8" s="47"/>
      <c r="R8" s="47"/>
      <c r="S8" s="47"/>
      <c r="T8" s="47"/>
      <c r="U8" s="47"/>
      <c r="V8" s="47"/>
      <c r="W8" s="47"/>
      <c r="X8" s="47"/>
      <c r="Y8" s="47"/>
      <c r="Z8" s="47"/>
      <c r="AA8" s="47"/>
      <c r="AB8" s="47"/>
      <c r="AC8" s="47"/>
      <c r="AD8" s="47"/>
      <c r="AE8" s="47"/>
      <c r="AF8" s="47"/>
      <c r="AG8" s="47"/>
      <c r="AH8" s="47"/>
      <c r="AI8" s="47"/>
      <c r="AJ8" s="47"/>
      <c r="AK8" s="47"/>
      <c r="AL8" s="47"/>
      <c r="AM8" s="47"/>
    </row>
    <row r="9" spans="1:39" ht="30" x14ac:dyDescent="0.25">
      <c r="A9" s="58" t="str">
        <f>'1. Presupuesto detallado'!$A$34</f>
        <v>1.5. Institucionalización total e integral de de un nuevo porceso de cobranzas, bajo la jurisdicción del VMI.</v>
      </c>
      <c r="B9" s="59">
        <f>'1. Presupuesto detallado'!$B$34</f>
        <v>1277241.5999999999</v>
      </c>
      <c r="C9" s="46">
        <v>10</v>
      </c>
      <c r="D9" s="59">
        <f t="shared" si="8"/>
        <v>127724.15999999997</v>
      </c>
      <c r="E9" s="46">
        <v>12.5</v>
      </c>
      <c r="F9" s="59">
        <f t="shared" si="0"/>
        <v>159655.19999999998</v>
      </c>
      <c r="G9" s="46">
        <v>15</v>
      </c>
      <c r="H9" s="59">
        <f t="shared" si="1"/>
        <v>191586.23999999996</v>
      </c>
      <c r="I9" s="46">
        <v>32.5</v>
      </c>
      <c r="J9" s="59">
        <f t="shared" si="2"/>
        <v>415103.5199999999</v>
      </c>
      <c r="K9" s="46">
        <v>30</v>
      </c>
      <c r="L9" s="59">
        <f t="shared" si="3"/>
        <v>383172.47999999992</v>
      </c>
      <c r="M9" s="47">
        <f t="shared" si="9"/>
        <v>100</v>
      </c>
      <c r="N9" s="47"/>
      <c r="O9" s="47"/>
      <c r="P9" s="47"/>
      <c r="Q9" s="47"/>
      <c r="R9" s="47"/>
      <c r="S9" s="47"/>
      <c r="T9" s="47"/>
      <c r="U9" s="47"/>
      <c r="V9" s="47"/>
      <c r="W9" s="47"/>
      <c r="X9" s="47"/>
      <c r="Y9" s="47"/>
      <c r="Z9" s="47"/>
      <c r="AA9" s="47"/>
      <c r="AB9" s="47"/>
      <c r="AC9" s="47"/>
      <c r="AD9" s="47"/>
      <c r="AE9" s="47"/>
      <c r="AF9" s="47"/>
      <c r="AG9" s="47"/>
      <c r="AH9" s="47"/>
      <c r="AI9" s="47"/>
      <c r="AJ9" s="47"/>
      <c r="AK9" s="47"/>
      <c r="AL9" s="47"/>
      <c r="AM9" s="47"/>
    </row>
    <row r="10" spans="1:39" ht="15.75" x14ac:dyDescent="0.25">
      <c r="A10" s="178"/>
      <c r="B10" s="179"/>
      <c r="C10" s="179"/>
      <c r="D10" s="179"/>
      <c r="E10" s="179"/>
      <c r="F10" s="179"/>
      <c r="G10" s="179"/>
      <c r="H10" s="179"/>
      <c r="I10" s="179"/>
      <c r="J10" s="179"/>
      <c r="K10" s="179"/>
      <c r="L10" s="180"/>
      <c r="M10" s="47">
        <f t="shared" si="9"/>
        <v>0</v>
      </c>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row>
    <row r="11" spans="1:39" ht="14.45" customHeight="1" x14ac:dyDescent="0.25">
      <c r="A11" s="171" t="str">
        <f>'1. Presupuesto detallado'!C37</f>
        <v xml:space="preserve">Componente II. Fortalecimiento de la Gestión de los Tributos Aduaneros. </v>
      </c>
      <c r="B11" s="48" t="s">
        <v>33</v>
      </c>
      <c r="C11" s="49" t="s">
        <v>4</v>
      </c>
      <c r="D11" s="50" t="s">
        <v>34</v>
      </c>
      <c r="E11" s="50" t="s">
        <v>4</v>
      </c>
      <c r="F11" s="50" t="s">
        <v>35</v>
      </c>
      <c r="G11" s="50" t="s">
        <v>4</v>
      </c>
      <c r="H11" s="50" t="s">
        <v>36</v>
      </c>
      <c r="I11" s="50" t="s">
        <v>4</v>
      </c>
      <c r="J11" s="50" t="s">
        <v>37</v>
      </c>
      <c r="K11" s="50" t="s">
        <v>4</v>
      </c>
      <c r="L11" s="50" t="s">
        <v>38</v>
      </c>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row>
    <row r="12" spans="1:39" x14ac:dyDescent="0.25">
      <c r="A12" s="172"/>
      <c r="B12" s="60">
        <f>SUM(B13:B16)</f>
        <v>3872919</v>
      </c>
      <c r="C12" s="46">
        <f>D12/$B12*100</f>
        <v>13.6799362444709</v>
      </c>
      <c r="D12" s="60">
        <f>SUM(D13:D16)</f>
        <v>529812.85</v>
      </c>
      <c r="E12" s="46">
        <v>15</v>
      </c>
      <c r="F12" s="60">
        <f>SUM(F13:F16)</f>
        <v>529812.85</v>
      </c>
      <c r="G12" s="46">
        <v>20</v>
      </c>
      <c r="H12" s="60">
        <f>SUM(H13:H16)</f>
        <v>825708.8</v>
      </c>
      <c r="I12" s="46">
        <v>30</v>
      </c>
      <c r="J12" s="60">
        <f>SUM(J13:J16)</f>
        <v>1161875.7</v>
      </c>
      <c r="K12" s="46">
        <v>20</v>
      </c>
      <c r="L12" s="60">
        <f>SUM(L13:L16)</f>
        <v>825708.8</v>
      </c>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row>
    <row r="13" spans="1:39" ht="59.25" customHeight="1" x14ac:dyDescent="0.25">
      <c r="A13" s="58" t="str">
        <f>'1. Presupuesto detallado'!A38</f>
        <v>2.1.  Mejora del modelo de control ex ante, fortaleciendo el procesamiento electrónico obligatorio de los manifiestos de carga y los conocimientos de embarque;</v>
      </c>
      <c r="B13" s="60">
        <f>'1. Presupuesto detallado'!B38</f>
        <v>1022500</v>
      </c>
      <c r="C13" s="46">
        <v>10</v>
      </c>
      <c r="D13" s="51">
        <f>$B13*C13/100</f>
        <v>102250</v>
      </c>
      <c r="E13" s="46">
        <v>10</v>
      </c>
      <c r="F13" s="51">
        <f t="shared" ref="F13:L16" si="10">$B13*E13/100</f>
        <v>102250</v>
      </c>
      <c r="G13" s="46">
        <v>25</v>
      </c>
      <c r="H13" s="51">
        <f t="shared" si="10"/>
        <v>255625</v>
      </c>
      <c r="I13" s="46">
        <v>30</v>
      </c>
      <c r="J13" s="51">
        <f t="shared" si="10"/>
        <v>306750</v>
      </c>
      <c r="K13" s="46">
        <v>25</v>
      </c>
      <c r="L13" s="51">
        <f t="shared" si="10"/>
        <v>255625</v>
      </c>
      <c r="M13" s="47">
        <f t="shared" si="9"/>
        <v>100</v>
      </c>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row>
    <row r="14" spans="1:39" ht="43.5" customHeight="1" x14ac:dyDescent="0.25">
      <c r="A14" s="58" t="str">
        <f>'1. Presupuesto detallado'!A40</f>
        <v xml:space="preserve">2.2. Complementación de la funcionalidad de SIDUNEA World y la interoperabilidad con los sistemas de la DGII; </v>
      </c>
      <c r="B14" s="60">
        <f>'1. Presupuesto detallado'!B40</f>
        <v>1000000</v>
      </c>
      <c r="C14" s="46">
        <v>15</v>
      </c>
      <c r="D14" s="51">
        <f>$B14*C14/100</f>
        <v>150000</v>
      </c>
      <c r="E14" s="46">
        <v>15</v>
      </c>
      <c r="F14" s="51">
        <f t="shared" si="10"/>
        <v>150000</v>
      </c>
      <c r="G14" s="46">
        <v>20</v>
      </c>
      <c r="H14" s="51">
        <f t="shared" si="10"/>
        <v>200000</v>
      </c>
      <c r="I14" s="46">
        <v>30</v>
      </c>
      <c r="J14" s="51">
        <f t="shared" si="10"/>
        <v>300000</v>
      </c>
      <c r="K14" s="46">
        <v>20</v>
      </c>
      <c r="L14" s="51">
        <f t="shared" si="10"/>
        <v>200000</v>
      </c>
      <c r="M14" s="47">
        <f t="shared" si="9"/>
        <v>100</v>
      </c>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row>
    <row r="15" spans="1:39" ht="60" x14ac:dyDescent="0.25">
      <c r="A15" s="58" t="str">
        <f>'1. Presupuesto detallado'!A41</f>
        <v>2.3. Perfeccionamiento del modelo de selección de casos masivos en base a análisis de riesgo, utilizando información electrónica anticipada de los manifiestos de embarque</v>
      </c>
      <c r="B15" s="60">
        <f>'1. Presupuesto detallado'!B41</f>
        <v>1283419</v>
      </c>
      <c r="C15" s="46">
        <v>15</v>
      </c>
      <c r="D15" s="51">
        <f>$B15*C15/100</f>
        <v>192512.85</v>
      </c>
      <c r="E15" s="46">
        <v>15</v>
      </c>
      <c r="F15" s="51">
        <f t="shared" si="10"/>
        <v>192512.85</v>
      </c>
      <c r="G15" s="46">
        <v>20</v>
      </c>
      <c r="H15" s="51">
        <f t="shared" si="10"/>
        <v>256683.8</v>
      </c>
      <c r="I15" s="46">
        <v>30</v>
      </c>
      <c r="J15" s="51">
        <f t="shared" si="10"/>
        <v>385025.7</v>
      </c>
      <c r="K15" s="46">
        <v>20</v>
      </c>
      <c r="L15" s="51">
        <f t="shared" si="10"/>
        <v>256683.8</v>
      </c>
      <c r="M15" s="47">
        <f t="shared" si="9"/>
        <v>100</v>
      </c>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row>
    <row r="16" spans="1:39" ht="75" x14ac:dyDescent="0.25">
      <c r="A16" s="58" t="str">
        <f>'1. Presupuesto detallado'!A44</f>
        <v>2.4. Mejora del modelo de control Post-Despacho, con la implementación completa del pago electrónico de tributaciones aduaneras por Internet, el control automatizado de los morosos, integrando la fiscalización ex-post con la DGII.</v>
      </c>
      <c r="B16" s="60">
        <f>'1. Presupuesto detallado'!B44</f>
        <v>567000</v>
      </c>
      <c r="C16" s="46">
        <v>15</v>
      </c>
      <c r="D16" s="51">
        <f t="shared" ref="D16" si="11">$B16*C16/100</f>
        <v>85050</v>
      </c>
      <c r="E16" s="46">
        <v>15</v>
      </c>
      <c r="F16" s="51">
        <f t="shared" si="10"/>
        <v>85050</v>
      </c>
      <c r="G16" s="46">
        <v>20</v>
      </c>
      <c r="H16" s="51">
        <f t="shared" si="10"/>
        <v>113400</v>
      </c>
      <c r="I16" s="46">
        <v>30</v>
      </c>
      <c r="J16" s="51">
        <f t="shared" si="10"/>
        <v>170100</v>
      </c>
      <c r="K16" s="46">
        <v>20</v>
      </c>
      <c r="L16" s="51">
        <f t="shared" si="10"/>
        <v>113400</v>
      </c>
      <c r="M16" s="47">
        <f t="shared" si="9"/>
        <v>100</v>
      </c>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row>
    <row r="17" spans="1:39" ht="15.75" x14ac:dyDescent="0.25">
      <c r="A17" s="178"/>
      <c r="B17" s="179"/>
      <c r="C17" s="179"/>
      <c r="D17" s="179"/>
      <c r="E17" s="179"/>
      <c r="F17" s="179"/>
      <c r="G17" s="179"/>
      <c r="H17" s="179"/>
      <c r="I17" s="179"/>
      <c r="J17" s="179"/>
      <c r="K17" s="179"/>
      <c r="L17" s="180"/>
      <c r="M17" s="47">
        <f t="shared" si="9"/>
        <v>0</v>
      </c>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row>
    <row r="18" spans="1:39" ht="14.45" customHeight="1" x14ac:dyDescent="0.25">
      <c r="A18" s="176" t="str">
        <f>'1. Presupuesto detallado'!C47</f>
        <v>Componente III. Mejora de la gestión de la información y fortalecimiento estratégico del VMI y sus recursos humanos</v>
      </c>
      <c r="B18" s="48" t="s">
        <v>33</v>
      </c>
      <c r="C18" s="49" t="s">
        <v>4</v>
      </c>
      <c r="D18" s="50" t="s">
        <v>34</v>
      </c>
      <c r="E18" s="50" t="s">
        <v>4</v>
      </c>
      <c r="F18" s="50" t="s">
        <v>35</v>
      </c>
      <c r="G18" s="50" t="s">
        <v>4</v>
      </c>
      <c r="H18" s="50" t="s">
        <v>36</v>
      </c>
      <c r="I18" s="50" t="s">
        <v>4</v>
      </c>
      <c r="J18" s="50" t="s">
        <v>37</v>
      </c>
      <c r="K18" s="50" t="s">
        <v>4</v>
      </c>
      <c r="L18" s="50" t="s">
        <v>38</v>
      </c>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row>
    <row r="19" spans="1:39" ht="27.95" customHeight="1" x14ac:dyDescent="0.25">
      <c r="A19" s="177"/>
      <c r="B19" s="60">
        <f>SUM(B20:B23)</f>
        <v>9947258.4000000004</v>
      </c>
      <c r="C19" s="46">
        <f>D19/$B19*100</f>
        <v>15</v>
      </c>
      <c r="D19" s="60">
        <f>SUM(D20:D23)</f>
        <v>1492088.76</v>
      </c>
      <c r="E19" s="46">
        <v>15</v>
      </c>
      <c r="F19" s="60">
        <f>SUM(F20:F23)</f>
        <v>1492088.76</v>
      </c>
      <c r="G19" s="46">
        <v>20</v>
      </c>
      <c r="H19" s="60">
        <f>SUM(H20:H23)</f>
        <v>1989451.68</v>
      </c>
      <c r="I19" s="46">
        <v>30</v>
      </c>
      <c r="J19" s="60">
        <f>SUM(J20:J23)</f>
        <v>2984177.52</v>
      </c>
      <c r="K19" s="46">
        <v>20</v>
      </c>
      <c r="L19" s="60">
        <f>SUM(L20:L23)</f>
        <v>1989451.68</v>
      </c>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row>
    <row r="20" spans="1:39" ht="60" x14ac:dyDescent="0.25">
      <c r="A20" s="58" t="str">
        <f>'1. Presupuesto detallado'!A49</f>
        <v>3.1.1.Fortalecimiento de la integración informática de la DGII, DGA y DGT, mejorando la seguridad de la información, con un nuevo modelo de infraestructura tecnológica resolviendo problema de obsolescencia.</v>
      </c>
      <c r="B20" s="59">
        <f>'1. Presupuesto detallado'!B49</f>
        <v>5686000</v>
      </c>
      <c r="C20" s="46">
        <v>15</v>
      </c>
      <c r="D20" s="59">
        <f t="shared" ref="D20:D23" si="12">$B20*C20/100</f>
        <v>852900</v>
      </c>
      <c r="E20" s="46">
        <v>15</v>
      </c>
      <c r="F20" s="59">
        <f t="shared" ref="F20:F23" si="13">$B20*E20/100</f>
        <v>852900</v>
      </c>
      <c r="G20" s="46">
        <v>20</v>
      </c>
      <c r="H20" s="59">
        <f t="shared" ref="H20:H23" si="14">$B20*G20/100</f>
        <v>1137200</v>
      </c>
      <c r="I20" s="46">
        <v>30</v>
      </c>
      <c r="J20" s="59">
        <f t="shared" ref="J20:J23" si="15">$B20*I20/100</f>
        <v>1705800</v>
      </c>
      <c r="K20" s="46">
        <v>20</v>
      </c>
      <c r="L20" s="59">
        <f t="shared" ref="L20:L23" si="16">$B20*K20/100</f>
        <v>1137200</v>
      </c>
      <c r="M20" s="47">
        <f t="shared" si="9"/>
        <v>100</v>
      </c>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row>
    <row r="21" spans="1:39" ht="60" x14ac:dyDescent="0.25">
      <c r="A21" s="58" t="str">
        <f>'1. Presupuesto detallado'!A64</f>
        <v xml:space="preserve">3.1.2.  Fortalecimiento del desarrollo de un portal único con todos los aplicativos y declaraciones en línea con la utilización del código de barras para el pago de impuestos en agencias bancarias o vía Internet. </v>
      </c>
      <c r="B21" s="59">
        <f>'1. Presupuesto detallado'!B64</f>
        <v>2584500</v>
      </c>
      <c r="C21" s="46">
        <v>15</v>
      </c>
      <c r="D21" s="59">
        <f t="shared" si="12"/>
        <v>387675</v>
      </c>
      <c r="E21" s="46">
        <v>15</v>
      </c>
      <c r="F21" s="59">
        <f t="shared" si="13"/>
        <v>387675</v>
      </c>
      <c r="G21" s="46">
        <v>20</v>
      </c>
      <c r="H21" s="59">
        <f t="shared" si="14"/>
        <v>516900</v>
      </c>
      <c r="I21" s="46">
        <v>30</v>
      </c>
      <c r="J21" s="59">
        <f t="shared" si="15"/>
        <v>775350</v>
      </c>
      <c r="K21" s="46">
        <v>20</v>
      </c>
      <c r="L21" s="59">
        <f t="shared" si="16"/>
        <v>516900</v>
      </c>
      <c r="M21" s="47">
        <f t="shared" si="9"/>
        <v>100</v>
      </c>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row>
    <row r="22" spans="1:39" ht="30" x14ac:dyDescent="0.25">
      <c r="A22" s="58" t="str">
        <f>'1. Presupuesto detallado'!A71</f>
        <v>3.2.1. Fortalecimiento de la gestión estratégica y de RRHH del VMI</v>
      </c>
      <c r="B22" s="59">
        <f>'1. Presupuesto detallado'!B71</f>
        <v>1132258.3999999999</v>
      </c>
      <c r="C22" s="46">
        <v>15</v>
      </c>
      <c r="D22" s="59">
        <f t="shared" si="12"/>
        <v>169838.76</v>
      </c>
      <c r="E22" s="46">
        <v>15</v>
      </c>
      <c r="F22" s="59">
        <f t="shared" si="13"/>
        <v>169838.76</v>
      </c>
      <c r="G22" s="46">
        <v>20</v>
      </c>
      <c r="H22" s="59">
        <f t="shared" si="14"/>
        <v>226451.68</v>
      </c>
      <c r="I22" s="46">
        <v>30</v>
      </c>
      <c r="J22" s="59">
        <f t="shared" si="15"/>
        <v>339677.52</v>
      </c>
      <c r="K22" s="46">
        <v>20</v>
      </c>
      <c r="L22" s="59">
        <f t="shared" si="16"/>
        <v>226451.68</v>
      </c>
      <c r="M22" s="47">
        <f t="shared" si="9"/>
        <v>100</v>
      </c>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row>
    <row r="23" spans="1:39" ht="60" x14ac:dyDescent="0.25">
      <c r="A23" s="58" t="str">
        <f>'1. Presupuesto detallado'!A73</f>
        <v>3.2.2. Fortalecimiento del área de estudios tributarios y aduaneros que provean indicadores, diagnósticos y evaluaciones  para gestionar el aumento eficiente de la recaudación</v>
      </c>
      <c r="B23" s="59">
        <f>'1. Presupuesto detallado'!B73</f>
        <v>544500</v>
      </c>
      <c r="C23" s="46">
        <v>15</v>
      </c>
      <c r="D23" s="59">
        <f t="shared" si="12"/>
        <v>81675</v>
      </c>
      <c r="E23" s="46">
        <v>15</v>
      </c>
      <c r="F23" s="59">
        <f t="shared" si="13"/>
        <v>81675</v>
      </c>
      <c r="G23" s="46">
        <v>20</v>
      </c>
      <c r="H23" s="59">
        <f t="shared" si="14"/>
        <v>108900</v>
      </c>
      <c r="I23" s="46">
        <v>30</v>
      </c>
      <c r="J23" s="59">
        <f t="shared" si="15"/>
        <v>163350</v>
      </c>
      <c r="K23" s="46">
        <v>20</v>
      </c>
      <c r="L23" s="59">
        <f t="shared" si="16"/>
        <v>108900</v>
      </c>
      <c r="M23" s="47">
        <f t="shared" si="9"/>
        <v>100</v>
      </c>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row>
    <row r="24" spans="1:39" ht="15.75" x14ac:dyDescent="0.25">
      <c r="A24" s="178"/>
      <c r="B24" s="179"/>
      <c r="C24" s="179"/>
      <c r="D24" s="179"/>
      <c r="E24" s="179"/>
      <c r="F24" s="179"/>
      <c r="G24" s="179"/>
      <c r="H24" s="179"/>
      <c r="I24" s="179"/>
      <c r="J24" s="179"/>
      <c r="K24" s="179"/>
      <c r="L24" s="180"/>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row>
    <row r="25" spans="1:39" s="54" customFormat="1" ht="14.45" customHeight="1" x14ac:dyDescent="0.25">
      <c r="A25" s="174" t="str">
        <f>'1. Presupuesto detallado'!C77</f>
        <v>Administración del Programa</v>
      </c>
      <c r="B25" s="61" t="s">
        <v>33</v>
      </c>
      <c r="C25" s="49" t="s">
        <v>4</v>
      </c>
      <c r="D25" s="50" t="s">
        <v>34</v>
      </c>
      <c r="E25" s="50" t="s">
        <v>4</v>
      </c>
      <c r="F25" s="50" t="s">
        <v>35</v>
      </c>
      <c r="G25" s="50" t="s">
        <v>4</v>
      </c>
      <c r="H25" s="50" t="s">
        <v>36</v>
      </c>
      <c r="I25" s="50" t="s">
        <v>4</v>
      </c>
      <c r="J25" s="50" t="s">
        <v>37</v>
      </c>
      <c r="K25" s="50" t="s">
        <v>4</v>
      </c>
      <c r="L25" s="50" t="s">
        <v>38</v>
      </c>
      <c r="M25" s="47"/>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row>
    <row r="26" spans="1:39" s="54" customFormat="1" x14ac:dyDescent="0.25">
      <c r="A26" s="175"/>
      <c r="B26" s="60">
        <f>SUM(B27:B33)</f>
        <v>2489400</v>
      </c>
      <c r="C26" s="49">
        <f>D26/$B26*100</f>
        <v>19.517956134008195</v>
      </c>
      <c r="D26" s="60">
        <f>SUM(D27:D33)</f>
        <v>485880</v>
      </c>
      <c r="E26" s="46">
        <f>F26/$B26*100</f>
        <v>19.517956134008195</v>
      </c>
      <c r="F26" s="60">
        <f>SUM(F27:F33)</f>
        <v>485880</v>
      </c>
      <c r="G26" s="46">
        <f>H26/$B26*100</f>
        <v>20</v>
      </c>
      <c r="H26" s="60">
        <f>SUM(H27:H33)</f>
        <v>497880</v>
      </c>
      <c r="I26" s="46">
        <f>J26/$B26*100</f>
        <v>20.482043865991805</v>
      </c>
      <c r="J26" s="60">
        <f>SUM(J27:J33)</f>
        <v>509880</v>
      </c>
      <c r="K26" s="46">
        <f>L26/$B26*100</f>
        <v>20.482043865991805</v>
      </c>
      <c r="L26" s="60">
        <f>SUM(L27:L33)</f>
        <v>509880</v>
      </c>
      <c r="M26" s="47">
        <f t="shared" si="9"/>
        <v>100</v>
      </c>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row>
    <row r="27" spans="1:39" x14ac:dyDescent="0.25">
      <c r="A27" s="62" t="str">
        <f>'1. Presupuesto detallado'!A78</f>
        <v>Consultoría técnica y gerencial de apoyo a la  ejecución</v>
      </c>
      <c r="B27" s="63">
        <f>'1. Presupuesto detallado'!B78</f>
        <v>1400000</v>
      </c>
      <c r="C27" s="49">
        <v>20</v>
      </c>
      <c r="D27" s="59">
        <f t="shared" ref="D27:D33" si="17">$B27*C27/100</f>
        <v>280000</v>
      </c>
      <c r="E27" s="49">
        <v>20</v>
      </c>
      <c r="F27" s="59">
        <f t="shared" ref="F27:F30" si="18">$B27*E27/100</f>
        <v>280000</v>
      </c>
      <c r="G27" s="52">
        <v>20</v>
      </c>
      <c r="H27" s="59">
        <f t="shared" ref="H27:H30" si="19">$B27*G27/100</f>
        <v>280000</v>
      </c>
      <c r="I27" s="52">
        <v>20</v>
      </c>
      <c r="J27" s="59">
        <f t="shared" ref="J27:J30" si="20">$B27*I27/100</f>
        <v>280000</v>
      </c>
      <c r="K27" s="52">
        <v>20</v>
      </c>
      <c r="L27" s="59">
        <f t="shared" ref="L27:L30" si="21">$B27*K27/100</f>
        <v>280000</v>
      </c>
      <c r="M27" s="47">
        <f t="shared" si="9"/>
        <v>100</v>
      </c>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row>
    <row r="28" spans="1:39" x14ac:dyDescent="0.25">
      <c r="A28" s="62" t="str">
        <f>'1. Presupuesto detallado'!A80</f>
        <v>Monitoreo</v>
      </c>
      <c r="B28" s="63">
        <f>'1. Presupuesto detallado'!B80</f>
        <v>184800</v>
      </c>
      <c r="C28" s="49">
        <v>20</v>
      </c>
      <c r="D28" s="59">
        <f t="shared" si="17"/>
        <v>36960</v>
      </c>
      <c r="E28" s="49">
        <v>20</v>
      </c>
      <c r="F28" s="59">
        <f t="shared" si="18"/>
        <v>36960</v>
      </c>
      <c r="G28" s="49">
        <v>20</v>
      </c>
      <c r="H28" s="59">
        <f t="shared" si="19"/>
        <v>36960</v>
      </c>
      <c r="I28" s="52">
        <v>20</v>
      </c>
      <c r="J28" s="59">
        <f t="shared" si="20"/>
        <v>36960</v>
      </c>
      <c r="K28" s="52">
        <v>20</v>
      </c>
      <c r="L28" s="59">
        <f t="shared" si="21"/>
        <v>36960</v>
      </c>
      <c r="M28" s="47">
        <f t="shared" si="9"/>
        <v>100</v>
      </c>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row>
    <row r="29" spans="1:39" x14ac:dyDescent="0.25">
      <c r="A29" s="62" t="str">
        <f>'1. Presupuesto detallado'!A81</f>
        <v>Evaluación</v>
      </c>
      <c r="B29" s="63">
        <f>SUM('1. Presupuesto detallado'!B81:B84)</f>
        <v>250000</v>
      </c>
      <c r="C29" s="49">
        <v>20</v>
      </c>
      <c r="D29" s="59">
        <f t="shared" si="17"/>
        <v>50000</v>
      </c>
      <c r="E29" s="49">
        <v>20</v>
      </c>
      <c r="F29" s="59">
        <f t="shared" si="18"/>
        <v>50000</v>
      </c>
      <c r="G29" s="49">
        <v>20</v>
      </c>
      <c r="H29" s="59">
        <f t="shared" si="19"/>
        <v>50000</v>
      </c>
      <c r="I29" s="52">
        <v>20</v>
      </c>
      <c r="J29" s="59">
        <f t="shared" si="20"/>
        <v>50000</v>
      </c>
      <c r="K29" s="52">
        <v>20</v>
      </c>
      <c r="L29" s="59">
        <f t="shared" si="21"/>
        <v>50000</v>
      </c>
      <c r="M29" s="47">
        <f t="shared" si="9"/>
        <v>100</v>
      </c>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row>
    <row r="30" spans="1:39" x14ac:dyDescent="0.25">
      <c r="A30" s="62" t="str">
        <f>'1. Presupuesto detallado'!A85</f>
        <v>Auditoria</v>
      </c>
      <c r="B30" s="63">
        <f>'1. Presupuesto detallado'!B85</f>
        <v>120000</v>
      </c>
      <c r="C30" s="49">
        <v>10</v>
      </c>
      <c r="D30" s="59">
        <f t="shared" si="17"/>
        <v>12000</v>
      </c>
      <c r="E30" s="49">
        <v>10</v>
      </c>
      <c r="F30" s="59">
        <f t="shared" si="18"/>
        <v>12000</v>
      </c>
      <c r="G30" s="49">
        <v>20</v>
      </c>
      <c r="H30" s="59">
        <f t="shared" si="19"/>
        <v>24000</v>
      </c>
      <c r="I30" s="52">
        <v>30</v>
      </c>
      <c r="J30" s="59">
        <f t="shared" si="20"/>
        <v>36000</v>
      </c>
      <c r="K30" s="52">
        <v>30</v>
      </c>
      <c r="L30" s="59">
        <f t="shared" si="21"/>
        <v>36000</v>
      </c>
      <c r="M30" s="47">
        <f t="shared" si="9"/>
        <v>100</v>
      </c>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row>
    <row r="31" spans="1:39" x14ac:dyDescent="0.25">
      <c r="A31" s="62" t="str">
        <f>'1. Presupuesto detallado'!A79</f>
        <v>Especialista financiero</v>
      </c>
      <c r="B31" s="63">
        <f>'1. Presupuesto detallado'!B79</f>
        <v>184800</v>
      </c>
      <c r="C31" s="49">
        <v>20</v>
      </c>
      <c r="D31" s="59">
        <f t="shared" si="17"/>
        <v>36960</v>
      </c>
      <c r="E31" s="49">
        <v>20</v>
      </c>
      <c r="F31" s="59">
        <f t="shared" ref="F31:F32" si="22">$B31*E31/100</f>
        <v>36960</v>
      </c>
      <c r="G31" s="49">
        <v>20</v>
      </c>
      <c r="H31" s="59">
        <f t="shared" ref="H31:H32" si="23">$B31*G31/100</f>
        <v>36960</v>
      </c>
      <c r="I31" s="52">
        <v>20</v>
      </c>
      <c r="J31" s="59">
        <f t="shared" ref="J31:J32" si="24">$B31*I31/100</f>
        <v>36960</v>
      </c>
      <c r="K31" s="52">
        <v>20</v>
      </c>
      <c r="L31" s="59">
        <f t="shared" ref="L31:L32" si="25">$B31*K31/100</f>
        <v>36960</v>
      </c>
      <c r="M31" s="47">
        <f t="shared" si="9"/>
        <v>100</v>
      </c>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row>
    <row r="32" spans="1:39" x14ac:dyDescent="0.25">
      <c r="A32" s="62" t="str">
        <f>'1. Presupuesto detallado'!A86</f>
        <v>Especialista Senior en Adquisiciones</v>
      </c>
      <c r="B32" s="63">
        <f>'1. Presupuesto detallado'!B86</f>
        <v>184800</v>
      </c>
      <c r="C32" s="49">
        <v>20</v>
      </c>
      <c r="D32" s="59">
        <f t="shared" si="17"/>
        <v>36960</v>
      </c>
      <c r="E32" s="49">
        <v>20</v>
      </c>
      <c r="F32" s="59">
        <f t="shared" si="22"/>
        <v>36960</v>
      </c>
      <c r="G32" s="49">
        <v>20</v>
      </c>
      <c r="H32" s="59">
        <f t="shared" si="23"/>
        <v>36960</v>
      </c>
      <c r="I32" s="52">
        <v>20</v>
      </c>
      <c r="J32" s="59">
        <f t="shared" si="24"/>
        <v>36960</v>
      </c>
      <c r="K32" s="52">
        <v>20</v>
      </c>
      <c r="L32" s="59">
        <f t="shared" si="25"/>
        <v>36960</v>
      </c>
      <c r="M32" s="47">
        <f t="shared" si="9"/>
        <v>100</v>
      </c>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row>
    <row r="33" spans="1:39" ht="30" x14ac:dyDescent="0.25">
      <c r="A33" s="62" t="str">
        <f>'1. Presupuesto detallado'!A87</f>
        <v xml:space="preserve">Especialistas temáticas para la gerencia y especificaciones técnicas de adquisiciones del proyecto </v>
      </c>
      <c r="B33" s="63">
        <f>'1. Presupuesto detallado'!B87</f>
        <v>165000</v>
      </c>
      <c r="C33" s="49">
        <v>20</v>
      </c>
      <c r="D33" s="59">
        <f t="shared" si="17"/>
        <v>33000</v>
      </c>
      <c r="E33" s="49">
        <v>20</v>
      </c>
      <c r="F33" s="59">
        <f t="shared" ref="F33" si="26">$B33*E33/100</f>
        <v>33000</v>
      </c>
      <c r="G33" s="49">
        <v>20</v>
      </c>
      <c r="H33" s="59">
        <f t="shared" ref="H33" si="27">$B33*G33/100</f>
        <v>33000</v>
      </c>
      <c r="I33" s="52">
        <v>20</v>
      </c>
      <c r="J33" s="59">
        <f t="shared" ref="J33" si="28">$B33*I33/100</f>
        <v>33000</v>
      </c>
      <c r="K33" s="52">
        <v>20</v>
      </c>
      <c r="L33" s="59">
        <f t="shared" ref="L33" si="29">$B33*K33/100</f>
        <v>33000</v>
      </c>
      <c r="M33" s="47">
        <f t="shared" si="9"/>
        <v>100</v>
      </c>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row>
    <row r="34" spans="1:39" x14ac:dyDescent="0.25">
      <c r="B34" s="47"/>
      <c r="C34" s="56"/>
      <c r="D34" s="47"/>
      <c r="E34" s="56"/>
      <c r="F34" s="47"/>
      <c r="G34" s="56"/>
      <c r="H34" s="47"/>
      <c r="I34" s="56"/>
      <c r="J34" s="47"/>
      <c r="K34" s="56"/>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row>
  </sheetData>
  <mergeCells count="8">
    <mergeCell ref="A11:A12"/>
    <mergeCell ref="A1:L1"/>
    <mergeCell ref="A3:A4"/>
    <mergeCell ref="A25:A26"/>
    <mergeCell ref="A18:A19"/>
    <mergeCell ref="A10:L10"/>
    <mergeCell ref="A17:L17"/>
    <mergeCell ref="A24:L2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election activeCell="A21" sqref="A21"/>
    </sheetView>
  </sheetViews>
  <sheetFormatPr defaultColWidth="9" defaultRowHeight="15" x14ac:dyDescent="0.25"/>
  <cols>
    <col min="1" max="1" width="35.375" style="1" customWidth="1"/>
    <col min="2" max="2" width="9.75" style="1" customWidth="1"/>
    <col min="3" max="6" width="8.625" style="1" customWidth="1"/>
    <col min="7" max="7" width="10.5" style="1" customWidth="1"/>
    <col min="8" max="9" width="8.625" style="1" customWidth="1"/>
    <col min="10" max="16384" width="9" style="1"/>
  </cols>
  <sheetData>
    <row r="1" spans="1:10" ht="15.75" thickBot="1" x14ac:dyDescent="0.3">
      <c r="A1" s="181" t="s">
        <v>45</v>
      </c>
      <c r="B1" s="182"/>
      <c r="C1" s="182"/>
      <c r="D1" s="182"/>
      <c r="E1" s="182"/>
    </row>
    <row r="2" spans="1:10" ht="15.75" thickBot="1" x14ac:dyDescent="0.3">
      <c r="A2" s="2" t="s">
        <v>267</v>
      </c>
      <c r="B2" s="3" t="s">
        <v>2</v>
      </c>
      <c r="C2" s="3" t="s">
        <v>3</v>
      </c>
      <c r="D2" s="3" t="s">
        <v>0</v>
      </c>
      <c r="E2" s="3" t="s">
        <v>4</v>
      </c>
    </row>
    <row r="3" spans="1:10" ht="15.6" customHeight="1" thickBot="1" x14ac:dyDescent="0.3">
      <c r="A3" s="4" t="s">
        <v>51</v>
      </c>
      <c r="B3" s="5">
        <f>SUM(B4:B6)</f>
        <v>27278035.799999997</v>
      </c>
      <c r="C3" s="5">
        <f t="shared" ref="C3:D3" si="0">SUM(C4:C6)</f>
        <v>0</v>
      </c>
      <c r="D3" s="5">
        <f t="shared" si="0"/>
        <v>27278035.799999997</v>
      </c>
      <c r="E3" s="6">
        <f t="shared" ref="E3:E12" si="1">D3/$D$13*100</f>
        <v>90.926785999999993</v>
      </c>
      <c r="J3" s="15"/>
    </row>
    <row r="4" spans="1:10" ht="25.5" customHeight="1" thickBot="1" x14ac:dyDescent="0.3">
      <c r="A4" s="7" t="s">
        <v>284</v>
      </c>
      <c r="B4" s="8">
        <f>D4-C4</f>
        <v>13457858.4</v>
      </c>
      <c r="C4" s="9"/>
      <c r="D4" s="8">
        <f>'1. Presupuesto detallado'!B2</f>
        <v>13457858.4</v>
      </c>
      <c r="E4" s="6">
        <f t="shared" si="1"/>
        <v>44.859527999999997</v>
      </c>
    </row>
    <row r="5" spans="1:10" ht="28.5" customHeight="1" thickBot="1" x14ac:dyDescent="0.3">
      <c r="A5" s="7" t="s">
        <v>285</v>
      </c>
      <c r="B5" s="8">
        <f t="shared" ref="B5:B6" si="2">D5-C5</f>
        <v>3872919</v>
      </c>
      <c r="C5" s="8"/>
      <c r="D5" s="8">
        <f>'1. Presupuesto detallado'!B37</f>
        <v>3872919</v>
      </c>
      <c r="E5" s="6">
        <f t="shared" si="1"/>
        <v>12.90973</v>
      </c>
    </row>
    <row r="6" spans="1:10" ht="42" customHeight="1" thickBot="1" x14ac:dyDescent="0.3">
      <c r="A6" s="7" t="s">
        <v>286</v>
      </c>
      <c r="B6" s="8">
        <f t="shared" si="2"/>
        <v>9947258.4000000004</v>
      </c>
      <c r="C6" s="8"/>
      <c r="D6" s="8">
        <f>'1. Presupuesto detallado'!B47</f>
        <v>9947258.4000000004</v>
      </c>
      <c r="E6" s="6">
        <f t="shared" si="1"/>
        <v>33.157527999999999</v>
      </c>
    </row>
    <row r="7" spans="1:10" ht="15.95" customHeight="1" thickBot="1" x14ac:dyDescent="0.3">
      <c r="A7" s="4" t="s">
        <v>43</v>
      </c>
      <c r="B7" s="5">
        <f>SUM(B8:B11)</f>
        <v>2489400</v>
      </c>
      <c r="C7" s="5">
        <f t="shared" ref="C7" si="3">SUM(C8:C10)</f>
        <v>0</v>
      </c>
      <c r="D7" s="5">
        <f>SUM(D8:D11)</f>
        <v>2489400</v>
      </c>
      <c r="E7" s="6">
        <f t="shared" si="1"/>
        <v>8.298</v>
      </c>
    </row>
    <row r="8" spans="1:10" ht="24.75" thickBot="1" x14ac:dyDescent="0.3">
      <c r="A8" s="7" t="s">
        <v>287</v>
      </c>
      <c r="B8" s="8">
        <f>D8-C8</f>
        <v>1400000</v>
      </c>
      <c r="C8" s="9"/>
      <c r="D8" s="8">
        <f>'1. Presupuesto detallado'!B78</f>
        <v>1400000</v>
      </c>
      <c r="E8" s="6">
        <f t="shared" si="1"/>
        <v>4.666666666666667</v>
      </c>
    </row>
    <row r="9" spans="1:10" ht="17.850000000000001" customHeight="1" thickBot="1" x14ac:dyDescent="0.3">
      <c r="A9" s="7" t="s">
        <v>41</v>
      </c>
      <c r="B9" s="8">
        <f t="shared" ref="B9:B11" si="4">D9-C9</f>
        <v>434800</v>
      </c>
      <c r="C9" s="9"/>
      <c r="D9" s="8">
        <f>'1. Presupuesto detallado'!B80+'1. Presupuesto detallado'!B81+'1. Presupuesto detallado'!B82+'1. Presupuesto detallado'!B83+'1. Presupuesto detallado'!B84</f>
        <v>434800</v>
      </c>
      <c r="E9" s="6">
        <f t="shared" si="1"/>
        <v>1.4493333333333334</v>
      </c>
    </row>
    <row r="10" spans="1:10" ht="17.850000000000001" customHeight="1" thickBot="1" x14ac:dyDescent="0.3">
      <c r="A10" s="7" t="s">
        <v>40</v>
      </c>
      <c r="B10" s="8">
        <f t="shared" si="4"/>
        <v>534600</v>
      </c>
      <c r="C10" s="9"/>
      <c r="D10" s="8">
        <f>'1. Presupuesto detallado'!B79+'1. Presupuesto detallado'!B86+'1. Presupuesto detallado'!B87</f>
        <v>534600</v>
      </c>
      <c r="E10" s="6">
        <f t="shared" si="1"/>
        <v>1.7819999999999998</v>
      </c>
    </row>
    <row r="11" spans="1:10" ht="14.1" customHeight="1" thickBot="1" x14ac:dyDescent="0.3">
      <c r="A11" s="7" t="s">
        <v>42</v>
      </c>
      <c r="B11" s="8">
        <f t="shared" si="4"/>
        <v>120000</v>
      </c>
      <c r="C11" s="9"/>
      <c r="D11" s="8">
        <f>'1. Presupuesto detallado'!B85</f>
        <v>120000</v>
      </c>
      <c r="E11" s="6">
        <f t="shared" si="1"/>
        <v>0.4</v>
      </c>
    </row>
    <row r="12" spans="1:10" ht="14.1" customHeight="1" thickBot="1" x14ac:dyDescent="0.3">
      <c r="A12" s="4" t="s">
        <v>291</v>
      </c>
      <c r="B12" s="5">
        <f>'1. Presupuesto detallado'!F89</f>
        <v>232564.20000000298</v>
      </c>
      <c r="C12" s="9"/>
      <c r="D12" s="5">
        <f>B12</f>
        <v>232564.20000000298</v>
      </c>
      <c r="E12" s="6">
        <f t="shared" si="1"/>
        <v>0.77521400000000995</v>
      </c>
    </row>
    <row r="13" spans="1:10" ht="15.75" thickBot="1" x14ac:dyDescent="0.3">
      <c r="A13" s="10" t="s">
        <v>0</v>
      </c>
      <c r="B13" s="11">
        <f>B3+B7+B12</f>
        <v>30000000</v>
      </c>
      <c r="C13" s="11">
        <f>C7+C3</f>
        <v>0</v>
      </c>
      <c r="D13" s="11">
        <f>B13</f>
        <v>30000000</v>
      </c>
      <c r="E13" s="12">
        <f>D13/$D$13*100</f>
        <v>100</v>
      </c>
    </row>
    <row r="14" spans="1:10" ht="15.75" thickBot="1" x14ac:dyDescent="0.3">
      <c r="A14" s="10" t="s">
        <v>4</v>
      </c>
      <c r="B14" s="29">
        <f>B13/D13*100</f>
        <v>100</v>
      </c>
      <c r="C14" s="29">
        <f>C13/D13*100</f>
        <v>0</v>
      </c>
      <c r="D14" s="29">
        <f t="shared" ref="D14" si="5">B14+C14</f>
        <v>100</v>
      </c>
      <c r="E14" s="29"/>
      <c r="G14" s="15"/>
    </row>
    <row r="15" spans="1:10" ht="23.1" customHeight="1" x14ac:dyDescent="0.25">
      <c r="A15" s="183"/>
      <c r="B15" s="183"/>
      <c r="C15" s="183"/>
      <c r="D15" s="183"/>
      <c r="E15" s="183"/>
    </row>
    <row r="18" spans="2:9" ht="16.5" thickBot="1" x14ac:dyDescent="0.3">
      <c r="B18" s="184" t="s">
        <v>294</v>
      </c>
      <c r="C18" s="185"/>
      <c r="D18" s="185"/>
      <c r="E18" s="185"/>
      <c r="F18" s="185"/>
      <c r="G18" s="170"/>
      <c r="H18" s="170"/>
      <c r="I18" s="170"/>
    </row>
    <row r="19" spans="2:9" ht="15.75" thickBot="1" x14ac:dyDescent="0.3">
      <c r="B19" s="22" t="s">
        <v>39</v>
      </c>
      <c r="C19" s="23" t="s">
        <v>34</v>
      </c>
      <c r="D19" s="23" t="s">
        <v>35</v>
      </c>
      <c r="E19" s="23" t="s">
        <v>36</v>
      </c>
      <c r="F19" s="23" t="s">
        <v>37</v>
      </c>
      <c r="G19" s="23" t="s">
        <v>38</v>
      </c>
      <c r="H19" s="24" t="s">
        <v>0</v>
      </c>
      <c r="I19" s="25" t="s">
        <v>4</v>
      </c>
    </row>
    <row r="20" spans="2:9" ht="15.75" thickBot="1" x14ac:dyDescent="0.3">
      <c r="B20" s="17" t="s">
        <v>2</v>
      </c>
      <c r="C20" s="13">
        <f>$B$13*C23/100</f>
        <v>4214633.2973698732</v>
      </c>
      <c r="D20" s="13">
        <f t="shared" ref="D20:G20" si="6">$B$13*D23/100</f>
        <v>4812473.7200239468</v>
      </c>
      <c r="E20" s="13">
        <f t="shared" si="6"/>
        <v>5987163.4089490501</v>
      </c>
      <c r="F20" s="13">
        <f t="shared" si="6"/>
        <v>8793389.3654353675</v>
      </c>
      <c r="G20" s="13">
        <f t="shared" si="6"/>
        <v>6192340.2082217634</v>
      </c>
      <c r="H20" s="28">
        <f>SUM(C20:G20)</f>
        <v>30000000</v>
      </c>
      <c r="I20" s="26">
        <f>H20/H22*100</f>
        <v>100</v>
      </c>
    </row>
    <row r="21" spans="2:9" ht="15.75" thickBot="1" x14ac:dyDescent="0.3">
      <c r="B21" s="17" t="s">
        <v>3</v>
      </c>
      <c r="C21" s="13">
        <f>$C$13*C23/100</f>
        <v>0</v>
      </c>
      <c r="D21" s="13">
        <f>$C$13*D23/100</f>
        <v>0</v>
      </c>
      <c r="E21" s="13">
        <f>$C$13*E23/100</f>
        <v>0</v>
      </c>
      <c r="F21" s="13">
        <f>$C$13*F23/100</f>
        <v>0</v>
      </c>
      <c r="G21" s="13">
        <f>$C$13*G23/100</f>
        <v>0</v>
      </c>
      <c r="H21" s="28">
        <f>SUM(C21:G21)</f>
        <v>0</v>
      </c>
      <c r="I21" s="26">
        <f>H21/H22*100</f>
        <v>0</v>
      </c>
    </row>
    <row r="22" spans="2:9" ht="15.75" thickBot="1" x14ac:dyDescent="0.3">
      <c r="B22" s="18" t="s">
        <v>0</v>
      </c>
      <c r="C22" s="27">
        <f>C20+C21</f>
        <v>4214633.2973698732</v>
      </c>
      <c r="D22" s="27">
        <f t="shared" ref="D22:G22" si="7">D20+D21</f>
        <v>4812473.7200239468</v>
      </c>
      <c r="E22" s="27">
        <f t="shared" si="7"/>
        <v>5987163.4089490501</v>
      </c>
      <c r="F22" s="27">
        <f t="shared" si="7"/>
        <v>8793389.3654353675</v>
      </c>
      <c r="G22" s="27">
        <f t="shared" si="7"/>
        <v>6192340.2082217634</v>
      </c>
      <c r="H22" s="27">
        <f>H20+H21</f>
        <v>30000000</v>
      </c>
      <c r="I22" s="19">
        <v>100</v>
      </c>
    </row>
    <row r="23" spans="2:9" ht="15.75" thickBot="1" x14ac:dyDescent="0.3">
      <c r="B23" s="20" t="s">
        <v>4</v>
      </c>
      <c r="C23" s="131">
        <f>'2.Plan Ejecucion Plurianual-PEP'!C2</f>
        <v>14.048777657899578</v>
      </c>
      <c r="D23" s="131">
        <f>'2.Plan Ejecucion Plurianual-PEP'!E2</f>
        <v>16.04157906674649</v>
      </c>
      <c r="E23" s="131">
        <f>'2.Plan Ejecucion Plurianual-PEP'!G2</f>
        <v>19.957211363163498</v>
      </c>
      <c r="F23" s="131">
        <f>'2.Plan Ejecucion Plurianual-PEP'!I2</f>
        <v>29.311297884784555</v>
      </c>
      <c r="G23" s="131">
        <f>'2.Plan Ejecucion Plurianual-PEP'!K2</f>
        <v>20.641134027405879</v>
      </c>
      <c r="H23" s="131">
        <f>SUM(C23:G24)</f>
        <v>100</v>
      </c>
      <c r="I23" s="21"/>
    </row>
    <row r="24" spans="2:9" x14ac:dyDescent="0.25">
      <c r="B24" s="14"/>
    </row>
    <row r="26" spans="2:9" x14ac:dyDescent="0.25">
      <c r="B26" s="1">
        <v>4214633.2973698732</v>
      </c>
      <c r="C26" s="1">
        <v>4812473.7200239468</v>
      </c>
      <c r="D26" s="1">
        <v>5987163.4089490501</v>
      </c>
      <c r="E26" s="1">
        <v>8793389.3654353675</v>
      </c>
      <c r="F26" s="1">
        <v>6192340.2082217634</v>
      </c>
      <c r="G26" s="136">
        <f>+SUM(B26:F26)</f>
        <v>30000000</v>
      </c>
    </row>
    <row r="27" spans="2:9" x14ac:dyDescent="0.25">
      <c r="B27" s="1">
        <f>+B26/$G$26</f>
        <v>0.14048777657899578</v>
      </c>
      <c r="C27" s="1">
        <f t="shared" ref="C27:F27" si="8">+C26/$G$26</f>
        <v>0.16041579066746489</v>
      </c>
      <c r="D27" s="1">
        <f t="shared" si="8"/>
        <v>0.19957211363163502</v>
      </c>
      <c r="E27" s="1">
        <f t="shared" si="8"/>
        <v>0.2931129788478456</v>
      </c>
      <c r="F27" s="1">
        <f t="shared" si="8"/>
        <v>0.20641134027405877</v>
      </c>
    </row>
  </sheetData>
  <mergeCells count="3">
    <mergeCell ref="A1:E1"/>
    <mergeCell ref="A15:E15"/>
    <mergeCell ref="B18:I18"/>
  </mergeCells>
  <pageMargins left="0.7" right="0.7" top="0.75" bottom="0.75" header="0.3" footer="0.3"/>
  <pageSetup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opLeftCell="A13" zoomScale="130" zoomScaleNormal="130" workbookViewId="0">
      <selection activeCell="A32" sqref="A32"/>
    </sheetView>
  </sheetViews>
  <sheetFormatPr defaultRowHeight="15.75" x14ac:dyDescent="0.25"/>
  <cols>
    <col min="1" max="1" width="67.5" customWidth="1"/>
    <col min="2" max="2" width="8.875" customWidth="1"/>
  </cols>
  <sheetData>
    <row r="1" spans="1:3" ht="16.5" thickBot="1" x14ac:dyDescent="0.3">
      <c r="A1" s="186" t="s">
        <v>214</v>
      </c>
      <c r="B1" s="187"/>
      <c r="C1" s="187"/>
    </row>
    <row r="2" spans="1:3" ht="16.5" thickBot="1" x14ac:dyDescent="0.3">
      <c r="A2" s="2" t="s">
        <v>267</v>
      </c>
      <c r="B2" s="3" t="s">
        <v>0</v>
      </c>
      <c r="C2" s="3" t="s">
        <v>4</v>
      </c>
    </row>
    <row r="3" spans="1:3" ht="16.5" thickBot="1" x14ac:dyDescent="0.3">
      <c r="A3" s="114" t="s">
        <v>215</v>
      </c>
      <c r="B3" s="115">
        <f>B4+B23+B29</f>
        <v>30000000</v>
      </c>
      <c r="C3" s="12">
        <f>C4+C23+C29</f>
        <v>100</v>
      </c>
    </row>
    <row r="4" spans="1:3" ht="16.5" thickBot="1" x14ac:dyDescent="0.3">
      <c r="A4" s="117" t="s">
        <v>51</v>
      </c>
      <c r="B4" s="118">
        <f>B5+B11+B16</f>
        <v>27278035.799999997</v>
      </c>
      <c r="C4" s="119">
        <f>B4/$B$3*100</f>
        <v>90.926785999999993</v>
      </c>
    </row>
    <row r="5" spans="1:3" ht="16.5" thickBot="1" x14ac:dyDescent="0.3">
      <c r="A5" s="114" t="str">
        <f>'1. Presupuesto detallado'!C2</f>
        <v xml:space="preserve">Componente I. Mejora de la Gestión de los Tributos Internos. </v>
      </c>
      <c r="B5" s="115">
        <f>SUM(B6:B10)</f>
        <v>13457858.4</v>
      </c>
      <c r="C5" s="12">
        <f>B5/$B$3*100</f>
        <v>44.859527999999997</v>
      </c>
    </row>
    <row r="6" spans="1:3" ht="60.75" thickBot="1" x14ac:dyDescent="0.3">
      <c r="A6" s="112" t="str">
        <f>'1. Presupuesto detallado'!A5</f>
        <v>1.1. Implementación del Sistema Integrado de Consolidación de Información Tributaria bajo la órbita del VMI con un único Número de Identificación Tributaria (NIT), integrada (a través de convenios, protocolos y estándares comunes) con bases de terceros del Registro Nacional de las Personas (RNP), Centro Nacional de Registros (CNR), y otros de interés tributario incluso los datos de facturación electrónica que mejore la calidad del RUC, ampliando la base impositiva.</v>
      </c>
      <c r="B6" s="8">
        <f>'1. Presupuesto detallado'!B5</f>
        <v>3674070</v>
      </c>
      <c r="C6" s="6"/>
    </row>
    <row r="7" spans="1:3" ht="24.75" thickBot="1" x14ac:dyDescent="0.3">
      <c r="A7" s="112" t="str">
        <f>'1. Presupuesto detallado'!A12</f>
        <v>1.2. Adecuación de Sistemas de DGII, DGA y DGT, incluido el Sistema Integrado de Informacion Tributaria (SIIT) a la cuenta corriente de los contribuyentes</v>
      </c>
      <c r="B7" s="8">
        <f>'1. Presupuesto detallado'!B12</f>
        <v>858105.6</v>
      </c>
      <c r="C7" s="6"/>
    </row>
    <row r="8" spans="1:3" ht="36.75" thickBot="1" x14ac:dyDescent="0.3">
      <c r="A8" s="112" t="str">
        <f>'1. Presupuesto detallado'!A13</f>
        <v>1.3 Mejora en el control de la facturación hasta la implementación completa de la Factura Electrónica (FE), empezando con un Plan Piloto que incluya a un grupo de grandes cont.ribuyentes y proveedores tecnológicos, exclusivamente para transacciones de bienes y servicios entre empresas</v>
      </c>
      <c r="B8" s="8">
        <f>'1. Presupuesto detallado'!B13</f>
        <v>5612748.4000000004</v>
      </c>
      <c r="C8" s="6"/>
    </row>
    <row r="9" spans="1:3" ht="24.75" thickBot="1" x14ac:dyDescent="0.3">
      <c r="A9" s="112" t="str">
        <f>'1. Presupuesto detallado'!A21</f>
        <v>1.4. Fortalecimiento de la fiscalización y control que integre todo el proceso y optimice la fiscalización ex ante;</v>
      </c>
      <c r="B9" s="8">
        <f>'1. Presupuesto detallado'!B21</f>
        <v>2035692.8</v>
      </c>
      <c r="C9" s="6"/>
    </row>
    <row r="10" spans="1:3" ht="16.5" thickBot="1" x14ac:dyDescent="0.3">
      <c r="A10" s="112" t="str">
        <f>'1. Presupuesto detallado'!A34</f>
        <v>1.5. Institucionalización total e integral de de un nuevo porceso de cobranzas, bajo la jurisdicción del VMI.</v>
      </c>
      <c r="B10" s="8">
        <f>'1. Presupuesto detallado'!B34</f>
        <v>1277241.5999999999</v>
      </c>
      <c r="C10" s="6"/>
    </row>
    <row r="11" spans="1:3" ht="16.5" thickBot="1" x14ac:dyDescent="0.3">
      <c r="A11" s="114" t="str">
        <f>'1. Presupuesto detallado'!C37</f>
        <v xml:space="preserve">Componente II. Fortalecimiento de la Gestión de los Tributos Aduaneros. </v>
      </c>
      <c r="B11" s="115">
        <f>SUM(B12:B15)</f>
        <v>3872919</v>
      </c>
      <c r="C11" s="12">
        <f>B11/$B$3*100</f>
        <v>12.90973</v>
      </c>
    </row>
    <row r="12" spans="1:3" ht="27.95" customHeight="1" thickBot="1" x14ac:dyDescent="0.3">
      <c r="A12" s="112" t="str">
        <f>'1. Presupuesto detallado'!A38</f>
        <v>2.1.  Mejora del modelo de control ex ante, fortaleciendo el procesamiento electrónico obligatorio de los manifiestos de carga y los conocimientos de embarque;</v>
      </c>
      <c r="B12" s="8">
        <f>'1. Presupuesto detallado'!B38</f>
        <v>1022500</v>
      </c>
      <c r="C12" s="6"/>
    </row>
    <row r="13" spans="1:3" ht="24.75" thickBot="1" x14ac:dyDescent="0.3">
      <c r="A13" s="112" t="str">
        <f>'1. Presupuesto detallado'!A40</f>
        <v xml:space="preserve">2.2. Complementación de la funcionalidad de SIDUNEA World y la interoperabilidad con los sistemas de la DGII; </v>
      </c>
      <c r="B13" s="8">
        <f>'1. Presupuesto detallado'!B40</f>
        <v>1000000</v>
      </c>
      <c r="C13" s="6"/>
    </row>
    <row r="14" spans="1:3" ht="24.75" thickBot="1" x14ac:dyDescent="0.3">
      <c r="A14" s="112" t="str">
        <f>'1. Presupuesto detallado'!A41</f>
        <v>2.3. Perfeccionamiento del modelo de selección de casos masivos en base a análisis de riesgo, utilizando información electrónica anticipada de los manifiestos de embarque</v>
      </c>
      <c r="B14" s="8">
        <f>'1. Presupuesto detallado'!B41</f>
        <v>1283419</v>
      </c>
      <c r="C14" s="6"/>
    </row>
    <row r="15" spans="1:3" ht="36.75" thickBot="1" x14ac:dyDescent="0.3">
      <c r="A15" s="112" t="str">
        <f>'1. Presupuesto detallado'!A44</f>
        <v>2.4. Mejora del modelo de control Post-Despacho, con la implementación completa del pago electrónico de tributaciones aduaneras por Internet, el control automatizado de los morosos, integrando la fiscalización ex-post con la DGII.</v>
      </c>
      <c r="B15" s="8">
        <f>'1. Presupuesto detallado'!B44</f>
        <v>567000</v>
      </c>
      <c r="C15" s="6"/>
    </row>
    <row r="16" spans="1:3" ht="24.75" thickBot="1" x14ac:dyDescent="0.3">
      <c r="A16" s="114" t="str">
        <f>'1. Presupuesto detallado'!C47</f>
        <v>Componente III. Mejora de la gestión de la información y fortalecimiento estratégico del VMI y sus recursos humanos</v>
      </c>
      <c r="B16" s="115">
        <f>B17+B20</f>
        <v>9947258.4000000004</v>
      </c>
      <c r="C16" s="12">
        <f>B16/$B$3*100</f>
        <v>33.157527999999999</v>
      </c>
    </row>
    <row r="17" spans="1:3" ht="16.5" thickBot="1" x14ac:dyDescent="0.3">
      <c r="A17" s="113" t="str">
        <f>'1. Presupuesto detallado'!A48:R48</f>
        <v xml:space="preserve">Subcomponente III.1. Mejora de la infraestructura tecnológica y de la gestión de la información. </v>
      </c>
      <c r="B17" s="8">
        <f>SUM(B18:B19)</f>
        <v>8270500</v>
      </c>
      <c r="C17" s="6"/>
    </row>
    <row r="18" spans="1:3" ht="24.75" thickBot="1" x14ac:dyDescent="0.3">
      <c r="A18" s="112" t="str">
        <f>'1. Presupuesto detallado'!A49</f>
        <v>3.1.1.Fortalecimiento de la integración informática de la DGII, DGA y DGT, mejorando la seguridad de la información, con un nuevo modelo de infraestructura tecnológica resolviendo problema de obsolescencia.</v>
      </c>
      <c r="B18" s="8">
        <f>'1. Presupuesto detallado'!B49</f>
        <v>5686000</v>
      </c>
      <c r="C18" s="6"/>
    </row>
    <row r="19" spans="1:3" ht="24.75" thickBot="1" x14ac:dyDescent="0.3">
      <c r="A19" s="112" t="str">
        <f>'1. Presupuesto detallado'!A64</f>
        <v xml:space="preserve">3.1.2.  Fortalecimiento del desarrollo de un portal único con todos los aplicativos y declaraciones en línea con la utilización del código de barras para el pago de impuestos en agencias bancarias o vía Internet. </v>
      </c>
      <c r="B19" s="8">
        <f>'1. Presupuesto detallado'!B64</f>
        <v>2584500</v>
      </c>
      <c r="C19" s="6"/>
    </row>
    <row r="20" spans="1:3" ht="16.5" thickBot="1" x14ac:dyDescent="0.3">
      <c r="A20" s="113" t="str">
        <f>'1. Presupuesto detallado'!A70:R70</f>
        <v xml:space="preserve">Subcomponente III.2. Fortalecimiento estratégico del VMI y de los recursos humanos. </v>
      </c>
      <c r="B20" s="8">
        <f>SUM(B21:B22)</f>
        <v>1676758.4</v>
      </c>
      <c r="C20" s="6"/>
    </row>
    <row r="21" spans="1:3" ht="16.5" thickBot="1" x14ac:dyDescent="0.3">
      <c r="A21" s="112" t="str">
        <f>'1. Presupuesto detallado'!A71</f>
        <v>3.2.1. Fortalecimiento de la gestión estratégica y de RRHH del VMI</v>
      </c>
      <c r="B21" s="8">
        <f>'1. Presupuesto detallado'!B71</f>
        <v>1132258.3999999999</v>
      </c>
      <c r="C21" s="6"/>
    </row>
    <row r="22" spans="1:3" ht="24.75" thickBot="1" x14ac:dyDescent="0.3">
      <c r="A22" s="112" t="str">
        <f>'1. Presupuesto detallado'!A73</f>
        <v>3.2.2. Fortalecimiento del área de estudios tributarios y aduaneros que provean indicadores, diagnósticos y evaluaciones  para gestionar el aumento eficiente de la recaudación</v>
      </c>
      <c r="B22" s="8">
        <f>'1. Presupuesto detallado'!B73</f>
        <v>544500</v>
      </c>
      <c r="C22" s="6"/>
    </row>
    <row r="23" spans="1:3" ht="16.5" thickBot="1" x14ac:dyDescent="0.3">
      <c r="A23" s="117" t="s">
        <v>43</v>
      </c>
      <c r="B23" s="118">
        <f>SUM(B24:B28)</f>
        <v>2489400</v>
      </c>
      <c r="C23" s="119">
        <f>B23/$B$3*100</f>
        <v>8.298</v>
      </c>
    </row>
    <row r="24" spans="1:3" ht="16.5" thickBot="1" x14ac:dyDescent="0.3">
      <c r="A24" s="7" t="s">
        <v>44</v>
      </c>
      <c r="B24" s="8">
        <f>'1. Presupuesto detallado'!B78</f>
        <v>1400000</v>
      </c>
      <c r="C24" s="6"/>
    </row>
    <row r="25" spans="1:3" ht="16.5" thickBot="1" x14ac:dyDescent="0.3">
      <c r="A25" s="7" t="s">
        <v>41</v>
      </c>
      <c r="B25" s="8">
        <f>'1. Presupuesto detallado'!B80+'1. Presupuesto detallado'!B81</f>
        <v>434800</v>
      </c>
      <c r="C25" s="6"/>
    </row>
    <row r="26" spans="1:3" ht="16.5" thickBot="1" x14ac:dyDescent="0.3">
      <c r="A26" s="7" t="s">
        <v>40</v>
      </c>
      <c r="B26" s="8">
        <f>'1. Presupuesto detallado'!B79</f>
        <v>184800</v>
      </c>
      <c r="C26" s="6"/>
    </row>
    <row r="27" spans="1:3" ht="16.5" thickBot="1" x14ac:dyDescent="0.3">
      <c r="A27" s="7" t="s">
        <v>42</v>
      </c>
      <c r="B27" s="8">
        <f>'1. Presupuesto detallado'!B85</f>
        <v>120000</v>
      </c>
      <c r="C27" s="6"/>
    </row>
    <row r="28" spans="1:3" ht="16.5" thickBot="1" x14ac:dyDescent="0.3">
      <c r="A28" s="7" t="s">
        <v>217</v>
      </c>
      <c r="B28" s="8">
        <f>'1. Presupuesto detallado'!B86+'1. Presupuesto detallado'!B87</f>
        <v>349800</v>
      </c>
      <c r="C28" s="6"/>
    </row>
    <row r="29" spans="1:3" ht="16.5" thickBot="1" x14ac:dyDescent="0.3">
      <c r="A29" s="117" t="s">
        <v>216</v>
      </c>
      <c r="B29" s="120">
        <f>30000000-B4-B23</f>
        <v>232564.20000000298</v>
      </c>
      <c r="C29" s="119">
        <f>B29/B3*100</f>
        <v>0.77521400000000995</v>
      </c>
    </row>
  </sheetData>
  <mergeCells count="1">
    <mergeCell ref="A1:C1"/>
  </mergeCells>
  <pageMargins left="0.7" right="0.7" top="0.75" bottom="0.75" header="0.3" footer="0.3"/>
  <pageSetup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ct:contentTypeSchema xmlns:ct="http://schemas.microsoft.com/office/2006/metadata/contentType" xmlns:ma="http://schemas.microsoft.com/office/2006/metadata/properties/metaAttributes" ct:_="" ma:_="" ma:contentTypeName="ez-Operations" ma:contentTypeID="0x010100ACF722E9F6B0B149B0CD8BE2560A6672003C950F2EC58ECF48BE86F9DCFE49019B" ma:contentTypeVersion="6" ma:contentTypeDescription="The base project type from which other project content types inherit their information." ma:contentTypeScope="" ma:versionID="ac723cb50f260ddc807c44536b97ff79">
  <xsd:schema xmlns:xsd="http://www.w3.org/2001/XMLSchema" xmlns:xs="http://www.w3.org/2001/XMLSchema" xmlns:p="http://schemas.microsoft.com/office/2006/metadata/properties" xmlns:ns2="cdc7663a-08f0-4737-9e8c-148ce897a09c" targetNamespace="http://schemas.microsoft.com/office/2006/metadata/properties" ma:root="true" ma:fieldsID="c4ae8e40f2965d50795c8bf0b96be33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Key_x0020_Document xmlns="cdc7663a-08f0-4737-9e8c-148ce897a09c">false</Key_x0020_Document>
    <Division_x0020_or_x0020_Unit xmlns="cdc7663a-08f0-4737-9e8c-148ce897a09c">IFD/FMM</Division_x0020_or_x0020_Unit>
    <Other_x0020_Author xmlns="cdc7663a-08f0-4737-9e8c-148ce897a09c" xsi:nil="true"/>
    <IDBDocs_x0020_Number xmlns="cdc7663a-08f0-4737-9e8c-148ce897a09c">40653177</IDBDocs_x0020_Number>
    <Document_x0020_Author xmlns="cdc7663a-08f0-4737-9e8c-148ce897a09c">Pessino, Carola</Document_x0020_Author>
    <Operation_x0020_Type xmlns="cdc7663a-08f0-4737-9e8c-148ce897a09c" xsi:nil="true"/>
    <TaxCatchAll xmlns="cdc7663a-08f0-4737-9e8c-148ce897a09c">
      <Value>5</Value>
      <Value>4</Value>
    </TaxCatchAll>
    <Fiscal_x0020_Year_x0020_IDB xmlns="cdc7663a-08f0-4737-9e8c-148ce897a09c">2016</Fiscal_x0020_Year_x0020_IDB>
    <Project_x0020_Number xmlns="cdc7663a-08f0-4737-9e8c-148ce897a09c">ES-L1131</Project_x0020_Number>
    <Package_x0020_Code xmlns="cdc7663a-08f0-4737-9e8c-148ce897a09c" xsi:nil="true"/>
    <Migration_x0020_Info xmlns="cdc7663a-08f0-4737-9e8c-148ce897a09c">&lt;Data&gt;&lt;APPLICATION&gt;MS EXCEL&lt;/APPLICATION&gt;&lt;USER_STAGE&gt;Loan Proposal&lt;/USER_STAGE&gt;&lt;PD_OBJ_TYPE&gt;0&lt;/PD_OBJ_TYPE&gt;&lt;MAKERECORD&gt;N&lt;/MAKERECORD&gt;&lt;/Data&gt;</Migration_x0020_Info>
    <Approval_x0020_Number xmlns="cdc7663a-08f0-4737-9e8c-148ce897a09c" xsi:nil="true"/>
    <Business_x0020_Area xmlns="cdc7663a-08f0-4737-9e8c-148ce897a09c" xsi:nil="true"/>
    <SISCOR_x0020_Number xmlns="cdc7663a-08f0-4737-9e8c-148ce897a09c" xsi:nil="true"/>
    <Identifier xmlns="cdc7663a-08f0-4737-9e8c-148ce897a09c"> TECFILE</Identifier>
    <Document_x0020_Language_x0020_IDB xmlns="cdc7663a-08f0-4737-9e8c-148ce897a09c">Spanish</Document_x0020_Language_x0020_IDB>
    <Phase xmlns="cdc7663a-08f0-4737-9e8c-148ce897a09c" xsi:nil="true"/>
    <Access_x0020_to_x0020_Information_x00a0_Policy xmlns="cdc7663a-08f0-4737-9e8c-148ce897a09c">Public</Access_x0020_to_x0020_Information_x00a0_Policy>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b26cdb1da78c4bb4b1c1bac2f6ac5911>
    <ic46d7e087fd4a108fb86518ca413cc6 xmlns="cdc7663a-08f0-4737-9e8c-148ce897a09c">
      <Terms xmlns="http://schemas.microsoft.com/office/infopath/2007/PartnerControls"/>
    </ic46d7e087fd4a108fb86518ca413cc6>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To_x003a_ xmlns="cdc7663a-08f0-4737-9e8c-148ce897a09c" xsi:nil="true"/>
    <nddeef1749674d76abdbe4b239a70bc6 xmlns="cdc7663a-08f0-4737-9e8c-148ce897a09c">
      <Terms xmlns="http://schemas.microsoft.com/office/infopath/2007/PartnerControls"/>
    </nddeef1749674d76abdbe4b239a70bc6>
    <_dlc_DocId xmlns="cdc7663a-08f0-4737-9e8c-148ce897a09c">EZSHARE-1035301005-14</_dlc_DocId>
    <_dlc_DocIdUrl xmlns="cdc7663a-08f0-4737-9e8c-148ce897a09c">
      <Url>https://idbg.sharepoint.com/teams/EZ-ES-LON/ES-L1131/_layouts/15/DocIdRedir.aspx?ID=EZSHARE-1035301005-14</Url>
      <Description>EZSHARE-1035301005-14</Description>
    </_dlc_DocIdUrl>
  </documentManagement>
</p:propertie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0D10DBA1-3290-40AD-B44E-9FB086B3CDF1}"/>
</file>

<file path=customXml/itemProps2.xml><?xml version="1.0" encoding="utf-8"?>
<ds:datastoreItem xmlns:ds="http://schemas.openxmlformats.org/officeDocument/2006/customXml" ds:itemID="{4CF7D053-35F9-434D-990A-E7E2731FAF13}"/>
</file>

<file path=customXml/itemProps3.xml><?xml version="1.0" encoding="utf-8"?>
<ds:datastoreItem xmlns:ds="http://schemas.openxmlformats.org/officeDocument/2006/customXml" ds:itemID="{2B322901-697C-4342-A52F-0825ADDCB4C3}"/>
</file>

<file path=customXml/itemProps4.xml><?xml version="1.0" encoding="utf-8"?>
<ds:datastoreItem xmlns:ds="http://schemas.openxmlformats.org/officeDocument/2006/customXml" ds:itemID="{72A2B9DC-C9D0-4C4C-A3D3-B547A69126D3}"/>
</file>

<file path=customXml/itemProps5.xml><?xml version="1.0" encoding="utf-8"?>
<ds:datastoreItem xmlns:ds="http://schemas.openxmlformats.org/officeDocument/2006/customXml" ds:itemID="{58568BD8-82C9-417F-81DC-572DA74B29C2}"/>
</file>

<file path=customXml/itemProps6.xml><?xml version="1.0" encoding="utf-8"?>
<ds:datastoreItem xmlns:ds="http://schemas.openxmlformats.org/officeDocument/2006/customXml" ds:itemID="{3AF3416E-504E-4C30-AC3D-334E010E6A3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1. Presupuesto detallado</vt:lpstr>
      <vt:lpstr>Precios</vt:lpstr>
      <vt:lpstr>2.Plan Ejecucion Plurianual-PEP</vt:lpstr>
      <vt:lpstr>5. Presupuesto  Componente</vt:lpstr>
      <vt:lpstr>Presupuesto Productos</vt:lpstr>
      <vt:lpstr>'1. Presupuesto detallado'!Print_Area</vt:lpstr>
    </vt:vector>
  </TitlesOfParts>
  <Company>TotalCode Software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Presupuesto Detallado</dc:title>
  <dc:creator>Diego Reinoso</dc:creator>
  <cp:lastModifiedBy>IADB</cp:lastModifiedBy>
  <cp:lastPrinted>2014-02-14T13:16:39Z</cp:lastPrinted>
  <dcterms:created xsi:type="dcterms:W3CDTF">2013-04-08T21:46:41Z</dcterms:created>
  <dcterms:modified xsi:type="dcterms:W3CDTF">2016-12-09T15:33:28Z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0x010100ACF722E9F6B0B149B0CD8BE2560A6672003C950F2EC58ECF48BE86F9DCFE49019B</vt:lpwstr>
  </property>
  <property fmtid="{D5CDD505-2E9C-101B-9397-08002B2CF9AE}" pid="5" name="TaxKeywordTaxHTField">
    <vt:lpwstr/>
  </property>
  <property fmtid="{D5CDD505-2E9C-101B-9397-08002B2CF9AE}" pid="6" name="Series Operations IDB">
    <vt:lpwstr>4;#Unclassified|a6dff32e-d477-44cd-a56b-85efe9e0a56c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-1;#Unclassified|a6dff32e-d477-44cd-a56b-85efe9e0a56c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5;#IDBDocs|cca77002-e150-4b2d-ab1f-1d7a7cdcae16</vt:lpwstr>
  </property>
  <property fmtid="{D5CDD505-2E9C-101B-9397-08002B2CF9AE}" pid="15" name="Issue_x0020_Date">
    <vt:lpwstr/>
  </property>
  <property fmtid="{D5CDD505-2E9C-101B-9397-08002B2CF9AE}" pid="16" name="Publication_x0020_Type">
    <vt:lpwstr/>
  </property>
  <property fmtid="{D5CDD505-2E9C-101B-9397-08002B2CF9AE}" pid="17" name="Publishing_x0020_House">
    <vt:lpwstr/>
  </property>
  <property fmtid="{D5CDD505-2E9C-101B-9397-08002B2CF9AE}" pid="18" name="Abstract">
    <vt:lpwstr/>
  </property>
  <property fmtid="{D5CDD505-2E9C-101B-9397-08002B2CF9AE}" pid="19" name="Disclosure Activity">
    <vt:lpwstr>Loan Proposal</vt:lpwstr>
  </property>
  <property fmtid="{D5CDD505-2E9C-101B-9397-08002B2CF9AE}" pid="20" name="Function_x0020_Operations_x0020_IDB">
    <vt:lpwstr>-1;#IDBDocs|cca77002-e150-4b2d-ab1f-1d7a7cdcae16</vt:lpwstr>
  </property>
  <property fmtid="{D5CDD505-2E9C-101B-9397-08002B2CF9AE}" pid="21" name="Region">
    <vt:lpwstr/>
  </property>
  <property fmtid="{D5CDD505-2E9C-101B-9397-08002B2CF9AE}" pid="22" name="Disclosure_x0020_Activity">
    <vt:lpwstr>Loan Proposal</vt:lpwstr>
  </property>
  <property fmtid="{D5CDD505-2E9C-101B-9397-08002B2CF9AE}" pid="23" name="Fund_x0020_IDB">
    <vt:lpwstr/>
  </property>
  <property fmtid="{D5CDD505-2E9C-101B-9397-08002B2CF9AE}" pid="24" name="_dlc_DocIdItemGuid">
    <vt:lpwstr>4028903d-068d-4288-842f-5022a60afc2b</vt:lpwstr>
  </property>
  <property fmtid="{D5CDD505-2E9C-101B-9397-08002B2CF9AE}" pid="25" name="Webtopic">
    <vt:lpwstr>RM-FIS</vt:lpwstr>
  </property>
  <property fmtid="{D5CDD505-2E9C-101B-9397-08002B2CF9AE}" pid="26" name="Publishing House">
    <vt:lpwstr/>
  </property>
  <property fmtid="{D5CDD505-2E9C-101B-9397-08002B2CF9AE}" pid="27" name="KP Topics">
    <vt:lpwstr/>
  </property>
  <property fmtid="{D5CDD505-2E9C-101B-9397-08002B2CF9AE}" pid="28" name="KP_x0020_Topics">
    <vt:lpwstr/>
  </property>
  <property fmtid="{D5CDD505-2E9C-101B-9397-08002B2CF9AE}" pid="29" name="Editor1">
    <vt:lpwstr/>
  </property>
  <property fmtid="{D5CDD505-2E9C-101B-9397-08002B2CF9AE}" pid="30" name="Sector_x0020_IDB">
    <vt:lpwstr/>
  </property>
  <property fmtid="{D5CDD505-2E9C-101B-9397-08002B2CF9AE}" pid="31" name="Publication Type">
    <vt:lpwstr/>
  </property>
  <property fmtid="{D5CDD505-2E9C-101B-9397-08002B2CF9AE}" pid="32" name="Issue Date">
    <vt:lpwstr/>
  </property>
</Properties>
</file>