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55" windowWidth="11550" windowHeight="4815" tabRatio="601"/>
  </bookViews>
  <sheets>
    <sheet name="AQUIS." sheetId="8" r:id="rId1"/>
    <sheet name="RESUMO R$" sheetId="6" r:id="rId2"/>
    <sheet name="POA 6 MAR" sheetId="10" r:id="rId3"/>
    <sheet name="Sheet1" sheetId="12" r:id="rId4"/>
    <sheet name="POA 6 MAR (2)" sheetId="14" r:id="rId5"/>
    <sheet name="Plan1" sheetId="15" r:id="rId6"/>
    <sheet name="Plan2" sheetId="16" r:id="rId7"/>
    <sheet name="Plan3" sheetId="17" r:id="rId8"/>
  </sheets>
  <definedNames>
    <definedName name="_xlnm.Print_Area" localSheetId="0">AQUIS.!$B$9:$E$78</definedName>
    <definedName name="_xlnm.Print_Area" localSheetId="2">'POA 6 MAR'!$B$3:$G$374</definedName>
    <definedName name="_xlnm.Print_Area" localSheetId="4">'POA 6 MAR (2)'!$B$3:$G$82</definedName>
    <definedName name="_xlnm.Print_Area" localSheetId="1">'RESUMO R$'!$B$2:$E$120</definedName>
  </definedNames>
  <calcPr calcId="145621"/>
</workbook>
</file>

<file path=xl/calcChain.xml><?xml version="1.0" encoding="utf-8"?>
<calcChain xmlns="http://schemas.openxmlformats.org/spreadsheetml/2006/main">
  <c r="AB58" i="8" l="1"/>
  <c r="AA58" i="8"/>
  <c r="Z60" i="8"/>
  <c r="W54" i="8"/>
  <c r="W49" i="8" s="1"/>
  <c r="W48" i="8" s="1"/>
  <c r="U54" i="8"/>
  <c r="S54" i="8"/>
  <c r="V52" i="8"/>
  <c r="R52" i="8"/>
  <c r="V54" i="8"/>
  <c r="T54" i="8"/>
  <c r="R54" i="8"/>
  <c r="T52" i="8"/>
  <c r="T49" i="8" s="1"/>
  <c r="T48" i="8" s="1"/>
  <c r="P52" i="8"/>
  <c r="P54" i="8"/>
  <c r="Z58" i="8"/>
  <c r="Y58" i="8"/>
  <c r="T41" i="8"/>
  <c r="R41" i="8"/>
  <c r="P41" i="8"/>
  <c r="U19" i="8"/>
  <c r="U15" i="8"/>
  <c r="S19" i="8"/>
  <c r="S15" i="8"/>
  <c r="Q19" i="8"/>
  <c r="Q15" i="8"/>
  <c r="V18" i="8"/>
  <c r="T18" i="8"/>
  <c r="R18" i="8"/>
  <c r="T17" i="8"/>
  <c r="R17" i="8"/>
  <c r="P17" i="8"/>
  <c r="V16" i="8"/>
  <c r="T16" i="8"/>
  <c r="R16" i="8"/>
  <c r="P16" i="8"/>
  <c r="V14" i="8"/>
  <c r="V49" i="8" l="1"/>
  <c r="V48" i="8" s="1"/>
  <c r="I12" i="16"/>
  <c r="I18" i="16" s="1"/>
  <c r="I8" i="16"/>
  <c r="I16" i="16"/>
  <c r="AB59" i="8"/>
  <c r="I23" i="16" l="1"/>
  <c r="AR50" i="8"/>
  <c r="AR51" i="8"/>
  <c r="AR52" i="8"/>
  <c r="AR53" i="8"/>
  <c r="AR54" i="8"/>
  <c r="AQ50" i="8"/>
  <c r="AQ51" i="8"/>
  <c r="AQ52" i="8"/>
  <c r="AQ53" i="8"/>
  <c r="AQ54" i="8"/>
  <c r="AP50" i="8"/>
  <c r="AP51" i="8"/>
  <c r="AP52" i="8"/>
  <c r="AP53" i="8"/>
  <c r="AP54" i="8"/>
  <c r="AO50" i="8"/>
  <c r="AO51" i="8"/>
  <c r="AO52" i="8"/>
  <c r="AO53" i="8"/>
  <c r="AO54" i="8"/>
  <c r="AN51" i="8"/>
  <c r="AN52" i="8"/>
  <c r="AN53" i="8"/>
  <c r="AN50" i="8"/>
  <c r="AM52" i="8" l="1"/>
  <c r="AL50" i="8"/>
  <c r="AL51" i="8"/>
  <c r="AL52" i="8"/>
  <c r="AL53" i="8"/>
  <c r="AK52" i="8"/>
  <c r="AJ50" i="8"/>
  <c r="AJ51" i="8"/>
  <c r="AJ53" i="8"/>
  <c r="AI50" i="8"/>
  <c r="AI51" i="8"/>
  <c r="AI52" i="8"/>
  <c r="AI53" i="8"/>
  <c r="AI54" i="8"/>
  <c r="AH50" i="8"/>
  <c r="AT50" i="8" s="1"/>
  <c r="AH51" i="8"/>
  <c r="AH52" i="8"/>
  <c r="AH54" i="8"/>
  <c r="AG50" i="8"/>
  <c r="AG51" i="8"/>
  <c r="AG52" i="8"/>
  <c r="AG53" i="8"/>
  <c r="AG54" i="8"/>
  <c r="U57" i="8"/>
  <c r="U56" i="8"/>
  <c r="U55" i="8" s="1"/>
  <c r="AM54" i="8"/>
  <c r="U53" i="8"/>
  <c r="AM53" i="8" s="1"/>
  <c r="U51" i="8"/>
  <c r="AM51" i="8" s="1"/>
  <c r="U50" i="8"/>
  <c r="AM50" i="8" s="1"/>
  <c r="S56" i="8"/>
  <c r="S55" i="8" s="1"/>
  <c r="S57" i="8"/>
  <c r="AK54" i="8"/>
  <c r="S53" i="8"/>
  <c r="AK53" i="8" s="1"/>
  <c r="S51" i="8"/>
  <c r="AK51" i="8" s="1"/>
  <c r="S50" i="8"/>
  <c r="S49" i="8" s="1"/>
  <c r="R49" i="8"/>
  <c r="R48" i="8" s="1"/>
  <c r="AL48" i="8" s="1"/>
  <c r="AJ54" i="8"/>
  <c r="P48" i="8"/>
  <c r="AT51" i="8" l="1"/>
  <c r="AS52" i="8"/>
  <c r="AK50" i="8"/>
  <c r="AS50" i="8" s="1"/>
  <c r="AU50" i="8" s="1"/>
  <c r="AS54" i="8"/>
  <c r="AS53" i="8"/>
  <c r="AT52" i="8"/>
  <c r="AL54" i="8"/>
  <c r="AT54" i="8" s="1"/>
  <c r="U49" i="8"/>
  <c r="U48" i="8" s="1"/>
  <c r="AS51" i="8"/>
  <c r="AU51" i="8" s="1"/>
  <c r="S48" i="8"/>
  <c r="D49" i="8"/>
  <c r="C49" i="8"/>
  <c r="C55" i="8"/>
  <c r="E53" i="8"/>
  <c r="H18" i="16" s="1"/>
  <c r="E52" i="8"/>
  <c r="E51" i="8"/>
  <c r="E50" i="8"/>
  <c r="E54" i="8"/>
  <c r="D55" i="8"/>
  <c r="H22" i="16" l="1"/>
  <c r="AH53" i="8"/>
  <c r="AT53" i="8" s="1"/>
  <c r="AU53" i="8" s="1"/>
  <c r="AU52" i="8"/>
  <c r="AU54" i="8"/>
  <c r="C48" i="8"/>
  <c r="D48" i="8"/>
  <c r="AM37" i="8"/>
  <c r="AO31" i="8"/>
  <c r="AM32" i="8"/>
  <c r="AM31" i="8"/>
  <c r="AO29" i="8"/>
  <c r="AM29" i="8"/>
  <c r="AM28" i="8"/>
  <c r="O44" i="8"/>
  <c r="N44" i="8"/>
  <c r="M44" i="8"/>
  <c r="L44" i="8"/>
  <c r="AJ46" i="8" l="1"/>
  <c r="AJ47" i="8"/>
  <c r="AJ55" i="8"/>
  <c r="AJ56" i="8"/>
  <c r="AJ57" i="8"/>
  <c r="AJ58" i="8"/>
  <c r="AJ59" i="8"/>
  <c r="AJ60" i="8"/>
  <c r="AK30" i="8"/>
  <c r="AK32" i="8"/>
  <c r="AK33" i="8"/>
  <c r="AK35" i="8"/>
  <c r="AK36" i="8"/>
  <c r="AK38" i="8"/>
  <c r="AN23" i="8"/>
  <c r="AN24" i="8"/>
  <c r="AM24" i="8"/>
  <c r="AL24" i="8"/>
  <c r="AL23" i="8"/>
  <c r="AJ23" i="8"/>
  <c r="AJ24" i="8"/>
  <c r="AI23" i="8"/>
  <c r="AI24" i="8"/>
  <c r="P44" i="8"/>
  <c r="X13" i="8"/>
  <c r="P21" i="8"/>
  <c r="W13" i="8"/>
  <c r="O13" i="8"/>
  <c r="N13" i="8"/>
  <c r="S24" i="8"/>
  <c r="Q24" i="8"/>
  <c r="U23" i="8"/>
  <c r="AM23" i="8" s="1"/>
  <c r="S23" i="8"/>
  <c r="Q23" i="8"/>
  <c r="AK23" i="8" l="1"/>
  <c r="AK24" i="8"/>
  <c r="AN14" i="8"/>
  <c r="V13" i="8"/>
  <c r="R13" i="8"/>
  <c r="T13" i="8"/>
  <c r="AJ48" i="8"/>
  <c r="U13" i="8" l="1"/>
  <c r="Q13" i="8"/>
  <c r="K47" i="8"/>
  <c r="K46" i="8"/>
  <c r="K45" i="8" l="1"/>
  <c r="K44" i="8" s="1"/>
  <c r="S13" i="8"/>
  <c r="P26" i="8"/>
  <c r="P25" i="8" s="1"/>
  <c r="O28" i="8"/>
  <c r="M35" i="8"/>
  <c r="M33" i="8"/>
  <c r="P22" i="8"/>
  <c r="M20" i="8"/>
  <c r="M13" i="8" s="1"/>
  <c r="AJ22" i="8" l="1"/>
  <c r="P13" i="8"/>
  <c r="C13" i="8"/>
  <c r="D25" i="8"/>
  <c r="C25" i="8"/>
  <c r="E38" i="8"/>
  <c r="E32" i="8"/>
  <c r="AL30" i="8"/>
  <c r="AN30" i="8"/>
  <c r="AO30" i="8"/>
  <c r="AP30" i="8"/>
  <c r="AQ30" i="8"/>
  <c r="AR30" i="8"/>
  <c r="AL31" i="8"/>
  <c r="AN31" i="8"/>
  <c r="AP31" i="8"/>
  <c r="AQ31" i="8"/>
  <c r="AR31" i="8"/>
  <c r="AL32" i="8"/>
  <c r="AN32" i="8"/>
  <c r="AO32" i="8"/>
  <c r="AP32" i="8"/>
  <c r="AQ32" i="8"/>
  <c r="AR32" i="8"/>
  <c r="AL33" i="8"/>
  <c r="AM33" i="8"/>
  <c r="AN33" i="8"/>
  <c r="AO33" i="8"/>
  <c r="AP33" i="8"/>
  <c r="AQ33" i="8"/>
  <c r="AR33" i="8"/>
  <c r="AL34" i="8"/>
  <c r="AM34" i="8"/>
  <c r="AN34" i="8"/>
  <c r="AO34" i="8"/>
  <c r="AP34" i="8"/>
  <c r="AQ34" i="8"/>
  <c r="AR34" i="8"/>
  <c r="AL35" i="8"/>
  <c r="AM35" i="8"/>
  <c r="AN35" i="8"/>
  <c r="AO35" i="8"/>
  <c r="AP35" i="8"/>
  <c r="AQ35" i="8"/>
  <c r="AR35" i="8"/>
  <c r="AL36" i="8"/>
  <c r="AN36" i="8"/>
  <c r="AO36" i="8"/>
  <c r="AP36" i="8"/>
  <c r="AQ36" i="8"/>
  <c r="AR36" i="8"/>
  <c r="AL37" i="8"/>
  <c r="AN37" i="8"/>
  <c r="AO37" i="8"/>
  <c r="AP37" i="8"/>
  <c r="AQ37" i="8"/>
  <c r="AR37" i="8"/>
  <c r="AL38" i="8"/>
  <c r="AM38" i="8"/>
  <c r="AN38" i="8"/>
  <c r="AO38" i="8"/>
  <c r="AP38" i="8"/>
  <c r="AQ38" i="8"/>
  <c r="AR38" i="8"/>
  <c r="AI30" i="8"/>
  <c r="AJ30" i="8"/>
  <c r="AI31" i="8"/>
  <c r="AJ31" i="8"/>
  <c r="AT31" i="8" s="1"/>
  <c r="AI32" i="8"/>
  <c r="AJ32" i="8"/>
  <c r="AI33" i="8"/>
  <c r="AJ33" i="8"/>
  <c r="AI34" i="8"/>
  <c r="AJ34" i="8"/>
  <c r="AJ35" i="8"/>
  <c r="AI36" i="8"/>
  <c r="AJ36" i="8"/>
  <c r="AI37" i="8"/>
  <c r="AJ37" i="8"/>
  <c r="AI38" i="8"/>
  <c r="AJ38" i="8"/>
  <c r="AI27" i="8"/>
  <c r="AJ27" i="8"/>
  <c r="AJ28" i="8"/>
  <c r="AI29" i="8"/>
  <c r="AJ29" i="8"/>
  <c r="AG25" i="8"/>
  <c r="AH25" i="8"/>
  <c r="J25" i="8"/>
  <c r="K25" i="8"/>
  <c r="L25" i="8"/>
  <c r="M25" i="8"/>
  <c r="N25" i="8"/>
  <c r="R25" i="8"/>
  <c r="V25" i="8"/>
  <c r="X25" i="8"/>
  <c r="Z25" i="8"/>
  <c r="AA25" i="8"/>
  <c r="AB25" i="8"/>
  <c r="AC25" i="8"/>
  <c r="AD25" i="8"/>
  <c r="AE25" i="8"/>
  <c r="AF25" i="8"/>
  <c r="I25" i="8"/>
  <c r="AR80" i="8"/>
  <c r="AP80" i="8"/>
  <c r="AO80" i="8"/>
  <c r="AN80" i="8"/>
  <c r="AL80" i="8"/>
  <c r="AK80" i="8"/>
  <c r="AJ80" i="8"/>
  <c r="AH80" i="8"/>
  <c r="AG80" i="8"/>
  <c r="J79" i="8"/>
  <c r="K79" i="8"/>
  <c r="L79" i="8"/>
  <c r="I79" i="8"/>
  <c r="T75" i="8"/>
  <c r="R75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G81" i="8"/>
  <c r="AH81" i="8"/>
  <c r="BR91" i="8"/>
  <c r="BS91" i="8"/>
  <c r="BT91" i="8"/>
  <c r="BU91" i="8"/>
  <c r="BV91" i="8"/>
  <c r="BW91" i="8"/>
  <c r="BX91" i="8"/>
  <c r="BY91" i="8"/>
  <c r="BZ91" i="8"/>
  <c r="CA91" i="8"/>
  <c r="CB91" i="8"/>
  <c r="CC91" i="8"/>
  <c r="AR75" i="8"/>
  <c r="AR74" i="8" s="1"/>
  <c r="AQ75" i="8"/>
  <c r="AP75" i="8"/>
  <c r="AO75" i="8"/>
  <c r="AN75" i="8"/>
  <c r="AN74" i="8" s="1"/>
  <c r="AM75" i="8"/>
  <c r="AM74" i="8" s="1"/>
  <c r="AK75" i="8"/>
  <c r="AJ75" i="8"/>
  <c r="AI75" i="8"/>
  <c r="AI74" i="8" s="1"/>
  <c r="AH75" i="8"/>
  <c r="AG75" i="8"/>
  <c r="J74" i="8"/>
  <c r="K74" i="8"/>
  <c r="L74" i="8"/>
  <c r="M74" i="8"/>
  <c r="N74" i="8"/>
  <c r="O74" i="8"/>
  <c r="P74" i="8"/>
  <c r="Q74" i="8"/>
  <c r="R74" i="8"/>
  <c r="S74" i="8"/>
  <c r="U74" i="8"/>
  <c r="V74" i="8"/>
  <c r="W74" i="8"/>
  <c r="X74" i="8"/>
  <c r="Y74" i="8"/>
  <c r="Z74" i="8"/>
  <c r="AA74" i="8"/>
  <c r="AB74" i="8"/>
  <c r="AC74" i="8"/>
  <c r="AD74" i="8"/>
  <c r="AE74" i="8"/>
  <c r="AF74" i="8"/>
  <c r="I74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G65" i="8"/>
  <c r="AH65" i="8"/>
  <c r="AI65" i="8"/>
  <c r="AK65" i="8"/>
  <c r="AM65" i="8"/>
  <c r="AN65" i="8"/>
  <c r="AO65" i="8"/>
  <c r="AP65" i="8"/>
  <c r="AQ65" i="8"/>
  <c r="AR65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G68" i="8"/>
  <c r="AH68" i="8"/>
  <c r="AI68" i="8"/>
  <c r="AJ68" i="8"/>
  <c r="AL68" i="8"/>
  <c r="AN68" i="8"/>
  <c r="AP68" i="8"/>
  <c r="AQ68" i="8"/>
  <c r="AR68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G71" i="8"/>
  <c r="AH71" i="8"/>
  <c r="AI71" i="8"/>
  <c r="AJ71" i="8"/>
  <c r="AL71" i="8"/>
  <c r="AN71" i="8"/>
  <c r="AP71" i="8"/>
  <c r="AQ71" i="8"/>
  <c r="AR71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R62" i="8"/>
  <c r="AQ62" i="8"/>
  <c r="AP62" i="8"/>
  <c r="AO62" i="8"/>
  <c r="AN62" i="8"/>
  <c r="AL62" i="8"/>
  <c r="AJ62" i="8"/>
  <c r="AI62" i="8"/>
  <c r="AH62" i="8"/>
  <c r="AH61" i="8" s="1"/>
  <c r="AG62" i="8"/>
  <c r="J61" i="8"/>
  <c r="K61" i="8"/>
  <c r="K43" i="8" s="1"/>
  <c r="L61" i="8"/>
  <c r="L43" i="8" s="1"/>
  <c r="M61" i="8"/>
  <c r="M43" i="8" s="1"/>
  <c r="N61" i="8"/>
  <c r="N43" i="8" s="1"/>
  <c r="O61" i="8"/>
  <c r="O43" i="8" s="1"/>
  <c r="V61" i="8"/>
  <c r="X61" i="8"/>
  <c r="Z61" i="8"/>
  <c r="AB61" i="8"/>
  <c r="AC61" i="8"/>
  <c r="AD61" i="8"/>
  <c r="AE61" i="8"/>
  <c r="AF61" i="8"/>
  <c r="I61" i="8"/>
  <c r="AQ45" i="8"/>
  <c r="AR45" i="8"/>
  <c r="AQ46" i="8"/>
  <c r="AR46" i="8"/>
  <c r="AQ47" i="8"/>
  <c r="AR47" i="8"/>
  <c r="AQ48" i="8"/>
  <c r="AR48" i="8"/>
  <c r="AQ49" i="8"/>
  <c r="AR49" i="8"/>
  <c r="AQ55" i="8"/>
  <c r="AR55" i="8"/>
  <c r="AQ56" i="8"/>
  <c r="AR56" i="8"/>
  <c r="AQ57" i="8"/>
  <c r="AR57" i="8"/>
  <c r="AQ58" i="8"/>
  <c r="AR58" i="8"/>
  <c r="AR60" i="8"/>
  <c r="AQ60" i="8"/>
  <c r="AO45" i="8"/>
  <c r="AP45" i="8"/>
  <c r="AO46" i="8"/>
  <c r="AP46" i="8"/>
  <c r="AO47" i="8"/>
  <c r="AP47" i="8"/>
  <c r="AO48" i="8"/>
  <c r="AP48" i="8"/>
  <c r="AO49" i="8"/>
  <c r="AP49" i="8"/>
  <c r="AO55" i="8"/>
  <c r="AP55" i="8"/>
  <c r="AO56" i="8"/>
  <c r="AP56" i="8"/>
  <c r="AO57" i="8"/>
  <c r="AP57" i="8"/>
  <c r="AO58" i="8"/>
  <c r="AP58" i="8"/>
  <c r="AP60" i="8"/>
  <c r="AI46" i="8"/>
  <c r="AK46" i="8"/>
  <c r="AL46" i="8"/>
  <c r="AM46" i="8"/>
  <c r="AN46" i="8"/>
  <c r="AI47" i="8"/>
  <c r="AK47" i="8"/>
  <c r="AL47" i="8"/>
  <c r="AM47" i="8"/>
  <c r="AN47" i="8"/>
  <c r="AI48" i="8"/>
  <c r="AN48" i="8"/>
  <c r="AI49" i="8"/>
  <c r="AK49" i="8"/>
  <c r="AL49" i="8"/>
  <c r="AM49" i="8"/>
  <c r="AN49" i="8"/>
  <c r="AI55" i="8"/>
  <c r="AK55" i="8"/>
  <c r="AL55" i="8"/>
  <c r="AM55" i="8"/>
  <c r="AN55" i="8"/>
  <c r="AI56" i="8"/>
  <c r="AK56" i="8"/>
  <c r="AL56" i="8"/>
  <c r="AM56" i="8"/>
  <c r="AN56" i="8"/>
  <c r="AI57" i="8"/>
  <c r="AK57" i="8"/>
  <c r="AL57" i="8"/>
  <c r="AM57" i="8"/>
  <c r="AN57" i="8"/>
  <c r="AI58" i="8"/>
  <c r="AI59" i="8"/>
  <c r="AK59" i="8"/>
  <c r="AL59" i="8"/>
  <c r="AI60" i="8"/>
  <c r="Y60" i="8"/>
  <c r="E60" i="8"/>
  <c r="X60" i="8"/>
  <c r="AG46" i="8"/>
  <c r="AH46" i="8"/>
  <c r="AG47" i="8"/>
  <c r="AH47" i="8"/>
  <c r="AG48" i="8"/>
  <c r="AH48" i="8"/>
  <c r="AG49" i="8"/>
  <c r="AH49" i="8"/>
  <c r="AG55" i="8"/>
  <c r="AH55" i="8"/>
  <c r="AT55" i="8" s="1"/>
  <c r="AG56" i="8"/>
  <c r="AH56" i="8"/>
  <c r="AG57" i="8"/>
  <c r="AS57" i="8" s="1"/>
  <c r="AH57" i="8"/>
  <c r="AG58" i="8"/>
  <c r="AH58" i="8"/>
  <c r="AG59" i="8"/>
  <c r="AH59" i="8"/>
  <c r="AG60" i="8"/>
  <c r="AH60" i="8"/>
  <c r="I44" i="8"/>
  <c r="J44" i="8"/>
  <c r="AR39" i="8"/>
  <c r="AQ39" i="8"/>
  <c r="AP39" i="8"/>
  <c r="AO39" i="8"/>
  <c r="AN39" i="8"/>
  <c r="AL39" i="8"/>
  <c r="AJ39" i="8"/>
  <c r="AH39" i="8"/>
  <c r="AG39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G42" i="8"/>
  <c r="AH42" i="8"/>
  <c r="AJ42" i="8"/>
  <c r="AK42" i="8"/>
  <c r="AL42" i="8"/>
  <c r="AM42" i="8"/>
  <c r="AN42" i="8"/>
  <c r="AO42" i="8"/>
  <c r="AP42" i="8"/>
  <c r="AQ42" i="8"/>
  <c r="AR42" i="8"/>
  <c r="N40" i="8"/>
  <c r="O40" i="8"/>
  <c r="P40" i="8"/>
  <c r="Q40" i="8"/>
  <c r="R40" i="8"/>
  <c r="R12" i="8" s="1"/>
  <c r="S40" i="8"/>
  <c r="T40" i="8"/>
  <c r="U40" i="8"/>
  <c r="V40" i="8"/>
  <c r="W40" i="8"/>
  <c r="AM40" i="8" s="1"/>
  <c r="X40" i="8"/>
  <c r="Y40" i="8"/>
  <c r="Z40" i="8"/>
  <c r="AA40" i="8"/>
  <c r="AA12" i="8" s="1"/>
  <c r="AB40" i="8"/>
  <c r="AC40" i="8"/>
  <c r="AD40" i="8"/>
  <c r="AE40" i="8"/>
  <c r="AQ40" i="8" s="1"/>
  <c r="AF40" i="8"/>
  <c r="J40" i="8"/>
  <c r="J12" i="8"/>
  <c r="K40" i="8"/>
  <c r="L40" i="8"/>
  <c r="I40" i="8"/>
  <c r="AO26" i="8"/>
  <c r="AP26" i="8"/>
  <c r="AQ26" i="8"/>
  <c r="AR26" i="8"/>
  <c r="AO27" i="8"/>
  <c r="AP27" i="8"/>
  <c r="AQ27" i="8"/>
  <c r="AR27" i="8"/>
  <c r="AO28" i="8"/>
  <c r="AP28" i="8"/>
  <c r="AQ28" i="8"/>
  <c r="AR28" i="8"/>
  <c r="AP29" i="8"/>
  <c r="AQ29" i="8"/>
  <c r="AR29" i="8"/>
  <c r="AO14" i="8"/>
  <c r="AP14" i="8"/>
  <c r="AQ14" i="8"/>
  <c r="AR14" i="8"/>
  <c r="AO15" i="8"/>
  <c r="AP15" i="8"/>
  <c r="AQ15" i="8"/>
  <c r="AR15" i="8"/>
  <c r="AO16" i="8"/>
  <c r="AP16" i="8"/>
  <c r="AQ16" i="8"/>
  <c r="AR16" i="8"/>
  <c r="AO17" i="8"/>
  <c r="AP17" i="8"/>
  <c r="AQ17" i="8"/>
  <c r="AR17" i="8"/>
  <c r="AO18" i="8"/>
  <c r="AP18" i="8"/>
  <c r="AQ18" i="8"/>
  <c r="AR18" i="8"/>
  <c r="AO19" i="8"/>
  <c r="AP19" i="8"/>
  <c r="AQ19" i="8"/>
  <c r="AR19" i="8"/>
  <c r="AO20" i="8"/>
  <c r="AP20" i="8"/>
  <c r="AQ20" i="8"/>
  <c r="AR20" i="8"/>
  <c r="AO21" i="8"/>
  <c r="AP21" i="8"/>
  <c r="AQ21" i="8"/>
  <c r="AR21" i="8"/>
  <c r="AO22" i="8"/>
  <c r="AP22" i="8"/>
  <c r="AQ22" i="8"/>
  <c r="AR22" i="8"/>
  <c r="AO23" i="8"/>
  <c r="AP23" i="8"/>
  <c r="AQ23" i="8"/>
  <c r="AR23" i="8"/>
  <c r="AO24" i="8"/>
  <c r="AP24" i="8"/>
  <c r="AQ24" i="8"/>
  <c r="AR24" i="8"/>
  <c r="AI26" i="8"/>
  <c r="AJ26" i="8"/>
  <c r="AK26" i="8"/>
  <c r="AM26" i="8"/>
  <c r="AN26" i="8"/>
  <c r="AK27" i="8"/>
  <c r="AS27" i="8" s="1"/>
  <c r="AM27" i="8"/>
  <c r="AN27" i="8"/>
  <c r="AK28" i="8"/>
  <c r="AL28" i="8"/>
  <c r="AN28" i="8"/>
  <c r="AL29" i="8"/>
  <c r="AN29" i="8"/>
  <c r="AG13" i="8"/>
  <c r="AF12" i="8"/>
  <c r="AN45" i="8"/>
  <c r="AM45" i="8"/>
  <c r="AL45" i="8"/>
  <c r="AK45" i="8"/>
  <c r="AJ45" i="8"/>
  <c r="AJ44" i="8" s="1"/>
  <c r="AI45" i="8"/>
  <c r="AH45" i="8"/>
  <c r="AI14" i="8"/>
  <c r="AJ14" i="8"/>
  <c r="AK14" i="8"/>
  <c r="AL14" i="8"/>
  <c r="AM14" i="8"/>
  <c r="AI15" i="8"/>
  <c r="AJ15" i="8"/>
  <c r="AK15" i="8"/>
  <c r="AL15" i="8"/>
  <c r="AM15" i="8"/>
  <c r="AN15" i="8"/>
  <c r="AI16" i="8"/>
  <c r="AJ16" i="8"/>
  <c r="AK16" i="8"/>
  <c r="AL16" i="8"/>
  <c r="AM16" i="8"/>
  <c r="AN16" i="8"/>
  <c r="AI17" i="8"/>
  <c r="AJ17" i="8"/>
  <c r="AK17" i="8"/>
  <c r="AL17" i="8"/>
  <c r="AM17" i="8"/>
  <c r="AN17" i="8"/>
  <c r="AI18" i="8"/>
  <c r="AJ18" i="8"/>
  <c r="AK18" i="8"/>
  <c r="AL18" i="8"/>
  <c r="AM18" i="8"/>
  <c r="AN18" i="8"/>
  <c r="AI19" i="8"/>
  <c r="AJ19" i="8"/>
  <c r="AK19" i="8"/>
  <c r="AL19" i="8"/>
  <c r="AM19" i="8"/>
  <c r="AN19" i="8"/>
  <c r="AI20" i="8"/>
  <c r="AJ20" i="8"/>
  <c r="AK20" i="8"/>
  <c r="AL20" i="8"/>
  <c r="AM20" i="8"/>
  <c r="AN20" i="8"/>
  <c r="AI21" i="8"/>
  <c r="AJ21" i="8"/>
  <c r="AK21" i="8"/>
  <c r="AL21" i="8"/>
  <c r="AM21" i="8"/>
  <c r="AN21" i="8"/>
  <c r="AI22" i="8"/>
  <c r="AK22" i="8"/>
  <c r="AL22" i="8"/>
  <c r="AM22" i="8"/>
  <c r="AN22" i="8"/>
  <c r="AE80" i="8"/>
  <c r="U80" i="8"/>
  <c r="AM80" i="8" s="1"/>
  <c r="M80" i="8"/>
  <c r="AF81" i="8"/>
  <c r="AD81" i="8"/>
  <c r="AD79" i="8" s="1"/>
  <c r="AB81" i="8"/>
  <c r="AB79" i="8" s="1"/>
  <c r="Z81" i="8"/>
  <c r="Z79" i="8" s="1"/>
  <c r="X81" i="8"/>
  <c r="V81" i="8"/>
  <c r="V79" i="8" s="1"/>
  <c r="T81" i="8"/>
  <c r="T79" i="8" s="1"/>
  <c r="R81" i="8"/>
  <c r="R79" i="8" s="1"/>
  <c r="P81" i="8"/>
  <c r="P79" i="8" s="1"/>
  <c r="N81" i="8"/>
  <c r="N79" i="8" s="1"/>
  <c r="AE81" i="8"/>
  <c r="AC81" i="8"/>
  <c r="AA81" i="8"/>
  <c r="AA79" i="8" s="1"/>
  <c r="Y81" i="8"/>
  <c r="Y79" i="8" s="1"/>
  <c r="W81" i="8"/>
  <c r="W79" i="8" s="1"/>
  <c r="U81" i="8"/>
  <c r="S81" i="8"/>
  <c r="S79" i="8" s="1"/>
  <c r="Q81" i="8"/>
  <c r="O81" i="8"/>
  <c r="M81" i="8"/>
  <c r="AH40" i="8"/>
  <c r="AE12" i="8"/>
  <c r="AF59" i="8"/>
  <c r="AF44" i="8" s="1"/>
  <c r="AF43" i="8" s="1"/>
  <c r="AE59" i="8"/>
  <c r="AE44" i="8" s="1"/>
  <c r="AD59" i="8"/>
  <c r="AD44" i="8" s="1"/>
  <c r="AC59" i="8"/>
  <c r="AC44" i="8" s="1"/>
  <c r="AB44" i="8"/>
  <c r="AA59" i="8"/>
  <c r="AA44" i="8" s="1"/>
  <c r="Z59" i="8"/>
  <c r="Z44" i="8" s="1"/>
  <c r="Y59" i="8"/>
  <c r="Y44" i="8" s="1"/>
  <c r="X59" i="8"/>
  <c r="W59" i="8"/>
  <c r="V59" i="8"/>
  <c r="U59" i="8"/>
  <c r="W60" i="8"/>
  <c r="V60" i="8"/>
  <c r="AN60" i="8" s="1"/>
  <c r="U60" i="8"/>
  <c r="T60" i="8"/>
  <c r="S60" i="8"/>
  <c r="AK60" i="8" s="1"/>
  <c r="X58" i="8"/>
  <c r="V58" i="8"/>
  <c r="W58" i="8"/>
  <c r="U58" i="8"/>
  <c r="Q44" i="8"/>
  <c r="U39" i="8"/>
  <c r="S39" i="8"/>
  <c r="Q39" i="8"/>
  <c r="O39" i="8"/>
  <c r="AI39" i="8" s="1"/>
  <c r="Q31" i="8"/>
  <c r="S29" i="8"/>
  <c r="Q29" i="8"/>
  <c r="Q37" i="8"/>
  <c r="AK37" i="8" s="1"/>
  <c r="W30" i="8"/>
  <c r="W25" i="8" s="1"/>
  <c r="U36" i="8"/>
  <c r="U25" i="8" s="1"/>
  <c r="T25" i="8"/>
  <c r="AM48" i="8"/>
  <c r="AK48" i="8"/>
  <c r="AL26" i="8"/>
  <c r="M42" i="8"/>
  <c r="M40" i="8" s="1"/>
  <c r="AI35" i="8"/>
  <c r="Q34" i="8"/>
  <c r="AK34" i="8" s="1"/>
  <c r="AH13" i="8"/>
  <c r="E15" i="8"/>
  <c r="E39" i="8"/>
  <c r="W39" i="8" s="1"/>
  <c r="D13" i="8"/>
  <c r="E63" i="8"/>
  <c r="E64" i="8"/>
  <c r="E66" i="8"/>
  <c r="E67" i="8"/>
  <c r="E69" i="8"/>
  <c r="E70" i="8"/>
  <c r="E72" i="8"/>
  <c r="E73" i="8"/>
  <c r="E46" i="8"/>
  <c r="E47" i="8"/>
  <c r="E49" i="8"/>
  <c r="E56" i="8"/>
  <c r="E55" i="8" s="1"/>
  <c r="E58" i="8"/>
  <c r="E59" i="8"/>
  <c r="E42" i="8"/>
  <c r="E41" i="8"/>
  <c r="E27" i="8"/>
  <c r="E28" i="8"/>
  <c r="E29" i="8"/>
  <c r="E30" i="8"/>
  <c r="E31" i="8"/>
  <c r="E33" i="8"/>
  <c r="E34" i="8"/>
  <c r="E35" i="8"/>
  <c r="E36" i="8"/>
  <c r="E37" i="8"/>
  <c r="E26" i="8"/>
  <c r="E16" i="8"/>
  <c r="E17" i="8"/>
  <c r="E18" i="8"/>
  <c r="E19" i="8"/>
  <c r="E20" i="8"/>
  <c r="E21" i="8"/>
  <c r="E22" i="8"/>
  <c r="E23" i="8"/>
  <c r="E24" i="8"/>
  <c r="E14" i="8"/>
  <c r="E76" i="8"/>
  <c r="E77" i="8"/>
  <c r="E78" i="8"/>
  <c r="E75" i="8"/>
  <c r="E81" i="8"/>
  <c r="E80" i="8"/>
  <c r="D40" i="8"/>
  <c r="C40" i="8"/>
  <c r="D68" i="8"/>
  <c r="E68" i="8" s="1"/>
  <c r="D71" i="8"/>
  <c r="D79" i="8"/>
  <c r="J87" i="8" s="1"/>
  <c r="C68" i="8"/>
  <c r="C71" i="8"/>
  <c r="E71" i="8" s="1"/>
  <c r="D74" i="8"/>
  <c r="M5" i="8" s="1"/>
  <c r="C74" i="8"/>
  <c r="L5" i="8" s="1"/>
  <c r="E57" i="8"/>
  <c r="D62" i="8"/>
  <c r="D61" i="8" s="1"/>
  <c r="D65" i="8"/>
  <c r="D45" i="8"/>
  <c r="D44" i="8" s="1"/>
  <c r="C79" i="8"/>
  <c r="I87" i="8" s="1"/>
  <c r="C65" i="8"/>
  <c r="C62" i="8"/>
  <c r="C45" i="8"/>
  <c r="C44" i="8" s="1"/>
  <c r="BT2" i="14"/>
  <c r="BT3" i="14"/>
  <c r="BT4" i="14"/>
  <c r="BV4" i="14"/>
  <c r="E5" i="14"/>
  <c r="E93" i="14" s="1"/>
  <c r="F5" i="14"/>
  <c r="K5" i="14"/>
  <c r="L5" i="14"/>
  <c r="M5" i="14"/>
  <c r="O5" i="14"/>
  <c r="P5" i="14"/>
  <c r="U5" i="14"/>
  <c r="V5" i="14"/>
  <c r="Y5" i="14"/>
  <c r="AE5" i="14"/>
  <c r="AI5" i="14"/>
  <c r="AJ5" i="14"/>
  <c r="AS5" i="14"/>
  <c r="BV5" i="14" s="1"/>
  <c r="AT5" i="14"/>
  <c r="BA5" i="14"/>
  <c r="BB5" i="14"/>
  <c r="BC5" i="14"/>
  <c r="BD5" i="14"/>
  <c r="BI5" i="14"/>
  <c r="BJ5" i="14"/>
  <c r="BK5" i="14"/>
  <c r="BL5" i="14"/>
  <c r="BM5" i="14"/>
  <c r="BN5" i="14"/>
  <c r="Q6" i="14"/>
  <c r="AA6" i="14"/>
  <c r="AK6" i="14"/>
  <c r="AU6" i="14"/>
  <c r="BE6" i="14"/>
  <c r="BO6" i="14"/>
  <c r="BV6" i="14"/>
  <c r="BY6" i="14" s="1"/>
  <c r="BW6" i="14"/>
  <c r="BZ6" i="14" s="1"/>
  <c r="Q7" i="14"/>
  <c r="AA7" i="14"/>
  <c r="AK7" i="14"/>
  <c r="AO7" i="14"/>
  <c r="AU7" i="14"/>
  <c r="BE7" i="14"/>
  <c r="BO7" i="14"/>
  <c r="BV7" i="14"/>
  <c r="BW7" i="14"/>
  <c r="BY7" i="14"/>
  <c r="BZ7" i="14"/>
  <c r="G8" i="14"/>
  <c r="N8" i="14" s="1"/>
  <c r="N5" i="14" s="1"/>
  <c r="Q8" i="14"/>
  <c r="Z8" i="14"/>
  <c r="Z5" i="14" s="1"/>
  <c r="AK8" i="14"/>
  <c r="AU8" i="14"/>
  <c r="BE8" i="14"/>
  <c r="BO8" i="14"/>
  <c r="BV8" i="14"/>
  <c r="BW8" i="14"/>
  <c r="BZ8" i="14" s="1"/>
  <c r="BY8" i="14"/>
  <c r="Q9" i="14"/>
  <c r="AA9" i="14"/>
  <c r="AK9" i="14"/>
  <c r="BE9" i="14"/>
  <c r="BO9" i="14"/>
  <c r="BV9" i="14"/>
  <c r="BW9" i="14"/>
  <c r="BZ9" i="14" s="1"/>
  <c r="BY9" i="14"/>
  <c r="M10" i="14"/>
  <c r="Q10" i="14"/>
  <c r="W10" i="14"/>
  <c r="W5" i="14" s="1"/>
  <c r="X10" i="14"/>
  <c r="X5" i="14" s="1"/>
  <c r="AA10" i="14"/>
  <c r="AF10" i="14"/>
  <c r="AG10" i="14"/>
  <c r="AH10" i="14"/>
  <c r="AH5" i="14" s="1"/>
  <c r="AK10" i="14"/>
  <c r="AP10" i="14"/>
  <c r="AP5" i="14" s="1"/>
  <c r="AQ10" i="14"/>
  <c r="AQ5" i="14" s="1"/>
  <c r="AU10" i="14"/>
  <c r="AZ10" i="14"/>
  <c r="AZ5" i="14" s="1"/>
  <c r="BE10" i="14"/>
  <c r="BO10" i="14"/>
  <c r="BV10" i="14"/>
  <c r="BY10" i="14" s="1"/>
  <c r="BW10" i="14"/>
  <c r="BZ10" i="14"/>
  <c r="Q11" i="14"/>
  <c r="AA11" i="14"/>
  <c r="AK11" i="14"/>
  <c r="AU11" i="14"/>
  <c r="BE11" i="14"/>
  <c r="BO11" i="14"/>
  <c r="BV11" i="14"/>
  <c r="BW11" i="14"/>
  <c r="BZ11" i="14" s="1"/>
  <c r="BY11" i="14"/>
  <c r="E13" i="14"/>
  <c r="F13" i="14"/>
  <c r="G13" i="14"/>
  <c r="K13" i="14"/>
  <c r="L13" i="14"/>
  <c r="M13" i="14"/>
  <c r="N13" i="14"/>
  <c r="O13" i="14"/>
  <c r="P13" i="14"/>
  <c r="U13" i="14"/>
  <c r="V13" i="14"/>
  <c r="W13" i="14"/>
  <c r="X13" i="14"/>
  <c r="Y13" i="14"/>
  <c r="Z13" i="14"/>
  <c r="AE13" i="14"/>
  <c r="AF13" i="14"/>
  <c r="AG13" i="14"/>
  <c r="AH13" i="14"/>
  <c r="AI13" i="14"/>
  <c r="AJ13" i="14"/>
  <c r="AO13" i="14"/>
  <c r="AP13" i="14"/>
  <c r="AQ13" i="14"/>
  <c r="AR13" i="14"/>
  <c r="AS13" i="14"/>
  <c r="AT13" i="14"/>
  <c r="AY13" i="14"/>
  <c r="AZ13" i="14"/>
  <c r="BA13" i="14"/>
  <c r="BB13" i="14"/>
  <c r="BC13" i="14"/>
  <c r="BD13" i="14"/>
  <c r="BI13" i="14"/>
  <c r="BJ13" i="14"/>
  <c r="BK13" i="14"/>
  <c r="BL13" i="14"/>
  <c r="BM13" i="14"/>
  <c r="BN13" i="14"/>
  <c r="Q14" i="14"/>
  <c r="AA14" i="14"/>
  <c r="AU14" i="14"/>
  <c r="BE14" i="14"/>
  <c r="BO14" i="14"/>
  <c r="BV14" i="14"/>
  <c r="BW14" i="14"/>
  <c r="BZ14" i="14" s="1"/>
  <c r="BY14" i="14"/>
  <c r="Q15" i="14"/>
  <c r="AA15" i="14"/>
  <c r="AK15" i="14"/>
  <c r="AK13" i="14" s="1"/>
  <c r="AU15" i="14"/>
  <c r="BE15" i="14"/>
  <c r="BO15" i="14"/>
  <c r="BV15" i="14"/>
  <c r="BW15" i="14"/>
  <c r="BZ15" i="14" s="1"/>
  <c r="BY15" i="14"/>
  <c r="F16" i="14"/>
  <c r="K16" i="14"/>
  <c r="L16" i="14"/>
  <c r="M16" i="14"/>
  <c r="N16" i="14"/>
  <c r="O16" i="14"/>
  <c r="P16" i="14"/>
  <c r="U16" i="14"/>
  <c r="V16" i="14"/>
  <c r="W16" i="14"/>
  <c r="X16" i="14"/>
  <c r="Y16" i="14"/>
  <c r="Z16" i="14"/>
  <c r="AE16" i="14"/>
  <c r="AF16" i="14"/>
  <c r="AG16" i="14"/>
  <c r="AH16" i="14"/>
  <c r="AI16" i="14"/>
  <c r="AJ16" i="14"/>
  <c r="AO16" i="14"/>
  <c r="AP16" i="14"/>
  <c r="AQ16" i="14"/>
  <c r="AR16" i="14"/>
  <c r="AS16" i="14"/>
  <c r="AT16" i="14"/>
  <c r="AY16" i="14"/>
  <c r="AZ16" i="14"/>
  <c r="BA16" i="14"/>
  <c r="BB16" i="14"/>
  <c r="BC16" i="14"/>
  <c r="BD16" i="14"/>
  <c r="BW16" i="14" s="1"/>
  <c r="BZ16" i="14" s="1"/>
  <c r="BI16" i="14"/>
  <c r="BJ16" i="14"/>
  <c r="BK16" i="14"/>
  <c r="BL16" i="14"/>
  <c r="BM16" i="14"/>
  <c r="BN16" i="14"/>
  <c r="G17" i="14"/>
  <c r="G16" i="14" s="1"/>
  <c r="Q17" i="14"/>
  <c r="AA17" i="14"/>
  <c r="AK17" i="14"/>
  <c r="AU17" i="14"/>
  <c r="BE17" i="14"/>
  <c r="BO17" i="14"/>
  <c r="BO16" i="14" s="1"/>
  <c r="BV17" i="14"/>
  <c r="BW17" i="14"/>
  <c r="BZ17" i="14" s="1"/>
  <c r="G18" i="14"/>
  <c r="Q18" i="14"/>
  <c r="AA18" i="14"/>
  <c r="AA16" i="14" s="1"/>
  <c r="AK18" i="14"/>
  <c r="AU18" i="14"/>
  <c r="BE18" i="14"/>
  <c r="BO18" i="14"/>
  <c r="BV18" i="14"/>
  <c r="BW18" i="14"/>
  <c r="BZ18" i="14" s="1"/>
  <c r="Q19" i="14"/>
  <c r="AA19" i="14"/>
  <c r="AK19" i="14"/>
  <c r="AU19" i="14"/>
  <c r="BE19" i="14"/>
  <c r="BO19" i="14"/>
  <c r="BV19" i="14"/>
  <c r="BW19" i="14"/>
  <c r="BY19" i="14"/>
  <c r="BZ19" i="14"/>
  <c r="Q20" i="14"/>
  <c r="AA20" i="14"/>
  <c r="AK20" i="14"/>
  <c r="AU20" i="14"/>
  <c r="BE20" i="14"/>
  <c r="BO20" i="14"/>
  <c r="BV20" i="14"/>
  <c r="BY20" i="14" s="1"/>
  <c r="BW20" i="14"/>
  <c r="BZ20" i="14" s="1"/>
  <c r="Q21" i="14"/>
  <c r="AA21" i="14"/>
  <c r="AK21" i="14"/>
  <c r="AU21" i="14"/>
  <c r="BE21" i="14"/>
  <c r="BO21" i="14"/>
  <c r="BV21" i="14"/>
  <c r="BY21" i="14" s="1"/>
  <c r="BW21" i="14"/>
  <c r="BZ21" i="14" s="1"/>
  <c r="Q22" i="14"/>
  <c r="AA22" i="14"/>
  <c r="AK22" i="14"/>
  <c r="AU22" i="14"/>
  <c r="BE22" i="14"/>
  <c r="BO22" i="14"/>
  <c r="BV22" i="14"/>
  <c r="BY22" i="14" s="1"/>
  <c r="BW22" i="14"/>
  <c r="BZ22" i="14" s="1"/>
  <c r="Q23" i="14"/>
  <c r="AA23" i="14"/>
  <c r="AK23" i="14"/>
  <c r="AU23" i="14"/>
  <c r="BE23" i="14"/>
  <c r="BO23" i="14"/>
  <c r="BV23" i="14"/>
  <c r="BY23" i="14" s="1"/>
  <c r="BW23" i="14"/>
  <c r="BZ23" i="14" s="1"/>
  <c r="Q24" i="14"/>
  <c r="AA24" i="14"/>
  <c r="AK24" i="14"/>
  <c r="AU24" i="14"/>
  <c r="BE24" i="14"/>
  <c r="BO24" i="14"/>
  <c r="BX24" i="14" s="1"/>
  <c r="CA24" i="14" s="1"/>
  <c r="BV24" i="14"/>
  <c r="BY24" i="14" s="1"/>
  <c r="BW24" i="14"/>
  <c r="BZ24" i="14"/>
  <c r="Q25" i="14"/>
  <c r="AA25" i="14"/>
  <c r="AK25" i="14"/>
  <c r="AU25" i="14"/>
  <c r="BE25" i="14"/>
  <c r="BX25" i="14" s="1"/>
  <c r="CA25" i="14" s="1"/>
  <c r="BO25" i="14"/>
  <c r="BV25" i="14"/>
  <c r="BY25" i="14" s="1"/>
  <c r="BW25" i="14"/>
  <c r="BZ25" i="14" s="1"/>
  <c r="E26" i="14"/>
  <c r="F26" i="14"/>
  <c r="G26" i="14"/>
  <c r="K26" i="14"/>
  <c r="L26" i="14"/>
  <c r="M26" i="14"/>
  <c r="N26" i="14"/>
  <c r="O26" i="14"/>
  <c r="P26" i="14"/>
  <c r="U26" i="14"/>
  <c r="V26" i="14"/>
  <c r="W26" i="14"/>
  <c r="X26" i="14"/>
  <c r="Y26" i="14"/>
  <c r="Z26" i="14"/>
  <c r="AE26" i="14"/>
  <c r="AF26" i="14"/>
  <c r="AG26" i="14"/>
  <c r="AH26" i="14"/>
  <c r="AI26" i="14"/>
  <c r="AJ26" i="14"/>
  <c r="AO26" i="14"/>
  <c r="AP26" i="14"/>
  <c r="AQ26" i="14"/>
  <c r="AR26" i="14"/>
  <c r="AS26" i="14"/>
  <c r="AT26" i="14"/>
  <c r="AY26" i="14"/>
  <c r="AZ26" i="14"/>
  <c r="BA26" i="14"/>
  <c r="BB26" i="14"/>
  <c r="BC26" i="14"/>
  <c r="BV26" i="14" s="1"/>
  <c r="BY26" i="14" s="1"/>
  <c r="BD26" i="14"/>
  <c r="BI26" i="14"/>
  <c r="BJ26" i="14"/>
  <c r="BK26" i="14"/>
  <c r="BL26" i="14"/>
  <c r="BM26" i="14"/>
  <c r="BN26" i="14"/>
  <c r="Q27" i="14"/>
  <c r="AA27" i="14"/>
  <c r="AK27" i="14"/>
  <c r="AU27" i="14"/>
  <c r="BE27" i="14"/>
  <c r="BO27" i="14"/>
  <c r="BV27" i="14"/>
  <c r="BY27" i="14" s="1"/>
  <c r="BW27" i="14"/>
  <c r="BZ27" i="14" s="1"/>
  <c r="E28" i="14"/>
  <c r="F28" i="14"/>
  <c r="G28" i="14"/>
  <c r="K28" i="14"/>
  <c r="L28" i="14"/>
  <c r="M28" i="14"/>
  <c r="N28" i="14"/>
  <c r="O28" i="14"/>
  <c r="P28" i="14"/>
  <c r="U28" i="14"/>
  <c r="V28" i="14"/>
  <c r="W28" i="14"/>
  <c r="X28" i="14"/>
  <c r="Y28" i="14"/>
  <c r="Z28" i="14"/>
  <c r="AA28" i="14" s="1"/>
  <c r="AE28" i="14"/>
  <c r="AF28" i="14"/>
  <c r="AG28" i="14"/>
  <c r="AH28" i="14"/>
  <c r="AI28" i="14"/>
  <c r="AK28" i="14" s="1"/>
  <c r="AJ28" i="14"/>
  <c r="AO28" i="14"/>
  <c r="AP28" i="14"/>
  <c r="AQ28" i="14"/>
  <c r="AR28" i="14"/>
  <c r="AS28" i="14"/>
  <c r="AT28" i="14"/>
  <c r="BW28" i="14" s="1"/>
  <c r="AY28" i="14"/>
  <c r="AZ28" i="14"/>
  <c r="BA28" i="14"/>
  <c r="BB28" i="14"/>
  <c r="BC28" i="14"/>
  <c r="BD28" i="14"/>
  <c r="BI28" i="14"/>
  <c r="BJ28" i="14"/>
  <c r="BK28" i="14"/>
  <c r="BL28" i="14"/>
  <c r="BM28" i="14"/>
  <c r="BN28" i="14"/>
  <c r="BO28" i="14" s="1"/>
  <c r="Q29" i="14"/>
  <c r="AA29" i="14"/>
  <c r="AK29" i="14"/>
  <c r="AU29" i="14"/>
  <c r="BE29" i="14"/>
  <c r="BO29" i="14"/>
  <c r="BV29" i="14"/>
  <c r="BW29" i="14"/>
  <c r="BZ29" i="14" s="1"/>
  <c r="BY29" i="14"/>
  <c r="Q30" i="14"/>
  <c r="AA30" i="14"/>
  <c r="AK30" i="14"/>
  <c r="AU30" i="14"/>
  <c r="BE30" i="14"/>
  <c r="BO30" i="14"/>
  <c r="BV30" i="14"/>
  <c r="BY30" i="14" s="1"/>
  <c r="BW30" i="14"/>
  <c r="BZ30" i="14" s="1"/>
  <c r="G31" i="14"/>
  <c r="AO31" i="14" s="1"/>
  <c r="AA31" i="14"/>
  <c r="AK31" i="14"/>
  <c r="AP31" i="14"/>
  <c r="AT31" i="14"/>
  <c r="AU31" i="14"/>
  <c r="BC31" i="14"/>
  <c r="BV31" i="14" s="1"/>
  <c r="BY31" i="14" s="1"/>
  <c r="BE31" i="14"/>
  <c r="BO31" i="14"/>
  <c r="BW31" i="14"/>
  <c r="BZ31" i="14" s="1"/>
  <c r="U32" i="14"/>
  <c r="AA33" i="14"/>
  <c r="AK33" i="14"/>
  <c r="AU33" i="14"/>
  <c r="BE33" i="14"/>
  <c r="BO33" i="14"/>
  <c r="E34" i="14"/>
  <c r="F34" i="14"/>
  <c r="G34" i="14"/>
  <c r="K34" i="14"/>
  <c r="K32" i="14" s="1"/>
  <c r="L34" i="14"/>
  <c r="M34" i="14"/>
  <c r="N34" i="14"/>
  <c r="N33" i="14" s="1"/>
  <c r="O34" i="14"/>
  <c r="P34" i="14"/>
  <c r="U34" i="14"/>
  <c r="V34" i="14"/>
  <c r="W34" i="14"/>
  <c r="X34" i="14"/>
  <c r="Y34" i="14"/>
  <c r="Z34" i="14"/>
  <c r="AE34" i="14"/>
  <c r="AF34" i="14"/>
  <c r="AG34" i="14"/>
  <c r="AH34" i="14"/>
  <c r="AI34" i="14"/>
  <c r="AI32" i="14" s="1"/>
  <c r="AJ34" i="14"/>
  <c r="AO34" i="14"/>
  <c r="AP34" i="14"/>
  <c r="AQ34" i="14"/>
  <c r="AR34" i="14"/>
  <c r="AS34" i="14"/>
  <c r="AT34" i="14"/>
  <c r="AY34" i="14"/>
  <c r="AZ34" i="14"/>
  <c r="BA34" i="14"/>
  <c r="BB34" i="14"/>
  <c r="BC34" i="14"/>
  <c r="BD34" i="14"/>
  <c r="BI34" i="14"/>
  <c r="BJ34" i="14"/>
  <c r="BK34" i="14"/>
  <c r="BL34" i="14"/>
  <c r="BM34" i="14"/>
  <c r="BN34" i="14"/>
  <c r="Q35" i="14"/>
  <c r="AA35" i="14"/>
  <c r="AA34" i="14" s="1"/>
  <c r="AK35" i="14"/>
  <c r="BX35" i="14" s="1"/>
  <c r="CA35" i="14" s="1"/>
  <c r="AU35" i="14"/>
  <c r="BE35" i="14"/>
  <c r="BO35" i="14"/>
  <c r="BV35" i="14"/>
  <c r="BY35" i="14" s="1"/>
  <c r="BW35" i="14"/>
  <c r="BZ35" i="14"/>
  <c r="Q36" i="14"/>
  <c r="AA36" i="14"/>
  <c r="AK36" i="14"/>
  <c r="AU36" i="14"/>
  <c r="BE36" i="14"/>
  <c r="BO36" i="14"/>
  <c r="BX36" i="14" s="1"/>
  <c r="CA36" i="14" s="1"/>
  <c r="BV36" i="14"/>
  <c r="BY36" i="14" s="1"/>
  <c r="BW36" i="14"/>
  <c r="BZ36" i="14" s="1"/>
  <c r="Q37" i="14"/>
  <c r="AA37" i="14"/>
  <c r="AK37" i="14"/>
  <c r="AU37" i="14"/>
  <c r="BE37" i="14"/>
  <c r="BO37" i="14"/>
  <c r="BV37" i="14"/>
  <c r="BY37" i="14" s="1"/>
  <c r="BW37" i="14"/>
  <c r="BZ37" i="14"/>
  <c r="Q38" i="14"/>
  <c r="AA38" i="14"/>
  <c r="AK38" i="14"/>
  <c r="AU38" i="14"/>
  <c r="BE38" i="14"/>
  <c r="BO38" i="14"/>
  <c r="BV38" i="14"/>
  <c r="BY38" i="14" s="1"/>
  <c r="BW38" i="14"/>
  <c r="BZ38" i="14"/>
  <c r="E39" i="14"/>
  <c r="E33" i="14" s="1"/>
  <c r="E95" i="14" s="1"/>
  <c r="F39" i="14"/>
  <c r="G39" i="14"/>
  <c r="K39" i="14"/>
  <c r="L39" i="14"/>
  <c r="M39" i="14"/>
  <c r="N39" i="14"/>
  <c r="O39" i="14"/>
  <c r="P39" i="14"/>
  <c r="Q39" i="14"/>
  <c r="U39" i="14"/>
  <c r="V39" i="14"/>
  <c r="W39" i="14"/>
  <c r="X39" i="14"/>
  <c r="Y39" i="14"/>
  <c r="Z39" i="14"/>
  <c r="AE39" i="14"/>
  <c r="AF39" i="14"/>
  <c r="AG39" i="14"/>
  <c r="AH39" i="14"/>
  <c r="AI39" i="14"/>
  <c r="AJ39" i="14"/>
  <c r="AO39" i="14"/>
  <c r="AP39" i="14"/>
  <c r="AP32" i="14" s="1"/>
  <c r="AQ39" i="14"/>
  <c r="AR39" i="14"/>
  <c r="AS39" i="14"/>
  <c r="AT39" i="14"/>
  <c r="AY39" i="14"/>
  <c r="AZ39" i="14"/>
  <c r="BA39" i="14"/>
  <c r="BB39" i="14"/>
  <c r="BB32" i="14" s="1"/>
  <c r="BC39" i="14"/>
  <c r="BD39" i="14"/>
  <c r="BI39" i="14"/>
  <c r="BJ39" i="14"/>
  <c r="BK39" i="14"/>
  <c r="BL39" i="14"/>
  <c r="BM39" i="14"/>
  <c r="BV39" i="14" s="1"/>
  <c r="BN39" i="14"/>
  <c r="BW39" i="14" s="1"/>
  <c r="Q40" i="14"/>
  <c r="AK40" i="14"/>
  <c r="AU40" i="14"/>
  <c r="BE40" i="14"/>
  <c r="BO40" i="14"/>
  <c r="BV40" i="14"/>
  <c r="BY40" i="14" s="1"/>
  <c r="BW40" i="14"/>
  <c r="BZ40" i="14" s="1"/>
  <c r="Q41" i="14"/>
  <c r="AA41" i="14"/>
  <c r="AK41" i="14"/>
  <c r="AU41" i="14"/>
  <c r="BE41" i="14"/>
  <c r="BO41" i="14"/>
  <c r="BX41" i="14" s="1"/>
  <c r="CA41" i="14" s="1"/>
  <c r="BV41" i="14"/>
  <c r="BY41" i="14" s="1"/>
  <c r="BW41" i="14"/>
  <c r="BZ41" i="14" s="1"/>
  <c r="Q42" i="14"/>
  <c r="AA42" i="14"/>
  <c r="AK42" i="14"/>
  <c r="AU42" i="14"/>
  <c r="BE42" i="14"/>
  <c r="BO42" i="14"/>
  <c r="BV42" i="14"/>
  <c r="BY42" i="14" s="1"/>
  <c r="BW42" i="14"/>
  <c r="BZ42" i="14" s="1"/>
  <c r="E43" i="14"/>
  <c r="F43" i="14"/>
  <c r="K43" i="14"/>
  <c r="L43" i="14"/>
  <c r="L32" i="14" s="1"/>
  <c r="M43" i="14"/>
  <c r="N43" i="14"/>
  <c r="O43" i="14"/>
  <c r="P43" i="14"/>
  <c r="U43" i="14"/>
  <c r="V43" i="14"/>
  <c r="W43" i="14"/>
  <c r="X43" i="14"/>
  <c r="Y43" i="14"/>
  <c r="Z43" i="14"/>
  <c r="AE43" i="14"/>
  <c r="AF43" i="14"/>
  <c r="AG43" i="14"/>
  <c r="AH43" i="14"/>
  <c r="AI43" i="14"/>
  <c r="AJ43" i="14"/>
  <c r="AO43" i="14"/>
  <c r="AP43" i="14"/>
  <c r="AQ43" i="14"/>
  <c r="AR43" i="14"/>
  <c r="AS43" i="14"/>
  <c r="AT43" i="14"/>
  <c r="AY43" i="14"/>
  <c r="AZ43" i="14"/>
  <c r="BA43" i="14"/>
  <c r="BB43" i="14"/>
  <c r="BC43" i="14"/>
  <c r="BD43" i="14"/>
  <c r="BI43" i="14"/>
  <c r="BJ43" i="14"/>
  <c r="BK43" i="14"/>
  <c r="BL43" i="14"/>
  <c r="BM43" i="14"/>
  <c r="BV43" i="14" s="1"/>
  <c r="BY43" i="14" s="1"/>
  <c r="BN43" i="14"/>
  <c r="Q44" i="14"/>
  <c r="AA44" i="14"/>
  <c r="AK44" i="14"/>
  <c r="AU44" i="14"/>
  <c r="BE44" i="14"/>
  <c r="BO44" i="14"/>
  <c r="BV44" i="14"/>
  <c r="BW44" i="14"/>
  <c r="BZ44" i="14" s="1"/>
  <c r="BY44" i="14"/>
  <c r="G45" i="14"/>
  <c r="Q45" i="14"/>
  <c r="AA45" i="14"/>
  <c r="AK45" i="14"/>
  <c r="AU45" i="14"/>
  <c r="AU43" i="14" s="1"/>
  <c r="BE45" i="14"/>
  <c r="BO45" i="14"/>
  <c r="BV45" i="14"/>
  <c r="BW45" i="14"/>
  <c r="BZ45" i="14" s="1"/>
  <c r="BY45" i="14"/>
  <c r="G46" i="14"/>
  <c r="Q46" i="14"/>
  <c r="AA46" i="14"/>
  <c r="AK46" i="14"/>
  <c r="AU46" i="14"/>
  <c r="BE46" i="14"/>
  <c r="BO46" i="14"/>
  <c r="BV46" i="14"/>
  <c r="BY46" i="14" s="1"/>
  <c r="BW46" i="14"/>
  <c r="BZ46" i="14" s="1"/>
  <c r="Q47" i="14"/>
  <c r="AA47" i="14"/>
  <c r="AK47" i="14"/>
  <c r="AU47" i="14"/>
  <c r="BE47" i="14"/>
  <c r="BO47" i="14"/>
  <c r="BV47" i="14"/>
  <c r="BY47" i="14" s="1"/>
  <c r="BW47" i="14"/>
  <c r="BZ47" i="14"/>
  <c r="E50" i="14"/>
  <c r="F50" i="14"/>
  <c r="G50" i="14"/>
  <c r="K50" i="14"/>
  <c r="L50" i="14"/>
  <c r="M50" i="14"/>
  <c r="N50" i="14"/>
  <c r="O50" i="14"/>
  <c r="P50" i="14"/>
  <c r="U50" i="14"/>
  <c r="V50" i="14"/>
  <c r="W50" i="14"/>
  <c r="X50" i="14"/>
  <c r="Y50" i="14"/>
  <c r="Z50" i="14"/>
  <c r="AE50" i="14"/>
  <c r="AF50" i="14"/>
  <c r="AG50" i="14"/>
  <c r="AH50" i="14"/>
  <c r="AI50" i="14"/>
  <c r="AJ50" i="14"/>
  <c r="AO50" i="14"/>
  <c r="AP50" i="14"/>
  <c r="AQ50" i="14"/>
  <c r="AR50" i="14"/>
  <c r="AS50" i="14"/>
  <c r="AT50" i="14"/>
  <c r="AY50" i="14"/>
  <c r="AZ50" i="14"/>
  <c r="BA50" i="14"/>
  <c r="BB50" i="14"/>
  <c r="BC50" i="14"/>
  <c r="BD50" i="14"/>
  <c r="BI50" i="14"/>
  <c r="BJ50" i="14"/>
  <c r="BK50" i="14"/>
  <c r="BL50" i="14"/>
  <c r="BM50" i="14"/>
  <c r="BN50" i="14"/>
  <c r="Q51" i="14"/>
  <c r="AA51" i="14"/>
  <c r="AK51" i="14"/>
  <c r="AU51" i="14"/>
  <c r="BE51" i="14"/>
  <c r="BO51" i="14"/>
  <c r="BV51" i="14"/>
  <c r="BY51" i="14" s="1"/>
  <c r="BW51" i="14"/>
  <c r="BZ51" i="14" s="1"/>
  <c r="Q52" i="14"/>
  <c r="AA52" i="14"/>
  <c r="AK52" i="14"/>
  <c r="AU52" i="14"/>
  <c r="BE52" i="14"/>
  <c r="BO52" i="14"/>
  <c r="BV52" i="14"/>
  <c r="BY52" i="14" s="1"/>
  <c r="BW52" i="14"/>
  <c r="BZ52" i="14"/>
  <c r="Q53" i="14"/>
  <c r="AA53" i="14"/>
  <c r="AK53" i="14"/>
  <c r="AU53" i="14"/>
  <c r="BE53" i="14"/>
  <c r="BO53" i="14"/>
  <c r="BV53" i="14"/>
  <c r="BW53" i="14"/>
  <c r="BZ53" i="14" s="1"/>
  <c r="BX53" i="14"/>
  <c r="CA53" i="14" s="1"/>
  <c r="BY53" i="14"/>
  <c r="Q54" i="14"/>
  <c r="AA54" i="14"/>
  <c r="AK54" i="14"/>
  <c r="AU54" i="14"/>
  <c r="BE54" i="14"/>
  <c r="BO54" i="14"/>
  <c r="BX54" i="14" s="1"/>
  <c r="CA54" i="14" s="1"/>
  <c r="BV54" i="14"/>
  <c r="BY54" i="14" s="1"/>
  <c r="BW54" i="14"/>
  <c r="BZ54" i="14" s="1"/>
  <c r="Q56" i="14"/>
  <c r="AA56" i="14"/>
  <c r="AK56" i="14"/>
  <c r="AU56" i="14"/>
  <c r="BE56" i="14"/>
  <c r="BO56" i="14"/>
  <c r="BX56" i="14" s="1"/>
  <c r="CA56" i="14" s="1"/>
  <c r="BV56" i="14"/>
  <c r="BW56" i="14"/>
  <c r="BY56" i="14"/>
  <c r="BZ56" i="14"/>
  <c r="Q57" i="14"/>
  <c r="AA57" i="14"/>
  <c r="AK57" i="14"/>
  <c r="AU57" i="14"/>
  <c r="BE57" i="14"/>
  <c r="BO57" i="14"/>
  <c r="BV57" i="14"/>
  <c r="BY57" i="14" s="1"/>
  <c r="BW57" i="14"/>
  <c r="BZ57" i="14" s="1"/>
  <c r="E58" i="14"/>
  <c r="F58" i="14"/>
  <c r="G58" i="14"/>
  <c r="K58" i="14"/>
  <c r="L58" i="14"/>
  <c r="M58" i="14"/>
  <c r="N58" i="14"/>
  <c r="O58" i="14"/>
  <c r="P58" i="14"/>
  <c r="U58" i="14"/>
  <c r="V58" i="14"/>
  <c r="W58" i="14"/>
  <c r="X58" i="14"/>
  <c r="Y58" i="14"/>
  <c r="Z58" i="14"/>
  <c r="AE58" i="14"/>
  <c r="AF58" i="14"/>
  <c r="AG58" i="14"/>
  <c r="AH58" i="14"/>
  <c r="AI58" i="14"/>
  <c r="AJ58" i="14"/>
  <c r="AO58" i="14"/>
  <c r="AP58" i="14"/>
  <c r="AQ58" i="14"/>
  <c r="AR58" i="14"/>
  <c r="AS58" i="14"/>
  <c r="AT58" i="14"/>
  <c r="AY58" i="14"/>
  <c r="AZ58" i="14"/>
  <c r="BA58" i="14"/>
  <c r="BB58" i="14"/>
  <c r="BC58" i="14"/>
  <c r="BD58" i="14"/>
  <c r="BW58" i="14" s="1"/>
  <c r="BZ58" i="14" s="1"/>
  <c r="BI58" i="14"/>
  <c r="BJ58" i="14"/>
  <c r="BK58" i="14"/>
  <c r="BL58" i="14"/>
  <c r="BM58" i="14"/>
  <c r="BN58" i="14"/>
  <c r="Q59" i="14"/>
  <c r="AA59" i="14"/>
  <c r="AK59" i="14"/>
  <c r="AU59" i="14"/>
  <c r="BE59" i="14"/>
  <c r="BO59" i="14"/>
  <c r="BV59" i="14"/>
  <c r="BY59" i="14" s="1"/>
  <c r="BW59" i="14"/>
  <c r="BZ59" i="14" s="1"/>
  <c r="Q60" i="14"/>
  <c r="AA60" i="14"/>
  <c r="AK60" i="14"/>
  <c r="AU60" i="14"/>
  <c r="BE60" i="14"/>
  <c r="BO60" i="14"/>
  <c r="BX60" i="14" s="1"/>
  <c r="CA60" i="14" s="1"/>
  <c r="BV60" i="14"/>
  <c r="BY60" i="14" s="1"/>
  <c r="BW60" i="14"/>
  <c r="BZ60" i="14" s="1"/>
  <c r="Q61" i="14"/>
  <c r="AA61" i="14"/>
  <c r="AK61" i="14"/>
  <c r="AU61" i="14"/>
  <c r="BE61" i="14"/>
  <c r="BO61" i="14"/>
  <c r="BV61" i="14"/>
  <c r="BW61" i="14"/>
  <c r="BY61" i="14"/>
  <c r="BZ61" i="14"/>
  <c r="Q62" i="14"/>
  <c r="AA62" i="14"/>
  <c r="AK62" i="14"/>
  <c r="AU62" i="14"/>
  <c r="BE62" i="14"/>
  <c r="BO62" i="14"/>
  <c r="BV62" i="14"/>
  <c r="BY62" i="14" s="1"/>
  <c r="BW62" i="14"/>
  <c r="BZ62" i="14" s="1"/>
  <c r="E63" i="14"/>
  <c r="F63" i="14"/>
  <c r="G63" i="14"/>
  <c r="K63" i="14"/>
  <c r="L63" i="14"/>
  <c r="M63" i="14"/>
  <c r="N63" i="14"/>
  <c r="O63" i="14"/>
  <c r="P63" i="14"/>
  <c r="U63" i="14"/>
  <c r="V63" i="14"/>
  <c r="W63" i="14"/>
  <c r="X63" i="14"/>
  <c r="Y63" i="14"/>
  <c r="Z63" i="14"/>
  <c r="AE63" i="14"/>
  <c r="AF63" i="14"/>
  <c r="AG63" i="14"/>
  <c r="AH63" i="14"/>
  <c r="AI63" i="14"/>
  <c r="AO63" i="14"/>
  <c r="AP63" i="14"/>
  <c r="AQ63" i="14"/>
  <c r="AR63" i="14"/>
  <c r="AS63" i="14"/>
  <c r="AT63" i="14"/>
  <c r="AY63" i="14"/>
  <c r="AZ63" i="14"/>
  <c r="BA63" i="14"/>
  <c r="BB63" i="14"/>
  <c r="BC63" i="14"/>
  <c r="BD63" i="14"/>
  <c r="BI63" i="14"/>
  <c r="BJ63" i="14"/>
  <c r="BK63" i="14"/>
  <c r="BL63" i="14"/>
  <c r="BM63" i="14"/>
  <c r="BN63" i="14"/>
  <c r="Q64" i="14"/>
  <c r="Q63" i="14" s="1"/>
  <c r="AA64" i="14"/>
  <c r="AA63" i="14" s="1"/>
  <c r="AK64" i="14"/>
  <c r="AU64" i="14"/>
  <c r="AU63" i="14" s="1"/>
  <c r="BE64" i="14"/>
  <c r="BO64" i="14"/>
  <c r="BO63" i="14" s="1"/>
  <c r="BV64" i="14"/>
  <c r="BY64" i="14" s="1"/>
  <c r="BW64" i="14"/>
  <c r="BZ64" i="14"/>
  <c r="E65" i="14"/>
  <c r="F65" i="14"/>
  <c r="G65" i="14"/>
  <c r="K65" i="14"/>
  <c r="L65" i="14"/>
  <c r="M65" i="14"/>
  <c r="N65" i="14"/>
  <c r="O65" i="14"/>
  <c r="P65" i="14"/>
  <c r="U65" i="14"/>
  <c r="V65" i="14"/>
  <c r="W65" i="14"/>
  <c r="X65" i="14"/>
  <c r="Y65" i="14"/>
  <c r="Z65" i="14"/>
  <c r="AE65" i="14"/>
  <c r="AF65" i="14"/>
  <c r="AG65" i="14"/>
  <c r="AH65" i="14"/>
  <c r="AI65" i="14"/>
  <c r="AJ65" i="14"/>
  <c r="AO65" i="14"/>
  <c r="AP65" i="14"/>
  <c r="AQ65" i="14"/>
  <c r="AR65" i="14"/>
  <c r="AS65" i="14"/>
  <c r="AT65" i="14"/>
  <c r="AY65" i="14"/>
  <c r="AZ65" i="14"/>
  <c r="BA65" i="14"/>
  <c r="BB65" i="14"/>
  <c r="BC65" i="14"/>
  <c r="BV65" i="14" s="1"/>
  <c r="BY65" i="14" s="1"/>
  <c r="BD65" i="14"/>
  <c r="BI65" i="14"/>
  <c r="BJ65" i="14"/>
  <c r="BK65" i="14"/>
  <c r="BL65" i="14"/>
  <c r="BM65" i="14"/>
  <c r="BN65" i="14"/>
  <c r="Q66" i="14"/>
  <c r="AA66" i="14"/>
  <c r="AK66" i="14"/>
  <c r="AU66" i="14"/>
  <c r="BE66" i="14"/>
  <c r="BO66" i="14"/>
  <c r="BV66" i="14"/>
  <c r="BY66" i="14" s="1"/>
  <c r="BW66" i="14"/>
  <c r="BZ66" i="14" s="1"/>
  <c r="Q67" i="14"/>
  <c r="AA67" i="14"/>
  <c r="AK67" i="14"/>
  <c r="AU67" i="14"/>
  <c r="BE67" i="14"/>
  <c r="BO67" i="14"/>
  <c r="BO65" i="14" s="1"/>
  <c r="BV67" i="14"/>
  <c r="BY67" i="14" s="1"/>
  <c r="BW67" i="14"/>
  <c r="BZ67" i="14"/>
  <c r="Q68" i="14"/>
  <c r="AA68" i="14"/>
  <c r="AK68" i="14"/>
  <c r="AU68" i="14"/>
  <c r="BE68" i="14"/>
  <c r="BO68" i="14"/>
  <c r="BV68" i="14"/>
  <c r="BY68" i="14" s="1"/>
  <c r="BW68" i="14"/>
  <c r="BZ68" i="14" s="1"/>
  <c r="Q69" i="14"/>
  <c r="AA69" i="14"/>
  <c r="AK69" i="14"/>
  <c r="AU69" i="14"/>
  <c r="BE69" i="14"/>
  <c r="BO69" i="14"/>
  <c r="BV69" i="14"/>
  <c r="BY69" i="14" s="1"/>
  <c r="BW69" i="14"/>
  <c r="BX69" i="14"/>
  <c r="CA69" i="14" s="1"/>
  <c r="BZ69" i="14"/>
  <c r="Q70" i="14"/>
  <c r="AA70" i="14"/>
  <c r="AK70" i="14"/>
  <c r="AU70" i="14"/>
  <c r="BE70" i="14"/>
  <c r="BO70" i="14"/>
  <c r="BV70" i="14"/>
  <c r="BY70" i="14" s="1"/>
  <c r="BW70" i="14"/>
  <c r="BZ70" i="14" s="1"/>
  <c r="BX70" i="14"/>
  <c r="CA70" i="14"/>
  <c r="Q71" i="14"/>
  <c r="AA71" i="14"/>
  <c r="AK71" i="14"/>
  <c r="AU71" i="14"/>
  <c r="BE71" i="14"/>
  <c r="BO71" i="14"/>
  <c r="BV71" i="14"/>
  <c r="BY71" i="14" s="1"/>
  <c r="BW71" i="14"/>
  <c r="BZ71" i="14" s="1"/>
  <c r="E72" i="14"/>
  <c r="F72" i="14"/>
  <c r="G72" i="14"/>
  <c r="K72" i="14"/>
  <c r="L72" i="14"/>
  <c r="M72" i="14"/>
  <c r="N72" i="14"/>
  <c r="O72" i="14"/>
  <c r="P72" i="14"/>
  <c r="U72" i="14"/>
  <c r="V72" i="14"/>
  <c r="W72" i="14"/>
  <c r="X72" i="14"/>
  <c r="Y72" i="14"/>
  <c r="Z72" i="14"/>
  <c r="AE72" i="14"/>
  <c r="AF72" i="14"/>
  <c r="AG72" i="14"/>
  <c r="AH72" i="14"/>
  <c r="AI72" i="14"/>
  <c r="AJ72" i="14"/>
  <c r="AO72" i="14"/>
  <c r="AP72" i="14"/>
  <c r="AQ72" i="14"/>
  <c r="AR72" i="14"/>
  <c r="AS72" i="14"/>
  <c r="AT72" i="14"/>
  <c r="AY72" i="14"/>
  <c r="AZ72" i="14"/>
  <c r="BA72" i="14"/>
  <c r="BB72" i="14"/>
  <c r="BC72" i="14"/>
  <c r="BD72" i="14"/>
  <c r="BI72" i="14"/>
  <c r="BJ72" i="14"/>
  <c r="BK72" i="14"/>
  <c r="BL72" i="14"/>
  <c r="BM72" i="14"/>
  <c r="BN72" i="14"/>
  <c r="Q73" i="14"/>
  <c r="AA73" i="14"/>
  <c r="AK73" i="14"/>
  <c r="AU73" i="14"/>
  <c r="AU72" i="14" s="1"/>
  <c r="BE73" i="14"/>
  <c r="BO73" i="14"/>
  <c r="BV73" i="14"/>
  <c r="BW73" i="14"/>
  <c r="BY73" i="14"/>
  <c r="BZ73" i="14"/>
  <c r="Q74" i="14"/>
  <c r="AA74" i="14"/>
  <c r="AK74" i="14"/>
  <c r="AK72" i="14" s="1"/>
  <c r="AU74" i="14"/>
  <c r="BE74" i="14"/>
  <c r="BO74" i="14"/>
  <c r="BV74" i="14"/>
  <c r="BY74" i="14" s="1"/>
  <c r="BW74" i="14"/>
  <c r="BZ74" i="14" s="1"/>
  <c r="Q75" i="14"/>
  <c r="AA75" i="14"/>
  <c r="AK75" i="14"/>
  <c r="AU75" i="14"/>
  <c r="BE75" i="14"/>
  <c r="BO75" i="14"/>
  <c r="BV75" i="14"/>
  <c r="BY75" i="14" s="1"/>
  <c r="BW75" i="14"/>
  <c r="BZ75" i="14"/>
  <c r="Q76" i="14"/>
  <c r="AA76" i="14"/>
  <c r="AK76" i="14"/>
  <c r="AU76" i="14"/>
  <c r="BE76" i="14"/>
  <c r="BO76" i="14"/>
  <c r="BV76" i="14"/>
  <c r="BY76" i="14" s="1"/>
  <c r="BW76" i="14"/>
  <c r="BZ76" i="14"/>
  <c r="Q77" i="14"/>
  <c r="AA77" i="14"/>
  <c r="AK77" i="14"/>
  <c r="AU77" i="14"/>
  <c r="BE77" i="14"/>
  <c r="BO77" i="14"/>
  <c r="BV77" i="14"/>
  <c r="BY77" i="14" s="1"/>
  <c r="BW77" i="14"/>
  <c r="BZ77" i="14" s="1"/>
  <c r="Q78" i="14"/>
  <c r="AA78" i="14"/>
  <c r="AK78" i="14"/>
  <c r="AU78" i="14"/>
  <c r="BE78" i="14"/>
  <c r="BO78" i="14"/>
  <c r="BV78" i="14"/>
  <c r="BW78" i="14"/>
  <c r="BZ78" i="14" s="1"/>
  <c r="BY78" i="14"/>
  <c r="Q79" i="14"/>
  <c r="AA79" i="14"/>
  <c r="AK79" i="14"/>
  <c r="AU79" i="14"/>
  <c r="BE79" i="14"/>
  <c r="BO79" i="14"/>
  <c r="BX79" i="14" s="1"/>
  <c r="CA79" i="14" s="1"/>
  <c r="BV79" i="14"/>
  <c r="BY79" i="14" s="1"/>
  <c r="BW79" i="14"/>
  <c r="BZ79" i="14" s="1"/>
  <c r="Q80" i="14"/>
  <c r="AA80" i="14"/>
  <c r="AK80" i="14"/>
  <c r="AU80" i="14"/>
  <c r="BE80" i="14"/>
  <c r="BO80" i="14"/>
  <c r="BV80" i="14"/>
  <c r="BY80" i="14" s="1"/>
  <c r="BW80" i="14"/>
  <c r="BZ80" i="14" s="1"/>
  <c r="AU81" i="14"/>
  <c r="BE81" i="14"/>
  <c r="BO81" i="14"/>
  <c r="E82" i="14"/>
  <c r="BY82" i="14" s="1"/>
  <c r="F82" i="14"/>
  <c r="BS82" i="14"/>
  <c r="BT82" i="14"/>
  <c r="BV82" i="14"/>
  <c r="BW82" i="14"/>
  <c r="BX82" i="14"/>
  <c r="CA82" i="14" s="1"/>
  <c r="BT83" i="14"/>
  <c r="BV83" i="14"/>
  <c r="BT84" i="14"/>
  <c r="CA84" i="14"/>
  <c r="BT85" i="14"/>
  <c r="BY85" i="14"/>
  <c r="CA85" i="14"/>
  <c r="BT86" i="14"/>
  <c r="BT87" i="14"/>
  <c r="BT88" i="14"/>
  <c r="K89" i="14"/>
  <c r="BT89" i="14"/>
  <c r="BT90" i="14"/>
  <c r="BT91" i="14"/>
  <c r="BT92" i="14"/>
  <c r="BT93" i="14"/>
  <c r="BT94" i="14"/>
  <c r="BT95" i="14"/>
  <c r="BT96" i="14"/>
  <c r="BT97" i="14"/>
  <c r="BT98" i="14"/>
  <c r="D6" i="12"/>
  <c r="G6" i="12" s="1"/>
  <c r="E6" i="12"/>
  <c r="F6" i="12"/>
  <c r="D7" i="12"/>
  <c r="G7" i="12" s="1"/>
  <c r="E7" i="12"/>
  <c r="F7" i="12"/>
  <c r="D8" i="12"/>
  <c r="G8" i="12" s="1"/>
  <c r="E8" i="12"/>
  <c r="F8" i="12"/>
  <c r="C11" i="12"/>
  <c r="F11" i="12"/>
  <c r="F12" i="12"/>
  <c r="D13" i="12"/>
  <c r="E13" i="12"/>
  <c r="F13" i="12"/>
  <c r="G13" i="12"/>
  <c r="B16" i="12"/>
  <c r="E16" i="12" s="1"/>
  <c r="C16" i="12"/>
  <c r="F16" i="12" s="1"/>
  <c r="D17" i="12"/>
  <c r="D16" i="12" s="1"/>
  <c r="G16" i="12" s="1"/>
  <c r="E17" i="12"/>
  <c r="F17" i="12"/>
  <c r="E21" i="12"/>
  <c r="F21" i="12"/>
  <c r="G21" i="12"/>
  <c r="G22" i="12"/>
  <c r="C26" i="12"/>
  <c r="F26" i="12" s="1"/>
  <c r="AJ2" i="10"/>
  <c r="AJ3" i="10"/>
  <c r="AJ4" i="10"/>
  <c r="E5" i="10"/>
  <c r="E385" i="10" s="1"/>
  <c r="F5" i="10"/>
  <c r="H5" i="10"/>
  <c r="L5" i="10"/>
  <c r="N5" i="10"/>
  <c r="AC5" i="10"/>
  <c r="AD5" i="10"/>
  <c r="AF5" i="10"/>
  <c r="AG5" i="10"/>
  <c r="AG373" i="10" s="1"/>
  <c r="AH5" i="10"/>
  <c r="K6" i="10"/>
  <c r="AI7" i="10"/>
  <c r="AJ7" i="10"/>
  <c r="AI8" i="10"/>
  <c r="AJ8" i="10" s="1"/>
  <c r="AI9" i="10"/>
  <c r="AJ9" i="10" s="1"/>
  <c r="G10" i="10"/>
  <c r="P10" i="10" s="1"/>
  <c r="V10" i="10"/>
  <c r="AI11" i="10"/>
  <c r="AJ11" i="10"/>
  <c r="K12" i="10"/>
  <c r="O12" i="10"/>
  <c r="S12" i="10"/>
  <c r="W12" i="10"/>
  <c r="AA12" i="10"/>
  <c r="AE12" i="10"/>
  <c r="AI13" i="10"/>
  <c r="AJ13" i="10" s="1"/>
  <c r="AI14" i="10"/>
  <c r="AJ14" i="10" s="1"/>
  <c r="AI15" i="10"/>
  <c r="AJ15" i="10" s="1"/>
  <c r="AI16" i="10"/>
  <c r="AJ16" i="10"/>
  <c r="AI17" i="10"/>
  <c r="AJ17" i="10" s="1"/>
  <c r="K18" i="10"/>
  <c r="O18" i="10"/>
  <c r="S18" i="10"/>
  <c r="W18" i="10"/>
  <c r="AA18" i="10"/>
  <c r="AE18" i="10"/>
  <c r="AI19" i="10"/>
  <c r="AJ19" i="10" s="1"/>
  <c r="AI20" i="10"/>
  <c r="AJ20" i="10" s="1"/>
  <c r="AI21" i="10"/>
  <c r="AJ21" i="10" s="1"/>
  <c r="G22" i="10"/>
  <c r="AI22" i="10"/>
  <c r="G23" i="10"/>
  <c r="G5" i="10" s="1"/>
  <c r="AI23" i="10"/>
  <c r="K24" i="10"/>
  <c r="O24" i="10"/>
  <c r="S24" i="10"/>
  <c r="AE24" i="10"/>
  <c r="AI25" i="10"/>
  <c r="AJ25" i="10"/>
  <c r="AI26" i="10"/>
  <c r="AJ26" i="10" s="1"/>
  <c r="AI27" i="10"/>
  <c r="AJ27" i="10" s="1"/>
  <c r="W28" i="10"/>
  <c r="W24" i="10" s="1"/>
  <c r="AD28" i="10"/>
  <c r="AA24" i="10" s="1"/>
  <c r="AI29" i="10"/>
  <c r="AJ29" i="10" s="1"/>
  <c r="M31" i="10"/>
  <c r="M5" i="10" s="1"/>
  <c r="M373" i="10" s="1"/>
  <c r="O31" i="10"/>
  <c r="P31" i="10"/>
  <c r="V31" i="10" s="1"/>
  <c r="Q31" i="10"/>
  <c r="Q5" i="10" s="1"/>
  <c r="Q373" i="10" s="1"/>
  <c r="R31" i="10"/>
  <c r="X31" i="10" s="1"/>
  <c r="X5" i="10" s="1"/>
  <c r="T31" i="10"/>
  <c r="U31" i="10"/>
  <c r="U5" i="10" s="1"/>
  <c r="W31" i="10"/>
  <c r="Y31" i="10"/>
  <c r="Y5" i="10" s="1"/>
  <c r="K32" i="10"/>
  <c r="O32" i="10"/>
  <c r="AI32" i="10" s="1"/>
  <c r="AJ32" i="10" s="1"/>
  <c r="S32" i="10"/>
  <c r="W32" i="10"/>
  <c r="AA32" i="10"/>
  <c r="AE32" i="10"/>
  <c r="AI33" i="10"/>
  <c r="AJ33" i="10" s="1"/>
  <c r="AI34" i="10"/>
  <c r="AJ34" i="10" s="1"/>
  <c r="AI35" i="10"/>
  <c r="AJ35" i="10" s="1"/>
  <c r="AI36" i="10"/>
  <c r="AJ36" i="10" s="1"/>
  <c r="AI37" i="10"/>
  <c r="AJ37" i="10" s="1"/>
  <c r="L38" i="10"/>
  <c r="M38" i="10"/>
  <c r="N38" i="10"/>
  <c r="P38" i="10"/>
  <c r="Q38" i="10"/>
  <c r="AD38" i="10"/>
  <c r="E39" i="10"/>
  <c r="K40" i="10"/>
  <c r="K39" i="10" s="1"/>
  <c r="O40" i="10"/>
  <c r="O39" i="10" s="1"/>
  <c r="S40" i="10"/>
  <c r="S39" i="10" s="1"/>
  <c r="W40" i="10"/>
  <c r="AA40" i="10"/>
  <c r="AA39" i="10" s="1"/>
  <c r="AE40" i="10"/>
  <c r="AE39" i="10" s="1"/>
  <c r="AI41" i="10"/>
  <c r="AJ41" i="10"/>
  <c r="AI42" i="10"/>
  <c r="AJ42" i="10"/>
  <c r="AI43" i="10"/>
  <c r="AJ43" i="10" s="1"/>
  <c r="AI44" i="10"/>
  <c r="AJ44" i="10" s="1"/>
  <c r="AI45" i="10"/>
  <c r="AJ45" i="10" s="1"/>
  <c r="K46" i="10"/>
  <c r="O46" i="10"/>
  <c r="S46" i="10"/>
  <c r="W46" i="10"/>
  <c r="AA46" i="10"/>
  <c r="AE46" i="10"/>
  <c r="AI47" i="10"/>
  <c r="AJ47" i="10" s="1"/>
  <c r="AI48" i="10"/>
  <c r="AJ48" i="10"/>
  <c r="AI49" i="10"/>
  <c r="AJ49" i="10" s="1"/>
  <c r="G50" i="10"/>
  <c r="AI50" i="10"/>
  <c r="AI51" i="10"/>
  <c r="AJ51" i="10" s="1"/>
  <c r="G52" i="10"/>
  <c r="G39" i="10" s="1"/>
  <c r="AI52" i="10"/>
  <c r="F53" i="10"/>
  <c r="H53" i="10"/>
  <c r="H39" i="10" s="1"/>
  <c r="H38" i="10" s="1"/>
  <c r="H373" i="10" s="1"/>
  <c r="K54" i="10"/>
  <c r="O54" i="10"/>
  <c r="S54" i="10"/>
  <c r="W54" i="10"/>
  <c r="AA54" i="10"/>
  <c r="AE54" i="10"/>
  <c r="AI55" i="10"/>
  <c r="AJ55" i="10" s="1"/>
  <c r="AI56" i="10"/>
  <c r="AJ56" i="10" s="1"/>
  <c r="AI57" i="10"/>
  <c r="AJ57" i="10" s="1"/>
  <c r="G58" i="10"/>
  <c r="E58" i="10" s="1"/>
  <c r="AI58" i="10"/>
  <c r="AJ58" i="10" s="1"/>
  <c r="E59" i="10"/>
  <c r="G59" i="10"/>
  <c r="AI59" i="10"/>
  <c r="AJ59" i="10"/>
  <c r="K60" i="10"/>
  <c r="O60" i="10"/>
  <c r="S60" i="10"/>
  <c r="W60" i="10"/>
  <c r="AA60" i="10"/>
  <c r="AE60" i="10"/>
  <c r="AI61" i="10"/>
  <c r="AJ61" i="10"/>
  <c r="AI62" i="10"/>
  <c r="AJ62" i="10" s="1"/>
  <c r="AI63" i="10"/>
  <c r="AJ63" i="10" s="1"/>
  <c r="G64" i="10"/>
  <c r="E64" i="10" s="1"/>
  <c r="AI64" i="10"/>
  <c r="E65" i="10"/>
  <c r="G65" i="10"/>
  <c r="AI65" i="10"/>
  <c r="AJ65" i="10" s="1"/>
  <c r="K66" i="10"/>
  <c r="O66" i="10"/>
  <c r="S66" i="10"/>
  <c r="W66" i="10"/>
  <c r="AA66" i="10"/>
  <c r="AE66" i="10"/>
  <c r="AI67" i="10"/>
  <c r="AJ67" i="10"/>
  <c r="AI68" i="10"/>
  <c r="AJ68" i="10" s="1"/>
  <c r="AI69" i="10"/>
  <c r="AJ69" i="10" s="1"/>
  <c r="AI70" i="10"/>
  <c r="AJ70" i="10" s="1"/>
  <c r="AI71" i="10"/>
  <c r="AJ71" i="10"/>
  <c r="K72" i="10"/>
  <c r="O72" i="10"/>
  <c r="S72" i="10"/>
  <c r="W72" i="10"/>
  <c r="AA72" i="10"/>
  <c r="AE72" i="10"/>
  <c r="AI73" i="10"/>
  <c r="AJ73" i="10"/>
  <c r="AI74" i="10"/>
  <c r="AJ74" i="10" s="1"/>
  <c r="AI75" i="10"/>
  <c r="AJ75" i="10" s="1"/>
  <c r="AI76" i="10"/>
  <c r="AJ76" i="10" s="1"/>
  <c r="AI77" i="10"/>
  <c r="AJ77" i="10" s="1"/>
  <c r="K78" i="10"/>
  <c r="O78" i="10"/>
  <c r="S78" i="10"/>
  <c r="W78" i="10"/>
  <c r="AA78" i="10"/>
  <c r="AE78" i="10"/>
  <c r="AI79" i="10"/>
  <c r="AJ79" i="10" s="1"/>
  <c r="AI80" i="10"/>
  <c r="AJ80" i="10" s="1"/>
  <c r="AI81" i="10"/>
  <c r="AJ81" i="10"/>
  <c r="AI82" i="10"/>
  <c r="AJ82" i="10"/>
  <c r="AI83" i="10"/>
  <c r="AJ83" i="10" s="1"/>
  <c r="K84" i="10"/>
  <c r="O84" i="10"/>
  <c r="S84" i="10"/>
  <c r="W84" i="10"/>
  <c r="AA84" i="10"/>
  <c r="AE84" i="10"/>
  <c r="AI85" i="10"/>
  <c r="AJ85" i="10" s="1"/>
  <c r="AI86" i="10"/>
  <c r="AJ86" i="10"/>
  <c r="AI87" i="10"/>
  <c r="AJ87" i="10"/>
  <c r="AI88" i="10"/>
  <c r="AJ88" i="10" s="1"/>
  <c r="AI89" i="10"/>
  <c r="AJ89" i="10" s="1"/>
  <c r="K90" i="10"/>
  <c r="O90" i="10"/>
  <c r="S90" i="10"/>
  <c r="W90" i="10"/>
  <c r="AA90" i="10"/>
  <c r="AE90" i="10"/>
  <c r="AI91" i="10"/>
  <c r="AJ91" i="10" s="1"/>
  <c r="AI92" i="10"/>
  <c r="AJ92" i="10"/>
  <c r="AI93" i="10"/>
  <c r="AJ93" i="10" s="1"/>
  <c r="AI94" i="10"/>
  <c r="AJ94" i="10" s="1"/>
  <c r="AI95" i="10"/>
  <c r="AJ95" i="10"/>
  <c r="K96" i="10"/>
  <c r="O96" i="10"/>
  <c r="S96" i="10"/>
  <c r="W96" i="10"/>
  <c r="AA96" i="10"/>
  <c r="AE96" i="10"/>
  <c r="AI97" i="10"/>
  <c r="AJ97" i="10"/>
  <c r="AI98" i="10"/>
  <c r="AJ98" i="10" s="1"/>
  <c r="AI99" i="10"/>
  <c r="AJ99" i="10" s="1"/>
  <c r="AI100" i="10"/>
  <c r="AJ100" i="10"/>
  <c r="AI101" i="10"/>
  <c r="AJ101" i="10"/>
  <c r="K102" i="10"/>
  <c r="O102" i="10"/>
  <c r="S102" i="10"/>
  <c r="W102" i="10"/>
  <c r="AA102" i="10"/>
  <c r="AE102" i="10"/>
  <c r="AI103" i="10"/>
  <c r="AJ103" i="10" s="1"/>
  <c r="AI104" i="10"/>
  <c r="AJ104" i="10" s="1"/>
  <c r="AI105" i="10"/>
  <c r="AJ105" i="10"/>
  <c r="AI106" i="10"/>
  <c r="AJ106" i="10" s="1"/>
  <c r="AI107" i="10"/>
  <c r="AJ107" i="10" s="1"/>
  <c r="E108" i="10"/>
  <c r="F108" i="10"/>
  <c r="G108" i="10"/>
  <c r="H108" i="10"/>
  <c r="K108" i="10"/>
  <c r="O108" i="10"/>
  <c r="S108" i="10"/>
  <c r="W108" i="10"/>
  <c r="AA108" i="10"/>
  <c r="AE108" i="10"/>
  <c r="K109" i="10"/>
  <c r="O109" i="10"/>
  <c r="S109" i="10"/>
  <c r="W109" i="10"/>
  <c r="AA109" i="10"/>
  <c r="AE109" i="10"/>
  <c r="AI110" i="10"/>
  <c r="AJ110" i="10"/>
  <c r="AI111" i="10"/>
  <c r="AJ111" i="10" s="1"/>
  <c r="AI112" i="10"/>
  <c r="AJ112" i="10" s="1"/>
  <c r="AI113" i="10"/>
  <c r="AJ113" i="10"/>
  <c r="AI114" i="10"/>
  <c r="AJ114" i="10"/>
  <c r="E115" i="10"/>
  <c r="F115" i="10"/>
  <c r="G115" i="10"/>
  <c r="H115" i="10"/>
  <c r="K116" i="10"/>
  <c r="O116" i="10"/>
  <c r="O115" i="10" s="1"/>
  <c r="S116" i="10"/>
  <c r="W116" i="10"/>
  <c r="AA116" i="10"/>
  <c r="AA115" i="10" s="1"/>
  <c r="AE116" i="10"/>
  <c r="AE115" i="10" s="1"/>
  <c r="AI117" i="10"/>
  <c r="AJ117" i="10" s="1"/>
  <c r="AI118" i="10"/>
  <c r="AJ118" i="10"/>
  <c r="AI119" i="10"/>
  <c r="AJ119" i="10" s="1"/>
  <c r="AI120" i="10"/>
  <c r="AJ120" i="10" s="1"/>
  <c r="AI121" i="10"/>
  <c r="AJ121" i="10"/>
  <c r="K122" i="10"/>
  <c r="AI122" i="10" s="1"/>
  <c r="AJ122" i="10" s="1"/>
  <c r="O122" i="10"/>
  <c r="S122" i="10"/>
  <c r="W122" i="10"/>
  <c r="AA122" i="10"/>
  <c r="AE122" i="10"/>
  <c r="AI123" i="10"/>
  <c r="AJ123" i="10"/>
  <c r="AI124" i="10"/>
  <c r="AJ124" i="10" s="1"/>
  <c r="AI125" i="10"/>
  <c r="AJ125" i="10" s="1"/>
  <c r="AI126" i="10"/>
  <c r="AJ126" i="10"/>
  <c r="AI127" i="10"/>
  <c r="AJ127" i="10"/>
  <c r="K128" i="10"/>
  <c r="AE128" i="10"/>
  <c r="E129" i="10"/>
  <c r="G129" i="10" s="1"/>
  <c r="F129" i="10"/>
  <c r="H130" i="10"/>
  <c r="AI131" i="10"/>
  <c r="AJ131" i="10" s="1"/>
  <c r="E132" i="10"/>
  <c r="F132" i="10"/>
  <c r="G132" i="10"/>
  <c r="K133" i="10"/>
  <c r="O133" i="10"/>
  <c r="O132" i="10" s="1"/>
  <c r="S133" i="10"/>
  <c r="W133" i="10"/>
  <c r="AA133" i="10"/>
  <c r="AA132" i="10" s="1"/>
  <c r="AE133" i="10"/>
  <c r="AI134" i="10"/>
  <c r="AJ134" i="10" s="1"/>
  <c r="AI135" i="10"/>
  <c r="AJ135" i="10"/>
  <c r="AI136" i="10"/>
  <c r="AJ136" i="10"/>
  <c r="AI137" i="10"/>
  <c r="AJ137" i="10" s="1"/>
  <c r="AI138" i="10"/>
  <c r="AJ138" i="10" s="1"/>
  <c r="K139" i="10"/>
  <c r="O139" i="10"/>
  <c r="S139" i="10"/>
  <c r="W139" i="10"/>
  <c r="AA139" i="10"/>
  <c r="AE139" i="10"/>
  <c r="AI140" i="10"/>
  <c r="AJ140" i="10" s="1"/>
  <c r="AI141" i="10"/>
  <c r="AJ141" i="10"/>
  <c r="AI142" i="10"/>
  <c r="AJ142" i="10" s="1"/>
  <c r="AI143" i="10"/>
  <c r="AJ143" i="10" s="1"/>
  <c r="AI144" i="10"/>
  <c r="AJ144" i="10"/>
  <c r="K145" i="10"/>
  <c r="O145" i="10"/>
  <c r="S145" i="10"/>
  <c r="W145" i="10"/>
  <c r="AA145" i="10"/>
  <c r="AE145" i="10"/>
  <c r="AI146" i="10"/>
  <c r="AJ146" i="10"/>
  <c r="AI147" i="10"/>
  <c r="AJ147" i="10" s="1"/>
  <c r="AI148" i="10"/>
  <c r="AJ148" i="10" s="1"/>
  <c r="AI149" i="10"/>
  <c r="AJ149" i="10"/>
  <c r="AI150" i="10"/>
  <c r="AJ150" i="10"/>
  <c r="K151" i="10"/>
  <c r="O151" i="10"/>
  <c r="S151" i="10"/>
  <c r="W151" i="10"/>
  <c r="AA151" i="10"/>
  <c r="AE151" i="10"/>
  <c r="G152" i="10"/>
  <c r="AI152" i="10"/>
  <c r="AI153" i="10"/>
  <c r="AJ153" i="10" s="1"/>
  <c r="AI154" i="10"/>
  <c r="AJ154" i="10" s="1"/>
  <c r="AI155" i="10"/>
  <c r="AJ155" i="10" s="1"/>
  <c r="AI156" i="10"/>
  <c r="AJ156" i="10"/>
  <c r="E157" i="10"/>
  <c r="F157" i="10"/>
  <c r="G157" i="10"/>
  <c r="S157" i="10"/>
  <c r="AI158" i="10"/>
  <c r="AJ158" i="10"/>
  <c r="K159" i="10"/>
  <c r="K157" i="10" s="1"/>
  <c r="O159" i="10"/>
  <c r="O157" i="10" s="1"/>
  <c r="S159" i="10"/>
  <c r="W159" i="10"/>
  <c r="AA159" i="10"/>
  <c r="AE159" i="10"/>
  <c r="AI160" i="10"/>
  <c r="AJ160" i="10" s="1"/>
  <c r="AI161" i="10"/>
  <c r="AJ161" i="10" s="1"/>
  <c r="AI162" i="10"/>
  <c r="AJ162" i="10"/>
  <c r="AI163" i="10"/>
  <c r="AJ163" i="10"/>
  <c r="AI164" i="10"/>
  <c r="AJ164" i="10" s="1"/>
  <c r="K165" i="10"/>
  <c r="O165" i="10"/>
  <c r="S165" i="10"/>
  <c r="W165" i="10"/>
  <c r="AA165" i="10"/>
  <c r="AE165" i="10"/>
  <c r="AI166" i="10"/>
  <c r="AJ166" i="10" s="1"/>
  <c r="AI167" i="10"/>
  <c r="AJ167" i="10"/>
  <c r="AI168" i="10"/>
  <c r="AJ168" i="10" s="1"/>
  <c r="AI169" i="10"/>
  <c r="AJ169" i="10" s="1"/>
  <c r="AI170" i="10"/>
  <c r="AJ170" i="10" s="1"/>
  <c r="E171" i="10"/>
  <c r="F171" i="10"/>
  <c r="K172" i="10"/>
  <c r="O172" i="10"/>
  <c r="S172" i="10"/>
  <c r="S171" i="10" s="1"/>
  <c r="W172" i="10"/>
  <c r="AA172" i="10"/>
  <c r="AE172" i="10"/>
  <c r="AI173" i="10"/>
  <c r="AJ173" i="10"/>
  <c r="AI174" i="10"/>
  <c r="AJ174" i="10"/>
  <c r="AI175" i="10"/>
  <c r="AJ175" i="10" s="1"/>
  <c r="AI176" i="10"/>
  <c r="AJ176" i="10" s="1"/>
  <c r="AI177" i="10"/>
  <c r="AJ177" i="10" s="1"/>
  <c r="K178" i="10"/>
  <c r="O178" i="10"/>
  <c r="AI178" i="10" s="1"/>
  <c r="AJ178" i="10" s="1"/>
  <c r="S178" i="10"/>
  <c r="W178" i="10"/>
  <c r="AA178" i="10"/>
  <c r="AE178" i="10"/>
  <c r="AI179" i="10"/>
  <c r="AJ179" i="10"/>
  <c r="AI180" i="10"/>
  <c r="AJ180" i="10" s="1"/>
  <c r="AI181" i="10"/>
  <c r="AJ181" i="10" s="1"/>
  <c r="AI182" i="10"/>
  <c r="AJ182" i="10"/>
  <c r="G183" i="10"/>
  <c r="G171" i="10" s="1"/>
  <c r="AI183" i="10"/>
  <c r="K184" i="10"/>
  <c r="O184" i="10"/>
  <c r="S184" i="10"/>
  <c r="W184" i="10"/>
  <c r="AA184" i="10"/>
  <c r="AE184" i="10"/>
  <c r="AI185" i="10"/>
  <c r="AJ185" i="10" s="1"/>
  <c r="AI186" i="10"/>
  <c r="AJ186" i="10"/>
  <c r="AI187" i="10"/>
  <c r="AJ187" i="10" s="1"/>
  <c r="AI188" i="10"/>
  <c r="AJ188" i="10" s="1"/>
  <c r="G189" i="10"/>
  <c r="AI189" i="10"/>
  <c r="AJ189" i="10" s="1"/>
  <c r="K190" i="10"/>
  <c r="O190" i="10"/>
  <c r="S190" i="10"/>
  <c r="W190" i="10"/>
  <c r="AA190" i="10"/>
  <c r="AE190" i="10"/>
  <c r="AI191" i="10"/>
  <c r="AJ191" i="10"/>
  <c r="AI192" i="10"/>
  <c r="AJ192" i="10" s="1"/>
  <c r="AI193" i="10"/>
  <c r="AJ193" i="10" s="1"/>
  <c r="AI194" i="10"/>
  <c r="AJ194" i="10" s="1"/>
  <c r="AI195" i="10"/>
  <c r="AJ195" i="10"/>
  <c r="AL197" i="10"/>
  <c r="AM197" i="10"/>
  <c r="E198" i="10"/>
  <c r="F198" i="10"/>
  <c r="G198" i="10"/>
  <c r="H198" i="10"/>
  <c r="AK198" i="10"/>
  <c r="AL198" i="10"/>
  <c r="K199" i="10"/>
  <c r="O199" i="10"/>
  <c r="S199" i="10"/>
  <c r="W199" i="10"/>
  <c r="AA199" i="10"/>
  <c r="AE199" i="10"/>
  <c r="AI200" i="10"/>
  <c r="AJ200" i="10"/>
  <c r="AI201" i="10"/>
  <c r="AJ201" i="10" s="1"/>
  <c r="AI202" i="10"/>
  <c r="AJ202" i="10" s="1"/>
  <c r="AI203" i="10"/>
  <c r="AJ203" i="10" s="1"/>
  <c r="AI204" i="10"/>
  <c r="AJ204" i="10" s="1"/>
  <c r="K205" i="10"/>
  <c r="O205" i="10"/>
  <c r="S205" i="10"/>
  <c r="W205" i="10"/>
  <c r="AA205" i="10"/>
  <c r="AE205" i="10"/>
  <c r="AI206" i="10"/>
  <c r="AJ206" i="10" s="1"/>
  <c r="AI207" i="10"/>
  <c r="AJ207" i="10" s="1"/>
  <c r="AI208" i="10"/>
  <c r="AJ208" i="10" s="1"/>
  <c r="AI209" i="10"/>
  <c r="AJ209" i="10"/>
  <c r="AI210" i="10"/>
  <c r="AJ210" i="10" s="1"/>
  <c r="K211" i="10"/>
  <c r="O211" i="10"/>
  <c r="S211" i="10"/>
  <c r="W211" i="10"/>
  <c r="AA211" i="10"/>
  <c r="AE211" i="10"/>
  <c r="AI212" i="10"/>
  <c r="AJ212" i="10" s="1"/>
  <c r="AI213" i="10"/>
  <c r="AJ213" i="10" s="1"/>
  <c r="AI214" i="10"/>
  <c r="AJ214" i="10"/>
  <c r="AI215" i="10"/>
  <c r="AJ215" i="10" s="1"/>
  <c r="AI216" i="10"/>
  <c r="AJ216" i="10" s="1"/>
  <c r="K217" i="10"/>
  <c r="O217" i="10"/>
  <c r="S217" i="10"/>
  <c r="W217" i="10"/>
  <c r="AA217" i="10"/>
  <c r="AE217" i="10"/>
  <c r="AI218" i="10"/>
  <c r="AJ218" i="10" s="1"/>
  <c r="AI219" i="10"/>
  <c r="AJ219" i="10"/>
  <c r="AI220" i="10"/>
  <c r="AJ220" i="10" s="1"/>
  <c r="AI221" i="10"/>
  <c r="AJ221" i="10" s="1"/>
  <c r="AI222" i="10"/>
  <c r="AJ222" i="10" s="1"/>
  <c r="K223" i="10"/>
  <c r="O223" i="10"/>
  <c r="S223" i="10"/>
  <c r="AI223" i="10" s="1"/>
  <c r="AJ223" i="10" s="1"/>
  <c r="W223" i="10"/>
  <c r="AA223" i="10"/>
  <c r="AE223" i="10"/>
  <c r="AI224" i="10"/>
  <c r="AJ224" i="10" s="1"/>
  <c r="AI225" i="10"/>
  <c r="AJ225" i="10" s="1"/>
  <c r="AI226" i="10"/>
  <c r="AJ226" i="10" s="1"/>
  <c r="AI227" i="10"/>
  <c r="AJ227" i="10" s="1"/>
  <c r="AI228" i="10"/>
  <c r="AJ228" i="10"/>
  <c r="K229" i="10"/>
  <c r="O229" i="10"/>
  <c r="S229" i="10"/>
  <c r="W229" i="10"/>
  <c r="AA229" i="10"/>
  <c r="AE229" i="10"/>
  <c r="AI230" i="10"/>
  <c r="AJ230" i="10" s="1"/>
  <c r="AI231" i="10"/>
  <c r="AJ231" i="10" s="1"/>
  <c r="AI232" i="10"/>
  <c r="AJ232" i="10" s="1"/>
  <c r="AI233" i="10"/>
  <c r="AJ233" i="10" s="1"/>
  <c r="AI234" i="10"/>
  <c r="AJ234" i="10" s="1"/>
  <c r="K235" i="10"/>
  <c r="O235" i="10"/>
  <c r="S235" i="10"/>
  <c r="W235" i="10"/>
  <c r="AA235" i="10"/>
  <c r="AE235" i="10"/>
  <c r="AI236" i="10"/>
  <c r="AJ236" i="10" s="1"/>
  <c r="AI237" i="10"/>
  <c r="AJ237" i="10" s="1"/>
  <c r="AI238" i="10"/>
  <c r="AJ238" i="10" s="1"/>
  <c r="AI239" i="10"/>
  <c r="AJ239" i="10" s="1"/>
  <c r="AI240" i="10"/>
  <c r="AJ240" i="10" s="1"/>
  <c r="E241" i="10"/>
  <c r="F241" i="10"/>
  <c r="G241" i="10"/>
  <c r="AE241" i="10"/>
  <c r="AL241" i="10"/>
  <c r="K242" i="10"/>
  <c r="O242" i="10"/>
  <c r="S242" i="10"/>
  <c r="S241" i="10" s="1"/>
  <c r="W242" i="10"/>
  <c r="AA242" i="10"/>
  <c r="AA241" i="10" s="1"/>
  <c r="AE242" i="10"/>
  <c r="AI243" i="10"/>
  <c r="AJ243" i="10" s="1"/>
  <c r="AI244" i="10"/>
  <c r="AJ244" i="10" s="1"/>
  <c r="AI245" i="10"/>
  <c r="AJ245" i="10" s="1"/>
  <c r="AI246" i="10"/>
  <c r="AJ246" i="10"/>
  <c r="AI247" i="10"/>
  <c r="AJ247" i="10" s="1"/>
  <c r="K248" i="10"/>
  <c r="K241" i="10" s="1"/>
  <c r="O248" i="10"/>
  <c r="S248" i="10"/>
  <c r="W248" i="10"/>
  <c r="AA248" i="10"/>
  <c r="AE248" i="10"/>
  <c r="AI249" i="10"/>
  <c r="AJ249" i="10" s="1"/>
  <c r="AI250" i="10"/>
  <c r="AJ250" i="10" s="1"/>
  <c r="AI251" i="10"/>
  <c r="AJ251" i="10" s="1"/>
  <c r="AI252" i="10"/>
  <c r="AJ252" i="10" s="1"/>
  <c r="AI253" i="10"/>
  <c r="AJ253" i="10" s="1"/>
  <c r="K254" i="10"/>
  <c r="O254" i="10"/>
  <c r="O241" i="10" s="1"/>
  <c r="S254" i="10"/>
  <c r="W254" i="10"/>
  <c r="AA254" i="10"/>
  <c r="AE254" i="10"/>
  <c r="AI255" i="10"/>
  <c r="AJ255" i="10" s="1"/>
  <c r="AI256" i="10"/>
  <c r="AJ256" i="10" s="1"/>
  <c r="AI257" i="10"/>
  <c r="AJ257" i="10" s="1"/>
  <c r="AI258" i="10"/>
  <c r="AJ258" i="10" s="1"/>
  <c r="AI259" i="10"/>
  <c r="AJ259" i="10" s="1"/>
  <c r="K260" i="10"/>
  <c r="AI260" i="10" s="1"/>
  <c r="AJ260" i="10" s="1"/>
  <c r="O260" i="10"/>
  <c r="S260" i="10"/>
  <c r="W260" i="10"/>
  <c r="AA260" i="10"/>
  <c r="AE260" i="10"/>
  <c r="AI261" i="10"/>
  <c r="AJ261" i="10"/>
  <c r="AI262" i="10"/>
  <c r="AJ262" i="10" s="1"/>
  <c r="AI263" i="10"/>
  <c r="AJ263" i="10" s="1"/>
  <c r="AI264" i="10"/>
  <c r="AJ264" i="10" s="1"/>
  <c r="AI265" i="10"/>
  <c r="AJ265" i="10"/>
  <c r="E266" i="10"/>
  <c r="F266" i="10"/>
  <c r="G266" i="10"/>
  <c r="H266" i="10"/>
  <c r="I266" i="10"/>
  <c r="J266" i="10"/>
  <c r="K266" i="10"/>
  <c r="L266" i="10"/>
  <c r="M266" i="10"/>
  <c r="N266" i="10"/>
  <c r="O266" i="10"/>
  <c r="P266" i="10"/>
  <c r="Q266" i="10"/>
  <c r="R266" i="10"/>
  <c r="S266" i="10"/>
  <c r="T266" i="10"/>
  <c r="U266" i="10"/>
  <c r="V266" i="10"/>
  <c r="W266" i="10"/>
  <c r="X266" i="10"/>
  <c r="Y266" i="10"/>
  <c r="Z266" i="10"/>
  <c r="AA266" i="10"/>
  <c r="AB266" i="10"/>
  <c r="AC266" i="10"/>
  <c r="AD266" i="10"/>
  <c r="AE266" i="10"/>
  <c r="AF266" i="10"/>
  <c r="AG266" i="10"/>
  <c r="AH266" i="10"/>
  <c r="AL266" i="10"/>
  <c r="K267" i="10"/>
  <c r="O267" i="10"/>
  <c r="S267" i="10"/>
  <c r="W267" i="10"/>
  <c r="AA267" i="10"/>
  <c r="AE267" i="10"/>
  <c r="AI268" i="10"/>
  <c r="AJ268" i="10" s="1"/>
  <c r="AI269" i="10"/>
  <c r="AJ269" i="10"/>
  <c r="AI270" i="10"/>
  <c r="AJ270" i="10" s="1"/>
  <c r="AI271" i="10"/>
  <c r="AJ271" i="10" s="1"/>
  <c r="AI272" i="10"/>
  <c r="AJ272" i="10"/>
  <c r="K273" i="10"/>
  <c r="AI273" i="10" s="1"/>
  <c r="AJ273" i="10" s="1"/>
  <c r="O273" i="10"/>
  <c r="S273" i="10"/>
  <c r="W273" i="10"/>
  <c r="AA273" i="10"/>
  <c r="AE273" i="10"/>
  <c r="AI274" i="10"/>
  <c r="AJ274" i="10"/>
  <c r="AI275" i="10"/>
  <c r="AJ275" i="10" s="1"/>
  <c r="AI276" i="10"/>
  <c r="AJ276" i="10" s="1"/>
  <c r="AI277" i="10"/>
  <c r="AJ277" i="10"/>
  <c r="AI278" i="10"/>
  <c r="AJ278" i="10" s="1"/>
  <c r="K279" i="10"/>
  <c r="O279" i="10"/>
  <c r="S279" i="10"/>
  <c r="W279" i="10"/>
  <c r="AA279" i="10"/>
  <c r="AE279" i="10"/>
  <c r="AI280" i="10"/>
  <c r="AJ280" i="10" s="1"/>
  <c r="AI281" i="10"/>
  <c r="AJ281" i="10" s="1"/>
  <c r="AI282" i="10"/>
  <c r="AJ282" i="10"/>
  <c r="AI283" i="10"/>
  <c r="AJ283" i="10" s="1"/>
  <c r="AI284" i="10"/>
  <c r="K285" i="10"/>
  <c r="O285" i="10"/>
  <c r="S285" i="10"/>
  <c r="W285" i="10"/>
  <c r="AA285" i="10"/>
  <c r="AE285" i="10"/>
  <c r="AI285" i="10" s="1"/>
  <c r="AJ285" i="10" s="1"/>
  <c r="AI286" i="10"/>
  <c r="AJ286" i="10" s="1"/>
  <c r="AI287" i="10"/>
  <c r="AJ287" i="10"/>
  <c r="AI288" i="10"/>
  <c r="AJ288" i="10" s="1"/>
  <c r="AI289" i="10"/>
  <c r="AJ289" i="10" s="1"/>
  <c r="AI290" i="10"/>
  <c r="AJ290" i="10" s="1"/>
  <c r="E291" i="10"/>
  <c r="F291" i="10"/>
  <c r="G291" i="10"/>
  <c r="K292" i="10"/>
  <c r="O292" i="10"/>
  <c r="S292" i="10"/>
  <c r="W292" i="10"/>
  <c r="AA292" i="10"/>
  <c r="AE292" i="10"/>
  <c r="AI293" i="10"/>
  <c r="AJ293" i="10" s="1"/>
  <c r="AI294" i="10"/>
  <c r="AJ294" i="10" s="1"/>
  <c r="AI295" i="10"/>
  <c r="AJ295" i="10"/>
  <c r="AI296" i="10"/>
  <c r="AJ296" i="10" s="1"/>
  <c r="AI297" i="10"/>
  <c r="AJ297" i="10" s="1"/>
  <c r="K298" i="10"/>
  <c r="O298" i="10"/>
  <c r="S298" i="10"/>
  <c r="W298" i="10"/>
  <c r="AA298" i="10"/>
  <c r="AE298" i="10"/>
  <c r="AI299" i="10"/>
  <c r="AJ299" i="10" s="1"/>
  <c r="AI300" i="10"/>
  <c r="AJ300" i="10" s="1"/>
  <c r="AI301" i="10"/>
  <c r="AJ301" i="10"/>
  <c r="AI302" i="10"/>
  <c r="AJ302" i="10" s="1"/>
  <c r="AI303" i="10"/>
  <c r="AJ303" i="10" s="1"/>
  <c r="K304" i="10"/>
  <c r="O304" i="10"/>
  <c r="S304" i="10"/>
  <c r="W304" i="10"/>
  <c r="AA304" i="10"/>
  <c r="AE304" i="10"/>
  <c r="AI305" i="10"/>
  <c r="AJ305" i="10" s="1"/>
  <c r="AI306" i="10"/>
  <c r="AJ306" i="10"/>
  <c r="AI307" i="10"/>
  <c r="AJ307" i="10" s="1"/>
  <c r="AI308" i="10"/>
  <c r="AJ308" i="10" s="1"/>
  <c r="AI309" i="10"/>
  <c r="AJ309" i="10"/>
  <c r="K310" i="10"/>
  <c r="AI310" i="10" s="1"/>
  <c r="AJ310" i="10" s="1"/>
  <c r="O310" i="10"/>
  <c r="S310" i="10"/>
  <c r="W310" i="10"/>
  <c r="AA310" i="10"/>
  <c r="AE310" i="10"/>
  <c r="AI311" i="10"/>
  <c r="AJ311" i="10"/>
  <c r="AI312" i="10"/>
  <c r="AJ312" i="10" s="1"/>
  <c r="AI313" i="10"/>
  <c r="AJ313" i="10" s="1"/>
  <c r="AI314" i="10"/>
  <c r="AJ314" i="10"/>
  <c r="AI315" i="10"/>
  <c r="AJ315" i="10" s="1"/>
  <c r="K316" i="10"/>
  <c r="O316" i="10"/>
  <c r="S316" i="10"/>
  <c r="W316" i="10"/>
  <c r="AA316" i="10"/>
  <c r="AE316" i="10"/>
  <c r="AI317" i="10"/>
  <c r="AJ317" i="10" s="1"/>
  <c r="AI318" i="10"/>
  <c r="AJ318" i="10" s="1"/>
  <c r="AI319" i="10"/>
  <c r="AJ319" i="10"/>
  <c r="AI320" i="10"/>
  <c r="AJ320" i="10"/>
  <c r="AI321" i="10"/>
  <c r="AJ321" i="10" s="1"/>
  <c r="K322" i="10"/>
  <c r="O322" i="10"/>
  <c r="S322" i="10"/>
  <c r="W322" i="10"/>
  <c r="AA322" i="10"/>
  <c r="AE322" i="10"/>
  <c r="AI322" i="10"/>
  <c r="AJ322" i="10" s="1"/>
  <c r="AI323" i="10"/>
  <c r="AJ323" i="10" s="1"/>
  <c r="AI324" i="10"/>
  <c r="AJ324" i="10"/>
  <c r="AI325" i="10"/>
  <c r="AJ325" i="10"/>
  <c r="AI326" i="10"/>
  <c r="AJ326" i="10" s="1"/>
  <c r="AI327" i="10"/>
  <c r="AJ327" i="10" s="1"/>
  <c r="E328" i="10"/>
  <c r="F328" i="10"/>
  <c r="G328" i="10"/>
  <c r="H328" i="10"/>
  <c r="K329" i="10"/>
  <c r="O329" i="10"/>
  <c r="S329" i="10"/>
  <c r="S328" i="10" s="1"/>
  <c r="W329" i="10"/>
  <c r="W328" i="10" s="1"/>
  <c r="AA329" i="10"/>
  <c r="AE329" i="10"/>
  <c r="AK329" i="10"/>
  <c r="AI330" i="10"/>
  <c r="AJ330" i="10" s="1"/>
  <c r="AI331" i="10"/>
  <c r="AJ331" i="10" s="1"/>
  <c r="AI332" i="10"/>
  <c r="AJ332" i="10" s="1"/>
  <c r="AI333" i="10"/>
  <c r="AJ333" i="10"/>
  <c r="AI334" i="10"/>
  <c r="AJ334" i="10"/>
  <c r="K335" i="10"/>
  <c r="O335" i="10"/>
  <c r="S335" i="10"/>
  <c r="W335" i="10"/>
  <c r="AA335" i="10"/>
  <c r="AE335" i="10"/>
  <c r="AI336" i="10"/>
  <c r="AJ336" i="10" s="1"/>
  <c r="AI337" i="10"/>
  <c r="AJ337" i="10" s="1"/>
  <c r="AI338" i="10"/>
  <c r="AJ338" i="10" s="1"/>
  <c r="AI339" i="10"/>
  <c r="AJ339" i="10"/>
  <c r="AI340" i="10"/>
  <c r="AJ340" i="10" s="1"/>
  <c r="K341" i="10"/>
  <c r="AI341" i="10" s="1"/>
  <c r="AJ341" i="10" s="1"/>
  <c r="O341" i="10"/>
  <c r="S341" i="10"/>
  <c r="W341" i="10"/>
  <c r="AA341" i="10"/>
  <c r="AE341" i="10"/>
  <c r="AI342" i="10"/>
  <c r="AJ342" i="10" s="1"/>
  <c r="AI343" i="10"/>
  <c r="AJ343" i="10"/>
  <c r="AI344" i="10"/>
  <c r="AJ344" i="10"/>
  <c r="AI345" i="10"/>
  <c r="AJ345" i="10" s="1"/>
  <c r="AI346" i="10"/>
  <c r="AJ346" i="10" s="1"/>
  <c r="K347" i="10"/>
  <c r="O347" i="10"/>
  <c r="S347" i="10"/>
  <c r="W347" i="10"/>
  <c r="AA347" i="10"/>
  <c r="AI348" i="10"/>
  <c r="AJ348" i="10"/>
  <c r="K349" i="10"/>
  <c r="O349" i="10"/>
  <c r="S349" i="10"/>
  <c r="W349" i="10"/>
  <c r="AA349" i="10"/>
  <c r="AI349" i="10" s="1"/>
  <c r="AJ349" i="10" s="1"/>
  <c r="AE349" i="10"/>
  <c r="AE347" i="10" s="1"/>
  <c r="AI350" i="10"/>
  <c r="AJ350" i="10"/>
  <c r="AI351" i="10"/>
  <c r="AJ351" i="10" s="1"/>
  <c r="AI352" i="10"/>
  <c r="AJ352" i="10" s="1"/>
  <c r="AI353" i="10"/>
  <c r="AJ353" i="10" s="1"/>
  <c r="AI354" i="10"/>
  <c r="AJ354" i="10" s="1"/>
  <c r="K355" i="10"/>
  <c r="O355" i="10"/>
  <c r="S355" i="10"/>
  <c r="W355" i="10"/>
  <c r="AA355" i="10"/>
  <c r="AE355" i="10"/>
  <c r="AI356" i="10"/>
  <c r="AJ356" i="10" s="1"/>
  <c r="AI357" i="10"/>
  <c r="AJ357" i="10" s="1"/>
  <c r="AI358" i="10"/>
  <c r="AJ358" i="10"/>
  <c r="AI359" i="10"/>
  <c r="AJ359" i="10"/>
  <c r="AI360" i="10"/>
  <c r="AJ360" i="10" s="1"/>
  <c r="K361" i="10"/>
  <c r="O361" i="10"/>
  <c r="S361" i="10"/>
  <c r="W361" i="10"/>
  <c r="AA361" i="10"/>
  <c r="AE361" i="10"/>
  <c r="AI362" i="10"/>
  <c r="AJ362" i="10" s="1"/>
  <c r="AI363" i="10"/>
  <c r="AJ363" i="10" s="1"/>
  <c r="AI364" i="10"/>
  <c r="AJ364" i="10" s="1"/>
  <c r="AI365" i="10"/>
  <c r="AJ365" i="10" s="1"/>
  <c r="AI366" i="10"/>
  <c r="AJ366" i="10" s="1"/>
  <c r="K367" i="10"/>
  <c r="O367" i="10"/>
  <c r="S367" i="10"/>
  <c r="W367" i="10"/>
  <c r="AA367" i="10"/>
  <c r="AE367" i="10"/>
  <c r="AI368" i="10"/>
  <c r="AJ368" i="10"/>
  <c r="AI369" i="10"/>
  <c r="AJ369" i="10"/>
  <c r="AI370" i="10"/>
  <c r="AJ370" i="10" s="1"/>
  <c r="AI371" i="10"/>
  <c r="AJ371" i="10" s="1"/>
  <c r="AI372" i="10"/>
  <c r="AJ372" i="10" s="1"/>
  <c r="L373" i="10"/>
  <c r="N373" i="10"/>
  <c r="AD373" i="10"/>
  <c r="AF373" i="10"/>
  <c r="AH373" i="10"/>
  <c r="E374" i="10"/>
  <c r="F374" i="10" s="1"/>
  <c r="AI374" i="10"/>
  <c r="AJ374" i="10"/>
  <c r="AJ375" i="10"/>
  <c r="E376" i="10"/>
  <c r="F376" i="10"/>
  <c r="AJ376" i="10"/>
  <c r="AJ377" i="10"/>
  <c r="AJ378" i="10"/>
  <c r="AJ379" i="10"/>
  <c r="AJ380" i="10"/>
  <c r="K381" i="10"/>
  <c r="AJ381" i="10" s="1"/>
  <c r="AJ382" i="10"/>
  <c r="AJ383" i="10"/>
  <c r="AJ384" i="10"/>
  <c r="AJ385" i="10"/>
  <c r="AJ386" i="10"/>
  <c r="AJ387" i="10"/>
  <c r="AJ388" i="10"/>
  <c r="AJ389" i="10"/>
  <c r="AJ390" i="10"/>
  <c r="AC1" i="6"/>
  <c r="AC2" i="6"/>
  <c r="AC3" i="6"/>
  <c r="D4" i="6"/>
  <c r="C5" i="12" s="1"/>
  <c r="F5" i="12" s="1"/>
  <c r="L4" i="6"/>
  <c r="T4" i="6"/>
  <c r="X4" i="6"/>
  <c r="E5" i="6"/>
  <c r="F5" i="6" s="1"/>
  <c r="G5" i="6"/>
  <c r="AB5" i="6"/>
  <c r="AC5" i="6"/>
  <c r="E6" i="6"/>
  <c r="F6" i="6"/>
  <c r="G6" i="6"/>
  <c r="AB6" i="6"/>
  <c r="AC6" i="6"/>
  <c r="E7" i="6"/>
  <c r="F7" i="6"/>
  <c r="G7" i="6"/>
  <c r="AB7" i="6"/>
  <c r="AC7" i="6"/>
  <c r="C8" i="6"/>
  <c r="G8" i="6" s="1"/>
  <c r="E8" i="6"/>
  <c r="E4" i="6" s="1"/>
  <c r="D5" i="12" s="1"/>
  <c r="G5" i="12" s="1"/>
  <c r="P8" i="6"/>
  <c r="P4" i="6" s="1"/>
  <c r="E9" i="6"/>
  <c r="F9" i="6"/>
  <c r="G9" i="6"/>
  <c r="AB9" i="6"/>
  <c r="AC9" i="6"/>
  <c r="H11" i="6"/>
  <c r="H10" i="6" s="1"/>
  <c r="X11" i="6"/>
  <c r="C12" i="6"/>
  <c r="B12" i="12" s="1"/>
  <c r="E12" i="6"/>
  <c r="F12" i="6" s="1"/>
  <c r="G12" i="6"/>
  <c r="AB12" i="6"/>
  <c r="AC12" i="6"/>
  <c r="E13" i="6"/>
  <c r="F13" i="6" s="1"/>
  <c r="G13" i="6"/>
  <c r="AB13" i="6"/>
  <c r="AC13" i="6"/>
  <c r="E14" i="6"/>
  <c r="F14" i="6"/>
  <c r="G14" i="6"/>
  <c r="AB14" i="6"/>
  <c r="AC14" i="6"/>
  <c r="E15" i="6"/>
  <c r="F15" i="6" s="1"/>
  <c r="G15" i="6"/>
  <c r="AB15" i="6"/>
  <c r="AC15" i="6"/>
  <c r="E16" i="6"/>
  <c r="F16" i="6"/>
  <c r="G16" i="6"/>
  <c r="AB16" i="6"/>
  <c r="AC16" i="6"/>
  <c r="E17" i="6"/>
  <c r="F17" i="6"/>
  <c r="G17" i="6"/>
  <c r="AB17" i="6"/>
  <c r="AC17" i="6"/>
  <c r="E18" i="6"/>
  <c r="F18" i="6" s="1"/>
  <c r="G18" i="6"/>
  <c r="AB18" i="6"/>
  <c r="AC18" i="6"/>
  <c r="E19" i="6"/>
  <c r="F19" i="6" s="1"/>
  <c r="G19" i="6"/>
  <c r="AB19" i="6"/>
  <c r="AC19" i="6"/>
  <c r="C20" i="6"/>
  <c r="D20" i="6"/>
  <c r="D11" i="6" s="1"/>
  <c r="H21" i="6"/>
  <c r="L21" i="6"/>
  <c r="P21" i="6"/>
  <c r="T21" i="6"/>
  <c r="AB21" i="6" s="1"/>
  <c r="X21" i="6"/>
  <c r="H22" i="6"/>
  <c r="L22" i="6"/>
  <c r="P22" i="6"/>
  <c r="T22" i="6"/>
  <c r="X22" i="6"/>
  <c r="D23" i="6"/>
  <c r="AB23" i="6"/>
  <c r="AC23" i="6"/>
  <c r="E24" i="6"/>
  <c r="F24" i="6" s="1"/>
  <c r="G24" i="6"/>
  <c r="AB24" i="6"/>
  <c r="AC24" i="6"/>
  <c r="E25" i="6"/>
  <c r="F25" i="6" s="1"/>
  <c r="G25" i="6"/>
  <c r="AB25" i="6"/>
  <c r="AC25" i="6"/>
  <c r="F26" i="6"/>
  <c r="G26" i="6"/>
  <c r="AB26" i="6"/>
  <c r="AC26" i="6"/>
  <c r="D27" i="6"/>
  <c r="E27" i="6"/>
  <c r="AB27" i="6"/>
  <c r="AC27" i="6"/>
  <c r="F28" i="6"/>
  <c r="G28" i="6"/>
  <c r="AB28" i="6"/>
  <c r="AC28" i="6"/>
  <c r="F29" i="6"/>
  <c r="G29" i="6"/>
  <c r="AB29" i="6"/>
  <c r="AC29" i="6"/>
  <c r="F30" i="6"/>
  <c r="G30" i="6"/>
  <c r="AB30" i="6"/>
  <c r="AC30" i="6"/>
  <c r="F31" i="6"/>
  <c r="G31" i="6"/>
  <c r="AB31" i="6"/>
  <c r="AC31" i="6"/>
  <c r="C32" i="6"/>
  <c r="G32" i="6" s="1"/>
  <c r="F32" i="6"/>
  <c r="AB32" i="6"/>
  <c r="AC32" i="6"/>
  <c r="C33" i="6"/>
  <c r="G33" i="6" s="1"/>
  <c r="D33" i="6"/>
  <c r="F33" i="6"/>
  <c r="AB33" i="6"/>
  <c r="AC33" i="6"/>
  <c r="F34" i="6"/>
  <c r="G34" i="6"/>
  <c r="AB34" i="6"/>
  <c r="AC34" i="6"/>
  <c r="C35" i="6"/>
  <c r="D35" i="6"/>
  <c r="G35" i="6" s="1"/>
  <c r="F35" i="6"/>
  <c r="AB35" i="6"/>
  <c r="AC35" i="6"/>
  <c r="C36" i="6"/>
  <c r="D36" i="6"/>
  <c r="G36" i="6" s="1"/>
  <c r="F36" i="6"/>
  <c r="AB36" i="6"/>
  <c r="AC36" i="6"/>
  <c r="F37" i="6"/>
  <c r="G37" i="6"/>
  <c r="AB37" i="6"/>
  <c r="AC37" i="6"/>
  <c r="C38" i="6"/>
  <c r="D38" i="6"/>
  <c r="G38" i="6" s="1"/>
  <c r="F38" i="6"/>
  <c r="AB38" i="6"/>
  <c r="AC38" i="6"/>
  <c r="C39" i="6"/>
  <c r="D39" i="6"/>
  <c r="G39" i="6" s="1"/>
  <c r="F39" i="6"/>
  <c r="AB39" i="6"/>
  <c r="AC39" i="6"/>
  <c r="C40" i="6"/>
  <c r="G40" i="6" s="1"/>
  <c r="D40" i="6"/>
  <c r="F40" i="6"/>
  <c r="AB40" i="6"/>
  <c r="AC40" i="6"/>
  <c r="F41" i="6"/>
  <c r="G41" i="6"/>
  <c r="AB41" i="6"/>
  <c r="AC41" i="6"/>
  <c r="C42" i="6"/>
  <c r="D42" i="6"/>
  <c r="F42" i="6"/>
  <c r="G42" i="6"/>
  <c r="AB42" i="6"/>
  <c r="AC42" i="6"/>
  <c r="C43" i="6"/>
  <c r="G43" i="6" s="1"/>
  <c r="D43" i="6"/>
  <c r="F43" i="6"/>
  <c r="AB43" i="6"/>
  <c r="AC43" i="6"/>
  <c r="C44" i="6"/>
  <c r="D44" i="6"/>
  <c r="F44" i="6"/>
  <c r="AB44" i="6"/>
  <c r="AC44" i="6"/>
  <c r="F45" i="6"/>
  <c r="G45" i="6"/>
  <c r="AB45" i="6"/>
  <c r="AC45" i="6"/>
  <c r="C46" i="6"/>
  <c r="D46" i="6"/>
  <c r="F46" i="6"/>
  <c r="AB46" i="6"/>
  <c r="AC46" i="6"/>
  <c r="C47" i="6"/>
  <c r="D47" i="6"/>
  <c r="G47" i="6" s="1"/>
  <c r="F47" i="6"/>
  <c r="AB47" i="6"/>
  <c r="AC47" i="6"/>
  <c r="C48" i="6"/>
  <c r="D48" i="6"/>
  <c r="F48" i="6"/>
  <c r="AB48" i="6"/>
  <c r="AC48" i="6"/>
  <c r="F49" i="6"/>
  <c r="G49" i="6"/>
  <c r="AB49" i="6"/>
  <c r="AC49" i="6"/>
  <c r="C50" i="6"/>
  <c r="D50" i="6"/>
  <c r="F50" i="6"/>
  <c r="AB50" i="6"/>
  <c r="AC50" i="6"/>
  <c r="C51" i="6"/>
  <c r="D51" i="6"/>
  <c r="G51" i="6" s="1"/>
  <c r="F51" i="6"/>
  <c r="AB51" i="6"/>
  <c r="AC51" i="6"/>
  <c r="C52" i="6"/>
  <c r="D52" i="6"/>
  <c r="G52" i="6" s="1"/>
  <c r="F52" i="6"/>
  <c r="AB52" i="6"/>
  <c r="AC52" i="6"/>
  <c r="F53" i="6"/>
  <c r="G53" i="6"/>
  <c r="AB53" i="6"/>
  <c r="AC53" i="6"/>
  <c r="C54" i="6"/>
  <c r="D54" i="6"/>
  <c r="F54" i="6"/>
  <c r="AB54" i="6"/>
  <c r="AC54" i="6"/>
  <c r="C55" i="6"/>
  <c r="D55" i="6"/>
  <c r="F55" i="6"/>
  <c r="G55" i="6"/>
  <c r="AB55" i="6"/>
  <c r="AC55" i="6"/>
  <c r="C56" i="6"/>
  <c r="D56" i="6"/>
  <c r="D22" i="6" s="1"/>
  <c r="F56" i="6"/>
  <c r="AB56" i="6"/>
  <c r="AC56" i="6"/>
  <c r="C57" i="6"/>
  <c r="G57" i="6" s="1"/>
  <c r="D57" i="6"/>
  <c r="H57" i="6"/>
  <c r="L57" i="6"/>
  <c r="P57" i="6"/>
  <c r="T57" i="6"/>
  <c r="X57" i="6"/>
  <c r="X10" i="6" s="1"/>
  <c r="F58" i="6"/>
  <c r="G58" i="6"/>
  <c r="AB58" i="6"/>
  <c r="AC58" i="6"/>
  <c r="E59" i="6"/>
  <c r="E57" i="6" s="1"/>
  <c r="G59" i="6"/>
  <c r="AB59" i="6"/>
  <c r="AC59" i="6"/>
  <c r="E60" i="6"/>
  <c r="F60" i="6"/>
  <c r="G60" i="6"/>
  <c r="AB60" i="6"/>
  <c r="AC60" i="6"/>
  <c r="H61" i="6"/>
  <c r="L61" i="6"/>
  <c r="P61" i="6"/>
  <c r="T61" i="6"/>
  <c r="X61" i="6"/>
  <c r="C63" i="6"/>
  <c r="C61" i="6" s="1"/>
  <c r="D63" i="6"/>
  <c r="C19" i="12" s="1"/>
  <c r="G63" i="6"/>
  <c r="AB63" i="6"/>
  <c r="AC63" i="6"/>
  <c r="E64" i="6"/>
  <c r="F64" i="6" s="1"/>
  <c r="G64" i="6"/>
  <c r="AB64" i="6"/>
  <c r="AC64" i="6"/>
  <c r="E65" i="6"/>
  <c r="F65" i="6" s="1"/>
  <c r="G65" i="6"/>
  <c r="AB65" i="6"/>
  <c r="AC65" i="6"/>
  <c r="E66" i="6"/>
  <c r="F66" i="6" s="1"/>
  <c r="G66" i="6"/>
  <c r="AB66" i="6"/>
  <c r="AC66" i="6"/>
  <c r="C67" i="6"/>
  <c r="B20" i="12" s="1"/>
  <c r="E20" i="12" s="1"/>
  <c r="D67" i="6"/>
  <c r="AB67" i="6"/>
  <c r="AC67" i="6"/>
  <c r="E68" i="6"/>
  <c r="F68" i="6" s="1"/>
  <c r="G68" i="6"/>
  <c r="AB68" i="6"/>
  <c r="AC68" i="6"/>
  <c r="E69" i="6"/>
  <c r="F69" i="6" s="1"/>
  <c r="G69" i="6"/>
  <c r="AB69" i="6"/>
  <c r="AC69" i="6"/>
  <c r="E70" i="6"/>
  <c r="F70" i="6" s="1"/>
  <c r="G70" i="6"/>
  <c r="AB70" i="6"/>
  <c r="AC70" i="6"/>
  <c r="F71" i="6"/>
  <c r="AF71" i="6"/>
  <c r="AG71" i="6"/>
  <c r="F72" i="6"/>
  <c r="AF72" i="6"/>
  <c r="AG72" i="6"/>
  <c r="F73" i="6"/>
  <c r="AF73" i="6"/>
  <c r="AG73" i="6"/>
  <c r="F74" i="6"/>
  <c r="AF74" i="6"/>
  <c r="AG74" i="6"/>
  <c r="F75" i="6"/>
  <c r="AF75" i="6"/>
  <c r="AG75" i="6"/>
  <c r="F76" i="6"/>
  <c r="AF76" i="6"/>
  <c r="AG76" i="6"/>
  <c r="F77" i="6"/>
  <c r="AF77" i="6"/>
  <c r="AG77" i="6"/>
  <c r="F78" i="6"/>
  <c r="AF78" i="6"/>
  <c r="AG78" i="6"/>
  <c r="F79" i="6"/>
  <c r="C80" i="6"/>
  <c r="D80" i="6"/>
  <c r="E81" i="6"/>
  <c r="F81" i="6" s="1"/>
  <c r="G81" i="6"/>
  <c r="J81" i="6"/>
  <c r="K81" i="6"/>
  <c r="L81" i="6"/>
  <c r="M81" i="6"/>
  <c r="N81" i="6"/>
  <c r="O81" i="6"/>
  <c r="P81" i="6"/>
  <c r="Q81" i="6"/>
  <c r="R81" i="6"/>
  <c r="P80" i="6" s="1"/>
  <c r="S81" i="6"/>
  <c r="T81" i="6"/>
  <c r="U81" i="6"/>
  <c r="V81" i="6"/>
  <c r="W81" i="6"/>
  <c r="X81" i="6"/>
  <c r="Y81" i="6"/>
  <c r="Z81" i="6"/>
  <c r="X80" i="6" s="1"/>
  <c r="AA81" i="6"/>
  <c r="E82" i="6"/>
  <c r="F82" i="6" s="1"/>
  <c r="G82" i="6"/>
  <c r="AB82" i="6"/>
  <c r="AC82" i="6"/>
  <c r="E83" i="6"/>
  <c r="E80" i="6" s="1"/>
  <c r="F83" i="6"/>
  <c r="G83" i="6"/>
  <c r="AB83" i="6"/>
  <c r="AC83" i="6"/>
  <c r="E84" i="6"/>
  <c r="F84" i="6" s="1"/>
  <c r="G84" i="6"/>
  <c r="AB84" i="6"/>
  <c r="AC84" i="6"/>
  <c r="E85" i="6"/>
  <c r="F85" i="6" s="1"/>
  <c r="G85" i="6"/>
  <c r="AB85" i="6"/>
  <c r="AC85" i="6"/>
  <c r="E86" i="6"/>
  <c r="F86" i="6" s="1"/>
  <c r="G86" i="6"/>
  <c r="AB86" i="6"/>
  <c r="AC86" i="6"/>
  <c r="E87" i="6"/>
  <c r="F87" i="6" s="1"/>
  <c r="G87" i="6"/>
  <c r="AB87" i="6"/>
  <c r="AC87" i="6"/>
  <c r="C90" i="6"/>
  <c r="B24" i="12" s="1"/>
  <c r="B23" i="12" s="1"/>
  <c r="D90" i="6"/>
  <c r="H90" i="6"/>
  <c r="L90" i="6"/>
  <c r="P90" i="6"/>
  <c r="T90" i="6"/>
  <c r="X90" i="6"/>
  <c r="E91" i="6"/>
  <c r="G91" i="6"/>
  <c r="AB91" i="6"/>
  <c r="AC91" i="6"/>
  <c r="E92" i="6"/>
  <c r="F92" i="6" s="1"/>
  <c r="G92" i="6"/>
  <c r="AB92" i="6"/>
  <c r="AC92" i="6"/>
  <c r="E93" i="6"/>
  <c r="F93" i="6"/>
  <c r="G93" i="6"/>
  <c r="AB93" i="6"/>
  <c r="AC93" i="6"/>
  <c r="E94" i="6"/>
  <c r="F94" i="6"/>
  <c r="G94" i="6"/>
  <c r="AB94" i="6"/>
  <c r="AC94" i="6"/>
  <c r="E95" i="6"/>
  <c r="F95" i="6"/>
  <c r="G95" i="6"/>
  <c r="AB95" i="6"/>
  <c r="AC95" i="6"/>
  <c r="E96" i="6"/>
  <c r="F96" i="6" s="1"/>
  <c r="G96" i="6"/>
  <c r="AB96" i="6"/>
  <c r="AC96" i="6"/>
  <c r="C97" i="6"/>
  <c r="D97" i="6"/>
  <c r="G97" i="6" s="1"/>
  <c r="H97" i="6"/>
  <c r="H89" i="6" s="1"/>
  <c r="L97" i="6"/>
  <c r="P97" i="6"/>
  <c r="T97" i="6"/>
  <c r="X97" i="6"/>
  <c r="E98" i="6"/>
  <c r="F98" i="6"/>
  <c r="G98" i="6"/>
  <c r="AB98" i="6"/>
  <c r="AB97" i="6" s="1"/>
  <c r="AC98" i="6"/>
  <c r="E99" i="6"/>
  <c r="F99" i="6"/>
  <c r="G99" i="6"/>
  <c r="AB99" i="6"/>
  <c r="AC99" i="6"/>
  <c r="E100" i="6"/>
  <c r="E97" i="6" s="1"/>
  <c r="F100" i="6"/>
  <c r="G100" i="6"/>
  <c r="AB100" i="6"/>
  <c r="AC100" i="6"/>
  <c r="E101" i="6"/>
  <c r="F101" i="6" s="1"/>
  <c r="G101" i="6"/>
  <c r="AB101" i="6"/>
  <c r="AC101" i="6"/>
  <c r="C102" i="6"/>
  <c r="D102" i="6"/>
  <c r="H102" i="6"/>
  <c r="L102" i="6"/>
  <c r="P102" i="6"/>
  <c r="T102" i="6"/>
  <c r="X102" i="6"/>
  <c r="E103" i="6"/>
  <c r="F103" i="6"/>
  <c r="F102" i="6" s="1"/>
  <c r="G103" i="6"/>
  <c r="AB103" i="6"/>
  <c r="AB102" i="6" s="1"/>
  <c r="AC103" i="6"/>
  <c r="C104" i="6"/>
  <c r="B27" i="12" s="1"/>
  <c r="E27" i="12" s="1"/>
  <c r="D104" i="6"/>
  <c r="C27" i="12" s="1"/>
  <c r="G104" i="6"/>
  <c r="H104" i="6"/>
  <c r="L104" i="6"/>
  <c r="L89" i="6" s="1"/>
  <c r="L88" i="6" s="1"/>
  <c r="P104" i="6"/>
  <c r="T104" i="6"/>
  <c r="X104" i="6"/>
  <c r="E105" i="6"/>
  <c r="G105" i="6"/>
  <c r="AB105" i="6"/>
  <c r="AC105" i="6"/>
  <c r="AD105" i="6"/>
  <c r="E106" i="6"/>
  <c r="F106" i="6" s="1"/>
  <c r="G106" i="6"/>
  <c r="AB106" i="6"/>
  <c r="AC106" i="6"/>
  <c r="E107" i="6"/>
  <c r="F107" i="6" s="1"/>
  <c r="G107" i="6"/>
  <c r="AB107" i="6"/>
  <c r="AC107" i="6"/>
  <c r="E108" i="6"/>
  <c r="F108" i="6" s="1"/>
  <c r="G108" i="6"/>
  <c r="AB108" i="6"/>
  <c r="AC108" i="6"/>
  <c r="E109" i="6"/>
  <c r="F109" i="6" s="1"/>
  <c r="G109" i="6"/>
  <c r="AB109" i="6"/>
  <c r="AC109" i="6"/>
  <c r="E110" i="6"/>
  <c r="F110" i="6"/>
  <c r="G110" i="6"/>
  <c r="AB110" i="6"/>
  <c r="AC110" i="6"/>
  <c r="C111" i="6"/>
  <c r="B28" i="12" s="1"/>
  <c r="E28" i="12" s="1"/>
  <c r="D111" i="6"/>
  <c r="C28" i="12" s="1"/>
  <c r="G111" i="6"/>
  <c r="H111" i="6"/>
  <c r="L111" i="6"/>
  <c r="P111" i="6"/>
  <c r="T111" i="6"/>
  <c r="X111" i="6"/>
  <c r="E112" i="6"/>
  <c r="F112" i="6" s="1"/>
  <c r="G112" i="6"/>
  <c r="AB112" i="6"/>
  <c r="AC112" i="6"/>
  <c r="E113" i="6"/>
  <c r="F113" i="6" s="1"/>
  <c r="G113" i="6"/>
  <c r="AB113" i="6"/>
  <c r="AC113" i="6"/>
  <c r="E114" i="6"/>
  <c r="F114" i="6"/>
  <c r="G114" i="6"/>
  <c r="AB114" i="6"/>
  <c r="AC114" i="6"/>
  <c r="E115" i="6"/>
  <c r="F115" i="6" s="1"/>
  <c r="G115" i="6"/>
  <c r="AB115" i="6"/>
  <c r="AC115" i="6"/>
  <c r="E116" i="6"/>
  <c r="F116" i="6"/>
  <c r="G116" i="6"/>
  <c r="AB116" i="6"/>
  <c r="AC116" i="6"/>
  <c r="E117" i="6"/>
  <c r="F117" i="6" s="1"/>
  <c r="G117" i="6"/>
  <c r="AB117" i="6"/>
  <c r="AC117" i="6"/>
  <c r="E118" i="6"/>
  <c r="F118" i="6" s="1"/>
  <c r="G118" i="6"/>
  <c r="AB118" i="6"/>
  <c r="AC118" i="6"/>
  <c r="C120" i="6"/>
  <c r="D120" i="6" s="1"/>
  <c r="AB120" i="6"/>
  <c r="AC120" i="6"/>
  <c r="C121" i="6"/>
  <c r="D121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E86" i="8"/>
  <c r="C91" i="8" s="1"/>
  <c r="C94" i="8" s="1"/>
  <c r="U62" i="8"/>
  <c r="AM62" i="8" s="1"/>
  <c r="Q62" i="8"/>
  <c r="P65" i="8"/>
  <c r="P61" i="8" s="1"/>
  <c r="P43" i="8" s="1"/>
  <c r="T65" i="8"/>
  <c r="T61" i="8" s="1"/>
  <c r="R65" i="8"/>
  <c r="R61" i="8" s="1"/>
  <c r="U68" i="8"/>
  <c r="AA68" i="8"/>
  <c r="AA61" i="8" s="1"/>
  <c r="Y68" i="8"/>
  <c r="W68" i="8"/>
  <c r="Y71" i="8"/>
  <c r="U71" i="8"/>
  <c r="E48" i="8"/>
  <c r="E65" i="8"/>
  <c r="E45" i="8"/>
  <c r="T74" i="8"/>
  <c r="S62" i="8"/>
  <c r="C61" i="8"/>
  <c r="AL75" i="8"/>
  <c r="AT76" i="8"/>
  <c r="AQ80" i="8"/>
  <c r="AE79" i="8"/>
  <c r="AP40" i="8"/>
  <c r="Z12" i="8"/>
  <c r="AJ40" i="8"/>
  <c r="AK58" i="8"/>
  <c r="X79" i="8"/>
  <c r="AO60" i="8"/>
  <c r="O25" i="8"/>
  <c r="AI28" i="8"/>
  <c r="AQ59" i="8"/>
  <c r="AF79" i="8"/>
  <c r="AR81" i="8"/>
  <c r="AR79" i="8"/>
  <c r="Q79" i="8"/>
  <c r="AT35" i="8"/>
  <c r="Y25" i="8"/>
  <c r="AG45" i="8"/>
  <c r="W12" i="8" l="1"/>
  <c r="AJ65" i="8"/>
  <c r="AM68" i="8"/>
  <c r="AS48" i="8"/>
  <c r="AT47" i="8"/>
  <c r="AT70" i="8"/>
  <c r="AQ61" i="8"/>
  <c r="CD91" i="8"/>
  <c r="AS77" i="8"/>
  <c r="AH79" i="8"/>
  <c r="AC12" i="8"/>
  <c r="X12" i="8"/>
  <c r="AT38" i="8"/>
  <c r="AK39" i="8"/>
  <c r="AI40" i="8"/>
  <c r="AE43" i="8"/>
  <c r="CE91" i="8"/>
  <c r="AP74" i="8"/>
  <c r="AT77" i="8"/>
  <c r="N12" i="8"/>
  <c r="AU77" i="8"/>
  <c r="AN197" i="10"/>
  <c r="K132" i="10"/>
  <c r="AI132" i="10" s="1"/>
  <c r="AJ132" i="10" s="1"/>
  <c r="AI133" i="10"/>
  <c r="AJ133" i="10" s="1"/>
  <c r="AA58" i="14"/>
  <c r="D21" i="6"/>
  <c r="G23" i="6"/>
  <c r="BE65" i="14"/>
  <c r="BX64" i="14"/>
  <c r="CA64" i="14" s="1"/>
  <c r="BX57" i="14"/>
  <c r="CA57" i="14" s="1"/>
  <c r="BO50" i="14"/>
  <c r="BX47" i="14"/>
  <c r="CA47" i="14" s="1"/>
  <c r="AD12" i="8"/>
  <c r="AS76" i="8"/>
  <c r="AU76" i="8" s="1"/>
  <c r="AL81" i="8"/>
  <c r="AL79" i="8" s="1"/>
  <c r="Y61" i="8"/>
  <c r="AC102" i="6"/>
  <c r="F91" i="6"/>
  <c r="E90" i="6"/>
  <c r="AB57" i="6"/>
  <c r="G56" i="6"/>
  <c r="AI335" i="10"/>
  <c r="AJ335" i="10" s="1"/>
  <c r="AI292" i="10"/>
  <c r="AI205" i="10"/>
  <c r="AJ205" i="10" s="1"/>
  <c r="AA171" i="10"/>
  <c r="AU65" i="14"/>
  <c r="AU49" i="14" s="1"/>
  <c r="AU48" i="14" s="1"/>
  <c r="BX59" i="14"/>
  <c r="CA59" i="14" s="1"/>
  <c r="BV34" i="14"/>
  <c r="BY34" i="14" s="1"/>
  <c r="AO10" i="14"/>
  <c r="U12" i="8"/>
  <c r="E53" i="10"/>
  <c r="E20" i="6"/>
  <c r="Q65" i="14"/>
  <c r="C12" i="8"/>
  <c r="L3" i="8" s="1"/>
  <c r="AH74" i="8"/>
  <c r="W241" i="10"/>
  <c r="W197" i="10" s="1"/>
  <c r="W196" i="10" s="1"/>
  <c r="W198" i="10"/>
  <c r="AI84" i="10"/>
  <c r="AJ84" i="10" s="1"/>
  <c r="BX74" i="14"/>
  <c r="CA74" i="14" s="1"/>
  <c r="BX67" i="14"/>
  <c r="CA67" i="14" s="1"/>
  <c r="AS78" i="8"/>
  <c r="AO74" i="8"/>
  <c r="Y12" i="8"/>
  <c r="AC111" i="6"/>
  <c r="AC57" i="6"/>
  <c r="AC21" i="6"/>
  <c r="W291" i="10"/>
  <c r="W171" i="10"/>
  <c r="W130" i="10" s="1"/>
  <c r="AI165" i="10"/>
  <c r="AJ165" i="10" s="1"/>
  <c r="AI145" i="10"/>
  <c r="AJ145" i="10" s="1"/>
  <c r="AI109" i="10"/>
  <c r="AJ109" i="10" s="1"/>
  <c r="AI90" i="10"/>
  <c r="AJ90" i="10" s="1"/>
  <c r="AD10" i="10"/>
  <c r="BV72" i="14"/>
  <c r="BY72" i="14" s="1"/>
  <c r="BX71" i="14"/>
  <c r="CA71" i="14" s="1"/>
  <c r="AK50" i="14"/>
  <c r="AU50" i="14"/>
  <c r="BO34" i="14"/>
  <c r="BE16" i="14"/>
  <c r="AP12" i="14"/>
  <c r="BX7" i="14"/>
  <c r="CA7" i="14" s="1"/>
  <c r="BX6" i="14"/>
  <c r="CA6" i="14" s="1"/>
  <c r="E74" i="8"/>
  <c r="N5" i="8" s="1"/>
  <c r="AB12" i="8"/>
  <c r="AA53" i="10"/>
  <c r="AE291" i="10"/>
  <c r="S30" i="10"/>
  <c r="AK74" i="8"/>
  <c r="AB104" i="6"/>
  <c r="AI298" i="10"/>
  <c r="AJ298" i="10" s="1"/>
  <c r="E197" i="10"/>
  <c r="E196" i="10" s="1"/>
  <c r="E389" i="10" s="1"/>
  <c r="AA157" i="10"/>
  <c r="AA130" i="10" s="1"/>
  <c r="BX51" i="14"/>
  <c r="CA51" i="14" s="1"/>
  <c r="BE39" i="14"/>
  <c r="AK5" i="14"/>
  <c r="AT72" i="8"/>
  <c r="AT67" i="8"/>
  <c r="AB90" i="6"/>
  <c r="G50" i="6"/>
  <c r="O198" i="10"/>
  <c r="AJ152" i="10"/>
  <c r="AI96" i="10"/>
  <c r="AJ96" i="10" s="1"/>
  <c r="O53" i="10"/>
  <c r="O38" i="10" s="1"/>
  <c r="BX68" i="14"/>
  <c r="CA68" i="14" s="1"/>
  <c r="BV63" i="14"/>
  <c r="BY63" i="14" s="1"/>
  <c r="BX44" i="14"/>
  <c r="CA44" i="14" s="1"/>
  <c r="BX38" i="14"/>
  <c r="CA38" i="14" s="1"/>
  <c r="AS46" i="8"/>
  <c r="AT56" i="8"/>
  <c r="AS47" i="8"/>
  <c r="AC81" i="6"/>
  <c r="AA328" i="10"/>
  <c r="AJ61" i="8"/>
  <c r="F111" i="6"/>
  <c r="F97" i="6"/>
  <c r="AF57" i="6"/>
  <c r="AC22" i="6"/>
  <c r="G130" i="10"/>
  <c r="G387" i="10" s="1"/>
  <c r="S80" i="14"/>
  <c r="E83" i="14"/>
  <c r="BY83" i="14" s="1"/>
  <c r="BW63" i="14"/>
  <c r="BZ63" i="14" s="1"/>
  <c r="AN58" i="8"/>
  <c r="AR61" i="8"/>
  <c r="AT64" i="8"/>
  <c r="AT63" i="8"/>
  <c r="AJ74" i="8"/>
  <c r="AK62" i="8"/>
  <c r="AS62" i="8" s="1"/>
  <c r="G48" i="6"/>
  <c r="AI361" i="10"/>
  <c r="AJ361" i="10" s="1"/>
  <c r="S291" i="10"/>
  <c r="AI267" i="10"/>
  <c r="AJ267" i="10" s="1"/>
  <c r="AI235" i="10"/>
  <c r="AJ235" i="10" s="1"/>
  <c r="AI199" i="10"/>
  <c r="AJ199" i="10" s="1"/>
  <c r="AI66" i="10"/>
  <c r="AJ66" i="10" s="1"/>
  <c r="AI60" i="10"/>
  <c r="AJ60" i="10" s="1"/>
  <c r="AI54" i="10"/>
  <c r="AI12" i="10"/>
  <c r="AJ12" i="10" s="1"/>
  <c r="F83" i="14"/>
  <c r="BZ83" i="14" s="1"/>
  <c r="BX77" i="14"/>
  <c r="CA77" i="14" s="1"/>
  <c r="BX76" i="14"/>
  <c r="CA76" i="14" s="1"/>
  <c r="AA72" i="14"/>
  <c r="BJ32" i="14"/>
  <c r="BX9" i="14"/>
  <c r="CA9" i="14" s="1"/>
  <c r="W71" i="8"/>
  <c r="W61" i="8" s="1"/>
  <c r="S71" i="8"/>
  <c r="S61" i="8" s="1"/>
  <c r="AM81" i="8"/>
  <c r="AM79" i="8" s="1"/>
  <c r="AI80" i="8"/>
  <c r="AT42" i="8"/>
  <c r="AI355" i="10"/>
  <c r="AJ355" i="10" s="1"/>
  <c r="O291" i="10"/>
  <c r="O197" i="10" s="1"/>
  <c r="O196" i="10" s="1"/>
  <c r="AE198" i="10"/>
  <c r="AA198" i="10"/>
  <c r="G197" i="10"/>
  <c r="G196" i="10" s="1"/>
  <c r="G389" i="10" s="1"/>
  <c r="W157" i="10"/>
  <c r="W132" i="10"/>
  <c r="K115" i="10"/>
  <c r="AI108" i="10"/>
  <c r="AJ108" i="10" s="1"/>
  <c r="AI78" i="10"/>
  <c r="AJ78" i="10" s="1"/>
  <c r="W53" i="10"/>
  <c r="O30" i="10"/>
  <c r="BO72" i="14"/>
  <c r="BO43" i="14"/>
  <c r="BI32" i="14"/>
  <c r="AT32" i="14"/>
  <c r="AH32" i="14"/>
  <c r="I43" i="8"/>
  <c r="AT46" i="8"/>
  <c r="AT57" i="8"/>
  <c r="AD43" i="8"/>
  <c r="AI61" i="8"/>
  <c r="AT71" i="8"/>
  <c r="AT69" i="8"/>
  <c r="AT68" i="8"/>
  <c r="AT66" i="8"/>
  <c r="AN61" i="8"/>
  <c r="X89" i="6"/>
  <c r="X88" i="6" s="1"/>
  <c r="X119" i="6" s="1"/>
  <c r="AB61" i="6"/>
  <c r="AI279" i="10"/>
  <c r="AJ279" i="10" s="1"/>
  <c r="AI229" i="10"/>
  <c r="AJ229" i="10" s="1"/>
  <c r="K198" i="10"/>
  <c r="F197" i="10"/>
  <c r="F196" i="10" s="1"/>
  <c r="AI190" i="10"/>
  <c r="AJ190" i="10" s="1"/>
  <c r="AJ183" i="10"/>
  <c r="AE171" i="10"/>
  <c r="AI151" i="10"/>
  <c r="AJ151" i="10" s="1"/>
  <c r="AI139" i="10"/>
  <c r="AJ139" i="10" s="1"/>
  <c r="S132" i="10"/>
  <c r="AI102" i="10"/>
  <c r="AJ102" i="10" s="1"/>
  <c r="S53" i="10"/>
  <c r="S38" i="10" s="1"/>
  <c r="AJ50" i="10"/>
  <c r="W39" i="10"/>
  <c r="AJ22" i="10"/>
  <c r="AI18" i="10"/>
  <c r="AJ18" i="10" s="1"/>
  <c r="AU58" i="14"/>
  <c r="BE43" i="14"/>
  <c r="BX42" i="14"/>
  <c r="CA42" i="14" s="1"/>
  <c r="AS32" i="14"/>
  <c r="AZ31" i="14"/>
  <c r="BZ28" i="14"/>
  <c r="AH12" i="14"/>
  <c r="E17" i="14"/>
  <c r="BY17" i="14" s="1"/>
  <c r="AG12" i="14"/>
  <c r="AO5" i="14"/>
  <c r="E40" i="8"/>
  <c r="AN59" i="8"/>
  <c r="AN44" i="8" s="1"/>
  <c r="AN43" i="8" s="1"/>
  <c r="AC43" i="8"/>
  <c r="AC61" i="6"/>
  <c r="AD7" i="6"/>
  <c r="G376" i="10"/>
  <c r="AI367" i="10"/>
  <c r="AJ367" i="10" s="1"/>
  <c r="O328" i="10"/>
  <c r="AI316" i="10"/>
  <c r="AJ316" i="10" s="1"/>
  <c r="AA291" i="10"/>
  <c r="AI266" i="10"/>
  <c r="AI217" i="10"/>
  <c r="AJ217" i="10" s="1"/>
  <c r="AI184" i="10"/>
  <c r="AJ184" i="10" s="1"/>
  <c r="AI172" i="10"/>
  <c r="AJ172" i="10" s="1"/>
  <c r="F130" i="10"/>
  <c r="W115" i="10"/>
  <c r="F38" i="10"/>
  <c r="AI46" i="10"/>
  <c r="BX73" i="14"/>
  <c r="CA73" i="14" s="1"/>
  <c r="BW72" i="14"/>
  <c r="BZ72" i="14" s="1"/>
  <c r="AK65" i="14"/>
  <c r="BX46" i="14"/>
  <c r="CA46" i="14" s="1"/>
  <c r="BX45" i="14"/>
  <c r="CA45" i="14" s="1"/>
  <c r="AA39" i="14"/>
  <c r="BA32" i="14"/>
  <c r="BW26" i="14"/>
  <c r="BZ26" i="14" s="1"/>
  <c r="BX21" i="14"/>
  <c r="CA21" i="14" s="1"/>
  <c r="AK16" i="14"/>
  <c r="BX15" i="14"/>
  <c r="CA15" i="14" s="1"/>
  <c r="AB43" i="8"/>
  <c r="AG40" i="8"/>
  <c r="AG12" i="8" s="1"/>
  <c r="AN40" i="8"/>
  <c r="AL74" i="8"/>
  <c r="F80" i="6"/>
  <c r="G54" i="6"/>
  <c r="G46" i="6"/>
  <c r="G44" i="6"/>
  <c r="AI329" i="10"/>
  <c r="AJ329" i="10" s="1"/>
  <c r="AI254" i="10"/>
  <c r="AJ254" i="10" s="1"/>
  <c r="K171" i="10"/>
  <c r="AE157" i="10"/>
  <c r="AI157" i="10" s="1"/>
  <c r="AJ157" i="10" s="1"/>
  <c r="AE132" i="10"/>
  <c r="E130" i="10"/>
  <c r="E387" i="10" s="1"/>
  <c r="S115" i="10"/>
  <c r="AI72" i="10"/>
  <c r="AJ72" i="10" s="1"/>
  <c r="G53" i="10"/>
  <c r="AE53" i="10"/>
  <c r="AJ52" i="10"/>
  <c r="AJ23" i="10"/>
  <c r="AA65" i="14"/>
  <c r="BW65" i="14"/>
  <c r="BZ65" i="14" s="1"/>
  <c r="AA50" i="14"/>
  <c r="AA49" i="14" s="1"/>
  <c r="AA48" i="14" s="1"/>
  <c r="BW50" i="14"/>
  <c r="BZ50" i="14" s="1"/>
  <c r="G43" i="14"/>
  <c r="AU39" i="14"/>
  <c r="M32" i="14"/>
  <c r="AU34" i="14"/>
  <c r="AU32" i="14" s="1"/>
  <c r="AE31" i="14"/>
  <c r="BO5" i="14"/>
  <c r="E79" i="8"/>
  <c r="K87" i="8" s="1"/>
  <c r="E25" i="8"/>
  <c r="W44" i="8"/>
  <c r="AM59" i="8"/>
  <c r="L12" i="8"/>
  <c r="AQ74" i="8"/>
  <c r="AG79" i="8"/>
  <c r="J43" i="8"/>
  <c r="AS63" i="8"/>
  <c r="AA43" i="8"/>
  <c r="Y43" i="8"/>
  <c r="Y82" i="8" s="1"/>
  <c r="AO61" i="8"/>
  <c r="AF82" i="8"/>
  <c r="AD82" i="8"/>
  <c r="AG74" i="8"/>
  <c r="O12" i="8"/>
  <c r="AM58" i="8"/>
  <c r="AS58" i="8" s="1"/>
  <c r="AI81" i="8"/>
  <c r="AS22" i="8"/>
  <c r="AT21" i="8"/>
  <c r="AT28" i="8"/>
  <c r="AT37" i="8"/>
  <c r="AS32" i="8"/>
  <c r="AS45" i="8"/>
  <c r="AP25" i="8"/>
  <c r="AQ44" i="8"/>
  <c r="AQ43" i="8" s="1"/>
  <c r="E62" i="8"/>
  <c r="E61" i="8" s="1"/>
  <c r="CF91" i="8"/>
  <c r="S44" i="8"/>
  <c r="S43" i="8" s="1"/>
  <c r="AM60" i="8"/>
  <c r="AS60" i="8" s="1"/>
  <c r="Z43" i="8"/>
  <c r="Z82" i="8" s="1"/>
  <c r="AT22" i="8"/>
  <c r="AU22" i="8" s="1"/>
  <c r="AS19" i="8"/>
  <c r="AS17" i="8"/>
  <c r="AQ25" i="8"/>
  <c r="AH12" i="8"/>
  <c r="AU47" i="8"/>
  <c r="AR59" i="8"/>
  <c r="AR44" i="8" s="1"/>
  <c r="AR43" i="8" s="1"/>
  <c r="AN81" i="8"/>
  <c r="AN79" i="8" s="1"/>
  <c r="AG44" i="8"/>
  <c r="AT80" i="8"/>
  <c r="AS75" i="8"/>
  <c r="AJ81" i="8"/>
  <c r="AJ79" i="8" s="1"/>
  <c r="T12" i="8"/>
  <c r="AT62" i="8"/>
  <c r="AS72" i="8"/>
  <c r="AS66" i="8"/>
  <c r="AT49" i="8"/>
  <c r="AS28" i="8"/>
  <c r="AU28" i="8" s="1"/>
  <c r="E13" i="8"/>
  <c r="E12" i="8" s="1"/>
  <c r="N3" i="8" s="1"/>
  <c r="AT26" i="8"/>
  <c r="AT36" i="8"/>
  <c r="AS34" i="8"/>
  <c r="AN25" i="8"/>
  <c r="AR25" i="8"/>
  <c r="AT32" i="8"/>
  <c r="AU32" i="8" s="1"/>
  <c r="AS33" i="8"/>
  <c r="AT29" i="8"/>
  <c r="AT33" i="8"/>
  <c r="AT41" i="8"/>
  <c r="AL40" i="8"/>
  <c r="P12" i="8"/>
  <c r="AT16" i="8"/>
  <c r="H88" i="6"/>
  <c r="G38" i="10"/>
  <c r="G386" i="10" s="1"/>
  <c r="V5" i="10"/>
  <c r="AB31" i="10"/>
  <c r="AB5" i="10" s="1"/>
  <c r="G385" i="10"/>
  <c r="C43" i="8"/>
  <c r="L4" i="8" s="1"/>
  <c r="B25" i="12"/>
  <c r="E25" i="12" s="1"/>
  <c r="C89" i="6"/>
  <c r="C88" i="6" s="1"/>
  <c r="P89" i="6"/>
  <c r="P88" i="6" s="1"/>
  <c r="AE197" i="10"/>
  <c r="AA197" i="10"/>
  <c r="AA196" i="10" s="1"/>
  <c r="F105" i="6"/>
  <c r="F104" i="6" s="1"/>
  <c r="E104" i="6"/>
  <c r="T80" i="6"/>
  <c r="L80" i="6"/>
  <c r="B11" i="12"/>
  <c r="E11" i="12" s="1"/>
  <c r="D12" i="12"/>
  <c r="G12" i="12" s="1"/>
  <c r="E12" i="12"/>
  <c r="AE328" i="10"/>
  <c r="S130" i="10"/>
  <c r="AK71" i="8"/>
  <c r="AB111" i="6"/>
  <c r="T89" i="6"/>
  <c r="T88" i="6" s="1"/>
  <c r="AC90" i="6"/>
  <c r="D61" i="6"/>
  <c r="D10" i="6" s="1"/>
  <c r="E67" i="6"/>
  <c r="F67" i="6" s="1"/>
  <c r="C20" i="12"/>
  <c r="G67" i="6"/>
  <c r="G61" i="6" s="1"/>
  <c r="AI241" i="10"/>
  <c r="AJ241" i="10" s="1"/>
  <c r="S129" i="10"/>
  <c r="AA129" i="10"/>
  <c r="T129" i="10"/>
  <c r="T38" i="10" s="1"/>
  <c r="AB129" i="10"/>
  <c r="AB38" i="10" s="1"/>
  <c r="U129" i="10"/>
  <c r="U38" i="10" s="1"/>
  <c r="AC129" i="10"/>
  <c r="V129" i="10"/>
  <c r="V38" i="10" s="1"/>
  <c r="W129" i="10"/>
  <c r="X129" i="10"/>
  <c r="X38" i="10" s="1"/>
  <c r="Y129" i="10"/>
  <c r="Y38" i="10" s="1"/>
  <c r="R129" i="10"/>
  <c r="Z129" i="10"/>
  <c r="Z38" i="10" s="1"/>
  <c r="AB81" i="6"/>
  <c r="H80" i="6"/>
  <c r="C15" i="12"/>
  <c r="C14" i="12" s="1"/>
  <c r="K130" i="10"/>
  <c r="AJ54" i="10"/>
  <c r="G102" i="6"/>
  <c r="F90" i="6"/>
  <c r="G90" i="6"/>
  <c r="C24" i="12"/>
  <c r="D89" i="6"/>
  <c r="N20" i="6"/>
  <c r="O20" i="6"/>
  <c r="P20" i="6"/>
  <c r="Q20" i="6"/>
  <c r="F20" i="6"/>
  <c r="F11" i="6" s="1"/>
  <c r="R20" i="6"/>
  <c r="S20" i="6"/>
  <c r="L20" i="6"/>
  <c r="T20" i="6"/>
  <c r="T11" i="6" s="1"/>
  <c r="T10" i="6" s="1"/>
  <c r="M20" i="6"/>
  <c r="AB20" i="6"/>
  <c r="AI347" i="10"/>
  <c r="AJ347" i="10" s="1"/>
  <c r="AJ292" i="10"/>
  <c r="AI24" i="10"/>
  <c r="AJ24" i="10" s="1"/>
  <c r="E121" i="6"/>
  <c r="E111" i="6"/>
  <c r="B26" i="12"/>
  <c r="E26" i="12" s="1"/>
  <c r="E102" i="6"/>
  <c r="AC97" i="6"/>
  <c r="F373" i="10"/>
  <c r="AJ46" i="10"/>
  <c r="E38" i="10"/>
  <c r="X373" i="10"/>
  <c r="Q61" i="8"/>
  <c r="Q43" i="8" s="1"/>
  <c r="D28" i="12"/>
  <c r="G28" i="12" s="1"/>
  <c r="F28" i="12"/>
  <c r="AC104" i="6"/>
  <c r="F57" i="6"/>
  <c r="E63" i="6"/>
  <c r="F59" i="6"/>
  <c r="J8" i="6"/>
  <c r="C4" i="6"/>
  <c r="AI248" i="10"/>
  <c r="AJ248" i="10" s="1"/>
  <c r="AI211" i="10"/>
  <c r="AJ211" i="10" s="1"/>
  <c r="AE10" i="10"/>
  <c r="W10" i="10"/>
  <c r="O10" i="10"/>
  <c r="T5" i="10"/>
  <c r="D26" i="12"/>
  <c r="G26" i="12" s="1"/>
  <c r="J80" i="14"/>
  <c r="T67" i="14"/>
  <c r="T65" i="14"/>
  <c r="R65" i="14"/>
  <c r="T63" i="14"/>
  <c r="G80" i="6"/>
  <c r="E11" i="6"/>
  <c r="AI304" i="10"/>
  <c r="AJ304" i="10" s="1"/>
  <c r="S198" i="10"/>
  <c r="AO197" i="10"/>
  <c r="AP197" i="10" s="1"/>
  <c r="AI116" i="10"/>
  <c r="AI40" i="10"/>
  <c r="AJ40" i="10" s="1"/>
  <c r="AE30" i="10"/>
  <c r="T78" i="14"/>
  <c r="T75" i="14"/>
  <c r="H63" i="14"/>
  <c r="C27" i="6"/>
  <c r="C22" i="6" s="1"/>
  <c r="G20" i="6"/>
  <c r="G11" i="6" s="1"/>
  <c r="F8" i="6"/>
  <c r="F4" i="6" s="1"/>
  <c r="AJ284" i="10"/>
  <c r="AJ266" i="10" s="1"/>
  <c r="AI242" i="10"/>
  <c r="AJ242" i="10" s="1"/>
  <c r="AA31" i="10"/>
  <c r="AA30" i="10" s="1"/>
  <c r="AI28" i="10"/>
  <c r="AJ28" i="10" s="1"/>
  <c r="AC10" i="10"/>
  <c r="U10" i="10"/>
  <c r="R5" i="10"/>
  <c r="Q72" i="14"/>
  <c r="T72" i="14" s="1"/>
  <c r="R63" i="14"/>
  <c r="C11" i="6"/>
  <c r="K328" i="10"/>
  <c r="O171" i="10"/>
  <c r="K53" i="10"/>
  <c r="Z31" i="10"/>
  <c r="Z5" i="10" s="1"/>
  <c r="AB10" i="10"/>
  <c r="T10" i="10"/>
  <c r="BX80" i="14"/>
  <c r="CA80" i="14" s="1"/>
  <c r="T77" i="14"/>
  <c r="K291" i="10"/>
  <c r="K197" i="10" s="1"/>
  <c r="AJ64" i="10"/>
  <c r="AA10" i="10"/>
  <c r="S10" i="10"/>
  <c r="P5" i="10"/>
  <c r="P373" i="10" s="1"/>
  <c r="C25" i="12"/>
  <c r="F25" i="12" s="1"/>
  <c r="B19" i="12"/>
  <c r="E19" i="12" s="1"/>
  <c r="J72" i="14"/>
  <c r="E23" i="6"/>
  <c r="E22" i="6" s="1"/>
  <c r="AI159" i="10"/>
  <c r="AJ159" i="10" s="1"/>
  <c r="AH10" i="10"/>
  <c r="Z10" i="10"/>
  <c r="R10" i="10"/>
  <c r="G17" i="12"/>
  <c r="BX78" i="14"/>
  <c r="CA78" i="14" s="1"/>
  <c r="BE72" i="14"/>
  <c r="T69" i="14"/>
  <c r="J65" i="14"/>
  <c r="K30" i="10"/>
  <c r="K5" i="10" s="1"/>
  <c r="AG10" i="10"/>
  <c r="Y10" i="10"/>
  <c r="Q10" i="10"/>
  <c r="H7" i="14"/>
  <c r="S11" i="14"/>
  <c r="R15" i="14"/>
  <c r="S17" i="14"/>
  <c r="S19" i="14"/>
  <c r="J20" i="14"/>
  <c r="R22" i="14"/>
  <c r="I23" i="14"/>
  <c r="S5" i="14"/>
  <c r="R6" i="14"/>
  <c r="I7" i="14"/>
  <c r="R10" i="14"/>
  <c r="T11" i="14"/>
  <c r="R7" i="14"/>
  <c r="J9" i="14"/>
  <c r="H10" i="14"/>
  <c r="I11" i="14"/>
  <c r="J14" i="14"/>
  <c r="H6" i="14"/>
  <c r="S7" i="14"/>
  <c r="H8" i="14"/>
  <c r="I10" i="14"/>
  <c r="J11" i="14"/>
  <c r="I6" i="14"/>
  <c r="I8" i="14"/>
  <c r="R9" i="14"/>
  <c r="J10" i="14"/>
  <c r="R14" i="14"/>
  <c r="J15" i="14"/>
  <c r="I5" i="14"/>
  <c r="J6" i="14"/>
  <c r="J8" i="14"/>
  <c r="S9" i="14"/>
  <c r="R11" i="14"/>
  <c r="J7" i="14"/>
  <c r="H14" i="14"/>
  <c r="H15" i="14"/>
  <c r="S16" i="14"/>
  <c r="I17" i="14"/>
  <c r="I19" i="14"/>
  <c r="I20" i="14"/>
  <c r="S6" i="14"/>
  <c r="I14" i="14"/>
  <c r="I15" i="14"/>
  <c r="J17" i="14"/>
  <c r="I18" i="14"/>
  <c r="T6" i="14"/>
  <c r="H9" i="14"/>
  <c r="R20" i="14"/>
  <c r="S21" i="14"/>
  <c r="S23" i="14"/>
  <c r="I29" i="14"/>
  <c r="R8" i="14"/>
  <c r="H11" i="14"/>
  <c r="T15" i="14"/>
  <c r="T17" i="14"/>
  <c r="R18" i="14"/>
  <c r="T19" i="14"/>
  <c r="T22" i="14"/>
  <c r="H24" i="14"/>
  <c r="S25" i="14"/>
  <c r="H27" i="14"/>
  <c r="S8" i="14"/>
  <c r="S18" i="14"/>
  <c r="H21" i="14"/>
  <c r="I24" i="14"/>
  <c r="T25" i="14"/>
  <c r="H26" i="14"/>
  <c r="I27" i="14"/>
  <c r="S28" i="14"/>
  <c r="R29" i="14"/>
  <c r="S10" i="14"/>
  <c r="I16" i="14"/>
  <c r="I21" i="14"/>
  <c r="H23" i="14"/>
  <c r="J24" i="14"/>
  <c r="J27" i="14"/>
  <c r="S29" i="14"/>
  <c r="J30" i="14"/>
  <c r="T10" i="14"/>
  <c r="H13" i="14"/>
  <c r="R16" i="14"/>
  <c r="H17" i="14"/>
  <c r="H19" i="14"/>
  <c r="H20" i="14"/>
  <c r="J21" i="14"/>
  <c r="H22" i="14"/>
  <c r="J23" i="14"/>
  <c r="H25" i="14"/>
  <c r="T21" i="14"/>
  <c r="J22" i="14"/>
  <c r="R24" i="14"/>
  <c r="I25" i="14"/>
  <c r="R31" i="14"/>
  <c r="H37" i="14"/>
  <c r="S38" i="14"/>
  <c r="H40" i="14"/>
  <c r="S15" i="14"/>
  <c r="R17" i="14"/>
  <c r="S24" i="14"/>
  <c r="J25" i="14"/>
  <c r="R26" i="14"/>
  <c r="H30" i="14"/>
  <c r="S31" i="14"/>
  <c r="R36" i="14"/>
  <c r="I37" i="14"/>
  <c r="T38" i="14"/>
  <c r="H39" i="14"/>
  <c r="I40" i="14"/>
  <c r="R42" i="14"/>
  <c r="J19" i="14"/>
  <c r="S20" i="14"/>
  <c r="S22" i="14"/>
  <c r="J26" i="14"/>
  <c r="S26" i="14"/>
  <c r="R27" i="14"/>
  <c r="H29" i="14"/>
  <c r="I30" i="14"/>
  <c r="T31" i="14"/>
  <c r="H35" i="14"/>
  <c r="S36" i="14"/>
  <c r="J37" i="14"/>
  <c r="J40" i="14"/>
  <c r="R19" i="14"/>
  <c r="R30" i="14"/>
  <c r="I34" i="14"/>
  <c r="J35" i="14"/>
  <c r="R37" i="14"/>
  <c r="I38" i="14"/>
  <c r="S39" i="14"/>
  <c r="S30" i="14"/>
  <c r="H31" i="14"/>
  <c r="H36" i="14"/>
  <c r="S37" i="14"/>
  <c r="J38" i="14"/>
  <c r="S40" i="14"/>
  <c r="H42" i="14"/>
  <c r="I28" i="14"/>
  <c r="I31" i="14"/>
  <c r="R35" i="14"/>
  <c r="I36" i="14"/>
  <c r="R41" i="14"/>
  <c r="I42" i="14"/>
  <c r="S14" i="14"/>
  <c r="R21" i="14"/>
  <c r="I22" i="14"/>
  <c r="R23" i="14"/>
  <c r="J31" i="14"/>
  <c r="I9" i="14"/>
  <c r="T36" i="14"/>
  <c r="J39" i="14"/>
  <c r="R39" i="14"/>
  <c r="S41" i="14"/>
  <c r="S44" i="14"/>
  <c r="R47" i="14"/>
  <c r="H52" i="14"/>
  <c r="S53" i="14"/>
  <c r="J54" i="14"/>
  <c r="S56" i="14"/>
  <c r="J57" i="14"/>
  <c r="S59" i="14"/>
  <c r="J60" i="14"/>
  <c r="R62" i="14"/>
  <c r="S27" i="14"/>
  <c r="S42" i="14"/>
  <c r="R45" i="14"/>
  <c r="H46" i="14"/>
  <c r="S47" i="14"/>
  <c r="S50" i="14"/>
  <c r="R51" i="14"/>
  <c r="I52" i="14"/>
  <c r="T53" i="14"/>
  <c r="I55" i="14"/>
  <c r="T56" i="14"/>
  <c r="H38" i="14"/>
  <c r="T42" i="14"/>
  <c r="S45" i="14"/>
  <c r="I46" i="14"/>
  <c r="S51" i="14"/>
  <c r="J52" i="14"/>
  <c r="R54" i="14"/>
  <c r="J55" i="14"/>
  <c r="R57" i="14"/>
  <c r="R60" i="14"/>
  <c r="J29" i="14"/>
  <c r="R40" i="14"/>
  <c r="H44" i="14"/>
  <c r="T45" i="14"/>
  <c r="J46" i="14"/>
  <c r="T51" i="14"/>
  <c r="I35" i="14"/>
  <c r="R38" i="14"/>
  <c r="H41" i="14"/>
  <c r="I44" i="14"/>
  <c r="H47" i="14"/>
  <c r="R52" i="14"/>
  <c r="I53" i="14"/>
  <c r="T54" i="14"/>
  <c r="I56" i="14"/>
  <c r="T57" i="14"/>
  <c r="H58" i="14"/>
  <c r="I41" i="14"/>
  <c r="J44" i="14"/>
  <c r="H45" i="14"/>
  <c r="R46" i="14"/>
  <c r="I47" i="14"/>
  <c r="H51" i="14"/>
  <c r="S52" i="14"/>
  <c r="J53" i="14"/>
  <c r="J56" i="14"/>
  <c r="I58" i="14"/>
  <c r="J59" i="14"/>
  <c r="S35" i="14"/>
  <c r="J36" i="14"/>
  <c r="J41" i="14"/>
  <c r="I45" i="14"/>
  <c r="S46" i="14"/>
  <c r="J47" i="14"/>
  <c r="I51" i="14"/>
  <c r="H54" i="14"/>
  <c r="H57" i="14"/>
  <c r="H60" i="14"/>
  <c r="S61" i="14"/>
  <c r="R25" i="14"/>
  <c r="H34" i="14"/>
  <c r="J42" i="14"/>
  <c r="H43" i="14"/>
  <c r="R44" i="14"/>
  <c r="J45" i="14"/>
  <c r="T46" i="14"/>
  <c r="I50" i="14"/>
  <c r="J51" i="14"/>
  <c r="R53" i="14"/>
  <c r="I54" i="14"/>
  <c r="R56" i="14"/>
  <c r="I57" i="14"/>
  <c r="H56" i="14"/>
  <c r="S58" i="14"/>
  <c r="H59" i="14"/>
  <c r="S60" i="14"/>
  <c r="J61" i="14"/>
  <c r="I63" i="14"/>
  <c r="I65" i="14"/>
  <c r="J66" i="14"/>
  <c r="R68" i="14"/>
  <c r="I69" i="14"/>
  <c r="T70" i="14"/>
  <c r="T73" i="14"/>
  <c r="H75" i="14"/>
  <c r="S76" i="14"/>
  <c r="J77" i="14"/>
  <c r="R79" i="14"/>
  <c r="I80" i="14"/>
  <c r="S57" i="14"/>
  <c r="I59" i="14"/>
  <c r="T60" i="14"/>
  <c r="S62" i="14"/>
  <c r="H64" i="14"/>
  <c r="H67" i="14"/>
  <c r="S68" i="14"/>
  <c r="J69" i="14"/>
  <c r="R71" i="14"/>
  <c r="R74" i="14"/>
  <c r="I75" i="14"/>
  <c r="T76" i="14"/>
  <c r="H78" i="14"/>
  <c r="S79" i="14"/>
  <c r="R61" i="14"/>
  <c r="T62" i="14"/>
  <c r="S63" i="14"/>
  <c r="I64" i="14"/>
  <c r="S65" i="14"/>
  <c r="R66" i="14"/>
  <c r="I67" i="14"/>
  <c r="T68" i="14"/>
  <c r="H70" i="14"/>
  <c r="S71" i="14"/>
  <c r="H73" i="14"/>
  <c r="S74" i="14"/>
  <c r="J75" i="14"/>
  <c r="R77" i="14"/>
  <c r="I78" i="14"/>
  <c r="T79" i="14"/>
  <c r="H53" i="14"/>
  <c r="R59" i="14"/>
  <c r="T61" i="14"/>
  <c r="J64" i="14"/>
  <c r="S66" i="14"/>
  <c r="J67" i="14"/>
  <c r="R69" i="14"/>
  <c r="I70" i="14"/>
  <c r="T71" i="14"/>
  <c r="H72" i="14"/>
  <c r="I73" i="14"/>
  <c r="T74" i="14"/>
  <c r="H76" i="14"/>
  <c r="S77" i="14"/>
  <c r="J78" i="14"/>
  <c r="S54" i="14"/>
  <c r="T59" i="14"/>
  <c r="T66" i="14"/>
  <c r="H68" i="14"/>
  <c r="S69" i="14"/>
  <c r="J70" i="14"/>
  <c r="I72" i="14"/>
  <c r="J73" i="14"/>
  <c r="R75" i="14"/>
  <c r="I76" i="14"/>
  <c r="H62" i="14"/>
  <c r="R64" i="14"/>
  <c r="R67" i="14"/>
  <c r="I68" i="14"/>
  <c r="H71" i="14"/>
  <c r="H74" i="14"/>
  <c r="S75" i="14"/>
  <c r="J76" i="14"/>
  <c r="R78" i="14"/>
  <c r="I79" i="14"/>
  <c r="BZ82" i="14"/>
  <c r="I60" i="14"/>
  <c r="H61" i="14"/>
  <c r="I62" i="14"/>
  <c r="S64" i="14"/>
  <c r="H66" i="14"/>
  <c r="S67" i="14"/>
  <c r="J68" i="14"/>
  <c r="R70" i="14"/>
  <c r="I71" i="14"/>
  <c r="R73" i="14"/>
  <c r="I74" i="14"/>
  <c r="H77" i="14"/>
  <c r="S78" i="14"/>
  <c r="J79" i="14"/>
  <c r="I61" i="14"/>
  <c r="J62" i="14"/>
  <c r="I66" i="14"/>
  <c r="H69" i="14"/>
  <c r="S70" i="14"/>
  <c r="J71" i="14"/>
  <c r="S73" i="14"/>
  <c r="J74" i="14"/>
  <c r="R76" i="14"/>
  <c r="I77" i="14"/>
  <c r="H80" i="14"/>
  <c r="R80" i="14"/>
  <c r="H79" i="14"/>
  <c r="S72" i="14"/>
  <c r="U61" i="8"/>
  <c r="F27" i="6"/>
  <c r="AF10" i="10"/>
  <c r="X10" i="10"/>
  <c r="T80" i="14"/>
  <c r="R72" i="14"/>
  <c r="H65" i="14"/>
  <c r="J63" i="14"/>
  <c r="BX75" i="14"/>
  <c r="CA75" i="14" s="1"/>
  <c r="T64" i="14"/>
  <c r="BX61" i="14"/>
  <c r="CA61" i="14" s="1"/>
  <c r="BK49" i="14"/>
  <c r="BK48" i="14" s="1"/>
  <c r="R50" i="14"/>
  <c r="AY49" i="14"/>
  <c r="AY48" i="14" s="1"/>
  <c r="O49" i="14"/>
  <c r="R58" i="14"/>
  <c r="BN49" i="14"/>
  <c r="BB49" i="14"/>
  <c r="BB48" i="14" s="1"/>
  <c r="BB81" i="14" s="1"/>
  <c r="AP49" i="14"/>
  <c r="AP48" i="14" s="1"/>
  <c r="AP81" i="14" s="1"/>
  <c r="Z49" i="14"/>
  <c r="Z48" i="14" s="1"/>
  <c r="N49" i="14"/>
  <c r="N48" i="14" s="1"/>
  <c r="T47" i="14"/>
  <c r="BX66" i="14"/>
  <c r="CA66" i="14" s="1"/>
  <c r="BM49" i="14"/>
  <c r="BA49" i="14"/>
  <c r="BA48" i="14" s="1"/>
  <c r="AO49" i="14"/>
  <c r="AO48" i="14" s="1"/>
  <c r="Y49" i="14"/>
  <c r="Y48" i="14" s="1"/>
  <c r="M49" i="14"/>
  <c r="M48" i="14" s="1"/>
  <c r="M81" i="14" s="1"/>
  <c r="AK58" i="14"/>
  <c r="AI49" i="14"/>
  <c r="AI48" i="14" s="1"/>
  <c r="BL49" i="14"/>
  <c r="BL48" i="14" s="1"/>
  <c r="AZ49" i="14"/>
  <c r="AZ48" i="14" s="1"/>
  <c r="AJ49" i="14"/>
  <c r="AJ48" i="14" s="1"/>
  <c r="X49" i="14"/>
  <c r="X48" i="14" s="1"/>
  <c r="L49" i="14"/>
  <c r="L48" i="14" s="1"/>
  <c r="L81" i="14" s="1"/>
  <c r="BE63" i="14"/>
  <c r="BX63" i="14" s="1"/>
  <c r="CA63" i="14" s="1"/>
  <c r="BO58" i="14"/>
  <c r="W49" i="14"/>
  <c r="W48" i="14" s="1"/>
  <c r="BE58" i="14"/>
  <c r="Q58" i="14"/>
  <c r="T58" i="14" s="1"/>
  <c r="BC49" i="14"/>
  <c r="BC48" i="14" s="1"/>
  <c r="BV58" i="14"/>
  <c r="BY58" i="14" s="1"/>
  <c r="K49" i="14"/>
  <c r="K48" i="14" s="1"/>
  <c r="T52" i="14"/>
  <c r="BJ49" i="14"/>
  <c r="BJ48" i="14" s="1"/>
  <c r="AT49" i="14"/>
  <c r="AT48" i="14" s="1"/>
  <c r="AH49" i="14"/>
  <c r="AH48" i="14" s="1"/>
  <c r="V49" i="14"/>
  <c r="V48" i="14" s="1"/>
  <c r="J50" i="14"/>
  <c r="AQ49" i="14"/>
  <c r="AQ48" i="14" s="1"/>
  <c r="G49" i="14"/>
  <c r="J58" i="14"/>
  <c r="BI49" i="14"/>
  <c r="BI48" i="14" s="1"/>
  <c r="AS49" i="14"/>
  <c r="AS48" i="14" s="1"/>
  <c r="AG49" i="14"/>
  <c r="AG48" i="14" s="1"/>
  <c r="U49" i="14"/>
  <c r="U48" i="14" s="1"/>
  <c r="F49" i="14"/>
  <c r="BX62" i="14"/>
  <c r="CA62" i="14" s="1"/>
  <c r="AE49" i="14"/>
  <c r="AE48" i="14" s="1"/>
  <c r="AR49" i="14"/>
  <c r="AR48" i="14" s="1"/>
  <c r="AF49" i="14"/>
  <c r="AF48" i="14" s="1"/>
  <c r="P49" i="14"/>
  <c r="E49" i="14"/>
  <c r="J43" i="14"/>
  <c r="BX52" i="14"/>
  <c r="CA52" i="14" s="1"/>
  <c r="BV50" i="14"/>
  <c r="BY50" i="14" s="1"/>
  <c r="BE50" i="14"/>
  <c r="Q50" i="14"/>
  <c r="Q43" i="14"/>
  <c r="T41" i="14"/>
  <c r="T39" i="14"/>
  <c r="Q34" i="14"/>
  <c r="T37" i="14"/>
  <c r="BC32" i="14"/>
  <c r="AR32" i="14"/>
  <c r="AG32" i="14"/>
  <c r="BX29" i="14"/>
  <c r="CA29" i="14" s="1"/>
  <c r="AR10" i="14"/>
  <c r="AR5" i="14" s="1"/>
  <c r="AF5" i="14"/>
  <c r="H50" i="14"/>
  <c r="T44" i="14"/>
  <c r="S43" i="14"/>
  <c r="Z32" i="14"/>
  <c r="I39" i="14"/>
  <c r="BZ39" i="14"/>
  <c r="BM32" i="14"/>
  <c r="AQ32" i="14"/>
  <c r="AF32" i="14"/>
  <c r="J34" i="14"/>
  <c r="J33" i="14" s="1"/>
  <c r="T30" i="14"/>
  <c r="R43" i="14"/>
  <c r="H32" i="14"/>
  <c r="T35" i="14"/>
  <c r="BL32" i="14"/>
  <c r="AE32" i="14"/>
  <c r="P32" i="14"/>
  <c r="S32" i="14" s="1"/>
  <c r="S34" i="14"/>
  <c r="S33" i="14" s="1"/>
  <c r="P33" i="14"/>
  <c r="BW33" i="14" s="1"/>
  <c r="BZ33" i="14" s="1"/>
  <c r="F33" i="14"/>
  <c r="BD49" i="14"/>
  <c r="BD48" i="14" s="1"/>
  <c r="AA43" i="14"/>
  <c r="BO39" i="14"/>
  <c r="BO32" i="14" s="1"/>
  <c r="BK32" i="14"/>
  <c r="AZ32" i="14"/>
  <c r="AO32" i="14"/>
  <c r="O32" i="14"/>
  <c r="R32" i="14" s="1"/>
  <c r="Q28" i="14"/>
  <c r="T28" i="14" s="1"/>
  <c r="BN32" i="14"/>
  <c r="BE34" i="14"/>
  <c r="AY32" i="14"/>
  <c r="BE28" i="14"/>
  <c r="BV28" i="14"/>
  <c r="BY28" i="14" s="1"/>
  <c r="H28" i="14"/>
  <c r="AC79" i="8"/>
  <c r="AQ81" i="8"/>
  <c r="AQ79" i="8" s="1"/>
  <c r="BX40" i="14"/>
  <c r="CA40" i="14" s="1"/>
  <c r="T40" i="14"/>
  <c r="AJ32" i="14"/>
  <c r="Y32" i="14"/>
  <c r="L33" i="14"/>
  <c r="BX31" i="14"/>
  <c r="CA31" i="14" s="1"/>
  <c r="R28" i="14"/>
  <c r="AK34" i="14"/>
  <c r="X32" i="14"/>
  <c r="BX19" i="14"/>
  <c r="CA19" i="14" s="1"/>
  <c r="AK43" i="14"/>
  <c r="BX43" i="14" s="1"/>
  <c r="CA43" i="14" s="1"/>
  <c r="BW43" i="14"/>
  <c r="BZ43" i="14" s="1"/>
  <c r="I43" i="14"/>
  <c r="BX37" i="14"/>
  <c r="CA37" i="14" s="1"/>
  <c r="BD32" i="14"/>
  <c r="BW34" i="14"/>
  <c r="BZ34" i="14" s="1"/>
  <c r="W32" i="14"/>
  <c r="T24" i="14"/>
  <c r="J16" i="14"/>
  <c r="AO12" i="14"/>
  <c r="Y12" i="14"/>
  <c r="AK39" i="14"/>
  <c r="O33" i="14"/>
  <c r="BV33" i="14" s="1"/>
  <c r="BY33" i="14" s="1"/>
  <c r="G33" i="14"/>
  <c r="AY31" i="14"/>
  <c r="T18" i="14"/>
  <c r="BD12" i="14"/>
  <c r="BW13" i="14"/>
  <c r="BZ13" i="14" s="1"/>
  <c r="BY39" i="14"/>
  <c r="R34" i="14"/>
  <c r="T29" i="14"/>
  <c r="AU28" i="14"/>
  <c r="J28" i="14"/>
  <c r="AK26" i="14"/>
  <c r="AK12" i="14" s="1"/>
  <c r="BX23" i="14"/>
  <c r="CA23" i="14" s="1"/>
  <c r="AU16" i="14"/>
  <c r="BX16" i="14" s="1"/>
  <c r="CA16" i="14" s="1"/>
  <c r="J18" i="14"/>
  <c r="M33" i="14"/>
  <c r="X31" i="14"/>
  <c r="X81" i="14" s="1"/>
  <c r="AH31" i="14"/>
  <c r="AR31" i="14"/>
  <c r="BA31" i="14"/>
  <c r="BX18" i="14"/>
  <c r="CA18" i="14" s="1"/>
  <c r="AU13" i="14"/>
  <c r="N12" i="14"/>
  <c r="K33" i="14"/>
  <c r="BO26" i="14"/>
  <c r="AA26" i="14"/>
  <c r="BX22" i="14"/>
  <c r="CA22" i="14" s="1"/>
  <c r="BX20" i="14"/>
  <c r="CA20" i="14" s="1"/>
  <c r="BX17" i="14"/>
  <c r="CA17" i="14" s="1"/>
  <c r="AJ12" i="14"/>
  <c r="V32" i="14"/>
  <c r="V81" i="14" s="1"/>
  <c r="N32" i="14"/>
  <c r="AG31" i="14"/>
  <c r="BX30" i="14"/>
  <c r="CA30" i="14" s="1"/>
  <c r="BX27" i="14"/>
  <c r="CA27" i="14" s="1"/>
  <c r="BE26" i="14"/>
  <c r="T27" i="14"/>
  <c r="Q26" i="14"/>
  <c r="T26" i="14" s="1"/>
  <c r="BN12" i="14"/>
  <c r="Z12" i="14"/>
  <c r="T20" i="14"/>
  <c r="BM12" i="14"/>
  <c r="T8" i="14"/>
  <c r="AQ31" i="14"/>
  <c r="AF31" i="14"/>
  <c r="AU26" i="14"/>
  <c r="I26" i="14"/>
  <c r="T23" i="14"/>
  <c r="Q16" i="14"/>
  <c r="T16" i="14" s="1"/>
  <c r="E18" i="14"/>
  <c r="BK12" i="14"/>
  <c r="AZ12" i="14"/>
  <c r="AF12" i="14"/>
  <c r="H5" i="14"/>
  <c r="BA12" i="14"/>
  <c r="AS12" i="14"/>
  <c r="BJ12" i="14"/>
  <c r="AE12" i="14"/>
  <c r="G12" i="14"/>
  <c r="J13" i="14"/>
  <c r="BY5" i="14"/>
  <c r="BI12" i="14"/>
  <c r="AI12" i="14"/>
  <c r="P12" i="14"/>
  <c r="S13" i="14"/>
  <c r="Q5" i="14"/>
  <c r="AY12" i="14"/>
  <c r="AQ12" i="14"/>
  <c r="BX14" i="14"/>
  <c r="CA14" i="14" s="1"/>
  <c r="BE13" i="14"/>
  <c r="AA13" i="14"/>
  <c r="O12" i="14"/>
  <c r="R13" i="14"/>
  <c r="BX10" i="14"/>
  <c r="CA10" i="14" s="1"/>
  <c r="AY10" i="14"/>
  <c r="AY5" i="14" s="1"/>
  <c r="AG5" i="14"/>
  <c r="T9" i="14"/>
  <c r="BW5" i="14"/>
  <c r="BZ5" i="14" s="1"/>
  <c r="R5" i="14"/>
  <c r="M12" i="14"/>
  <c r="T14" i="14"/>
  <c r="BC12" i="14"/>
  <c r="BV13" i="14"/>
  <c r="BY13" i="14" s="1"/>
  <c r="X12" i="14"/>
  <c r="BE5" i="14"/>
  <c r="U12" i="14"/>
  <c r="BO13" i="14"/>
  <c r="BB12" i="14"/>
  <c r="AR12" i="14"/>
  <c r="W12" i="14"/>
  <c r="L12" i="14"/>
  <c r="AU5" i="14"/>
  <c r="T7" i="14"/>
  <c r="D12" i="8"/>
  <c r="M3" i="8" s="1"/>
  <c r="AS67" i="8"/>
  <c r="AT78" i="8"/>
  <c r="AU78" i="8" s="1"/>
  <c r="BV16" i="14"/>
  <c r="K12" i="14"/>
  <c r="BL12" i="14"/>
  <c r="V12" i="14"/>
  <c r="BX11" i="14"/>
  <c r="CA11" i="14" s="1"/>
  <c r="AJ25" i="8"/>
  <c r="AT12" i="14"/>
  <c r="F12" i="14"/>
  <c r="O79" i="8"/>
  <c r="AI44" i="8"/>
  <c r="AI43" i="8" s="1"/>
  <c r="AS73" i="8"/>
  <c r="AA8" i="14"/>
  <c r="AA5" i="14" s="1"/>
  <c r="G5" i="14"/>
  <c r="AS35" i="8"/>
  <c r="AU35" i="8" s="1"/>
  <c r="AL27" i="8"/>
  <c r="R44" i="8"/>
  <c r="R43" i="8" s="1"/>
  <c r="R82" i="8" s="1"/>
  <c r="AK81" i="8"/>
  <c r="AT39" i="8"/>
  <c r="AS49" i="8"/>
  <c r="AU49" i="8" s="1"/>
  <c r="AP61" i="8"/>
  <c r="AS70" i="8"/>
  <c r="AU70" i="8" s="1"/>
  <c r="Q13" i="14"/>
  <c r="I13" i="14"/>
  <c r="AT14" i="8"/>
  <c r="AG61" i="8"/>
  <c r="AG43" i="8" s="1"/>
  <c r="AT34" i="8"/>
  <c r="AU34" i="8" s="1"/>
  <c r="AI42" i="8"/>
  <c r="AS42" i="8" s="1"/>
  <c r="AM39" i="8"/>
  <c r="AS39" i="8" s="1"/>
  <c r="X44" i="8"/>
  <c r="X43" i="8" s="1"/>
  <c r="X82" i="8" s="1"/>
  <c r="AS18" i="8"/>
  <c r="AS16" i="8"/>
  <c r="AT73" i="8"/>
  <c r="I12" i="8"/>
  <c r="AO81" i="8"/>
  <c r="AO79" i="8" s="1"/>
  <c r="AT19" i="8"/>
  <c r="AU19" i="8" s="1"/>
  <c r="AR40" i="8"/>
  <c r="AO40" i="8"/>
  <c r="AK40" i="8"/>
  <c r="AS41" i="8"/>
  <c r="AS56" i="8"/>
  <c r="AU56" i="8" s="1"/>
  <c r="AS69" i="8"/>
  <c r="AU69" i="8" s="1"/>
  <c r="AS65" i="8"/>
  <c r="AS64" i="8"/>
  <c r="AU64" i="8" s="1"/>
  <c r="AT30" i="8"/>
  <c r="AP81" i="8"/>
  <c r="AP79" i="8" s="1"/>
  <c r="U79" i="8"/>
  <c r="AU46" i="8"/>
  <c r="AT45" i="8"/>
  <c r="AJ43" i="8"/>
  <c r="AS55" i="8"/>
  <c r="AU55" i="8" s="1"/>
  <c r="AK79" i="8"/>
  <c r="AI79" i="8"/>
  <c r="AS80" i="8"/>
  <c r="AK29" i="8"/>
  <c r="Q25" i="8"/>
  <c r="Q12" i="8" s="1"/>
  <c r="AK68" i="8"/>
  <c r="AL60" i="8"/>
  <c r="AA82" i="8"/>
  <c r="AB82" i="8"/>
  <c r="AT20" i="8"/>
  <c r="AT15" i="8"/>
  <c r="AN13" i="8"/>
  <c r="AL13" i="8"/>
  <c r="AJ13" i="8"/>
  <c r="AJ12" i="8" s="1"/>
  <c r="AI25" i="8"/>
  <c r="AS24" i="8"/>
  <c r="AS23" i="8"/>
  <c r="AR13" i="8"/>
  <c r="AP13" i="8"/>
  <c r="J82" i="8"/>
  <c r="N82" i="8"/>
  <c r="V12" i="8"/>
  <c r="M12" i="8"/>
  <c r="K12" i="8"/>
  <c r="K82" i="8" s="1"/>
  <c r="AS38" i="8"/>
  <c r="AU38" i="8" s="1"/>
  <c r="AS14" i="8"/>
  <c r="AI13" i="8"/>
  <c r="AT75" i="8"/>
  <c r="AC82" i="8"/>
  <c r="AU16" i="8"/>
  <c r="AU57" i="8"/>
  <c r="AL65" i="8"/>
  <c r="AL61" i="8" s="1"/>
  <c r="D91" i="8"/>
  <c r="D43" i="8"/>
  <c r="S31" i="8"/>
  <c r="AK31" i="8" s="1"/>
  <c r="AS31" i="8" s="1"/>
  <c r="AU31" i="8" s="1"/>
  <c r="AO59" i="8"/>
  <c r="AM36" i="8"/>
  <c r="AS36" i="8" s="1"/>
  <c r="AM30" i="8"/>
  <c r="AL58" i="8"/>
  <c r="AT58" i="8" s="1"/>
  <c r="T44" i="8"/>
  <c r="T43" i="8" s="1"/>
  <c r="AS26" i="8"/>
  <c r="M79" i="8"/>
  <c r="AS21" i="8"/>
  <c r="AS20" i="8"/>
  <c r="AT17" i="8"/>
  <c r="AU17" i="8" s="1"/>
  <c r="AM13" i="8"/>
  <c r="AK13" i="8"/>
  <c r="AH44" i="8"/>
  <c r="AH43" i="8" s="1"/>
  <c r="AH82" i="8" s="1"/>
  <c r="AT24" i="8"/>
  <c r="AT23" i="8"/>
  <c r="AQ13" i="8"/>
  <c r="AQ12" i="8" s="1"/>
  <c r="AO13" i="8"/>
  <c r="AT60" i="8"/>
  <c r="AP59" i="8"/>
  <c r="V44" i="8"/>
  <c r="V43" i="8" s="1"/>
  <c r="U44" i="8"/>
  <c r="U43" i="8" s="1"/>
  <c r="E44" i="8"/>
  <c r="AK44" i="8"/>
  <c r="AE82" i="8"/>
  <c r="L82" i="8"/>
  <c r="AT48" i="8"/>
  <c r="P82" i="8"/>
  <c r="AT18" i="8"/>
  <c r="AS15" i="8"/>
  <c r="AU15" i="8" s="1"/>
  <c r="AS37" i="8"/>
  <c r="AU37" i="8" s="1"/>
  <c r="AO25" i="8"/>
  <c r="AS29" i="8"/>
  <c r="D27" i="12"/>
  <c r="G27" i="12" s="1"/>
  <c r="C18" i="12"/>
  <c r="F18" i="12" s="1"/>
  <c r="B22" i="12"/>
  <c r="E23" i="12"/>
  <c r="F14" i="12"/>
  <c r="B18" i="12"/>
  <c r="E18" i="12" s="1"/>
  <c r="F27" i="12"/>
  <c r="E24" i="12"/>
  <c r="F19" i="12"/>
  <c r="D19" i="12"/>
  <c r="F15" i="12"/>
  <c r="AM71" i="8" l="1"/>
  <c r="AM61" i="8" s="1"/>
  <c r="AS81" i="8"/>
  <c r="O82" i="8"/>
  <c r="AU62" i="8"/>
  <c r="W43" i="8"/>
  <c r="W82" i="8" s="1"/>
  <c r="AT81" i="8"/>
  <c r="D25" i="12"/>
  <c r="G25" i="12" s="1"/>
  <c r="T82" i="8"/>
  <c r="AI12" i="8"/>
  <c r="AI82" i="8" s="1"/>
  <c r="AS71" i="8"/>
  <c r="AU71" i="8" s="1"/>
  <c r="AR12" i="8"/>
  <c r="AR82" i="8" s="1"/>
  <c r="AU20" i="8"/>
  <c r="N81" i="14"/>
  <c r="R33" i="14"/>
  <c r="BJ81" i="14"/>
  <c r="BX72" i="14"/>
  <c r="CA72" i="14" s="1"/>
  <c r="BX65" i="14"/>
  <c r="CA65" i="14" s="1"/>
  <c r="AI328" i="10"/>
  <c r="AJ328" i="10" s="1"/>
  <c r="AI53" i="10"/>
  <c r="AJ53" i="10" s="1"/>
  <c r="AU72" i="8"/>
  <c r="AS74" i="8"/>
  <c r="AB89" i="6"/>
  <c r="AP12" i="8"/>
  <c r="I82" i="8"/>
  <c r="AI171" i="10"/>
  <c r="AJ171" i="10" s="1"/>
  <c r="T373" i="10"/>
  <c r="AF61" i="6"/>
  <c r="AU66" i="8"/>
  <c r="D11" i="12"/>
  <c r="S25" i="8"/>
  <c r="S12" i="8" s="1"/>
  <c r="S82" i="8" s="1"/>
  <c r="AG81" i="14"/>
  <c r="BE49" i="14"/>
  <c r="BE48" i="14" s="1"/>
  <c r="AK49" i="14"/>
  <c r="AK48" i="14" s="1"/>
  <c r="H33" i="14"/>
  <c r="AE130" i="10"/>
  <c r="AQ81" i="14"/>
  <c r="BK81" i="14"/>
  <c r="R373" i="10"/>
  <c r="AU42" i="8"/>
  <c r="AU67" i="8"/>
  <c r="AA6" i="10"/>
  <c r="AA5" i="10" s="1"/>
  <c r="Z373" i="10"/>
  <c r="S197" i="10"/>
  <c r="S196" i="10" s="1"/>
  <c r="E89" i="6"/>
  <c r="F89" i="6" s="1"/>
  <c r="F88" i="6" s="1"/>
  <c r="AU63" i="8"/>
  <c r="AZ81" i="14"/>
  <c r="AS59" i="8"/>
  <c r="BA81" i="14"/>
  <c r="M82" i="8"/>
  <c r="U82" i="8"/>
  <c r="AU24" i="8"/>
  <c r="AU26" i="8"/>
  <c r="AN12" i="8"/>
  <c r="AN82" i="8" s="1"/>
  <c r="AH81" i="14"/>
  <c r="BX28" i="14"/>
  <c r="CA28" i="14" s="1"/>
  <c r="W81" i="14"/>
  <c r="K38" i="10"/>
  <c r="W128" i="10"/>
  <c r="Q82" i="8"/>
  <c r="AJ82" i="8"/>
  <c r="AU29" i="8"/>
  <c r="AM44" i="8"/>
  <c r="AM43" i="8" s="1"/>
  <c r="AS40" i="8"/>
  <c r="AU45" i="8"/>
  <c r="AU73" i="8"/>
  <c r="AU21" i="8"/>
  <c r="D82" i="8"/>
  <c r="D93" i="8" s="1"/>
  <c r="M4" i="8"/>
  <c r="C82" i="8"/>
  <c r="C93" i="8" s="1"/>
  <c r="AO12" i="8"/>
  <c r="AU18" i="8"/>
  <c r="AU36" i="8"/>
  <c r="AU33" i="8"/>
  <c r="AU23" i="8"/>
  <c r="AU41" i="8"/>
  <c r="AT40" i="8"/>
  <c r="V82" i="8"/>
  <c r="AU60" i="8"/>
  <c r="B15" i="12"/>
  <c r="G22" i="6"/>
  <c r="K196" i="10"/>
  <c r="AU39" i="8"/>
  <c r="BX5" i="14"/>
  <c r="CA5" i="14" s="1"/>
  <c r="J5" i="14"/>
  <c r="G93" i="14"/>
  <c r="R12" i="14"/>
  <c r="Z81" i="14"/>
  <c r="J32" i="14"/>
  <c r="G95" i="14"/>
  <c r="T50" i="14"/>
  <c r="Q49" i="14"/>
  <c r="K81" i="14"/>
  <c r="AY81" i="14"/>
  <c r="AB8" i="6"/>
  <c r="AC8" i="6"/>
  <c r="H4" i="6"/>
  <c r="AC20" i="6"/>
  <c r="L11" i="6"/>
  <c r="W30" i="10"/>
  <c r="AC38" i="10"/>
  <c r="AC373" i="10"/>
  <c r="AI198" i="10"/>
  <c r="AE196" i="10"/>
  <c r="AJ81" i="14"/>
  <c r="H49" i="14"/>
  <c r="E48" i="14"/>
  <c r="BI81" i="14"/>
  <c r="G89" i="6"/>
  <c r="D88" i="6"/>
  <c r="G88" i="6" s="1"/>
  <c r="BX8" i="14"/>
  <c r="CA8" i="14" s="1"/>
  <c r="AA12" i="14"/>
  <c r="AI81" i="14"/>
  <c r="J12" i="14"/>
  <c r="G94" i="14"/>
  <c r="AU12" i="14"/>
  <c r="BL81" i="14"/>
  <c r="BV32" i="14"/>
  <c r="BY32" i="14" s="1"/>
  <c r="P48" i="14"/>
  <c r="S48" i="14" s="1"/>
  <c r="S49" i="14"/>
  <c r="AI115" i="10"/>
  <c r="AJ115" i="10" s="1"/>
  <c r="AJ116" i="10"/>
  <c r="O6" i="10"/>
  <c r="AI10" i="10"/>
  <c r="AJ10" i="10" s="1"/>
  <c r="AK291" i="10"/>
  <c r="C23" i="12"/>
  <c r="D24" i="12"/>
  <c r="G24" i="12" s="1"/>
  <c r="F24" i="12"/>
  <c r="G373" i="10"/>
  <c r="G375" i="10" s="1"/>
  <c r="BV12" i="14"/>
  <c r="Y81" i="14"/>
  <c r="BX39" i="14"/>
  <c r="CA39" i="14" s="1"/>
  <c r="Q33" i="14"/>
  <c r="BX33" i="14" s="1"/>
  <c r="CA33" i="14" s="1"/>
  <c r="Q32" i="14"/>
  <c r="T32" i="14" s="1"/>
  <c r="T34" i="14"/>
  <c r="BX58" i="14"/>
  <c r="CA58" i="14" s="1"/>
  <c r="E21" i="6"/>
  <c r="E10" i="6" s="1"/>
  <c r="E119" i="6" s="1"/>
  <c r="E123" i="6" s="1"/>
  <c r="F23" i="6"/>
  <c r="F21" i="6" s="1"/>
  <c r="W6" i="10"/>
  <c r="W5" i="10" s="1"/>
  <c r="F63" i="6"/>
  <c r="F61" i="6" s="1"/>
  <c r="E61" i="6"/>
  <c r="AI291" i="10"/>
  <c r="AJ291" i="10" s="1"/>
  <c r="AC80" i="6"/>
  <c r="AB80" i="6"/>
  <c r="AI129" i="10"/>
  <c r="AJ129" i="10" s="1"/>
  <c r="O128" i="10"/>
  <c r="R38" i="10"/>
  <c r="G390" i="10"/>
  <c r="AO44" i="8"/>
  <c r="AO43" i="8" s="1"/>
  <c r="AL44" i="8"/>
  <c r="AL43" i="8" s="1"/>
  <c r="BE12" i="14"/>
  <c r="T5" i="14"/>
  <c r="BW12" i="14"/>
  <c r="BZ12" i="14" s="1"/>
  <c r="BX26" i="14"/>
  <c r="CA26" i="14" s="1"/>
  <c r="G48" i="14"/>
  <c r="J49" i="14"/>
  <c r="BO49" i="14"/>
  <c r="AO81" i="14"/>
  <c r="BN48" i="14"/>
  <c r="BW48" i="14" s="1"/>
  <c r="BW49" i="14"/>
  <c r="C21" i="6"/>
  <c r="G27" i="6"/>
  <c r="AE6" i="10"/>
  <c r="AE5" i="10" s="1"/>
  <c r="E373" i="10"/>
  <c r="E378" i="10" s="1"/>
  <c r="E386" i="10"/>
  <c r="E390" i="10" s="1"/>
  <c r="E391" i="10" s="1"/>
  <c r="AA128" i="10"/>
  <c r="Y373" i="10"/>
  <c r="AI31" i="10"/>
  <c r="AJ31" i="10" s="1"/>
  <c r="H18" i="14"/>
  <c r="BY18" i="14"/>
  <c r="BE32" i="14"/>
  <c r="I32" i="14"/>
  <c r="AF81" i="14"/>
  <c r="F48" i="14"/>
  <c r="BZ49" i="14"/>
  <c r="I49" i="14"/>
  <c r="BX50" i="14"/>
  <c r="CA50" i="14" s="1"/>
  <c r="AI39" i="10"/>
  <c r="AJ39" i="10" s="1"/>
  <c r="P11" i="6"/>
  <c r="P10" i="6" s="1"/>
  <c r="P119" i="6" s="1"/>
  <c r="S128" i="10"/>
  <c r="D20" i="12"/>
  <c r="G20" i="12" s="1"/>
  <c r="F20" i="12"/>
  <c r="W38" i="10"/>
  <c r="AA38" i="10"/>
  <c r="AA373" i="10" s="1"/>
  <c r="AB373" i="10"/>
  <c r="AQ82" i="8"/>
  <c r="AT27" i="8"/>
  <c r="AL25" i="8"/>
  <c r="AL12" i="8" s="1"/>
  <c r="I12" i="14"/>
  <c r="F81" i="14"/>
  <c r="BO12" i="14"/>
  <c r="BX13" i="14"/>
  <c r="CA13" i="14" s="1"/>
  <c r="E16" i="14"/>
  <c r="AK32" i="14"/>
  <c r="AR81" i="14"/>
  <c r="AA32" i="14"/>
  <c r="T43" i="14"/>
  <c r="U81" i="14"/>
  <c r="BM48" i="14"/>
  <c r="BV49" i="14"/>
  <c r="BY49" i="14" s="1"/>
  <c r="I33" i="14"/>
  <c r="S6" i="10"/>
  <c r="S5" i="10" s="1"/>
  <c r="O130" i="10"/>
  <c r="AI130" i="10" s="1"/>
  <c r="AJ130" i="10" s="1"/>
  <c r="V373" i="10"/>
  <c r="AC89" i="6"/>
  <c r="Q12" i="14"/>
  <c r="T12" i="14" s="1"/>
  <c r="T13" i="14"/>
  <c r="S12" i="14"/>
  <c r="P81" i="14"/>
  <c r="S81" i="14" s="1"/>
  <c r="BW32" i="14"/>
  <c r="BZ32" i="14" s="1"/>
  <c r="BX34" i="14"/>
  <c r="CA34" i="14" s="1"/>
  <c r="O48" i="14"/>
  <c r="R48" i="14" s="1"/>
  <c r="R49" i="14"/>
  <c r="AI30" i="10"/>
  <c r="AJ30" i="10" s="1"/>
  <c r="B5" i="12"/>
  <c r="E5" i="12" s="1"/>
  <c r="G4" i="6"/>
  <c r="F378" i="10"/>
  <c r="U373" i="10"/>
  <c r="W373" i="10"/>
  <c r="T119" i="6"/>
  <c r="AC88" i="6"/>
  <c r="AB88" i="6"/>
  <c r="AU81" i="8"/>
  <c r="AT79" i="8"/>
  <c r="AK25" i="8"/>
  <c r="AK12" i="8" s="1"/>
  <c r="AT65" i="8"/>
  <c r="AU14" i="8"/>
  <c r="AT13" i="8"/>
  <c r="AM25" i="8"/>
  <c r="AM12" i="8" s="1"/>
  <c r="AM82" i="8" s="1"/>
  <c r="AS30" i="8"/>
  <c r="AU30" i="8" s="1"/>
  <c r="AU75" i="8"/>
  <c r="AU74" i="8" s="1"/>
  <c r="AT74" i="8"/>
  <c r="AS68" i="8"/>
  <c r="AK61" i="8"/>
  <c r="AK43" i="8" s="1"/>
  <c r="AS79" i="8"/>
  <c r="AU80" i="8"/>
  <c r="AU79" i="8" s="1"/>
  <c r="AS44" i="8"/>
  <c r="AU58" i="8"/>
  <c r="AS13" i="8"/>
  <c r="AP44" i="8"/>
  <c r="AP43" i="8" s="1"/>
  <c r="AT59" i="8"/>
  <c r="AU59" i="8" s="1"/>
  <c r="AU48" i="8"/>
  <c r="E43" i="8"/>
  <c r="N4" i="8" s="1"/>
  <c r="AG82" i="8"/>
  <c r="C10" i="12"/>
  <c r="D18" i="12"/>
  <c r="G19" i="12"/>
  <c r="F10" i="12"/>
  <c r="E22" i="12"/>
  <c r="G11" i="12"/>
  <c r="AG83" i="8" l="1"/>
  <c r="AQ83" i="8"/>
  <c r="AI38" i="10"/>
  <c r="AJ38" i="10" s="1"/>
  <c r="AM83" i="8"/>
  <c r="F10" i="6"/>
  <c r="F119" i="6" s="1"/>
  <c r="AP82" i="8"/>
  <c r="AP83" i="8" s="1"/>
  <c r="AI197" i="10"/>
  <c r="AJ197" i="10" s="1"/>
  <c r="F380" i="10"/>
  <c r="AA81" i="14"/>
  <c r="F377" i="10"/>
  <c r="S373" i="10"/>
  <c r="E87" i="8"/>
  <c r="E88" i="8" s="1"/>
  <c r="E89" i="8" s="1"/>
  <c r="AN83" i="8"/>
  <c r="AH83" i="8"/>
  <c r="AR83" i="8"/>
  <c r="AO82" i="8"/>
  <c r="AO83" i="8" s="1"/>
  <c r="AJ83" i="8"/>
  <c r="AI83" i="8"/>
  <c r="AJ88" i="8" s="1"/>
  <c r="AU40" i="8"/>
  <c r="AL82" i="8"/>
  <c r="AL83" i="8" s="1"/>
  <c r="AL88" i="8" s="1"/>
  <c r="AU13" i="8"/>
  <c r="BV48" i="14"/>
  <c r="T33" i="14"/>
  <c r="C22" i="12"/>
  <c r="D23" i="12"/>
  <c r="G23" i="12" s="1"/>
  <c r="F23" i="12"/>
  <c r="AK81" i="14"/>
  <c r="BO48" i="14"/>
  <c r="BX49" i="14"/>
  <c r="CA49" i="14" s="1"/>
  <c r="AK82" i="8"/>
  <c r="AK83" i="8" s="1"/>
  <c r="AF21" i="6"/>
  <c r="G21" i="6"/>
  <c r="E12" i="14"/>
  <c r="H16" i="14"/>
  <c r="BY16" i="14"/>
  <c r="I81" i="14"/>
  <c r="F84" i="14"/>
  <c r="BZ84" i="14" s="1"/>
  <c r="AI6" i="10"/>
  <c r="O5" i="10"/>
  <c r="O373" i="10" s="1"/>
  <c r="BW81" i="14"/>
  <c r="BZ81" i="14" s="1"/>
  <c r="L10" i="6"/>
  <c r="AB11" i="6"/>
  <c r="AB10" i="6" s="1"/>
  <c r="AC11" i="6"/>
  <c r="T49" i="14"/>
  <c r="Q48" i="14"/>
  <c r="T48" i="14" s="1"/>
  <c r="B14" i="12"/>
  <c r="E15" i="12"/>
  <c r="D15" i="12"/>
  <c r="AS25" i="8"/>
  <c r="AS12" i="8" s="1"/>
  <c r="J48" i="14"/>
  <c r="G97" i="14"/>
  <c r="G98" i="14" s="1"/>
  <c r="O81" i="14"/>
  <c r="R81" i="14" s="1"/>
  <c r="I48" i="14"/>
  <c r="BZ48" i="14"/>
  <c r="AI128" i="10"/>
  <c r="AJ128" i="10" s="1"/>
  <c r="C10" i="6"/>
  <c r="AB4" i="6"/>
  <c r="AC4" i="6"/>
  <c r="H119" i="6"/>
  <c r="D119" i="6"/>
  <c r="K373" i="10"/>
  <c r="AI196" i="10"/>
  <c r="F22" i="6"/>
  <c r="H48" i="14"/>
  <c r="BY48" i="14"/>
  <c r="E97" i="14"/>
  <c r="AE373" i="10"/>
  <c r="AT44" i="8"/>
  <c r="BX12" i="14"/>
  <c r="CA12" i="14" s="1"/>
  <c r="AU27" i="8"/>
  <c r="AU25" i="8" s="1"/>
  <c r="AT25" i="8"/>
  <c r="AT12" i="8" s="1"/>
  <c r="G81" i="14"/>
  <c r="AD81" i="14" s="1"/>
  <c r="BX32" i="14"/>
  <c r="CA32" i="14" s="1"/>
  <c r="AU68" i="8"/>
  <c r="AS61" i="8"/>
  <c r="AS43" i="8" s="1"/>
  <c r="AU65" i="8"/>
  <c r="AT61" i="8"/>
  <c r="AU44" i="8"/>
  <c r="E82" i="8"/>
  <c r="H54" i="8" s="1"/>
  <c r="G18" i="12"/>
  <c r="AB81" i="14" l="1"/>
  <c r="BH12" i="14"/>
  <c r="AD12" i="14"/>
  <c r="BR12" i="14"/>
  <c r="AL89" i="8"/>
  <c r="AT43" i="8"/>
  <c r="AT82" i="8" s="1"/>
  <c r="AT83" i="8" s="1"/>
  <c r="AU12" i="8"/>
  <c r="AU61" i="8"/>
  <c r="AU43" i="8" s="1"/>
  <c r="AS82" i="8"/>
  <c r="AS83" i="8" s="1"/>
  <c r="Q81" i="14"/>
  <c r="T81" i="14" s="1"/>
  <c r="E14" i="12"/>
  <c r="B10" i="12"/>
  <c r="BV81" i="14"/>
  <c r="AL81" i="14"/>
  <c r="F22" i="12"/>
  <c r="C29" i="12"/>
  <c r="F29" i="12" s="1"/>
  <c r="G10" i="6"/>
  <c r="C119" i="6"/>
  <c r="C124" i="6" s="1"/>
  <c r="AJ6" i="10"/>
  <c r="AI5" i="10"/>
  <c r="AJ5" i="10" s="1"/>
  <c r="H12" i="14"/>
  <c r="BY12" i="14"/>
  <c r="E81" i="14"/>
  <c r="E94" i="14"/>
  <c r="E98" i="14" s="1"/>
  <c r="E99" i="14" s="1"/>
  <c r="BH32" i="14"/>
  <c r="AC81" i="14"/>
  <c r="BX48" i="14"/>
  <c r="CA48" i="14" s="1"/>
  <c r="AI373" i="10"/>
  <c r="AJ196" i="10"/>
  <c r="AD32" i="14"/>
  <c r="AN81" i="14"/>
  <c r="BX81" i="14"/>
  <c r="C9" i="12"/>
  <c r="F9" i="12" s="1"/>
  <c r="AC10" i="6"/>
  <c r="L119" i="6"/>
  <c r="AC119" i="6" s="1"/>
  <c r="AN32" i="14"/>
  <c r="D124" i="6"/>
  <c r="E122" i="6"/>
  <c r="G119" i="6"/>
  <c r="D14" i="12"/>
  <c r="G15" i="12"/>
  <c r="AB7" i="14"/>
  <c r="AW8" i="14"/>
  <c r="BQ8" i="14"/>
  <c r="AC10" i="14"/>
  <c r="BP10" i="14"/>
  <c r="AM11" i="14"/>
  <c r="BG11" i="14"/>
  <c r="AL15" i="14"/>
  <c r="BF15" i="14"/>
  <c r="AM17" i="14"/>
  <c r="BG17" i="14"/>
  <c r="AB18" i="14"/>
  <c r="AV18" i="14"/>
  <c r="BP18" i="14"/>
  <c r="AM19" i="14"/>
  <c r="BG19" i="14"/>
  <c r="AL22" i="14"/>
  <c r="BF22" i="14"/>
  <c r="AC23" i="14"/>
  <c r="AW23" i="14"/>
  <c r="BQ23" i="14"/>
  <c r="AL6" i="14"/>
  <c r="BF6" i="14"/>
  <c r="AC7" i="14"/>
  <c r="AV7" i="14"/>
  <c r="BP7" i="14"/>
  <c r="AX8" i="14"/>
  <c r="BR8" i="14"/>
  <c r="AV9" i="14"/>
  <c r="BP9" i="14"/>
  <c r="AD10" i="14"/>
  <c r="BQ10" i="14"/>
  <c r="AN11" i="14"/>
  <c r="BH11" i="14"/>
  <c r="AL13" i="14"/>
  <c r="AL7" i="14"/>
  <c r="AM8" i="14"/>
  <c r="BG8" i="14"/>
  <c r="BF10" i="14"/>
  <c r="AC11" i="14"/>
  <c r="AW11" i="14"/>
  <c r="BQ11" i="14"/>
  <c r="AB6" i="14"/>
  <c r="AV6" i="14"/>
  <c r="BP6" i="14"/>
  <c r="AM7" i="14"/>
  <c r="BF7" i="14"/>
  <c r="BF9" i="14"/>
  <c r="BG10" i="14"/>
  <c r="AL14" i="14"/>
  <c r="BF14" i="14"/>
  <c r="AC6" i="14"/>
  <c r="AW6" i="14"/>
  <c r="BQ6" i="14"/>
  <c r="BG7" i="14"/>
  <c r="AL9" i="14"/>
  <c r="BG9" i="14"/>
  <c r="AL10" i="14"/>
  <c r="AV10" i="14"/>
  <c r="AM14" i="14"/>
  <c r="BG14" i="14"/>
  <c r="AD6" i="14"/>
  <c r="AX6" i="14"/>
  <c r="BR6" i="14"/>
  <c r="BH7" i="14"/>
  <c r="AB8" i="14"/>
  <c r="AV8" i="14"/>
  <c r="BP8" i="14"/>
  <c r="AM9" i="14"/>
  <c r="BH9" i="14"/>
  <c r="AB10" i="14"/>
  <c r="AM10" i="14"/>
  <c r="AW10" i="14"/>
  <c r="AL11" i="14"/>
  <c r="BF11" i="14"/>
  <c r="AX7" i="14"/>
  <c r="AL8" i="14"/>
  <c r="BQ14" i="14"/>
  <c r="BH15" i="14"/>
  <c r="AC16" i="14"/>
  <c r="AM16" i="14"/>
  <c r="AD17" i="14"/>
  <c r="AC18" i="14"/>
  <c r="AX18" i="14"/>
  <c r="AD19" i="14"/>
  <c r="BF20" i="14"/>
  <c r="BG6" i="14"/>
  <c r="AW9" i="14"/>
  <c r="AV14" i="14"/>
  <c r="BR14" i="14"/>
  <c r="AM15" i="14"/>
  <c r="AV16" i="14"/>
  <c r="BF17" i="14"/>
  <c r="BH6" i="14"/>
  <c r="AX9" i="14"/>
  <c r="AV11" i="14"/>
  <c r="AW14" i="14"/>
  <c r="BP15" i="14"/>
  <c r="AW16" i="14"/>
  <c r="AL17" i="14"/>
  <c r="BF18" i="14"/>
  <c r="AL19" i="14"/>
  <c r="AM20" i="14"/>
  <c r="AM21" i="14"/>
  <c r="BG21" i="14"/>
  <c r="AM22" i="14"/>
  <c r="AC29" i="14"/>
  <c r="AW29" i="14"/>
  <c r="BQ29" i="14"/>
  <c r="BR7" i="14"/>
  <c r="AV15" i="14"/>
  <c r="BP17" i="14"/>
  <c r="AM18" i="14"/>
  <c r="BP19" i="14"/>
  <c r="BP20" i="14"/>
  <c r="BP22" i="14"/>
  <c r="AV23" i="14"/>
  <c r="BR23" i="14"/>
  <c r="AB24" i="14"/>
  <c r="AV24" i="14"/>
  <c r="BP24" i="14"/>
  <c r="AM25" i="14"/>
  <c r="BG25" i="14"/>
  <c r="AB27" i="14"/>
  <c r="AV27" i="14"/>
  <c r="BP27" i="14"/>
  <c r="AM6" i="14"/>
  <c r="BQ9" i="14"/>
  <c r="BP11" i="14"/>
  <c r="AB13" i="14"/>
  <c r="AV13" i="14"/>
  <c r="AB14" i="14"/>
  <c r="AW15" i="14"/>
  <c r="BQ16" i="14"/>
  <c r="AV17" i="14"/>
  <c r="BQ17" i="14"/>
  <c r="AN18" i="14"/>
  <c r="AV19" i="14"/>
  <c r="BQ19" i="14"/>
  <c r="AV20" i="14"/>
  <c r="BQ20" i="14"/>
  <c r="AB21" i="14"/>
  <c r="AV21" i="14"/>
  <c r="BP21" i="14"/>
  <c r="AV22" i="14"/>
  <c r="BQ22" i="14"/>
  <c r="AB23" i="14"/>
  <c r="AC24" i="14"/>
  <c r="AW24" i="14"/>
  <c r="BQ24" i="14"/>
  <c r="AN25" i="14"/>
  <c r="BH25" i="14"/>
  <c r="AV26" i="14"/>
  <c r="AC27" i="14"/>
  <c r="AW27" i="14"/>
  <c r="BQ27" i="14"/>
  <c r="BG28" i="14"/>
  <c r="AL29" i="14"/>
  <c r="BF29" i="14"/>
  <c r="AN6" i="14"/>
  <c r="AB9" i="14"/>
  <c r="BR9" i="14"/>
  <c r="BR10" i="14"/>
  <c r="AC14" i="14"/>
  <c r="AB15" i="14"/>
  <c r="AB17" i="14"/>
  <c r="AW17" i="14"/>
  <c r="BQ18" i="14"/>
  <c r="AB19" i="14"/>
  <c r="AW19" i="14"/>
  <c r="AB20" i="14"/>
  <c r="AW20" i="14"/>
  <c r="AC21" i="14"/>
  <c r="AW21" i="14"/>
  <c r="BQ21" i="14"/>
  <c r="AB22" i="14"/>
  <c r="AW22" i="14"/>
  <c r="AM29" i="14"/>
  <c r="BG29" i="14"/>
  <c r="BQ31" i="14"/>
  <c r="AW7" i="14"/>
  <c r="AC9" i="14"/>
  <c r="AB11" i="14"/>
  <c r="AN14" i="14"/>
  <c r="BP14" i="14"/>
  <c r="AC15" i="14"/>
  <c r="BG15" i="14"/>
  <c r="AC17" i="14"/>
  <c r="AX17" i="14"/>
  <c r="AW18" i="14"/>
  <c r="BR18" i="14"/>
  <c r="AC19" i="14"/>
  <c r="AX19" i="14"/>
  <c r="AC20" i="14"/>
  <c r="AD21" i="14"/>
  <c r="AX21" i="14"/>
  <c r="BR21" i="14"/>
  <c r="AC22" i="14"/>
  <c r="AX22" i="14"/>
  <c r="BF23" i="14"/>
  <c r="AB25" i="14"/>
  <c r="AV25" i="14"/>
  <c r="BP25" i="14"/>
  <c r="AD18" i="14"/>
  <c r="BH21" i="14"/>
  <c r="BH23" i="14"/>
  <c r="BF24" i="14"/>
  <c r="AL25" i="14"/>
  <c r="BR25" i="14"/>
  <c r="AC30" i="14"/>
  <c r="BF30" i="14"/>
  <c r="AB37" i="14"/>
  <c r="AV37" i="14"/>
  <c r="BP37" i="14"/>
  <c r="AM38" i="14"/>
  <c r="BG38" i="14"/>
  <c r="AC40" i="14"/>
  <c r="AW40" i="14"/>
  <c r="BQ40" i="14"/>
  <c r="BG20" i="14"/>
  <c r="BG22" i="14"/>
  <c r="BG24" i="14"/>
  <c r="BF26" i="14"/>
  <c r="BP29" i="14"/>
  <c r="BG30" i="14"/>
  <c r="AL33" i="14"/>
  <c r="BF33" i="14"/>
  <c r="AL36" i="14"/>
  <c r="BF36" i="14"/>
  <c r="AC37" i="14"/>
  <c r="AW37" i="14"/>
  <c r="BQ37" i="14"/>
  <c r="AN38" i="14"/>
  <c r="BH38" i="14"/>
  <c r="AV39" i="14"/>
  <c r="AD40" i="14"/>
  <c r="AX40" i="14"/>
  <c r="BR40" i="14"/>
  <c r="AL42" i="14"/>
  <c r="BF42" i="14"/>
  <c r="BQ7" i="14"/>
  <c r="AX14" i="14"/>
  <c r="AL18" i="14"/>
  <c r="BF19" i="14"/>
  <c r="BP23" i="14"/>
  <c r="AW25" i="14"/>
  <c r="BG26" i="14"/>
  <c r="BF27" i="14"/>
  <c r="AN29" i="14"/>
  <c r="BR29" i="14"/>
  <c r="AL30" i="14"/>
  <c r="BF31" i="14"/>
  <c r="AM33" i="14"/>
  <c r="BG33" i="14"/>
  <c r="AB35" i="14"/>
  <c r="AV35" i="14"/>
  <c r="BP35" i="14"/>
  <c r="AM36" i="14"/>
  <c r="BG36" i="14"/>
  <c r="AD7" i="14"/>
  <c r="BF16" i="14"/>
  <c r="AN17" i="14"/>
  <c r="AN21" i="14"/>
  <c r="AD22" i="14"/>
  <c r="AM23" i="14"/>
  <c r="AL24" i="14"/>
  <c r="AC28" i="14"/>
  <c r="BQ28" i="14"/>
  <c r="AV29" i="14"/>
  <c r="BQ30" i="14"/>
  <c r="AB31" i="14"/>
  <c r="AM31" i="14"/>
  <c r="AW31" i="14"/>
  <c r="BH31" i="14"/>
  <c r="AW34" i="14"/>
  <c r="AD35" i="14"/>
  <c r="AX35" i="14"/>
  <c r="BR35" i="14"/>
  <c r="AL37" i="14"/>
  <c r="BF37" i="14"/>
  <c r="AC38" i="14"/>
  <c r="AW38" i="14"/>
  <c r="BQ38" i="14"/>
  <c r="BG39" i="14"/>
  <c r="BP13" i="14"/>
  <c r="BG18" i="14"/>
  <c r="AL20" i="14"/>
  <c r="AM24" i="14"/>
  <c r="AC25" i="14"/>
  <c r="BF25" i="14"/>
  <c r="AL28" i="14"/>
  <c r="AV30" i="14"/>
  <c r="AC31" i="14"/>
  <c r="AB33" i="14"/>
  <c r="AV33" i="14"/>
  <c r="BP33" i="14"/>
  <c r="AB36" i="14"/>
  <c r="AV36" i="14"/>
  <c r="BP36" i="14"/>
  <c r="AM37" i="14"/>
  <c r="BG37" i="14"/>
  <c r="AB42" i="14"/>
  <c r="AV42" i="14"/>
  <c r="BP42" i="14"/>
  <c r="BF8" i="14"/>
  <c r="AN20" i="14"/>
  <c r="AN22" i="14"/>
  <c r="AD25" i="14"/>
  <c r="AL27" i="14"/>
  <c r="AM28" i="14"/>
  <c r="AW30" i="14"/>
  <c r="BP31" i="14"/>
  <c r="AC33" i="14"/>
  <c r="AW33" i="14"/>
  <c r="BQ33" i="14"/>
  <c r="AL35" i="14"/>
  <c r="BF35" i="14"/>
  <c r="AC36" i="14"/>
  <c r="AW36" i="14"/>
  <c r="BQ36" i="14"/>
  <c r="AL41" i="14"/>
  <c r="BF41" i="14"/>
  <c r="AC42" i="14"/>
  <c r="AW42" i="14"/>
  <c r="BQ42" i="14"/>
  <c r="BQ15" i="14"/>
  <c r="AN19" i="14"/>
  <c r="BF21" i="14"/>
  <c r="BG23" i="14"/>
  <c r="BQ25" i="14"/>
  <c r="AM27" i="14"/>
  <c r="AB29" i="14"/>
  <c r="BH29" i="14"/>
  <c r="AB30" i="14"/>
  <c r="BR31" i="14"/>
  <c r="AD33" i="14"/>
  <c r="AX33" i="14"/>
  <c r="BR33" i="14"/>
  <c r="BP34" i="14"/>
  <c r="AC35" i="14"/>
  <c r="BQ35" i="14"/>
  <c r="BH36" i="14"/>
  <c r="AL38" i="14"/>
  <c r="AV41" i="14"/>
  <c r="BR41" i="14"/>
  <c r="AL47" i="14"/>
  <c r="BF47" i="14"/>
  <c r="AB52" i="14"/>
  <c r="AV52" i="14"/>
  <c r="BP52" i="14"/>
  <c r="AM53" i="14"/>
  <c r="BG53" i="14"/>
  <c r="AM56" i="14"/>
  <c r="BG56" i="14"/>
  <c r="AM59" i="14"/>
  <c r="BG59" i="14"/>
  <c r="AL62" i="14"/>
  <c r="BF62" i="14"/>
  <c r="AM30" i="14"/>
  <c r="AV31" i="14"/>
  <c r="BH33" i="14"/>
  <c r="AV40" i="14"/>
  <c r="AW41" i="14"/>
  <c r="AX42" i="14"/>
  <c r="AV43" i="14"/>
  <c r="AV44" i="14"/>
  <c r="BP44" i="14"/>
  <c r="AL45" i="14"/>
  <c r="BF45" i="14"/>
  <c r="AB46" i="14"/>
  <c r="AV46" i="14"/>
  <c r="BP46" i="14"/>
  <c r="AM47" i="14"/>
  <c r="BG47" i="14"/>
  <c r="AL51" i="14"/>
  <c r="BF51" i="14"/>
  <c r="AC52" i="14"/>
  <c r="AW52" i="14"/>
  <c r="BQ52" i="14"/>
  <c r="AN53" i="14"/>
  <c r="BH53" i="14"/>
  <c r="AN56" i="14"/>
  <c r="BH56" i="14"/>
  <c r="AL21" i="14"/>
  <c r="AL26" i="14"/>
  <c r="AV34" i="14"/>
  <c r="AM35" i="14"/>
  <c r="AD36" i="14"/>
  <c r="BR36" i="14"/>
  <c r="AV38" i="14"/>
  <c r="AB41" i="14"/>
  <c r="AX41" i="14"/>
  <c r="BG43" i="14"/>
  <c r="AB44" i="14"/>
  <c r="AW44" i="14"/>
  <c r="BQ44" i="14"/>
  <c r="AM45" i="14"/>
  <c r="BG45" i="14"/>
  <c r="AC46" i="14"/>
  <c r="AW46" i="14"/>
  <c r="BQ46" i="14"/>
  <c r="AM51" i="14"/>
  <c r="BG51" i="14"/>
  <c r="AL54" i="14"/>
  <c r="BF54" i="14"/>
  <c r="AL57" i="14"/>
  <c r="BF57" i="14"/>
  <c r="AX25" i="14"/>
  <c r="AB26" i="14"/>
  <c r="BF40" i="14"/>
  <c r="AC41" i="14"/>
  <c r="BG42" i="14"/>
  <c r="BP43" i="14"/>
  <c r="AC44" i="14"/>
  <c r="AX44" i="14"/>
  <c r="BR44" i="14"/>
  <c r="AN45" i="14"/>
  <c r="BH45" i="14"/>
  <c r="AD46" i="14"/>
  <c r="AX46" i="14"/>
  <c r="BR46" i="14"/>
  <c r="AN51" i="14"/>
  <c r="BH51" i="14"/>
  <c r="AB34" i="14"/>
  <c r="AW35" i="14"/>
  <c r="AN36" i="14"/>
  <c r="BF38" i="14"/>
  <c r="AB40" i="14"/>
  <c r="BG40" i="14"/>
  <c r="AD41" i="14"/>
  <c r="BG41" i="14"/>
  <c r="BH42" i="14"/>
  <c r="AB47" i="14"/>
  <c r="AV47" i="14"/>
  <c r="BP47" i="14"/>
  <c r="AL52" i="14"/>
  <c r="BF52" i="14"/>
  <c r="AC53" i="14"/>
  <c r="AW53" i="14"/>
  <c r="BQ53" i="14"/>
  <c r="AN54" i="14"/>
  <c r="BH54" i="14"/>
  <c r="AC56" i="14"/>
  <c r="AW56" i="14"/>
  <c r="BQ56" i="14"/>
  <c r="AN57" i="14"/>
  <c r="BH57" i="14"/>
  <c r="AL23" i="14"/>
  <c r="BP30" i="14"/>
  <c r="AL31" i="14"/>
  <c r="BG31" i="14"/>
  <c r="BF39" i="14"/>
  <c r="BF44" i="14"/>
  <c r="AB45" i="14"/>
  <c r="AV45" i="14"/>
  <c r="BP45" i="14"/>
  <c r="AL46" i="14"/>
  <c r="BF46" i="14"/>
  <c r="AC47" i="14"/>
  <c r="AW47" i="14"/>
  <c r="BQ47" i="14"/>
  <c r="AB51" i="14"/>
  <c r="AV51" i="14"/>
  <c r="BP51" i="14"/>
  <c r="AM52" i="14"/>
  <c r="BG52" i="14"/>
  <c r="AD53" i="14"/>
  <c r="AX53" i="14"/>
  <c r="BR53" i="14"/>
  <c r="AD56" i="14"/>
  <c r="AX56" i="14"/>
  <c r="BR56" i="14"/>
  <c r="BP26" i="14"/>
  <c r="BG27" i="14"/>
  <c r="AN33" i="14"/>
  <c r="BG35" i="14"/>
  <c r="AX36" i="14"/>
  <c r="AB38" i="14"/>
  <c r="BP38" i="14"/>
  <c r="AL39" i="14"/>
  <c r="AL40" i="14"/>
  <c r="BP40" i="14"/>
  <c r="AM41" i="14"/>
  <c r="BP41" i="14"/>
  <c r="AM42" i="14"/>
  <c r="AL44" i="14"/>
  <c r="BG44" i="14"/>
  <c r="AC45" i="14"/>
  <c r="AW45" i="14"/>
  <c r="BQ45" i="14"/>
  <c r="AM46" i="14"/>
  <c r="BG46" i="14"/>
  <c r="AC51" i="14"/>
  <c r="AW51" i="14"/>
  <c r="BQ51" i="14"/>
  <c r="AB54" i="14"/>
  <c r="AV54" i="14"/>
  <c r="BP54" i="14"/>
  <c r="AB57" i="14"/>
  <c r="AV57" i="14"/>
  <c r="BP57" i="14"/>
  <c r="AB60" i="14"/>
  <c r="AV60" i="14"/>
  <c r="BP60" i="14"/>
  <c r="AM61" i="14"/>
  <c r="BG61" i="14"/>
  <c r="AM40" i="14"/>
  <c r="BQ41" i="14"/>
  <c r="AN42" i="14"/>
  <c r="AB43" i="14"/>
  <c r="AL43" i="14"/>
  <c r="AM44" i="14"/>
  <c r="BH44" i="14"/>
  <c r="AD45" i="14"/>
  <c r="AX45" i="14"/>
  <c r="BR45" i="14"/>
  <c r="AN46" i="14"/>
  <c r="BH46" i="14"/>
  <c r="AD51" i="14"/>
  <c r="AX51" i="14"/>
  <c r="BR51" i="14"/>
  <c r="AL53" i="14"/>
  <c r="BF53" i="14"/>
  <c r="AC54" i="14"/>
  <c r="AW54" i="14"/>
  <c r="BQ54" i="14"/>
  <c r="AL56" i="14"/>
  <c r="BF56" i="14"/>
  <c r="AC57" i="14"/>
  <c r="BG57" i="14"/>
  <c r="AD59" i="14"/>
  <c r="BF61" i="14"/>
  <c r="AM62" i="14"/>
  <c r="AD66" i="14"/>
  <c r="AX66" i="14"/>
  <c r="BR66" i="14"/>
  <c r="AL68" i="14"/>
  <c r="BF68" i="14"/>
  <c r="AC69" i="14"/>
  <c r="AW69" i="14"/>
  <c r="BQ69" i="14"/>
  <c r="AN70" i="14"/>
  <c r="BH70" i="14"/>
  <c r="AN73" i="14"/>
  <c r="BH73" i="14"/>
  <c r="AB75" i="14"/>
  <c r="AV75" i="14"/>
  <c r="BP75" i="14"/>
  <c r="AM76" i="14"/>
  <c r="BG76" i="14"/>
  <c r="AD77" i="14"/>
  <c r="AX77" i="14"/>
  <c r="BR77" i="14"/>
  <c r="AL79" i="14"/>
  <c r="BF79" i="14"/>
  <c r="AV53" i="14"/>
  <c r="BP56" i="14"/>
  <c r="BF59" i="14"/>
  <c r="AW60" i="14"/>
  <c r="AL61" i="14"/>
  <c r="BH61" i="14"/>
  <c r="AN62" i="14"/>
  <c r="AB64" i="14"/>
  <c r="AV64" i="14"/>
  <c r="AV63" i="14" s="1"/>
  <c r="BP64" i="14"/>
  <c r="AB67" i="14"/>
  <c r="AV67" i="14"/>
  <c r="BP67" i="14"/>
  <c r="AM68" i="14"/>
  <c r="BG68" i="14"/>
  <c r="AL71" i="14"/>
  <c r="BF71" i="14"/>
  <c r="AL74" i="14"/>
  <c r="BF74" i="14"/>
  <c r="AC75" i="14"/>
  <c r="AW75" i="14"/>
  <c r="BQ75" i="14"/>
  <c r="AN76" i="14"/>
  <c r="BH76" i="14"/>
  <c r="AB78" i="14"/>
  <c r="AV78" i="14"/>
  <c r="BP78" i="14"/>
  <c r="AM79" i="14"/>
  <c r="BG79" i="14"/>
  <c r="BG54" i="14"/>
  <c r="BQ57" i="14"/>
  <c r="AL59" i="14"/>
  <c r="BH59" i="14"/>
  <c r="AN61" i="14"/>
  <c r="BP62" i="14"/>
  <c r="AC64" i="14"/>
  <c r="AC63" i="14" s="1"/>
  <c r="AW64" i="14"/>
  <c r="AW63" i="14" s="1"/>
  <c r="BQ64" i="14"/>
  <c r="AL66" i="14"/>
  <c r="BF66" i="14"/>
  <c r="AC67" i="14"/>
  <c r="AW67" i="14"/>
  <c r="BQ67" i="14"/>
  <c r="AN68" i="14"/>
  <c r="BH68" i="14"/>
  <c r="AB70" i="14"/>
  <c r="AV70" i="14"/>
  <c r="BP70" i="14"/>
  <c r="AM71" i="14"/>
  <c r="BG71" i="14"/>
  <c r="AB73" i="14"/>
  <c r="AV73" i="14"/>
  <c r="BP73" i="14"/>
  <c r="AM74" i="14"/>
  <c r="BG74" i="14"/>
  <c r="AD75" i="14"/>
  <c r="AX75" i="14"/>
  <c r="BR75" i="14"/>
  <c r="AL77" i="14"/>
  <c r="BF77" i="14"/>
  <c r="AC78" i="14"/>
  <c r="AW78" i="14"/>
  <c r="BQ78" i="14"/>
  <c r="AN79" i="14"/>
  <c r="BH79" i="14"/>
  <c r="AB56" i="14"/>
  <c r="AN59" i="14"/>
  <c r="AC60" i="14"/>
  <c r="BF60" i="14"/>
  <c r="BP61" i="14"/>
  <c r="AV62" i="14"/>
  <c r="BQ62" i="14"/>
  <c r="AD64" i="14"/>
  <c r="AD63" i="14" s="1"/>
  <c r="AX64" i="14"/>
  <c r="AX63" i="14" s="1"/>
  <c r="BR64" i="14"/>
  <c r="AM66" i="14"/>
  <c r="BG66" i="14"/>
  <c r="AD67" i="14"/>
  <c r="AX67" i="14"/>
  <c r="BR67" i="14"/>
  <c r="AL69" i="14"/>
  <c r="BF69" i="14"/>
  <c r="AC70" i="14"/>
  <c r="AW70" i="14"/>
  <c r="BQ70" i="14"/>
  <c r="AN71" i="14"/>
  <c r="BH71" i="14"/>
  <c r="AC73" i="14"/>
  <c r="AW73" i="14"/>
  <c r="BQ73" i="14"/>
  <c r="AN74" i="14"/>
  <c r="BH74" i="14"/>
  <c r="AB76" i="14"/>
  <c r="AV76" i="14"/>
  <c r="BP76" i="14"/>
  <c r="AM77" i="14"/>
  <c r="BG77" i="14"/>
  <c r="AD78" i="14"/>
  <c r="AX78" i="14"/>
  <c r="BR78" i="14"/>
  <c r="BP53" i="14"/>
  <c r="AM57" i="14"/>
  <c r="BP59" i="14"/>
  <c r="BP58" i="14" s="1"/>
  <c r="BG60" i="14"/>
  <c r="AV61" i="14"/>
  <c r="BQ61" i="14"/>
  <c r="AB62" i="14"/>
  <c r="AW62" i="14"/>
  <c r="BR62" i="14"/>
  <c r="AN66" i="14"/>
  <c r="BH66" i="14"/>
  <c r="AB68" i="14"/>
  <c r="AV68" i="14"/>
  <c r="BP68" i="14"/>
  <c r="AM69" i="14"/>
  <c r="BG69" i="14"/>
  <c r="AD70" i="14"/>
  <c r="AX70" i="14"/>
  <c r="BR70" i="14"/>
  <c r="AD73" i="14"/>
  <c r="AX73" i="14"/>
  <c r="BR73" i="14"/>
  <c r="AL75" i="14"/>
  <c r="BF75" i="14"/>
  <c r="AC76" i="14"/>
  <c r="AW76" i="14"/>
  <c r="BQ76" i="14"/>
  <c r="AV59" i="14"/>
  <c r="BQ59" i="14"/>
  <c r="AL60" i="14"/>
  <c r="AB61" i="14"/>
  <c r="AW61" i="14"/>
  <c r="BR61" i="14"/>
  <c r="AC62" i="14"/>
  <c r="AL64" i="14"/>
  <c r="AL63" i="14" s="1"/>
  <c r="BF64" i="14"/>
  <c r="BF63" i="14" s="1"/>
  <c r="AL67" i="14"/>
  <c r="BF67" i="14"/>
  <c r="AC68" i="14"/>
  <c r="AW68" i="14"/>
  <c r="BQ68" i="14"/>
  <c r="AB71" i="14"/>
  <c r="AV71" i="14"/>
  <c r="BP71" i="14"/>
  <c r="AB74" i="14"/>
  <c r="AV74" i="14"/>
  <c r="BP74" i="14"/>
  <c r="AM75" i="14"/>
  <c r="BG75" i="14"/>
  <c r="AL78" i="14"/>
  <c r="BF78" i="14"/>
  <c r="AC79" i="14"/>
  <c r="AW79" i="14"/>
  <c r="BQ79" i="14"/>
  <c r="AB53" i="14"/>
  <c r="AV56" i="14"/>
  <c r="AW57" i="14"/>
  <c r="AB59" i="14"/>
  <c r="AW59" i="14"/>
  <c r="BR59" i="14"/>
  <c r="AM60" i="14"/>
  <c r="AC61" i="14"/>
  <c r="AX61" i="14"/>
  <c r="AM64" i="14"/>
  <c r="AM63" i="14" s="1"/>
  <c r="BG64" i="14"/>
  <c r="BG63" i="14" s="1"/>
  <c r="AB66" i="14"/>
  <c r="AV66" i="14"/>
  <c r="BP66" i="14"/>
  <c r="BP65" i="14" s="1"/>
  <c r="AM67" i="14"/>
  <c r="BG67" i="14"/>
  <c r="AL70" i="14"/>
  <c r="BF70" i="14"/>
  <c r="AC71" i="14"/>
  <c r="AW71" i="14"/>
  <c r="BQ71" i="14"/>
  <c r="AL73" i="14"/>
  <c r="AL72" i="14" s="1"/>
  <c r="BF73" i="14"/>
  <c r="AC74" i="14"/>
  <c r="AW74" i="14"/>
  <c r="BQ74" i="14"/>
  <c r="AB77" i="14"/>
  <c r="AV77" i="14"/>
  <c r="BP77" i="14"/>
  <c r="AM78" i="14"/>
  <c r="BG78" i="14"/>
  <c r="AM54" i="14"/>
  <c r="AC59" i="14"/>
  <c r="AX59" i="14"/>
  <c r="BQ60" i="14"/>
  <c r="AD61" i="14"/>
  <c r="BG62" i="14"/>
  <c r="AC66" i="14"/>
  <c r="AW66" i="14"/>
  <c r="AW65" i="14" s="1"/>
  <c r="BQ66" i="14"/>
  <c r="AB69" i="14"/>
  <c r="AV69" i="14"/>
  <c r="BP69" i="14"/>
  <c r="AM70" i="14"/>
  <c r="BG70" i="14"/>
  <c r="AM73" i="14"/>
  <c r="BG73" i="14"/>
  <c r="BG72" i="14" s="1"/>
  <c r="AL76" i="14"/>
  <c r="BF76" i="14"/>
  <c r="AC77" i="14"/>
  <c r="AW77" i="14"/>
  <c r="BQ77" i="14"/>
  <c r="AB80" i="14"/>
  <c r="AV80" i="14"/>
  <c r="BP80" i="14"/>
  <c r="J81" i="14"/>
  <c r="AM80" i="14"/>
  <c r="BQ80" i="14"/>
  <c r="AV81" i="14"/>
  <c r="BG81" i="14"/>
  <c r="BR80" i="14"/>
  <c r="AW81" i="14"/>
  <c r="BH77" i="14"/>
  <c r="BP79" i="14"/>
  <c r="AW80" i="14"/>
  <c r="AX80" i="14"/>
  <c r="G83" i="14"/>
  <c r="CA83" i="14" s="1"/>
  <c r="AB79" i="14"/>
  <c r="AC80" i="14"/>
  <c r="AD80" i="14"/>
  <c r="BF80" i="14"/>
  <c r="BG80" i="14"/>
  <c r="BP81" i="14"/>
  <c r="AN77" i="14"/>
  <c r="AV79" i="14"/>
  <c r="AL80" i="14"/>
  <c r="BF81" i="14"/>
  <c r="BQ81" i="14"/>
  <c r="CA81" i="14"/>
  <c r="AX69" i="14"/>
  <c r="AN69" i="14"/>
  <c r="AX71" i="14"/>
  <c r="AX52" i="14"/>
  <c r="BR47" i="14"/>
  <c r="AD57" i="14"/>
  <c r="BH47" i="14"/>
  <c r="BF43" i="14"/>
  <c r="BR42" i="14"/>
  <c r="AN41" i="14"/>
  <c r="AN37" i="14"/>
  <c r="BR17" i="14"/>
  <c r="BH16" i="14"/>
  <c r="BR27" i="14"/>
  <c r="BR30" i="14"/>
  <c r="AN23" i="14"/>
  <c r="AL34" i="14"/>
  <c r="AD23" i="14"/>
  <c r="AN10" i="14"/>
  <c r="BR69" i="14"/>
  <c r="AN80" i="14"/>
  <c r="AD62" i="14"/>
  <c r="BR68" i="14"/>
  <c r="AD69" i="14"/>
  <c r="AD71" i="14"/>
  <c r="AX62" i="14"/>
  <c r="AX43" i="14"/>
  <c r="AM43" i="14"/>
  <c r="AX54" i="14"/>
  <c r="AC39" i="14"/>
  <c r="AN40" i="14"/>
  <c r="AV32" i="14"/>
  <c r="AD31" i="14"/>
  <c r="AD27" i="14"/>
  <c r="BP28" i="14"/>
  <c r="AW13" i="14"/>
  <c r="BR11" i="14"/>
  <c r="BF13" i="14"/>
  <c r="AC8" i="14"/>
  <c r="AX79" i="14"/>
  <c r="BH60" i="14"/>
  <c r="BR63" i="14"/>
  <c r="AX68" i="14"/>
  <c r="AD68" i="14"/>
  <c r="BR52" i="14"/>
  <c r="BH52" i="14"/>
  <c r="BR43" i="14"/>
  <c r="AL32" i="14"/>
  <c r="AD44" i="14"/>
  <c r="AD34" i="14"/>
  <c r="AM39" i="14"/>
  <c r="AX34" i="14"/>
  <c r="BP39" i="14"/>
  <c r="AX31" i="14"/>
  <c r="AD30" i="14"/>
  <c r="BH18" i="14"/>
  <c r="AB28" i="14"/>
  <c r="BR22" i="14"/>
  <c r="AX27" i="14"/>
  <c r="AD20" i="14"/>
  <c r="BH10" i="14"/>
  <c r="BH17" i="14"/>
  <c r="BR15" i="14"/>
  <c r="BR81" i="14"/>
  <c r="BP63" i="14"/>
  <c r="BH78" i="14"/>
  <c r="AN64" i="14"/>
  <c r="AN63" i="14" s="1"/>
  <c r="AN78" i="14"/>
  <c r="BH67" i="14"/>
  <c r="AW32" i="14"/>
  <c r="AD60" i="14"/>
  <c r="AX47" i="14"/>
  <c r="AX39" i="14"/>
  <c r="BQ34" i="14"/>
  <c r="AN52" i="14"/>
  <c r="AB39" i="14"/>
  <c r="BH35" i="14"/>
  <c r="AD29" i="14"/>
  <c r="AD42" i="14"/>
  <c r="BH37" i="14"/>
  <c r="AN16" i="14"/>
  <c r="AX37" i="14"/>
  <c r="BR28" i="14"/>
  <c r="AN13" i="14"/>
  <c r="AW28" i="14"/>
  <c r="BR20" i="14"/>
  <c r="BH19" i="14"/>
  <c r="AX10" i="14"/>
  <c r="AX81" i="14"/>
  <c r="BH80" i="14"/>
  <c r="BQ63" i="14"/>
  <c r="AN75" i="14"/>
  <c r="AN67" i="14"/>
  <c r="AD47" i="14"/>
  <c r="AW43" i="14"/>
  <c r="BG16" i="14"/>
  <c r="AV28" i="14"/>
  <c r="AN31" i="14"/>
  <c r="AD28" i="14"/>
  <c r="AD37" i="14"/>
  <c r="BH30" i="14"/>
  <c r="AX24" i="14"/>
  <c r="BG13" i="14"/>
  <c r="AN27" i="14"/>
  <c r="AX15" i="14"/>
  <c r="AM26" i="14"/>
  <c r="BQ26" i="14"/>
  <c r="AL16" i="14"/>
  <c r="AD14" i="14"/>
  <c r="AN15" i="14"/>
  <c r="BH8" i="14"/>
  <c r="AD74" i="14"/>
  <c r="BR76" i="14"/>
  <c r="AN60" i="14"/>
  <c r="AD79" i="14"/>
  <c r="BR74" i="14"/>
  <c r="BR79" i="14"/>
  <c r="BH62" i="14"/>
  <c r="AX74" i="14"/>
  <c r="BH64" i="14"/>
  <c r="BH63" i="14" s="1"/>
  <c r="BH75" i="14"/>
  <c r="BR57" i="14"/>
  <c r="AD39" i="14"/>
  <c r="AN44" i="14"/>
  <c r="AN24" i="14"/>
  <c r="BH39" i="14"/>
  <c r="AC34" i="14"/>
  <c r="AM34" i="14"/>
  <c r="BQ43" i="14"/>
  <c r="BR19" i="14"/>
  <c r="BH24" i="14"/>
  <c r="AN30" i="14"/>
  <c r="AW26" i="14"/>
  <c r="AD9" i="14"/>
  <c r="AN9" i="14"/>
  <c r="BH81" i="14"/>
  <c r="AX76" i="14"/>
  <c r="BR60" i="14"/>
  <c r="AX57" i="14"/>
  <c r="BH43" i="14"/>
  <c r="BR54" i="14"/>
  <c r="AC43" i="14"/>
  <c r="BR38" i="14"/>
  <c r="BR16" i="14"/>
  <c r="AW39" i="14"/>
  <c r="BH41" i="14"/>
  <c r="BF28" i="14"/>
  <c r="BF34" i="14"/>
  <c r="AX30" i="14"/>
  <c r="BR24" i="14"/>
  <c r="AC26" i="14"/>
  <c r="AN35" i="14"/>
  <c r="BH22" i="14"/>
  <c r="AN8" i="14"/>
  <c r="AB16" i="14"/>
  <c r="AX20" i="14"/>
  <c r="AC13" i="14"/>
  <c r="BQ13" i="14"/>
  <c r="BH69" i="14"/>
  <c r="BR71" i="14"/>
  <c r="AD76" i="14"/>
  <c r="AD54" i="14"/>
  <c r="AD52" i="14"/>
  <c r="AX60" i="14"/>
  <c r="AN47" i="14"/>
  <c r="BR34" i="14"/>
  <c r="AX29" i="14"/>
  <c r="AD38" i="14"/>
  <c r="BR37" i="14"/>
  <c r="BQ39" i="14"/>
  <c r="BH40" i="14"/>
  <c r="AX38" i="14"/>
  <c r="BH14" i="14"/>
  <c r="BG34" i="14"/>
  <c r="AD16" i="14"/>
  <c r="AX23" i="14"/>
  <c r="AN28" i="14"/>
  <c r="AD24" i="14"/>
  <c r="AM13" i="14"/>
  <c r="BH27" i="14"/>
  <c r="BH20" i="14"/>
  <c r="AD11" i="14"/>
  <c r="AD15" i="14"/>
  <c r="BP16" i="14"/>
  <c r="AN7" i="14"/>
  <c r="AX11" i="14"/>
  <c r="BP32" i="14"/>
  <c r="BH13" i="14"/>
  <c r="AN26" i="14"/>
  <c r="AV12" i="14"/>
  <c r="AC32" i="14"/>
  <c r="AD43" i="14"/>
  <c r="BR32" i="14"/>
  <c r="BF12" i="14"/>
  <c r="AM32" i="14"/>
  <c r="AX32" i="14"/>
  <c r="AW12" i="14"/>
  <c r="BH28" i="14"/>
  <c r="AD8" i="14"/>
  <c r="AD26" i="14"/>
  <c r="AX26" i="14"/>
  <c r="AM12" i="14"/>
  <c r="AD13" i="14"/>
  <c r="BR39" i="14"/>
  <c r="BG12" i="14"/>
  <c r="AX28" i="14"/>
  <c r="AC12" i="14"/>
  <c r="AX13" i="14"/>
  <c r="BF32" i="14"/>
  <c r="BQ12" i="14"/>
  <c r="AX16" i="14"/>
  <c r="AL12" i="14"/>
  <c r="AN39" i="14"/>
  <c r="BP12" i="14"/>
  <c r="BH34" i="14"/>
  <c r="AN12" i="14"/>
  <c r="BH26" i="14"/>
  <c r="AB32" i="14"/>
  <c r="BG32" i="14"/>
  <c r="BR26" i="14"/>
  <c r="AN43" i="14"/>
  <c r="AB12" i="14"/>
  <c r="BR13" i="14"/>
  <c r="AN34" i="14"/>
  <c r="BQ32" i="14"/>
  <c r="AB119" i="6"/>
  <c r="AB122" i="6" s="1"/>
  <c r="AX12" i="14"/>
  <c r="AM81" i="14"/>
  <c r="H51" i="8"/>
  <c r="H53" i="8"/>
  <c r="H50" i="8"/>
  <c r="H52" i="8"/>
  <c r="H12" i="8"/>
  <c r="F34" i="8"/>
  <c r="F48" i="8"/>
  <c r="F66" i="8"/>
  <c r="F12" i="8"/>
  <c r="G57" i="8"/>
  <c r="H73" i="8"/>
  <c r="G25" i="8"/>
  <c r="F68" i="8"/>
  <c r="G71" i="8"/>
  <c r="F80" i="8"/>
  <c r="F71" i="8"/>
  <c r="H15" i="8"/>
  <c r="H77" i="8"/>
  <c r="H49" i="8"/>
  <c r="H32" i="8"/>
  <c r="H33" i="8"/>
  <c r="H34" i="8"/>
  <c r="H35" i="8"/>
  <c r="G28" i="8"/>
  <c r="G46" i="8"/>
  <c r="F16" i="8"/>
  <c r="F15" i="8"/>
  <c r="F57" i="8"/>
  <c r="H24" i="8"/>
  <c r="F13" i="8"/>
  <c r="H47" i="8"/>
  <c r="F22" i="8"/>
  <c r="F70" i="8"/>
  <c r="G66" i="8"/>
  <c r="G69" i="8"/>
  <c r="F31" i="8"/>
  <c r="H58" i="8"/>
  <c r="G61" i="8"/>
  <c r="G17" i="8"/>
  <c r="F21" i="8"/>
  <c r="H21" i="8"/>
  <c r="H16" i="8"/>
  <c r="H80" i="8"/>
  <c r="F29" i="8"/>
  <c r="F67" i="8"/>
  <c r="H69" i="8"/>
  <c r="H25" i="8"/>
  <c r="H41" i="8"/>
  <c r="G47" i="8"/>
  <c r="G79" i="8"/>
  <c r="F62" i="8"/>
  <c r="G13" i="8"/>
  <c r="F75" i="8"/>
  <c r="F63" i="8"/>
  <c r="G33" i="8"/>
  <c r="H68" i="8"/>
  <c r="H62" i="8"/>
  <c r="F78" i="8"/>
  <c r="G43" i="8"/>
  <c r="H22" i="8"/>
  <c r="G75" i="8"/>
  <c r="H27" i="8"/>
  <c r="G45" i="8"/>
  <c r="G30" i="8"/>
  <c r="F45" i="8"/>
  <c r="G58" i="8"/>
  <c r="H13" i="8"/>
  <c r="H19" i="8"/>
  <c r="G21" i="8"/>
  <c r="H74" i="8"/>
  <c r="H31" i="8"/>
  <c r="H18" i="8"/>
  <c r="G14" i="8"/>
  <c r="F49" i="8"/>
  <c r="H65" i="8"/>
  <c r="H75" i="8"/>
  <c r="H42" i="8"/>
  <c r="G40" i="8"/>
  <c r="G29" i="8"/>
  <c r="F20" i="8"/>
  <c r="G49" i="8"/>
  <c r="G26" i="8"/>
  <c r="G23" i="8"/>
  <c r="H78" i="8"/>
  <c r="G77" i="8"/>
  <c r="F77" i="8"/>
  <c r="F25" i="8"/>
  <c r="G41" i="8"/>
  <c r="H46" i="8"/>
  <c r="F55" i="8"/>
  <c r="F37" i="8"/>
  <c r="H14" i="8"/>
  <c r="F69" i="8"/>
  <c r="F76" i="8"/>
  <c r="G19" i="8"/>
  <c r="F60" i="8"/>
  <c r="F33" i="8"/>
  <c r="G37" i="8"/>
  <c r="G60" i="8"/>
  <c r="G72" i="8"/>
  <c r="H79" i="8"/>
  <c r="F23" i="8"/>
  <c r="G16" i="8"/>
  <c r="H70" i="8"/>
  <c r="G22" i="8"/>
  <c r="F43" i="8"/>
  <c r="H63" i="8"/>
  <c r="F39" i="8"/>
  <c r="H30" i="8"/>
  <c r="F47" i="8"/>
  <c r="F79" i="8"/>
  <c r="F26" i="8"/>
  <c r="H57" i="8"/>
  <c r="G44" i="8"/>
  <c r="G24" i="8"/>
  <c r="G27" i="8"/>
  <c r="F81" i="8"/>
  <c r="G68" i="8"/>
  <c r="F35" i="8"/>
  <c r="F14" i="8"/>
  <c r="G42" i="8"/>
  <c r="H45" i="8"/>
  <c r="H36" i="8"/>
  <c r="H37" i="8"/>
  <c r="H38" i="8"/>
  <c r="G31" i="8"/>
  <c r="G70" i="8"/>
  <c r="G56" i="8"/>
  <c r="F36" i="8"/>
  <c r="F73" i="8"/>
  <c r="F64" i="8"/>
  <c r="G63" i="8"/>
  <c r="H17" i="8"/>
  <c r="F41" i="8"/>
  <c r="F58" i="8"/>
  <c r="F61" i="8"/>
  <c r="F56" i="8"/>
  <c r="G48" i="8"/>
  <c r="G59" i="8"/>
  <c r="G76" i="8"/>
  <c r="G18" i="8"/>
  <c r="H76" i="8"/>
  <c r="F44" i="8"/>
  <c r="H71" i="8"/>
  <c r="G80" i="8"/>
  <c r="D85" i="8"/>
  <c r="F18" i="8"/>
  <c r="F72" i="8"/>
  <c r="F42" i="8"/>
  <c r="G39" i="8"/>
  <c r="H40" i="8"/>
  <c r="H55" i="8"/>
  <c r="B87" i="8"/>
  <c r="G55" i="8"/>
  <c r="G78" i="8"/>
  <c r="H72" i="8"/>
  <c r="F27" i="8"/>
  <c r="F32" i="8"/>
  <c r="H20" i="8"/>
  <c r="H39" i="8"/>
  <c r="H61" i="8"/>
  <c r="H56" i="8"/>
  <c r="G15" i="8"/>
  <c r="G64" i="8"/>
  <c r="F30" i="8"/>
  <c r="F74" i="8"/>
  <c r="G34" i="8"/>
  <c r="F24" i="8"/>
  <c r="H67" i="8"/>
  <c r="G12" i="8"/>
  <c r="H26" i="8"/>
  <c r="H29" i="8"/>
  <c r="H66" i="8"/>
  <c r="H48" i="8"/>
  <c r="H59" i="8"/>
  <c r="G81" i="8"/>
  <c r="G62" i="8"/>
  <c r="F46" i="8"/>
  <c r="G36" i="8"/>
  <c r="G20" i="8"/>
  <c r="H64" i="8"/>
  <c r="G65" i="8"/>
  <c r="G67" i="8"/>
  <c r="F19" i="8"/>
  <c r="H81" i="8"/>
  <c r="H28" i="8"/>
  <c r="F65" i="8"/>
  <c r="G35" i="8"/>
  <c r="G73" i="8"/>
  <c r="H23" i="8"/>
  <c r="F59" i="8"/>
  <c r="F28" i="8"/>
  <c r="F17" i="8"/>
  <c r="F38" i="8"/>
  <c r="H60" i="8"/>
  <c r="G74" i="8"/>
  <c r="F40" i="8"/>
  <c r="C85" i="8"/>
  <c r="D86" i="8" s="1"/>
  <c r="H44" i="8"/>
  <c r="H43" i="8"/>
  <c r="BS32" i="14" l="1"/>
  <c r="BT32" i="14" s="1"/>
  <c r="AX5" i="14"/>
  <c r="AC58" i="14"/>
  <c r="BS53" i="14"/>
  <c r="BT53" i="14" s="1"/>
  <c r="AL5" i="14"/>
  <c r="BR5" i="14"/>
  <c r="BS33" i="14"/>
  <c r="BT33" i="14" s="1"/>
  <c r="BP5" i="14"/>
  <c r="AC65" i="14"/>
  <c r="AV58" i="14"/>
  <c r="AW58" i="14"/>
  <c r="AU82" i="8"/>
  <c r="BS69" i="14"/>
  <c r="BT69" i="14" s="1"/>
  <c r="BS61" i="14"/>
  <c r="BT61" i="14" s="1"/>
  <c r="BS62" i="14"/>
  <c r="BT62" i="14" s="1"/>
  <c r="AN58" i="14"/>
  <c r="AB72" i="14"/>
  <c r="BS73" i="14"/>
  <c r="BS67" i="14"/>
  <c r="BT67" i="14" s="1"/>
  <c r="BF58" i="14"/>
  <c r="AD65" i="14"/>
  <c r="BS43" i="14"/>
  <c r="BT43" i="14" s="1"/>
  <c r="BS60" i="14"/>
  <c r="BT60" i="14" s="1"/>
  <c r="AW50" i="14"/>
  <c r="BS38" i="14"/>
  <c r="BT38" i="14" s="1"/>
  <c r="AB50" i="14"/>
  <c r="BS51" i="14"/>
  <c r="BS45" i="14"/>
  <c r="BT45" i="14" s="1"/>
  <c r="AN50" i="14"/>
  <c r="BS30" i="14"/>
  <c r="BT30" i="14" s="1"/>
  <c r="BS42" i="14"/>
  <c r="BT42" i="14" s="1"/>
  <c r="BS17" i="14"/>
  <c r="BS21" i="14"/>
  <c r="BT21" i="14" s="1"/>
  <c r="AM5" i="14"/>
  <c r="H81" i="14"/>
  <c r="E86" i="14"/>
  <c r="BY81" i="14"/>
  <c r="E84" i="14"/>
  <c r="BY84" i="14" s="1"/>
  <c r="F85" i="14"/>
  <c r="BZ85" i="14" s="1"/>
  <c r="BQ65" i="14"/>
  <c r="BR72" i="14"/>
  <c r="BQ72" i="14"/>
  <c r="BS56" i="14"/>
  <c r="BT56" i="14" s="1"/>
  <c r="AC50" i="14"/>
  <c r="AC49" i="14" s="1"/>
  <c r="BS15" i="14"/>
  <c r="BF72" i="14"/>
  <c r="BS74" i="14"/>
  <c r="BT74" i="14" s="1"/>
  <c r="BQ58" i="14"/>
  <c r="AX72" i="14"/>
  <c r="AW72" i="14"/>
  <c r="BH58" i="14"/>
  <c r="BS78" i="14"/>
  <c r="BT78" i="14" s="1"/>
  <c r="BS40" i="14"/>
  <c r="BT40" i="14" s="1"/>
  <c r="BG58" i="14"/>
  <c r="BS52" i="14"/>
  <c r="BT52" i="14" s="1"/>
  <c r="BS29" i="14"/>
  <c r="BS37" i="14"/>
  <c r="BT37" i="14" s="1"/>
  <c r="BS14" i="14"/>
  <c r="BT14" i="14" s="1"/>
  <c r="BS27" i="14"/>
  <c r="BT27" i="14" s="1"/>
  <c r="BS18" i="14"/>
  <c r="BT18" i="14" s="1"/>
  <c r="AM72" i="14"/>
  <c r="BR58" i="14"/>
  <c r="AD72" i="14"/>
  <c r="BS68" i="14"/>
  <c r="BT68" i="14" s="1"/>
  <c r="AC72" i="14"/>
  <c r="BF65" i="14"/>
  <c r="AL58" i="14"/>
  <c r="AB63" i="14"/>
  <c r="BS63" i="14" s="1"/>
  <c r="BT63" i="14" s="1"/>
  <c r="BS64" i="14"/>
  <c r="BT64" i="14" s="1"/>
  <c r="AD58" i="14"/>
  <c r="BS57" i="14"/>
  <c r="BT57" i="14" s="1"/>
  <c r="BG50" i="14"/>
  <c r="AM58" i="14"/>
  <c r="BS20" i="14"/>
  <c r="BT20" i="14" s="1"/>
  <c r="BS23" i="14"/>
  <c r="BT23" i="14" s="1"/>
  <c r="BF5" i="14"/>
  <c r="BS6" i="14"/>
  <c r="BT6" i="14" s="1"/>
  <c r="AJ373" i="10"/>
  <c r="AI376" i="10"/>
  <c r="BS12" i="14"/>
  <c r="BT12" i="14" s="1"/>
  <c r="AD5" i="14"/>
  <c r="BS80" i="14"/>
  <c r="BT80" i="14" s="1"/>
  <c r="AV65" i="14"/>
  <c r="BH65" i="14"/>
  <c r="AL65" i="14"/>
  <c r="BS75" i="14"/>
  <c r="BT75" i="14" s="1"/>
  <c r="AM50" i="14"/>
  <c r="BS44" i="14"/>
  <c r="BT44" i="14" s="1"/>
  <c r="BS46" i="14"/>
  <c r="BT46" i="14" s="1"/>
  <c r="BS8" i="14"/>
  <c r="BT8" i="14" s="1"/>
  <c r="BQ5" i="14"/>
  <c r="BH5" i="14"/>
  <c r="B9" i="12"/>
  <c r="E9" i="12" s="1"/>
  <c r="E10" i="12"/>
  <c r="B29" i="12"/>
  <c r="BS79" i="14"/>
  <c r="BT79" i="14" s="1"/>
  <c r="AB65" i="14"/>
  <c r="BS66" i="14"/>
  <c r="AB58" i="14"/>
  <c r="BS59" i="14"/>
  <c r="BS71" i="14"/>
  <c r="BT71" i="14" s="1"/>
  <c r="AN65" i="14"/>
  <c r="BS70" i="14"/>
  <c r="BT70" i="14" s="1"/>
  <c r="BH72" i="14"/>
  <c r="BR50" i="14"/>
  <c r="BS47" i="14"/>
  <c r="BT47" i="14" s="1"/>
  <c r="BS26" i="14"/>
  <c r="BT26" i="14" s="1"/>
  <c r="BS36" i="14"/>
  <c r="BT36" i="14" s="1"/>
  <c r="BS25" i="14"/>
  <c r="BT25" i="14" s="1"/>
  <c r="BS19" i="14"/>
  <c r="BT19" i="14" s="1"/>
  <c r="BS9" i="14"/>
  <c r="BT9" i="14" s="1"/>
  <c r="AW5" i="14"/>
  <c r="AN5" i="14"/>
  <c r="BS7" i="14"/>
  <c r="BT7" i="14" s="1"/>
  <c r="BS39" i="14"/>
  <c r="BT39" i="14" s="1"/>
  <c r="BS77" i="14"/>
  <c r="BT77" i="14" s="1"/>
  <c r="BS76" i="14"/>
  <c r="BT76" i="14" s="1"/>
  <c r="BG65" i="14"/>
  <c r="BP72" i="14"/>
  <c r="AN72" i="14"/>
  <c r="BR65" i="14"/>
  <c r="AX50" i="14"/>
  <c r="BS54" i="14"/>
  <c r="BT54" i="14" s="1"/>
  <c r="BP50" i="14"/>
  <c r="BP49" i="14" s="1"/>
  <c r="BP48" i="14" s="1"/>
  <c r="BS34" i="14"/>
  <c r="BT34" i="14" s="1"/>
  <c r="BF50" i="14"/>
  <c r="BF49" i="14" s="1"/>
  <c r="BF48" i="14" s="1"/>
  <c r="BS22" i="14"/>
  <c r="BT22" i="14" s="1"/>
  <c r="AV5" i="14"/>
  <c r="AC5" i="14"/>
  <c r="AX58" i="14"/>
  <c r="AM65" i="14"/>
  <c r="AV72" i="14"/>
  <c r="AX65" i="14"/>
  <c r="AD50" i="14"/>
  <c r="AD49" i="14" s="1"/>
  <c r="AD48" i="14" s="1"/>
  <c r="BQ50" i="14"/>
  <c r="BQ49" i="14" s="1"/>
  <c r="BQ48" i="14" s="1"/>
  <c r="AV50" i="14"/>
  <c r="BH50" i="14"/>
  <c r="BS41" i="14"/>
  <c r="BT41" i="14" s="1"/>
  <c r="AL50" i="14"/>
  <c r="BS31" i="14"/>
  <c r="BT31" i="14" s="1"/>
  <c r="BS35" i="14"/>
  <c r="BT35" i="14" s="1"/>
  <c r="AB5" i="14"/>
  <c r="BS11" i="14"/>
  <c r="BS24" i="14"/>
  <c r="BT24" i="14" s="1"/>
  <c r="BS10" i="14"/>
  <c r="BT10" i="14" s="1"/>
  <c r="BG5" i="14"/>
  <c r="D10" i="12"/>
  <c r="G14" i="12"/>
  <c r="F82" i="8"/>
  <c r="H82" i="8"/>
  <c r="G82" i="8"/>
  <c r="AV49" i="14" l="1"/>
  <c r="AW49" i="14"/>
  <c r="AW48" i="14" s="1"/>
  <c r="AL49" i="14"/>
  <c r="AL48" i="14" s="1"/>
  <c r="BH49" i="14"/>
  <c r="BH48" i="14" s="1"/>
  <c r="BS58" i="14"/>
  <c r="BT59" i="14"/>
  <c r="BT58" i="14" s="1"/>
  <c r="AC48" i="14"/>
  <c r="D9" i="12"/>
  <c r="G10" i="12"/>
  <c r="BT51" i="14"/>
  <c r="BT50" i="14" s="1"/>
  <c r="BS50" i="14"/>
  <c r="AX49" i="14"/>
  <c r="AX48" i="14" s="1"/>
  <c r="BT66" i="14"/>
  <c r="BS65" i="14"/>
  <c r="BT65" i="14" s="1"/>
  <c r="AB49" i="14"/>
  <c r="AB48" i="14" s="1"/>
  <c r="BS72" i="14"/>
  <c r="BT72" i="14" s="1"/>
  <c r="BT73" i="14"/>
  <c r="BR49" i="14"/>
  <c r="BR48" i="14" s="1"/>
  <c r="AV48" i="14"/>
  <c r="BG49" i="14"/>
  <c r="BG48" i="14" s="1"/>
  <c r="BT29" i="14"/>
  <c r="BS28" i="14"/>
  <c r="BT28" i="14" s="1"/>
  <c r="BT17" i="14"/>
  <c r="BS16" i="14"/>
  <c r="BT16" i="14" s="1"/>
  <c r="E29" i="12"/>
  <c r="D29" i="12"/>
  <c r="AM49" i="14"/>
  <c r="AM48" i="14" s="1"/>
  <c r="BS5" i="14"/>
  <c r="BT11" i="14"/>
  <c r="BT5" i="14" s="1"/>
  <c r="BT15" i="14"/>
  <c r="BS13" i="14"/>
  <c r="BT13" i="14" s="1"/>
  <c r="AN49" i="14"/>
  <c r="AN48" i="14" s="1"/>
  <c r="BT49" i="14" l="1"/>
  <c r="BT48" i="14" s="1"/>
  <c r="BS49" i="14"/>
  <c r="BS48" i="14" s="1"/>
  <c r="BS81" i="14" s="1"/>
  <c r="BT81" i="14"/>
  <c r="BS84" i="14"/>
  <c r="G9" i="12"/>
  <c r="H9" i="12"/>
  <c r="H29" i="12"/>
  <c r="H24" i="12"/>
  <c r="H15" i="12"/>
  <c r="H28" i="12"/>
  <c r="H18" i="12"/>
  <c r="H5" i="12"/>
  <c r="H26" i="12"/>
  <c r="H23" i="12"/>
  <c r="H19" i="12"/>
  <c r="H7" i="12"/>
  <c r="H10" i="12"/>
  <c r="H22" i="12"/>
  <c r="H12" i="12"/>
  <c r="G29" i="12"/>
  <c r="H11" i="12"/>
  <c r="H6" i="12"/>
  <c r="H16" i="12"/>
  <c r="H25" i="12"/>
  <c r="H14" i="12"/>
  <c r="H8" i="12"/>
  <c r="H20" i="12"/>
  <c r="H17" i="12"/>
  <c r="H27" i="12"/>
  <c r="H13" i="12"/>
  <c r="H21" i="12"/>
</calcChain>
</file>

<file path=xl/sharedStrings.xml><?xml version="1.0" encoding="utf-8"?>
<sst xmlns="http://schemas.openxmlformats.org/spreadsheetml/2006/main" count="988" uniqueCount="292">
  <si>
    <t>TOTAL</t>
  </si>
  <si>
    <t>TOTAL GERAL</t>
  </si>
  <si>
    <t>%</t>
  </si>
  <si>
    <t>BID</t>
  </si>
  <si>
    <t>PROJETOS</t>
  </si>
  <si>
    <t>EXECUÇÃO</t>
  </si>
  <si>
    <t>DESAPROPRIAÇÃO</t>
  </si>
  <si>
    <t>SECRETARIA RESPONSÁVEL</t>
  </si>
  <si>
    <t>4º</t>
  </si>
  <si>
    <t>3º</t>
  </si>
  <si>
    <t>2º</t>
  </si>
  <si>
    <t>1º</t>
  </si>
  <si>
    <t xml:space="preserve">TOTAL </t>
  </si>
  <si>
    <t>AÇÕES</t>
  </si>
  <si>
    <t>CRONOGRAMA</t>
  </si>
  <si>
    <t>COMPONENTE 1 - COMPONENTE URBANO DAS CIDADES POLO</t>
  </si>
  <si>
    <t xml:space="preserve">PROJETOS </t>
  </si>
  <si>
    <t>ESTADO</t>
  </si>
  <si>
    <t>DESAPROPRIAÇÕES</t>
  </si>
  <si>
    <t>FRUTICULTURA</t>
  </si>
  <si>
    <t>METAL MECANICO</t>
  </si>
  <si>
    <t>BACIA LEITEIRA</t>
  </si>
  <si>
    <t>3.1. - APOIO APLs VALE JAGUARIBE</t>
  </si>
  <si>
    <t>3.2. - APOIO APLs VALE ACARAÚ</t>
  </si>
  <si>
    <t>TURISMO NEGÓCIO ( HOTELARIA/GASTRONOMIA/ARTESANATO)</t>
  </si>
  <si>
    <t>TECNOLIGIA DA INFORMAÇÃO - TI</t>
  </si>
  <si>
    <t>CONTRAPARTIDA PREVIA</t>
  </si>
  <si>
    <t>PERÍODO ELABORAÇÃO EDITAL/APROVAÇÃO BANCO E PUBLICAÇÃO ATÉ ADJUDICAÇÃO</t>
  </si>
  <si>
    <t>VALORES PROPOSTOS COMO CONTRAPARTIDA DO PROGRAMA</t>
  </si>
  <si>
    <t>VALOR DOLAR = R$1,75</t>
  </si>
  <si>
    <t>A - GESTÃO URBANA</t>
  </si>
  <si>
    <t>B - GESTÃO FISCAL E TRIBUTÁRIA</t>
  </si>
  <si>
    <t>1 -RODOVIAS E VIAS URBANAS</t>
  </si>
  <si>
    <t>2 - RECUPERAÇÃO ÁREAS URBANAS CENTRAIS</t>
  </si>
  <si>
    <t>3 - EQUIPAMENTOS URBANOS</t>
  </si>
  <si>
    <t>4 - GESTÃO INSTITUCIONAL DE RESÍDUOS SÓLIDOS</t>
  </si>
  <si>
    <t xml:space="preserve">1.5 - IMPLANTAÇÃO  AV. CONTORNO LESTE DE LIMOEIRO </t>
  </si>
  <si>
    <t>1.1 -  PAVIMENTAÇÃO AV. BENJAMIN CONSTANT - RUSSAS (elegivel)</t>
  </si>
  <si>
    <t>1.2 - DUPLICAÇÃO AV. SOUZA BARRETO - RUSSAS (elegivel)</t>
  </si>
  <si>
    <t>2.1  -VALORIZAÇÃO SITIO HISTÓRICO DE SOBRAL</t>
  </si>
  <si>
    <t>3.1-  - MERCADO DE  RUSSAS</t>
  </si>
  <si>
    <t xml:space="preserve">4.1. -  - ATERRO SANITARIO DE SOBRAL </t>
  </si>
  <si>
    <t>4.2 -  - ATERRO SANITARIO LIMOEIRO (elegivel)</t>
  </si>
  <si>
    <t xml:space="preserve">1.8.-OUTRAS OBRAS </t>
  </si>
  <si>
    <t xml:space="preserve">COMPONENTE III - FORTALECIMENTO INSTITUCIONAL </t>
  </si>
  <si>
    <t>3.1 - MODERNIZAÇÃO DA GESTÃO MUNICIPAL</t>
  </si>
  <si>
    <t>Revisão dos Planos Diretores Municipais (Cidades-Polo)</t>
  </si>
  <si>
    <t>Revisão dos Planos de Ocupação e Uso do Solo-PIOUS (Cidades &gt;20mil hab)</t>
  </si>
  <si>
    <t>Planos Municipais de Saneamento Ambiental (Cidades-Polo)</t>
  </si>
  <si>
    <t>Planos Municipais de Saneamento Ambiental (Cidades &gt;20mil hab)</t>
  </si>
  <si>
    <t>Planos de Mobilidade Urbana (Cidades-Polo)</t>
  </si>
  <si>
    <t>Planos de Mobilidade Urbana (Cidades &gt;20mil hab)</t>
  </si>
  <si>
    <t>Atualização dos Códigos Tributários Municipais (Cidades-Polo)</t>
  </si>
  <si>
    <t>Atualização Cadastral e Modernização do Sistema Admin - Imagem Satélite</t>
  </si>
  <si>
    <t>Atualização da Planta Genérica de Valores (PGV)</t>
  </si>
  <si>
    <t>Campanha de Educação Fiscal</t>
  </si>
  <si>
    <t>C - TRANSPARÊNCIA E PARTICIPAÇÃO POPULAR</t>
  </si>
  <si>
    <t>Atualização e Modernização dos Websites (Cidades-Polo)</t>
  </si>
  <si>
    <t>D - TREINAMENTO E CAPACITAÇÃO</t>
  </si>
  <si>
    <t>Elaboração e Gestão de Projetos</t>
  </si>
  <si>
    <t>Planejamento Participativo e Orçamento Público</t>
  </si>
  <si>
    <t>Licenciamento, Educação e Gestão Ambiental</t>
  </si>
  <si>
    <t>Licitações e Contratos</t>
  </si>
  <si>
    <t>Planejamento Urbano</t>
  </si>
  <si>
    <t>Gestão Fiscal e Tributária</t>
  </si>
  <si>
    <t>3.2 - FORTALECIMENTO DA SECRETARIA DAS CIDADES</t>
  </si>
  <si>
    <t>Elaboração de Material Didático para Prefeitos e Gestores (IDECI)</t>
  </si>
  <si>
    <t>Intercâmbio Técnico (IDECI)</t>
  </si>
  <si>
    <t>Atualização Cadastral Estado - Imagens de Satélite/Licenças</t>
  </si>
  <si>
    <t>Elaboração de Projetos Padrão Municipais</t>
  </si>
  <si>
    <t>Modernização da TI</t>
  </si>
  <si>
    <t>ANO II - 2014</t>
  </si>
  <si>
    <t>Engenharia e Administração do Programa</t>
  </si>
  <si>
    <t>1.1 .- Estudos e projetos</t>
  </si>
  <si>
    <t>1.3. Monitoramento, Supervisão, Avaliação e Auditoria</t>
  </si>
  <si>
    <t>1.2. - Administração da UGP</t>
  </si>
  <si>
    <t>ANO 0 - 2012</t>
  </si>
  <si>
    <t>ANO I - 2013</t>
  </si>
  <si>
    <t>ANO III - 2015</t>
  </si>
  <si>
    <t>ANO IV - 2016</t>
  </si>
  <si>
    <t>COMPONENTE  II   - SETOR PRODUTIVO</t>
  </si>
  <si>
    <t>PROGRAMA  DE DESENVOLVIMEBNTO URBANO REGIONAL - CEARÁ - BR - L1176 - R$x1.000 - QUADRO USO DE FONTES/CRONOGRAMA</t>
  </si>
  <si>
    <t>1.4 - DUPLICAÇÃO AV. JOSE EUCLIDES FERREIRA GOMES - SOBRAL</t>
  </si>
  <si>
    <t>Readequação física da Secretaria das Cidades</t>
  </si>
  <si>
    <t>BRASIL</t>
  </si>
  <si>
    <t>Atualização Nº: 1</t>
  </si>
  <si>
    <t>Local</t>
  </si>
  <si>
    <t>OBRAS</t>
  </si>
  <si>
    <t>elaboração de TR</t>
  </si>
  <si>
    <t>aprovação do edital</t>
  </si>
  <si>
    <t>licitação dos serviços</t>
  </si>
  <si>
    <t>total</t>
  </si>
  <si>
    <t>contrapartida</t>
  </si>
  <si>
    <t>Elaboração/aprov. Projetos</t>
  </si>
  <si>
    <t>provação de edital</t>
  </si>
  <si>
    <t>Licitação das obras</t>
  </si>
  <si>
    <t>Execução das obras</t>
  </si>
  <si>
    <t>obras</t>
  </si>
  <si>
    <t>execução dos serviços</t>
  </si>
  <si>
    <t>1.3. Auditoria</t>
  </si>
  <si>
    <t>1.5. Supervisão Obras</t>
  </si>
  <si>
    <t>QUADRO DE FONTES</t>
  </si>
  <si>
    <t>Categorías</t>
  </si>
  <si>
    <t>VALORES EM R$*1000</t>
  </si>
  <si>
    <t>VALORES EM US$*1000</t>
  </si>
  <si>
    <t>IDB/OC</t>
  </si>
  <si>
    <t>Total</t>
  </si>
  <si>
    <t xml:space="preserve">1. Administração e Engenharia </t>
  </si>
  <si>
    <t>2. Custos diretos</t>
  </si>
  <si>
    <t>consultoria</t>
  </si>
  <si>
    <t>Curso Elaboração e Gestão de Projetos</t>
  </si>
  <si>
    <t>Curso Planejamento Participativo e Orçamento Público</t>
  </si>
  <si>
    <t>Curso Licenciamento, Educação e Gestão Ambiental</t>
  </si>
  <si>
    <t>Curso: Licitações e Contratos</t>
  </si>
  <si>
    <t>Curso :Planejamento Urbano</t>
  </si>
  <si>
    <t>Curso: Gestão Fiscal e Tributária</t>
  </si>
  <si>
    <t xml:space="preserve">Aquisição de outros  Equipamentos </t>
  </si>
  <si>
    <t xml:space="preserve">PROGRAMA INTEGRADO DE DESENVOLVIMENTO URBANO - PREFEITURA DE </t>
  </si>
  <si>
    <t>1  - INTERNALIZAÇÃO DAS REDES TELEFONIA E LOGICA</t>
  </si>
  <si>
    <t>2 - INTERNALIZAÇÃO DAS REDES ELETRICA</t>
  </si>
  <si>
    <t>3 - READEQUAÇÃO  PAVIMENTAÇÃO RUAS</t>
  </si>
  <si>
    <t xml:space="preserve">4-  -READEQUAÇÃO PASSEIOS </t>
  </si>
  <si>
    <t>5 -  REQUALIFICAÇÃO DA PRAÇA DA IGREJA DO PATROCÍNIO</t>
  </si>
  <si>
    <t>6 -  REQUALIFICAÇÃO DA PRAÇA DA SÉ</t>
  </si>
  <si>
    <t>7  -REQUALIFICAÇÃO DA PRAÇA CLODOVEU ARRUDA/ DO AMOR</t>
  </si>
  <si>
    <t>8  -REQUALIFICAÇÃO DA PRAÇA DA VARZEA</t>
  </si>
  <si>
    <t>9 - REQUALIFICAÇÃO DA PRAÇA DO BOSQUE</t>
  </si>
  <si>
    <t>1 -Rodovias e Vias Urbanas</t>
  </si>
  <si>
    <t xml:space="preserve">1.5 - Implantação Av. Contorno Leste de LIMOEIRO </t>
  </si>
  <si>
    <t>1.4 - Duplicação Av. José Euclides Ferreira Gomes - SOBRAL</t>
  </si>
  <si>
    <t>2 - Recuperação áreas Urbanas centrais</t>
  </si>
  <si>
    <t>2.1  -Valoriação Sitio Histórico de SOBRAL</t>
  </si>
  <si>
    <t>3 - Equipamentos Urbanos</t>
  </si>
  <si>
    <t>3.1-  Mercado de  RUSSAS</t>
  </si>
  <si>
    <t>4 - Gestçao Institucional de Resíduos Sólidos</t>
  </si>
  <si>
    <t xml:space="preserve">4.1. - Aterro Sanitário de SOBRAL </t>
  </si>
  <si>
    <t>4.2 -  Aterro Sanitário de LIMOEIRO (elegivel)</t>
  </si>
  <si>
    <t>3.1 - Modernização da Gestão Municipal</t>
  </si>
  <si>
    <t>A - Gestão Urbana</t>
  </si>
  <si>
    <t>B - Gestão Fiscal e Tributária</t>
  </si>
  <si>
    <t>C - TransparRANSPARÊNCIA E PARTICIPAÇÃO POPULAR</t>
  </si>
  <si>
    <t>OUTROS PROJETOS ELEGÍVEIS</t>
  </si>
  <si>
    <t>Elaboração produto</t>
  </si>
  <si>
    <t xml:space="preserve">Licitação </t>
  </si>
  <si>
    <t>Elaboração/aprov. Termos Referencia</t>
  </si>
  <si>
    <t>1.1. Elaborar/ atualizar  Plano de Desenvolvimento RegionaL - PDR - V. Jaguaribe</t>
  </si>
  <si>
    <t>1.2. Elaborar/ atualizar  Plano Desenvolvimento Regional - PDR- V. Acaraú</t>
  </si>
  <si>
    <t xml:space="preserve">1.3. Realizar estudos setoriais e desenho de projetos prioritários </t>
  </si>
  <si>
    <t>2.1. Identificar oportunidades de novos negócios nas áreas de intervenção do Programa</t>
  </si>
  <si>
    <t>serviço</t>
  </si>
  <si>
    <t>Atualização e Modernização dos Websites  cidades 2</t>
  </si>
  <si>
    <t>Atualização e Modernização dos Websites CIDADE 3</t>
  </si>
  <si>
    <t>Atualização e Modernização dos Websites CIDADE 4</t>
  </si>
  <si>
    <t xml:space="preserve">COMPONENTE  II   - APOIO ÀS ESTRATÉGIAS DE DESENVOLVIMENTO REGIONAL E MELHORIA DO AMBIENTE DE NEGÓCIOS </t>
  </si>
  <si>
    <t>2.2. Apoiar preparação de projetos complementares selecionados nas áreas de intervenção do Componente I</t>
  </si>
  <si>
    <t>1.4. Apoio ao Estabelecimento e Funcionamento de For a e Encontros  Regionais</t>
  </si>
  <si>
    <t>Elaboração e divulgação de Manual Simplificado da Legislação</t>
  </si>
  <si>
    <t>Prestação de Serviços de Registro e Formalização de Empresas on-line</t>
  </si>
  <si>
    <t>Atualização e Modernização dos Websites (Sobral) com coordenação c\ Setor Produtivo</t>
  </si>
  <si>
    <t xml:space="preserve">Atualização Cadastral e Modernização do Sistema Admin Tributária </t>
  </si>
  <si>
    <t xml:space="preserve">1.2. - Custos  da UGP </t>
  </si>
  <si>
    <t>1.6. Monitoramento/Avaliação de Meio-termo,final e PCR  avaliação ex-post</t>
  </si>
  <si>
    <t xml:space="preserve">Intercâmbio Técnico </t>
  </si>
  <si>
    <t>bens</t>
  </si>
  <si>
    <t xml:space="preserve">Aquisição de outros Equipamentos </t>
  </si>
  <si>
    <t>Readequação física do IDECI</t>
  </si>
  <si>
    <t>CRONOGRAMA FISICO FINANCEIRO</t>
  </si>
  <si>
    <t>Eixo Estratégico 1-  Planos de Desenvolvimento Regional e Estudos Setoriais e Projetos</t>
  </si>
  <si>
    <t>Capacitação de Entidades e Operadores - Sistema de Registros</t>
  </si>
  <si>
    <t>jul</t>
  </si>
  <si>
    <t>COMPONENTE III -Modernização da gestão municipal e Fortalecimento da Secretaria da Cidade</t>
  </si>
  <si>
    <t>Gestão do Programa do Programa</t>
  </si>
  <si>
    <t>1.6. Sistema para Gestão das Ações do programa</t>
  </si>
  <si>
    <t>Sistema software</t>
  </si>
  <si>
    <t>ANO V - 2017</t>
  </si>
  <si>
    <t>Desapropriação</t>
  </si>
  <si>
    <t>Apoio Estabelecimento Observatório das Cidades</t>
  </si>
  <si>
    <t>1.1 -RODOVIAS E VIAS URBANAS</t>
  </si>
  <si>
    <t xml:space="preserve">1.2 - IMPLANTAÇÃO  AV. CONTORNO LESTE DE LIMOEIRO </t>
  </si>
  <si>
    <t>1.3 - Duplicação Av. José Euclides Ferreira Gomes - Sobral</t>
  </si>
  <si>
    <t>2.1  - INTERNALIZAÇÃO DAS REDES TELEFONIA E LOGICA</t>
  </si>
  <si>
    <t>2.2 - INTERNALIZAÇÃO DAS REDES ELETRICA</t>
  </si>
  <si>
    <t>2.3 - READEQUAÇÃO  PAVIMENTAÇÃO RUAS</t>
  </si>
  <si>
    <t xml:space="preserve">2.4-  -READEQUAÇÃO PASSEIOS </t>
  </si>
  <si>
    <t>2.5 -  REQUALIFICAÇÃO DA PRAÇA DA IGREJA DO PATROCÍNIO</t>
  </si>
  <si>
    <t>2.6-  REQUALIFICAÇÃO DA PRAÇA DA SÉ</t>
  </si>
  <si>
    <t>2.7  -REQUALIFICAÇÃO DA PRAÇA CLODOVEU ARRUDA/ DO AMOR</t>
  </si>
  <si>
    <t>2.8  -REQUALIFICAÇÃO DA PRAÇA DA VARZEA</t>
  </si>
  <si>
    <t>2.9 - REQUALIFICAÇÃO DA PRAÇA DO BOSQUE</t>
  </si>
  <si>
    <t>5.-OUTRAS OBRAS</t>
  </si>
  <si>
    <t>3.1. Redesenho dos Processos</t>
  </si>
  <si>
    <t>EIXO 2- PROJETOS DE APOIO PRODUTIVO COMPLEMENTARES AO COMPONENTE I</t>
  </si>
  <si>
    <t>D - Fortalecimento Gestão de Projeos</t>
  </si>
  <si>
    <t>Gestão do Programa</t>
  </si>
  <si>
    <t>Estudos Projetos e Consultorias</t>
  </si>
  <si>
    <t>III: MELHORIA DO SISTEMA DE REGISTRO DE EMPRESAS</t>
  </si>
  <si>
    <t>COMPONENTE  II   - APOIO ÀS ESTRATÉGIAS DE DESENVOLVIMENTO REGIONAL E MELHORIA DO SISTEMA DE REGISTRO DE EMPRESAS</t>
  </si>
  <si>
    <t>COMPONENTE 1 - MELHORAMENTO DA INFRAESTRUTURA URBANA</t>
  </si>
  <si>
    <t>5.-OUTRAS OBRAS ELEGÍVEIS</t>
  </si>
  <si>
    <t>Planos Municipais de Saneamento Ambiental de RUSSAS</t>
  </si>
  <si>
    <t>Planos Municipais de Saneamento Ambiental (RUSSAS)</t>
  </si>
  <si>
    <t>Planos de Mobilidade Urbana (SOBRAL)</t>
  </si>
  <si>
    <t>Planos de Mobilidade Urbana (TRÊS Cidades-Polo)</t>
  </si>
  <si>
    <t>Atualização e Modernização dos Websites com coordenação c\ Setor Produtivo</t>
  </si>
  <si>
    <t>D - FORTALECIMENTO DA GESTÃO DE PROJETOS</t>
  </si>
  <si>
    <t xml:space="preserve">Estudos, projetos e consultorias </t>
  </si>
  <si>
    <t>QUADRO USOS E FONTES</t>
  </si>
  <si>
    <t>3.2 - Geo Portal</t>
  </si>
  <si>
    <t>3.3 - Capacitação</t>
  </si>
  <si>
    <t xml:space="preserve"> COMPONENTE II - MELHORIA DO MEIO AMBIENTE E SOCIAL</t>
  </si>
  <si>
    <t>CASCAVEL</t>
  </si>
  <si>
    <t>COMPONENTE 1 - TRANSPORTE E SISTEMA VIÁRIO</t>
  </si>
  <si>
    <t xml:space="preserve">2.1- Parque Vitória </t>
  </si>
  <si>
    <t>2.2 - Parque Morumbi</t>
  </si>
  <si>
    <t>3.1 - Cascavel Digital</t>
  </si>
  <si>
    <t>VALOR DOLAR = R$ 2,00</t>
  </si>
  <si>
    <t>2.2.1. Investimentos</t>
  </si>
  <si>
    <t>2.2.2. Equipamentos (móveis, informatica)</t>
  </si>
  <si>
    <t xml:space="preserve"> ADMINISTRAÇÃO DO PROGRAMA</t>
  </si>
  <si>
    <t>MELHORIA SOCIAL</t>
  </si>
  <si>
    <t>2.1.1. Investimentos</t>
  </si>
  <si>
    <t>2.1.2. Equipamentos (móveis, informatica)</t>
  </si>
  <si>
    <t>2.3.1. Investimentos</t>
  </si>
  <si>
    <t>2.3.2. Equipamentos (móveis, informatica)</t>
  </si>
  <si>
    <t>2.4.1. Investimentos</t>
  </si>
  <si>
    <t>2.4.2. Equipamentos (móveis, informatica)</t>
  </si>
  <si>
    <t>2.3  - Centro de Convivência Floresta</t>
  </si>
  <si>
    <t>2.4 - Centro de Convivência Santa Felicidade</t>
  </si>
  <si>
    <t>2.2 - Centro de Convivência Cascavel Velho</t>
  </si>
  <si>
    <t>2.1 - Centro de Convivência Morumbi</t>
  </si>
  <si>
    <t>2.1.1  - Infra estrutura</t>
  </si>
  <si>
    <t>MELHORIA AMBIENTAL  (parques e esportes )</t>
  </si>
  <si>
    <t>2.2.1 - Infra-estrutura</t>
  </si>
  <si>
    <t>2.2.2 - Equipamentos Esportivos</t>
  </si>
  <si>
    <t>2.2.3 - Reflorestamento/ Revegetação</t>
  </si>
  <si>
    <t>2.5 - Parque Santa Cruz</t>
  </si>
  <si>
    <t>2.6 - Santa Felicidade</t>
  </si>
  <si>
    <t>2.4 - Parque Floresta</t>
  </si>
  <si>
    <t>2.1.2 - Equipamentos Esportivos (Playground)</t>
  </si>
  <si>
    <t>Diferença</t>
  </si>
  <si>
    <t xml:space="preserve"> </t>
  </si>
  <si>
    <t>1.1.3 - Construção/Demolição Terminal Oeste</t>
  </si>
  <si>
    <t>1.1.4 - Construção/Demolição Terminal Leste</t>
  </si>
  <si>
    <t xml:space="preserve">1.2  - Pavimentacao e abertura de novas vias </t>
  </si>
  <si>
    <t>1.1.5 - Construção terminal Nordeste</t>
  </si>
  <si>
    <t>1.1.6 - Construção terminal Sudoeste</t>
  </si>
  <si>
    <t>1.1.8 - Terminal Nordeste (desapropriação)</t>
  </si>
  <si>
    <t>1.1.9 - Terminal Sudoeste (desapropriação)</t>
  </si>
  <si>
    <t>1.1 - Av. Brasil/Jacarezinho/Calçadão/Términais/ciclovia</t>
  </si>
  <si>
    <t>1.1.10  - Ciclovia - Av. Tancredo Neves</t>
  </si>
  <si>
    <t>1.1.11  - Ciclovia - Avenida Brasil</t>
  </si>
  <si>
    <t>1.2.1 - Rua Jequitiba</t>
  </si>
  <si>
    <t>1.2.2  - Rua Jose de Sá Cavalcante</t>
  </si>
  <si>
    <t>1.4 - Viaduto BR 277      (transposição)</t>
  </si>
  <si>
    <t>1.4.2- Viaduto BR 277 - desapropriação</t>
  </si>
  <si>
    <t>1.4.1 - Viaduto BR 277  -   Obra</t>
  </si>
  <si>
    <t>1.1.1 - Avenida Brasil/ Jacarezinho e Calçadão</t>
  </si>
  <si>
    <t>1.1.2 - Av. Tancredo Neves</t>
  </si>
  <si>
    <t>4.1 Avaliação</t>
  </si>
  <si>
    <t>4.2 Apoio Administração UCP/Supervisão e Monitoramento</t>
  </si>
  <si>
    <t>1.2.3  - Rua Visconde Guarapuava</t>
  </si>
  <si>
    <t>1.2.5  - Rua Paraná</t>
  </si>
  <si>
    <t>1.2.6  - Rua Ipanema</t>
  </si>
  <si>
    <t>1.2.4  - Av. Jacarezinho</t>
  </si>
  <si>
    <t>Cascavel</t>
  </si>
  <si>
    <t>1.3 - Calçadas dos Próprios Públicos</t>
  </si>
  <si>
    <t>3.4 - Aquisição de Equipamentos SEMA</t>
  </si>
  <si>
    <t>1.2.7  - Rua kenedy/Recife</t>
  </si>
  <si>
    <t>1.2.8 - Rua Jequitiba - desapropriação</t>
  </si>
  <si>
    <t>1.2.9- Rua Jose de Sá Cavalcante - desapropriação</t>
  </si>
  <si>
    <t>1.2.10  - Rua Visconde Guarapuava - desapropriação</t>
  </si>
  <si>
    <t>1.2.11  - Rua Paraná - desapropriação</t>
  </si>
  <si>
    <t>1.2.12 - Rua Ipanema - desapropriação</t>
  </si>
  <si>
    <t>1.2.13  - Rua kenedy/Recife - Desapropriação</t>
  </si>
  <si>
    <t>BR - L 1344</t>
  </si>
  <si>
    <t>PROGRAMA  DE DESENVOLVIMENTO INTEGRADO CASCAVEL - PDI</t>
  </si>
  <si>
    <t>1.1.7 - Terminal Leste (desapropriação)</t>
  </si>
  <si>
    <t>2.2.1.1 - Dragagem</t>
  </si>
  <si>
    <t>2.2.1.2 - Drenagem</t>
  </si>
  <si>
    <t>2.2.1.3 - Bueiros</t>
  </si>
  <si>
    <t>2.2.1.4 - Reposição do pavimento</t>
  </si>
  <si>
    <t>2.2.2.1 - Ginásio, Quadras Voley, ATIs</t>
  </si>
  <si>
    <t>2.2.1.5 - Sanitários, pistas caminhadas, ciclovias, implantação</t>
  </si>
  <si>
    <t>Sub. Total</t>
  </si>
  <si>
    <t>1.5 - Drenagem</t>
  </si>
  <si>
    <t>Total Investimento</t>
  </si>
  <si>
    <t>1 - Parque Morumbi</t>
  </si>
  <si>
    <t>1.1 - Infraestrutura</t>
  </si>
  <si>
    <t>1.2 - Ginásio</t>
  </si>
  <si>
    <t>1.3 - Ciclovia</t>
  </si>
  <si>
    <t>1.4 - Pista de Caminhada</t>
  </si>
  <si>
    <t>Taxa de Câmbio: 1 US$ x 2.00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</si>
</sst>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_(* #,##0_);_(* \(#,##0\);_(* &quot;-&quot;??_);_(@_)"/>
    <numFmt numFmtId="168" formatCode="[$-416]mmm\-yy;@"/>
    <numFmt numFmtId="169" formatCode="[$$-409]#,##0.00"/>
    <numFmt numFmtId="170" formatCode="&quot;R$ &quot;#,##0.00"/>
  </numFmts>
  <fonts count="3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i/>
      <u/>
      <sz val="11"/>
      <name val="Arial"/>
      <family val="2"/>
    </font>
    <font>
      <b/>
      <sz val="10"/>
      <color indexed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indexed="10"/>
      <name val="Arial Narrow"/>
      <family val="2"/>
    </font>
    <font>
      <b/>
      <sz val="8"/>
      <color indexed="10"/>
      <name val="Arial Narrow"/>
      <family val="2"/>
    </font>
    <font>
      <b/>
      <sz val="16"/>
      <name val="Arial Narrow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rgb="FFFF0000"/>
      <name val="Arial Narrow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rgb="FFFF0000"/>
      <name val="Arial Narrow"/>
      <family val="2"/>
    </font>
    <font>
      <sz val="1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0"/>
    <xf numFmtId="0" fontId="21" fillId="0" borderId="0"/>
    <xf numFmtId="0" fontId="6" fillId="0" borderId="0"/>
    <xf numFmtId="0" fontId="2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1299">
    <xf numFmtId="0" fontId="0" fillId="0" borderId="0" xfId="0"/>
    <xf numFmtId="3" fontId="3" fillId="0" borderId="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vertical="center"/>
    </xf>
    <xf numFmtId="3" fontId="5" fillId="13" borderId="2" xfId="0" applyNumberFormat="1" applyFont="1" applyFill="1" applyBorder="1" applyAlignment="1">
      <alignment horizontal="center" vertical="center"/>
    </xf>
    <xf numFmtId="3" fontId="5" fillId="13" borderId="3" xfId="0" applyNumberFormat="1" applyFont="1" applyFill="1" applyBorder="1" applyAlignment="1">
      <alignment horizontal="center" vertical="center"/>
    </xf>
    <xf numFmtId="3" fontId="5" fillId="13" borderId="4" xfId="0" applyNumberFormat="1" applyFont="1" applyFill="1" applyBorder="1" applyAlignment="1">
      <alignment horizontal="center" vertical="center"/>
    </xf>
    <xf numFmtId="3" fontId="5" fillId="13" borderId="5" xfId="0" applyNumberFormat="1" applyFont="1" applyFill="1" applyBorder="1" applyAlignment="1">
      <alignment horizontal="center" vertical="center"/>
    </xf>
    <xf numFmtId="3" fontId="5" fillId="13" borderId="6" xfId="0" applyNumberFormat="1" applyFont="1" applyFill="1" applyBorder="1" applyAlignment="1">
      <alignment horizontal="center" vertical="center"/>
    </xf>
    <xf numFmtId="3" fontId="5" fillId="13" borderId="7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vertical="center"/>
    </xf>
    <xf numFmtId="3" fontId="5" fillId="13" borderId="1" xfId="0" applyNumberFormat="1" applyFont="1" applyFill="1" applyBorder="1" applyAlignment="1">
      <alignment horizontal="center" vertical="center"/>
    </xf>
    <xf numFmtId="3" fontId="5" fillId="14" borderId="1" xfId="0" applyNumberFormat="1" applyFont="1" applyFill="1" applyBorder="1" applyAlignment="1">
      <alignment horizontal="center" vertical="center"/>
    </xf>
    <xf numFmtId="3" fontId="5" fillId="13" borderId="1" xfId="3" applyNumberFormat="1" applyFont="1" applyFill="1" applyBorder="1" applyAlignment="1">
      <alignment horizontal="center" vertical="center"/>
    </xf>
    <xf numFmtId="3" fontId="5" fillId="14" borderId="1" xfId="3" applyNumberFormat="1" applyFont="1" applyFill="1" applyBorder="1" applyAlignment="1">
      <alignment horizontal="center" vertical="center"/>
    </xf>
    <xf numFmtId="3" fontId="5" fillId="13" borderId="9" xfId="0" applyNumberFormat="1" applyFont="1" applyFill="1" applyBorder="1" applyAlignment="1">
      <alignment horizontal="center" vertical="center"/>
    </xf>
    <xf numFmtId="3" fontId="5" fillId="13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13" borderId="10" xfId="3" applyNumberFormat="1" applyFont="1" applyFill="1" applyBorder="1" applyAlignment="1">
      <alignment horizontal="center" vertical="center"/>
    </xf>
    <xf numFmtId="3" fontId="5" fillId="13" borderId="11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center" vertical="center"/>
    </xf>
    <xf numFmtId="3" fontId="5" fillId="13" borderId="13" xfId="0" applyNumberFormat="1" applyFont="1" applyFill="1" applyBorder="1" applyAlignment="1">
      <alignment horizontal="center" vertical="center"/>
    </xf>
    <xf numFmtId="3" fontId="5" fillId="13" borderId="12" xfId="0" applyNumberFormat="1" applyFont="1" applyFill="1" applyBorder="1" applyAlignment="1">
      <alignment horizontal="center" vertical="center"/>
    </xf>
    <xf numFmtId="3" fontId="5" fillId="13" borderId="12" xfId="3" applyNumberFormat="1" applyFont="1" applyFill="1" applyBorder="1" applyAlignment="1">
      <alignment horizontal="center" vertical="center"/>
    </xf>
    <xf numFmtId="3" fontId="5" fillId="13" borderId="14" xfId="0" applyNumberFormat="1" applyFont="1" applyFill="1" applyBorder="1" applyAlignment="1">
      <alignment horizontal="center" vertical="center"/>
    </xf>
    <xf numFmtId="3" fontId="5" fillId="13" borderId="15" xfId="0" applyNumberFormat="1" applyFont="1" applyFill="1" applyBorder="1" applyAlignment="1">
      <alignment horizontal="center" vertical="center"/>
    </xf>
    <xf numFmtId="3" fontId="5" fillId="14" borderId="12" xfId="0" applyNumberFormat="1" applyFont="1" applyFill="1" applyBorder="1" applyAlignment="1">
      <alignment horizontal="center" vertical="center"/>
    </xf>
    <xf numFmtId="3" fontId="5" fillId="15" borderId="1" xfId="0" applyNumberFormat="1" applyFont="1" applyFill="1" applyBorder="1" applyAlignment="1">
      <alignment horizontal="center" vertical="center"/>
    </xf>
    <xf numFmtId="3" fontId="5" fillId="15" borderId="10" xfId="0" applyNumberFormat="1" applyFont="1" applyFill="1" applyBorder="1" applyAlignment="1">
      <alignment horizontal="center" vertical="center"/>
    </xf>
    <xf numFmtId="3" fontId="5" fillId="15" borderId="12" xfId="0" applyNumberFormat="1" applyFont="1" applyFill="1" applyBorder="1" applyAlignment="1">
      <alignment horizontal="center" vertical="center"/>
    </xf>
    <xf numFmtId="3" fontId="5" fillId="13" borderId="16" xfId="0" applyNumberFormat="1" applyFont="1" applyFill="1" applyBorder="1" applyAlignment="1">
      <alignment horizontal="center" vertical="center"/>
    </xf>
    <xf numFmtId="3" fontId="3" fillId="5" borderId="17" xfId="0" applyNumberFormat="1" applyFont="1" applyFill="1" applyBorder="1" applyAlignment="1">
      <alignment horizontal="right" vertical="center"/>
    </xf>
    <xf numFmtId="3" fontId="3" fillId="5" borderId="17" xfId="0" applyNumberFormat="1" applyFont="1" applyFill="1" applyBorder="1" applyAlignment="1">
      <alignment horizontal="left" vertical="center"/>
    </xf>
    <xf numFmtId="3" fontId="5" fillId="5" borderId="17" xfId="0" applyNumberFormat="1" applyFont="1" applyFill="1" applyBorder="1" applyAlignment="1">
      <alignment horizontal="center" vertical="center"/>
    </xf>
    <xf numFmtId="3" fontId="5" fillId="13" borderId="18" xfId="0" applyNumberFormat="1" applyFont="1" applyFill="1" applyBorder="1" applyAlignment="1">
      <alignment horizontal="center" vertical="center"/>
    </xf>
    <xf numFmtId="3" fontId="5" fillId="13" borderId="19" xfId="0" applyNumberFormat="1" applyFont="1" applyFill="1" applyBorder="1" applyAlignment="1">
      <alignment horizontal="center" vertical="center"/>
    </xf>
    <xf numFmtId="3" fontId="5" fillId="13" borderId="20" xfId="0" applyNumberFormat="1" applyFont="1" applyFill="1" applyBorder="1" applyAlignment="1">
      <alignment horizontal="center" vertical="center"/>
    </xf>
    <xf numFmtId="3" fontId="3" fillId="6" borderId="17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5" fillId="15" borderId="16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left" vertical="center"/>
    </xf>
    <xf numFmtId="3" fontId="5" fillId="0" borderId="22" xfId="0" applyNumberFormat="1" applyFont="1" applyFill="1" applyBorder="1" applyAlignment="1">
      <alignment horizontal="left" vertical="center" indent="4"/>
    </xf>
    <xf numFmtId="3" fontId="5" fillId="0" borderId="23" xfId="0" applyNumberFormat="1" applyFont="1" applyFill="1" applyBorder="1" applyAlignment="1">
      <alignment horizontal="left" vertical="center" indent="4"/>
    </xf>
    <xf numFmtId="3" fontId="3" fillId="0" borderId="24" xfId="0" applyNumberFormat="1" applyFont="1" applyFill="1" applyBorder="1" applyAlignment="1">
      <alignment vertical="center" readingOrder="1"/>
    </xf>
    <xf numFmtId="3" fontId="3" fillId="0" borderId="21" xfId="3" applyNumberFormat="1" applyFont="1" applyFill="1" applyBorder="1" applyAlignment="1">
      <alignment horizontal="left" vertical="center"/>
    </xf>
    <xf numFmtId="3" fontId="3" fillId="5" borderId="21" xfId="0" applyNumberFormat="1" applyFont="1" applyFill="1" applyBorder="1" applyAlignment="1">
      <alignment horizontal="left" vertical="center"/>
    </xf>
    <xf numFmtId="3" fontId="3" fillId="5" borderId="25" xfId="0" applyNumberFormat="1" applyFont="1" applyFill="1" applyBorder="1" applyAlignment="1">
      <alignment horizontal="left" vertical="center"/>
    </xf>
    <xf numFmtId="3" fontId="5" fillId="0" borderId="21" xfId="0" applyNumberFormat="1" applyFont="1" applyFill="1" applyBorder="1" applyAlignment="1">
      <alignment horizontal="left" vertical="center" indent="2"/>
    </xf>
    <xf numFmtId="3" fontId="5" fillId="15" borderId="25" xfId="0" applyNumberFormat="1" applyFont="1" applyFill="1" applyBorder="1" applyAlignment="1">
      <alignment horizontal="right" vertical="center"/>
    </xf>
    <xf numFmtId="3" fontId="3" fillId="15" borderId="21" xfId="0" applyNumberFormat="1" applyFont="1" applyFill="1" applyBorder="1" applyAlignment="1">
      <alignment horizontal="right" vertical="center"/>
    </xf>
    <xf numFmtId="3" fontId="5" fillId="15" borderId="22" xfId="0" applyNumberFormat="1" applyFont="1" applyFill="1" applyBorder="1" applyAlignment="1">
      <alignment horizontal="right" vertical="center"/>
    </xf>
    <xf numFmtId="3" fontId="5" fillId="15" borderId="23" xfId="0" applyNumberFormat="1" applyFont="1" applyFill="1" applyBorder="1" applyAlignment="1">
      <alignment horizontal="right" vertical="center"/>
    </xf>
    <xf numFmtId="3" fontId="3" fillId="15" borderId="21" xfId="3" applyNumberFormat="1" applyFont="1" applyFill="1" applyBorder="1" applyAlignment="1">
      <alignment horizontal="right" vertical="center"/>
    </xf>
    <xf numFmtId="3" fontId="5" fillId="15" borderId="26" xfId="0" applyNumberFormat="1" applyFont="1" applyFill="1" applyBorder="1" applyAlignment="1">
      <alignment horizontal="right" vertical="center"/>
    </xf>
    <xf numFmtId="3" fontId="5" fillId="15" borderId="21" xfId="0" applyNumberFormat="1" applyFont="1" applyFill="1" applyBorder="1" applyAlignment="1">
      <alignment horizontal="right" vertical="center"/>
    </xf>
    <xf numFmtId="3" fontId="3" fillId="16" borderId="25" xfId="0" applyNumberFormat="1" applyFont="1" applyFill="1" applyBorder="1" applyAlignment="1">
      <alignment vertical="center"/>
    </xf>
    <xf numFmtId="3" fontId="3" fillId="16" borderId="21" xfId="0" applyNumberFormat="1" applyFont="1" applyFill="1" applyBorder="1" applyAlignment="1">
      <alignment vertical="center"/>
    </xf>
    <xf numFmtId="3" fontId="5" fillId="17" borderId="25" xfId="0" applyNumberFormat="1" applyFont="1" applyFill="1" applyBorder="1" applyAlignment="1">
      <alignment horizontal="right" vertical="center"/>
    </xf>
    <xf numFmtId="3" fontId="5" fillId="17" borderId="24" xfId="0" applyNumberFormat="1" applyFont="1" applyFill="1" applyBorder="1" applyAlignment="1">
      <alignment horizontal="right" vertical="center"/>
    </xf>
    <xf numFmtId="3" fontId="5" fillId="17" borderId="22" xfId="0" applyNumberFormat="1" applyFont="1" applyFill="1" applyBorder="1" applyAlignment="1">
      <alignment horizontal="right" vertical="center"/>
    </xf>
    <xf numFmtId="3" fontId="5" fillId="17" borderId="26" xfId="0" applyNumberFormat="1" applyFont="1" applyFill="1" applyBorder="1" applyAlignment="1">
      <alignment vertical="center"/>
    </xf>
    <xf numFmtId="3" fontId="3" fillId="17" borderId="21" xfId="3" applyNumberFormat="1" applyFont="1" applyFill="1" applyBorder="1" applyAlignment="1">
      <alignment horizontal="right" vertical="center"/>
    </xf>
    <xf numFmtId="3" fontId="5" fillId="17" borderId="21" xfId="0" applyNumberFormat="1" applyFont="1" applyFill="1" applyBorder="1" applyAlignment="1">
      <alignment vertical="center"/>
    </xf>
    <xf numFmtId="3" fontId="3" fillId="18" borderId="21" xfId="0" applyNumberFormat="1" applyFont="1" applyFill="1" applyBorder="1" applyAlignment="1">
      <alignment horizontal="right" vertical="center"/>
    </xf>
    <xf numFmtId="3" fontId="5" fillId="18" borderId="22" xfId="0" applyNumberFormat="1" applyFont="1" applyFill="1" applyBorder="1" applyAlignment="1">
      <alignment horizontal="right" vertical="center"/>
    </xf>
    <xf numFmtId="3" fontId="5" fillId="18" borderId="24" xfId="0" applyNumberFormat="1" applyFont="1" applyFill="1" applyBorder="1" applyAlignment="1">
      <alignment horizontal="right" vertical="center"/>
    </xf>
    <xf numFmtId="3" fontId="5" fillId="0" borderId="27" xfId="0" applyNumberFormat="1" applyFont="1" applyFill="1" applyBorder="1" applyAlignment="1">
      <alignment vertical="center"/>
    </xf>
    <xf numFmtId="3" fontId="8" fillId="13" borderId="28" xfId="0" applyNumberFormat="1" applyFont="1" applyFill="1" applyBorder="1" applyAlignment="1">
      <alignment horizontal="left" vertical="center" wrapText="1"/>
    </xf>
    <xf numFmtId="3" fontId="23" fillId="14" borderId="17" xfId="0" applyNumberFormat="1" applyFont="1" applyFill="1" applyBorder="1" applyAlignment="1">
      <alignment horizontal="center" vertical="center"/>
    </xf>
    <xf numFmtId="3" fontId="5" fillId="19" borderId="17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left" vertical="center"/>
    </xf>
    <xf numFmtId="3" fontId="3" fillId="18" borderId="17" xfId="0" applyNumberFormat="1" applyFont="1" applyFill="1" applyBorder="1" applyAlignment="1">
      <alignment horizontal="right" vertical="center"/>
    </xf>
    <xf numFmtId="3" fontId="3" fillId="20" borderId="21" xfId="0" applyNumberFormat="1" applyFont="1" applyFill="1" applyBorder="1" applyAlignment="1">
      <alignment vertical="center"/>
    </xf>
    <xf numFmtId="3" fontId="3" fillId="17" borderId="17" xfId="0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horizontal="left" vertical="center"/>
    </xf>
    <xf numFmtId="3" fontId="3" fillId="18" borderId="30" xfId="0" applyNumberFormat="1" applyFont="1" applyFill="1" applyBorder="1" applyAlignment="1">
      <alignment horizontal="right" vertical="center"/>
    </xf>
    <xf numFmtId="3" fontId="3" fillId="13" borderId="0" xfId="2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3" fontId="4" fillId="0" borderId="26" xfId="0" applyNumberFormat="1" applyFont="1" applyFill="1" applyBorder="1" applyAlignment="1">
      <alignment vertical="center" wrapText="1"/>
    </xf>
    <xf numFmtId="3" fontId="4" fillId="0" borderId="24" xfId="0" applyNumberFormat="1" applyFont="1" applyFill="1" applyBorder="1" applyAlignment="1">
      <alignment horizontal="left" vertical="center" indent="2"/>
    </xf>
    <xf numFmtId="3" fontId="3" fillId="5" borderId="26" xfId="0" applyNumberFormat="1" applyFont="1" applyFill="1" applyBorder="1" applyAlignment="1">
      <alignment horizontal="left" vertical="center"/>
    </xf>
    <xf numFmtId="3" fontId="3" fillId="7" borderId="26" xfId="0" applyNumberFormat="1" applyFont="1" applyFill="1" applyBorder="1" applyAlignment="1">
      <alignment horizontal="right" vertical="center"/>
    </xf>
    <xf numFmtId="3" fontId="3" fillId="4" borderId="31" xfId="0" applyNumberFormat="1" applyFont="1" applyFill="1" applyBorder="1" applyAlignment="1">
      <alignment vertical="center"/>
    </xf>
    <xf numFmtId="3" fontId="3" fillId="6" borderId="31" xfId="0" applyNumberFormat="1" applyFont="1" applyFill="1" applyBorder="1" applyAlignment="1">
      <alignment horizontal="right" vertical="center"/>
    </xf>
    <xf numFmtId="3" fontId="3" fillId="4" borderId="31" xfId="0" applyNumberFormat="1" applyFont="1" applyFill="1" applyBorder="1" applyAlignment="1">
      <alignment horizontal="right" vertical="center"/>
    </xf>
    <xf numFmtId="3" fontId="3" fillId="8" borderId="17" xfId="0" applyNumberFormat="1" applyFont="1" applyFill="1" applyBorder="1" applyAlignment="1">
      <alignment horizontal="right" vertical="center"/>
    </xf>
    <xf numFmtId="3" fontId="4" fillId="0" borderId="32" xfId="0" applyNumberFormat="1" applyFont="1" applyFill="1" applyBorder="1" applyAlignment="1">
      <alignment horizontal="left" vertical="center" indent="2"/>
    </xf>
    <xf numFmtId="3" fontId="4" fillId="8" borderId="32" xfId="0" applyNumberFormat="1" applyFont="1" applyFill="1" applyBorder="1" applyAlignment="1">
      <alignment horizontal="right" vertical="center"/>
    </xf>
    <xf numFmtId="3" fontId="4" fillId="0" borderId="33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3" fontId="11" fillId="0" borderId="33" xfId="0" applyNumberFormat="1" applyFont="1" applyFill="1" applyBorder="1" applyAlignment="1">
      <alignment horizontal="center" vertical="center"/>
    </xf>
    <xf numFmtId="3" fontId="4" fillId="0" borderId="36" xfId="0" applyNumberFormat="1" applyFont="1" applyFill="1" applyBorder="1" applyAlignment="1">
      <alignment horizontal="center" vertical="center"/>
    </xf>
    <xf numFmtId="3" fontId="4" fillId="0" borderId="37" xfId="0" applyNumberFormat="1" applyFont="1" applyFill="1" applyBorder="1" applyAlignment="1">
      <alignment horizontal="center" vertical="center"/>
    </xf>
    <xf numFmtId="3" fontId="11" fillId="3" borderId="38" xfId="0" applyNumberFormat="1" applyFont="1" applyFill="1" applyBorder="1" applyAlignment="1">
      <alignment horizontal="center" vertical="center"/>
    </xf>
    <xf numFmtId="3" fontId="4" fillId="0" borderId="34" xfId="0" applyNumberFormat="1" applyFont="1" applyFill="1" applyBorder="1" applyAlignment="1">
      <alignment horizontal="center" vertical="center"/>
    </xf>
    <xf numFmtId="3" fontId="4" fillId="0" borderId="35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vertical="center"/>
    </xf>
    <xf numFmtId="3" fontId="4" fillId="0" borderId="39" xfId="0" applyNumberFormat="1" applyFont="1" applyFill="1" applyBorder="1" applyAlignment="1">
      <alignment horizontal="center" vertical="center"/>
    </xf>
    <xf numFmtId="3" fontId="11" fillId="3" borderId="40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41" xfId="0" applyNumberFormat="1" applyFont="1" applyFill="1" applyBorder="1" applyAlignment="1">
      <alignment horizontal="left" vertical="center" indent="2"/>
    </xf>
    <xf numFmtId="3" fontId="4" fillId="0" borderId="42" xfId="0" applyNumberFormat="1" applyFont="1" applyFill="1" applyBorder="1" applyAlignment="1">
      <alignment horizontal="center" vertical="center"/>
    </xf>
    <xf numFmtId="3" fontId="4" fillId="0" borderId="43" xfId="0" applyNumberFormat="1" applyFont="1" applyFill="1" applyBorder="1" applyAlignment="1">
      <alignment horizontal="center" vertical="center"/>
    </xf>
    <xf numFmtId="3" fontId="4" fillId="2" borderId="43" xfId="0" applyNumberFormat="1" applyFont="1" applyFill="1" applyBorder="1" applyAlignment="1">
      <alignment horizontal="center" vertical="center"/>
    </xf>
    <xf numFmtId="3" fontId="4" fillId="2" borderId="44" xfId="0" applyNumberFormat="1" applyFont="1" applyFill="1" applyBorder="1" applyAlignment="1">
      <alignment horizontal="center" vertical="center"/>
    </xf>
    <xf numFmtId="3" fontId="4" fillId="2" borderId="42" xfId="0" applyNumberFormat="1" applyFont="1" applyFill="1" applyBorder="1" applyAlignment="1">
      <alignment horizontal="center" vertical="center"/>
    </xf>
    <xf numFmtId="3" fontId="4" fillId="2" borderId="45" xfId="0" applyNumberFormat="1" applyFont="1" applyFill="1" applyBorder="1" applyAlignment="1">
      <alignment horizontal="center" vertical="center"/>
    </xf>
    <xf numFmtId="3" fontId="4" fillId="2" borderId="46" xfId="0" applyNumberFormat="1" applyFont="1" applyFill="1" applyBorder="1" applyAlignment="1">
      <alignment horizontal="center" vertical="center"/>
    </xf>
    <xf numFmtId="3" fontId="11" fillId="3" borderId="47" xfId="0" applyNumberFormat="1" applyFont="1" applyFill="1" applyBorder="1" applyAlignment="1">
      <alignment horizontal="center" vertical="center"/>
    </xf>
    <xf numFmtId="3" fontId="4" fillId="0" borderId="44" xfId="0" applyNumberFormat="1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/>
    </xf>
    <xf numFmtId="3" fontId="4" fillId="3" borderId="35" xfId="0" applyNumberFormat="1" applyFont="1" applyFill="1" applyBorder="1" applyAlignment="1">
      <alignment horizontal="center" vertical="center"/>
    </xf>
    <xf numFmtId="3" fontId="4" fillId="3" borderId="14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3" fontId="4" fillId="8" borderId="17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45" xfId="0" applyNumberFormat="1" applyFont="1" applyFill="1" applyBorder="1" applyAlignment="1">
      <alignment horizontal="center" vertical="center"/>
    </xf>
    <xf numFmtId="3" fontId="4" fillId="3" borderId="43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vertical="center" wrapText="1"/>
    </xf>
    <xf numFmtId="3" fontId="4" fillId="0" borderId="48" xfId="0" applyNumberFormat="1" applyFont="1" applyFill="1" applyBorder="1" applyAlignment="1">
      <alignment horizontal="center" vertical="center"/>
    </xf>
    <xf numFmtId="3" fontId="4" fillId="0" borderId="49" xfId="0" applyNumberFormat="1" applyFont="1" applyFill="1" applyBorder="1" applyAlignment="1">
      <alignment horizontal="center" vertical="center"/>
    </xf>
    <xf numFmtId="3" fontId="4" fillId="0" borderId="50" xfId="0" applyNumberFormat="1" applyFont="1" applyFill="1" applyBorder="1" applyAlignment="1">
      <alignment horizontal="center" vertical="center"/>
    </xf>
    <xf numFmtId="3" fontId="4" fillId="3" borderId="48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left" vertical="center" indent="2"/>
    </xf>
    <xf numFmtId="3" fontId="4" fillId="8" borderId="27" xfId="0" applyNumberFormat="1" applyFont="1" applyFill="1" applyBorder="1" applyAlignment="1">
      <alignment horizontal="right" vertical="center"/>
    </xf>
    <xf numFmtId="3" fontId="4" fillId="6" borderId="27" xfId="0" applyNumberFormat="1" applyFont="1" applyFill="1" applyBorder="1" applyAlignment="1">
      <alignment horizontal="right" vertical="center"/>
    </xf>
    <xf numFmtId="3" fontId="3" fillId="15" borderId="51" xfId="0" applyNumberFormat="1" applyFont="1" applyFill="1" applyBorder="1" applyAlignment="1">
      <alignment horizontal="right" vertical="center"/>
    </xf>
    <xf numFmtId="3" fontId="3" fillId="7" borderId="52" xfId="0" applyNumberFormat="1" applyFont="1" applyFill="1" applyBorder="1" applyAlignment="1">
      <alignment horizontal="right" vertical="center"/>
    </xf>
    <xf numFmtId="3" fontId="4" fillId="4" borderId="53" xfId="0" applyNumberFormat="1" applyFont="1" applyFill="1" applyBorder="1" applyAlignment="1">
      <alignment horizontal="right" vertical="center"/>
    </xf>
    <xf numFmtId="3" fontId="3" fillId="4" borderId="30" xfId="0" applyNumberFormat="1" applyFont="1" applyFill="1" applyBorder="1" applyAlignment="1">
      <alignment horizontal="right" vertical="center"/>
    </xf>
    <xf numFmtId="3" fontId="4" fillId="4" borderId="30" xfId="0" applyNumberFormat="1" applyFont="1" applyFill="1" applyBorder="1" applyAlignment="1">
      <alignment horizontal="right" vertical="center"/>
    </xf>
    <xf numFmtId="3" fontId="4" fillId="4" borderId="54" xfId="0" applyNumberFormat="1" applyFont="1" applyFill="1" applyBorder="1" applyAlignment="1">
      <alignment horizontal="right" vertical="center"/>
    </xf>
    <xf numFmtId="3" fontId="4" fillId="0" borderId="55" xfId="0" applyNumberFormat="1" applyFont="1" applyFill="1" applyBorder="1" applyAlignment="1">
      <alignment vertical="center"/>
    </xf>
    <xf numFmtId="3" fontId="4" fillId="13" borderId="2" xfId="0" applyNumberFormat="1" applyFont="1" applyFill="1" applyBorder="1" applyAlignment="1">
      <alignment horizontal="center" vertical="center"/>
    </xf>
    <xf numFmtId="3" fontId="4" fillId="13" borderId="11" xfId="0" applyNumberFormat="1" applyFont="1" applyFill="1" applyBorder="1" applyAlignment="1">
      <alignment horizontal="center" vertical="center"/>
    </xf>
    <xf numFmtId="3" fontId="4" fillId="13" borderId="14" xfId="0" applyNumberFormat="1" applyFont="1" applyFill="1" applyBorder="1" applyAlignment="1">
      <alignment horizontal="center" vertical="center"/>
    </xf>
    <xf numFmtId="3" fontId="4" fillId="14" borderId="2" xfId="0" applyNumberFormat="1" applyFont="1" applyFill="1" applyBorder="1" applyAlignment="1">
      <alignment horizontal="center" vertical="center"/>
    </xf>
    <xf numFmtId="3" fontId="4" fillId="14" borderId="4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vertical="center"/>
    </xf>
    <xf numFmtId="3" fontId="4" fillId="0" borderId="24" xfId="0" applyNumberFormat="1" applyFont="1" applyFill="1" applyBorder="1" applyAlignment="1">
      <alignment horizontal="left" vertical="center" indent="2" readingOrder="1"/>
    </xf>
    <xf numFmtId="3" fontId="4" fillId="15" borderId="24" xfId="0" applyNumberFormat="1" applyFont="1" applyFill="1" applyBorder="1" applyAlignment="1">
      <alignment horizontal="right" vertical="center"/>
    </xf>
    <xf numFmtId="3" fontId="4" fillId="17" borderId="24" xfId="0" applyNumberFormat="1" applyFont="1" applyFill="1" applyBorder="1" applyAlignment="1">
      <alignment horizontal="right" vertical="center"/>
    </xf>
    <xf numFmtId="3" fontId="4" fillId="15" borderId="1" xfId="0" applyNumberFormat="1" applyFont="1" applyFill="1" applyBorder="1" applyAlignment="1">
      <alignment horizontal="center" vertical="center"/>
    </xf>
    <xf numFmtId="3" fontId="4" fillId="13" borderId="12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4" fillId="13" borderId="16" xfId="0" applyNumberFormat="1" applyFont="1" applyFill="1" applyBorder="1" applyAlignment="1">
      <alignment horizontal="center" vertical="center"/>
    </xf>
    <xf numFmtId="3" fontId="4" fillId="13" borderId="10" xfId="0" applyNumberFormat="1" applyFont="1" applyFill="1" applyBorder="1" applyAlignment="1">
      <alignment horizontal="center" vertical="center"/>
    </xf>
    <xf numFmtId="3" fontId="3" fillId="0" borderId="26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horizontal="left" vertical="center" indent="4"/>
    </xf>
    <xf numFmtId="3" fontId="4" fillId="15" borderId="22" xfId="0" applyNumberFormat="1" applyFont="1" applyFill="1" applyBorder="1" applyAlignment="1">
      <alignment horizontal="right" vertical="center"/>
    </xf>
    <xf numFmtId="3" fontId="4" fillId="17" borderId="22" xfId="0" applyNumberFormat="1" applyFont="1" applyFill="1" applyBorder="1" applyAlignment="1">
      <alignment horizontal="right" vertical="center"/>
    </xf>
    <xf numFmtId="3" fontId="4" fillId="18" borderId="22" xfId="0" applyNumberFormat="1" applyFont="1" applyFill="1" applyBorder="1" applyAlignment="1">
      <alignment horizontal="right" vertical="center"/>
    </xf>
    <xf numFmtId="3" fontId="4" fillId="13" borderId="9" xfId="0" applyNumberFormat="1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left" vertical="center" indent="4"/>
    </xf>
    <xf numFmtId="3" fontId="4" fillId="15" borderId="23" xfId="0" applyNumberFormat="1" applyFont="1" applyFill="1" applyBorder="1" applyAlignment="1">
      <alignment horizontal="right" vertical="center"/>
    </xf>
    <xf numFmtId="3" fontId="4" fillId="18" borderId="24" xfId="0" applyNumberFormat="1" applyFont="1" applyFill="1" applyBorder="1" applyAlignment="1">
      <alignment horizontal="right" vertical="center"/>
    </xf>
    <xf numFmtId="3" fontId="3" fillId="13" borderId="26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3" fontId="4" fillId="15" borderId="10" xfId="3" applyNumberFormat="1" applyFont="1" applyFill="1" applyBorder="1" applyAlignment="1">
      <alignment horizontal="center" vertical="center"/>
    </xf>
    <xf numFmtId="3" fontId="4" fillId="13" borderId="1" xfId="3" applyNumberFormat="1" applyFont="1" applyFill="1" applyBorder="1" applyAlignment="1">
      <alignment horizontal="center" vertical="center"/>
    </xf>
    <xf numFmtId="3" fontId="4" fillId="13" borderId="16" xfId="3" applyNumberFormat="1" applyFont="1" applyFill="1" applyBorder="1" applyAlignment="1">
      <alignment horizontal="center" vertical="center"/>
    </xf>
    <xf numFmtId="3" fontId="4" fillId="13" borderId="12" xfId="3" applyNumberFormat="1" applyFont="1" applyFill="1" applyBorder="1" applyAlignment="1">
      <alignment horizontal="center" vertical="center"/>
    </xf>
    <xf numFmtId="3" fontId="4" fillId="13" borderId="10" xfId="3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left" vertical="center"/>
    </xf>
    <xf numFmtId="3" fontId="4" fillId="15" borderId="21" xfId="0" applyNumberFormat="1" applyFont="1" applyFill="1" applyBorder="1" applyAlignment="1">
      <alignment horizontal="right" vertical="center"/>
    </xf>
    <xf numFmtId="3" fontId="4" fillId="17" borderId="21" xfId="0" applyNumberFormat="1" applyFont="1" applyFill="1" applyBorder="1" applyAlignment="1">
      <alignment horizontal="right" vertical="center"/>
    </xf>
    <xf numFmtId="3" fontId="3" fillId="13" borderId="5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vertical="center"/>
    </xf>
    <xf numFmtId="3" fontId="4" fillId="15" borderId="0" xfId="0" applyNumberFormat="1" applyFont="1" applyFill="1" applyBorder="1" applyAlignment="1">
      <alignment horizontal="center" vertical="center"/>
    </xf>
    <xf numFmtId="3" fontId="4" fillId="13" borderId="56" xfId="0" applyNumberFormat="1" applyFont="1" applyFill="1" applyBorder="1" applyAlignment="1">
      <alignment horizontal="center" vertical="center"/>
    </xf>
    <xf numFmtId="3" fontId="4" fillId="13" borderId="34" xfId="0" applyNumberFormat="1" applyFont="1" applyFill="1" applyBorder="1" applyAlignment="1">
      <alignment horizontal="center" vertical="center"/>
    </xf>
    <xf numFmtId="3" fontId="4" fillId="13" borderId="36" xfId="0" applyNumberFormat="1" applyFont="1" applyFill="1" applyBorder="1" applyAlignment="1">
      <alignment horizontal="center" vertical="center"/>
    </xf>
    <xf numFmtId="3" fontId="4" fillId="13" borderId="38" xfId="0" applyNumberFormat="1" applyFont="1" applyFill="1" applyBorder="1" applyAlignment="1">
      <alignment horizontal="center" vertical="center"/>
    </xf>
    <xf numFmtId="3" fontId="4" fillId="13" borderId="57" xfId="0" applyNumberFormat="1" applyFont="1" applyFill="1" applyBorder="1" applyAlignment="1">
      <alignment horizontal="center" vertical="center"/>
    </xf>
    <xf numFmtId="3" fontId="4" fillId="13" borderId="6" xfId="0" applyNumberFormat="1" applyFont="1" applyFill="1" applyBorder="1" applyAlignment="1">
      <alignment horizontal="center" vertical="center"/>
    </xf>
    <xf numFmtId="3" fontId="4" fillId="13" borderId="40" xfId="0" applyNumberFormat="1" applyFont="1" applyFill="1" applyBorder="1" applyAlignment="1">
      <alignment horizontal="center" vertical="center"/>
    </xf>
    <xf numFmtId="3" fontId="4" fillId="13" borderId="58" xfId="0" applyNumberFormat="1" applyFont="1" applyFill="1" applyBorder="1" applyAlignment="1">
      <alignment horizontal="center" vertical="center"/>
    </xf>
    <xf numFmtId="3" fontId="4" fillId="13" borderId="43" xfId="0" applyNumberFormat="1" applyFont="1" applyFill="1" applyBorder="1" applyAlignment="1">
      <alignment horizontal="center" vertical="center"/>
    </xf>
    <xf numFmtId="3" fontId="4" fillId="13" borderId="45" xfId="0" applyNumberFormat="1" applyFont="1" applyFill="1" applyBorder="1" applyAlignment="1">
      <alignment horizontal="center" vertical="center"/>
    </xf>
    <xf numFmtId="3" fontId="4" fillId="13" borderId="47" xfId="0" applyNumberFormat="1" applyFont="1" applyFill="1" applyBorder="1" applyAlignment="1">
      <alignment horizontal="center" vertical="center"/>
    </xf>
    <xf numFmtId="3" fontId="4" fillId="13" borderId="33" xfId="0" applyNumberFormat="1" applyFont="1" applyFill="1" applyBorder="1" applyAlignment="1">
      <alignment horizontal="center" vertical="center"/>
    </xf>
    <xf numFmtId="3" fontId="3" fillId="13" borderId="2" xfId="0" applyNumberFormat="1" applyFont="1" applyFill="1" applyBorder="1" applyAlignment="1">
      <alignment vertical="center"/>
    </xf>
    <xf numFmtId="3" fontId="4" fillId="13" borderId="44" xfId="0" applyNumberFormat="1" applyFont="1" applyFill="1" applyBorder="1" applyAlignment="1">
      <alignment vertical="center"/>
    </xf>
    <xf numFmtId="3" fontId="4" fillId="13" borderId="42" xfId="0" applyNumberFormat="1" applyFont="1" applyFill="1" applyBorder="1" applyAlignment="1">
      <alignment horizontal="center" vertical="center"/>
    </xf>
    <xf numFmtId="3" fontId="4" fillId="13" borderId="0" xfId="0" applyNumberFormat="1" applyFont="1" applyFill="1" applyBorder="1" applyAlignment="1">
      <alignment vertical="center"/>
    </xf>
    <xf numFmtId="3" fontId="4" fillId="13" borderId="49" xfId="0" applyNumberFormat="1" applyFont="1" applyFill="1" applyBorder="1" applyAlignment="1">
      <alignment horizontal="center" vertical="center"/>
    </xf>
    <xf numFmtId="3" fontId="4" fillId="13" borderId="50" xfId="0" applyNumberFormat="1" applyFont="1" applyFill="1" applyBorder="1" applyAlignment="1">
      <alignment horizontal="center" vertical="center"/>
    </xf>
    <xf numFmtId="3" fontId="4" fillId="13" borderId="48" xfId="0" applyNumberFormat="1" applyFont="1" applyFill="1" applyBorder="1" applyAlignment="1">
      <alignment horizontal="center" vertical="center"/>
    </xf>
    <xf numFmtId="3" fontId="3" fillId="21" borderId="17" xfId="0" applyNumberFormat="1" applyFont="1" applyFill="1" applyBorder="1" applyAlignment="1">
      <alignment vertical="center"/>
    </xf>
    <xf numFmtId="3" fontId="3" fillId="0" borderId="52" xfId="0" applyNumberFormat="1" applyFont="1" applyFill="1" applyBorder="1" applyAlignment="1">
      <alignment vertical="center"/>
    </xf>
    <xf numFmtId="3" fontId="3" fillId="5" borderId="17" xfId="2" applyNumberFormat="1" applyFont="1" applyFill="1" applyBorder="1" applyAlignment="1">
      <alignment vertical="center"/>
    </xf>
    <xf numFmtId="3" fontId="3" fillId="5" borderId="25" xfId="2" applyNumberFormat="1" applyFont="1" applyFill="1" applyBorder="1" applyAlignment="1">
      <alignment vertical="center"/>
    </xf>
    <xf numFmtId="3" fontId="4" fillId="15" borderId="12" xfId="0" applyNumberFormat="1" applyFont="1" applyFill="1" applyBorder="1" applyAlignment="1">
      <alignment horizontal="center" vertical="center"/>
    </xf>
    <xf numFmtId="3" fontId="3" fillId="17" borderId="21" xfId="0" applyNumberFormat="1" applyFont="1" applyFill="1" applyBorder="1" applyAlignment="1">
      <alignment horizontal="right" vertical="center"/>
    </xf>
    <xf numFmtId="3" fontId="5" fillId="13" borderId="59" xfId="0" applyNumberFormat="1" applyFont="1" applyFill="1" applyBorder="1" applyAlignment="1">
      <alignment horizontal="center" vertical="center"/>
    </xf>
    <xf numFmtId="3" fontId="3" fillId="5" borderId="28" xfId="0" applyNumberFormat="1" applyFont="1" applyFill="1" applyBorder="1" applyAlignment="1">
      <alignment vertical="center"/>
    </xf>
    <xf numFmtId="3" fontId="3" fillId="0" borderId="27" xfId="0" applyNumberFormat="1" applyFont="1" applyFill="1" applyBorder="1" applyAlignment="1">
      <alignment vertical="center"/>
    </xf>
    <xf numFmtId="3" fontId="3" fillId="0" borderId="26" xfId="0" applyNumberFormat="1" applyFont="1" applyFill="1" applyBorder="1" applyAlignment="1">
      <alignment horizontal="center" vertical="center"/>
    </xf>
    <xf numFmtId="3" fontId="3" fillId="18" borderId="21" xfId="10" applyNumberFormat="1" applyFont="1" applyFill="1" applyBorder="1" applyAlignment="1">
      <alignment horizontal="right" vertical="center"/>
    </xf>
    <xf numFmtId="3" fontId="4" fillId="3" borderId="60" xfId="0" applyNumberFormat="1" applyFont="1" applyFill="1" applyBorder="1" applyAlignment="1">
      <alignment horizontal="center" vertical="center"/>
    </xf>
    <xf numFmtId="3" fontId="4" fillId="13" borderId="61" xfId="0" applyNumberFormat="1" applyFont="1" applyFill="1" applyBorder="1" applyAlignment="1">
      <alignment horizontal="center" vertical="center"/>
    </xf>
    <xf numFmtId="3" fontId="4" fillId="13" borderId="62" xfId="0" applyNumberFormat="1" applyFont="1" applyFill="1" applyBorder="1" applyAlignment="1">
      <alignment horizontal="center" vertical="center"/>
    </xf>
    <xf numFmtId="3" fontId="11" fillId="3" borderId="60" xfId="0" applyNumberFormat="1" applyFont="1" applyFill="1" applyBorder="1" applyAlignment="1">
      <alignment horizontal="center" vertical="center"/>
    </xf>
    <xf numFmtId="3" fontId="4" fillId="0" borderId="55" xfId="0" applyNumberFormat="1" applyFont="1" applyFill="1" applyBorder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3" fontId="4" fillId="13" borderId="0" xfId="0" applyNumberFormat="1" applyFont="1" applyFill="1" applyBorder="1" applyAlignment="1">
      <alignment horizontal="center" vertical="center"/>
    </xf>
    <xf numFmtId="3" fontId="4" fillId="0" borderId="52" xfId="0" applyNumberFormat="1" applyFont="1" applyFill="1" applyBorder="1" applyAlignment="1">
      <alignment vertical="center"/>
    </xf>
    <xf numFmtId="3" fontId="4" fillId="13" borderId="55" xfId="0" applyNumberFormat="1" applyFont="1" applyFill="1" applyBorder="1" applyAlignment="1">
      <alignment horizontal="center" vertical="center"/>
    </xf>
    <xf numFmtId="3" fontId="4" fillId="13" borderId="52" xfId="0" applyNumberFormat="1" applyFont="1" applyFill="1" applyBorder="1" applyAlignment="1">
      <alignment horizontal="center" vertical="center"/>
    </xf>
    <xf numFmtId="3" fontId="4" fillId="13" borderId="52" xfId="0" applyNumberFormat="1" applyFont="1" applyFill="1" applyBorder="1" applyAlignment="1">
      <alignment vertical="center"/>
    </xf>
    <xf numFmtId="3" fontId="4" fillId="0" borderId="52" xfId="0" applyNumberFormat="1" applyFont="1" applyFill="1" applyBorder="1" applyAlignment="1">
      <alignment horizontal="center" vertical="center"/>
    </xf>
    <xf numFmtId="3" fontId="4" fillId="3" borderId="55" xfId="0" applyNumberFormat="1" applyFont="1" applyFill="1" applyBorder="1" applyAlignment="1">
      <alignment horizontal="center" vertical="center"/>
    </xf>
    <xf numFmtId="3" fontId="4" fillId="3" borderId="63" xfId="0" applyNumberFormat="1" applyFont="1" applyFill="1" applyBorder="1" applyAlignment="1">
      <alignment horizontal="center" vertical="center"/>
    </xf>
    <xf numFmtId="3" fontId="4" fillId="13" borderId="64" xfId="0" applyNumberFormat="1" applyFont="1" applyFill="1" applyBorder="1" applyAlignment="1">
      <alignment horizontal="center" vertical="center"/>
    </xf>
    <xf numFmtId="3" fontId="4" fillId="13" borderId="54" xfId="0" applyNumberFormat="1" applyFont="1" applyFill="1" applyBorder="1" applyAlignment="1">
      <alignment horizontal="center" vertical="center"/>
    </xf>
    <xf numFmtId="3" fontId="5" fillId="0" borderId="27" xfId="0" applyNumberFormat="1" applyFont="1" applyFill="1" applyBorder="1" applyAlignment="1">
      <alignment horizontal="right" vertical="center"/>
    </xf>
    <xf numFmtId="3" fontId="5" fillId="22" borderId="27" xfId="0" applyNumberFormat="1" applyFont="1" applyFill="1" applyBorder="1" applyAlignment="1">
      <alignment vertical="center"/>
    </xf>
    <xf numFmtId="3" fontId="5" fillId="0" borderId="27" xfId="0" applyNumberFormat="1" applyFont="1" applyFill="1" applyBorder="1" applyAlignment="1">
      <alignment horizontal="center" vertical="center"/>
    </xf>
    <xf numFmtId="3" fontId="5" fillId="0" borderId="0" xfId="10" applyNumberFormat="1" applyFont="1" applyFill="1" applyBorder="1" applyAlignment="1">
      <alignment vertical="center"/>
    </xf>
    <xf numFmtId="3" fontId="3" fillId="5" borderId="55" xfId="0" applyNumberFormat="1" applyFont="1" applyFill="1" applyBorder="1" applyAlignment="1">
      <alignment horizontal="right" vertical="center"/>
    </xf>
    <xf numFmtId="3" fontId="3" fillId="0" borderId="0" xfId="4" applyNumberFormat="1" applyFont="1" applyFill="1" applyBorder="1" applyAlignment="1">
      <alignment vertical="center"/>
    </xf>
    <xf numFmtId="3" fontId="3" fillId="13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16" borderId="21" xfId="0" applyNumberFormat="1" applyFont="1" applyFill="1" applyBorder="1" applyAlignment="1">
      <alignment vertical="center"/>
    </xf>
    <xf numFmtId="165" fontId="3" fillId="0" borderId="55" xfId="0" applyNumberFormat="1" applyFont="1" applyFill="1" applyBorder="1" applyAlignment="1">
      <alignment horizontal="center" vertical="center"/>
    </xf>
    <xf numFmtId="165" fontId="3" fillId="5" borderId="17" xfId="0" applyNumberFormat="1" applyFont="1" applyFill="1" applyBorder="1" applyAlignment="1">
      <alignment horizontal="right" vertical="center"/>
    </xf>
    <xf numFmtId="165" fontId="3" fillId="7" borderId="26" xfId="0" applyNumberFormat="1" applyFont="1" applyFill="1" applyBorder="1" applyAlignment="1">
      <alignment horizontal="right" vertical="center"/>
    </xf>
    <xf numFmtId="165" fontId="3" fillId="20" borderId="21" xfId="0" applyNumberFormat="1" applyFont="1" applyFill="1" applyBorder="1" applyAlignment="1">
      <alignment vertical="center"/>
    </xf>
    <xf numFmtId="165" fontId="5" fillId="0" borderId="64" xfId="0" applyNumberFormat="1" applyFont="1" applyFill="1" applyBorder="1" applyAlignment="1">
      <alignment horizontal="center" vertical="center"/>
    </xf>
    <xf numFmtId="3" fontId="23" fillId="13" borderId="1" xfId="0" applyNumberFormat="1" applyFont="1" applyFill="1" applyBorder="1" applyAlignment="1">
      <alignment horizontal="center" vertical="center"/>
    </xf>
    <xf numFmtId="3" fontId="24" fillId="0" borderId="2" xfId="0" applyNumberFormat="1" applyFont="1" applyFill="1" applyBorder="1" applyAlignment="1">
      <alignment vertical="center"/>
    </xf>
    <xf numFmtId="0" fontId="25" fillId="0" borderId="0" xfId="7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25" fillId="0" borderId="0" xfId="7" applyFont="1"/>
    <xf numFmtId="0" fontId="26" fillId="0" borderId="0" xfId="7" applyFont="1" applyAlignment="1">
      <alignment horizontal="center" vertical="center"/>
    </xf>
    <xf numFmtId="0" fontId="13" fillId="0" borderId="0" xfId="7" applyFont="1" applyAlignment="1">
      <alignment horizontal="center" vertical="center"/>
    </xf>
    <xf numFmtId="3" fontId="4" fillId="0" borderId="29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3" fontId="3" fillId="5" borderId="69" xfId="0" applyNumberFormat="1" applyFont="1" applyFill="1" applyBorder="1" applyAlignment="1">
      <alignment vertical="center"/>
    </xf>
    <xf numFmtId="3" fontId="3" fillId="5" borderId="66" xfId="0" applyNumberFormat="1" applyFont="1" applyFill="1" applyBorder="1" applyAlignment="1">
      <alignment vertical="center"/>
    </xf>
    <xf numFmtId="3" fontId="3" fillId="5" borderId="67" xfId="0" applyNumberFormat="1" applyFont="1" applyFill="1" applyBorder="1" applyAlignment="1">
      <alignment vertical="center"/>
    </xf>
    <xf numFmtId="3" fontId="3" fillId="5" borderId="29" xfId="2" applyNumberFormat="1" applyFont="1" applyFill="1" applyBorder="1" applyAlignment="1">
      <alignment vertical="center"/>
    </xf>
    <xf numFmtId="3" fontId="3" fillId="5" borderId="31" xfId="2" applyNumberFormat="1" applyFont="1" applyFill="1" applyBorder="1" applyAlignment="1">
      <alignment vertical="center"/>
    </xf>
    <xf numFmtId="3" fontId="3" fillId="5" borderId="30" xfId="2" applyNumberFormat="1" applyFont="1" applyFill="1" applyBorder="1" applyAlignment="1">
      <alignment vertical="center"/>
    </xf>
    <xf numFmtId="3" fontId="3" fillId="18" borderId="69" xfId="0" applyNumberFormat="1" applyFont="1" applyFill="1" applyBorder="1" applyAlignment="1">
      <alignment vertical="center"/>
    </xf>
    <xf numFmtId="3" fontId="3" fillId="18" borderId="66" xfId="0" applyNumberFormat="1" applyFont="1" applyFill="1" applyBorder="1" applyAlignment="1">
      <alignment vertical="center"/>
    </xf>
    <xf numFmtId="3" fontId="3" fillId="18" borderId="67" xfId="0" applyNumberFormat="1" applyFont="1" applyFill="1" applyBorder="1" applyAlignment="1">
      <alignment vertical="center"/>
    </xf>
    <xf numFmtId="3" fontId="3" fillId="5" borderId="70" xfId="0" applyNumberFormat="1" applyFont="1" applyFill="1" applyBorder="1" applyAlignment="1">
      <alignment vertical="center"/>
    </xf>
    <xf numFmtId="3" fontId="3" fillId="5" borderId="8" xfId="0" applyNumberFormat="1" applyFont="1" applyFill="1" applyBorder="1" applyAlignment="1">
      <alignment vertical="center"/>
    </xf>
    <xf numFmtId="3" fontId="3" fillId="5" borderId="51" xfId="0" applyNumberFormat="1" applyFont="1" applyFill="1" applyBorder="1" applyAlignment="1">
      <alignment vertical="center"/>
    </xf>
    <xf numFmtId="3" fontId="3" fillId="5" borderId="71" xfId="0" applyNumberFormat="1" applyFont="1" applyFill="1" applyBorder="1" applyAlignment="1">
      <alignment vertical="center"/>
    </xf>
    <xf numFmtId="3" fontId="3" fillId="5" borderId="72" xfId="0" applyNumberFormat="1" applyFont="1" applyFill="1" applyBorder="1" applyAlignment="1">
      <alignment vertical="center"/>
    </xf>
    <xf numFmtId="3" fontId="3" fillId="5" borderId="73" xfId="0" applyNumberFormat="1" applyFont="1" applyFill="1" applyBorder="1" applyAlignment="1">
      <alignment vertical="center"/>
    </xf>
    <xf numFmtId="3" fontId="3" fillId="4" borderId="29" xfId="0" applyNumberFormat="1" applyFont="1" applyFill="1" applyBorder="1" applyAlignment="1">
      <alignment vertical="center"/>
    </xf>
    <xf numFmtId="3" fontId="3" fillId="4" borderId="30" xfId="0" applyNumberFormat="1" applyFont="1" applyFill="1" applyBorder="1" applyAlignment="1">
      <alignment vertical="center"/>
    </xf>
    <xf numFmtId="3" fontId="3" fillId="5" borderId="60" xfId="0" applyNumberFormat="1" applyFont="1" applyFill="1" applyBorder="1" applyAlignment="1">
      <alignment vertical="center"/>
    </xf>
    <xf numFmtId="3" fontId="3" fillId="5" borderId="61" xfId="0" applyNumberFormat="1" applyFont="1" applyFill="1" applyBorder="1" applyAlignment="1">
      <alignment vertical="center"/>
    </xf>
    <xf numFmtId="3" fontId="3" fillId="5" borderId="62" xfId="0" applyNumberFormat="1" applyFont="1" applyFill="1" applyBorder="1" applyAlignment="1">
      <alignment vertical="center"/>
    </xf>
    <xf numFmtId="3" fontId="3" fillId="5" borderId="74" xfId="0" applyNumberFormat="1" applyFont="1" applyFill="1" applyBorder="1" applyAlignment="1">
      <alignment vertical="center"/>
    </xf>
    <xf numFmtId="3" fontId="3" fillId="5" borderId="75" xfId="0" applyNumberFormat="1" applyFont="1" applyFill="1" applyBorder="1" applyAlignment="1">
      <alignment vertical="center"/>
    </xf>
    <xf numFmtId="3" fontId="3" fillId="5" borderId="76" xfId="0" applyNumberFormat="1" applyFont="1" applyFill="1" applyBorder="1" applyAlignment="1">
      <alignment vertical="center"/>
    </xf>
    <xf numFmtId="3" fontId="3" fillId="5" borderId="29" xfId="0" applyNumberFormat="1" applyFont="1" applyFill="1" applyBorder="1" applyAlignment="1">
      <alignment vertical="center"/>
    </xf>
    <xf numFmtId="3" fontId="3" fillId="5" borderId="31" xfId="0" applyNumberFormat="1" applyFont="1" applyFill="1" applyBorder="1" applyAlignment="1">
      <alignment vertical="center"/>
    </xf>
    <xf numFmtId="3" fontId="3" fillId="5" borderId="30" xfId="0" applyNumberFormat="1" applyFont="1" applyFill="1" applyBorder="1" applyAlignment="1">
      <alignment vertical="center"/>
    </xf>
    <xf numFmtId="3" fontId="3" fillId="20" borderId="69" xfId="0" applyNumberFormat="1" applyFont="1" applyFill="1" applyBorder="1" applyAlignment="1">
      <alignment vertical="center"/>
    </xf>
    <xf numFmtId="3" fontId="3" fillId="20" borderId="66" xfId="0" applyNumberFormat="1" applyFont="1" applyFill="1" applyBorder="1" applyAlignment="1">
      <alignment vertical="center"/>
    </xf>
    <xf numFmtId="3" fontId="3" fillId="20" borderId="67" xfId="0" applyNumberFormat="1" applyFont="1" applyFill="1" applyBorder="1" applyAlignment="1">
      <alignment vertical="center"/>
    </xf>
    <xf numFmtId="3" fontId="3" fillId="13" borderId="31" xfId="0" applyNumberFormat="1" applyFont="1" applyFill="1" applyBorder="1" applyAlignment="1">
      <alignment vertical="center"/>
    </xf>
    <xf numFmtId="3" fontId="3" fillId="5" borderId="0" xfId="2" applyNumberFormat="1" applyFont="1" applyFill="1" applyBorder="1" applyAlignment="1">
      <alignment vertical="center"/>
    </xf>
    <xf numFmtId="0" fontId="10" fillId="0" borderId="0" xfId="0" applyFont="1" applyAlignment="1"/>
    <xf numFmtId="3" fontId="5" fillId="0" borderId="78" xfId="0" applyNumberFormat="1" applyFont="1" applyFill="1" applyBorder="1" applyAlignment="1">
      <alignment horizontal="center" vertical="center"/>
    </xf>
    <xf numFmtId="3" fontId="5" fillId="13" borderId="0" xfId="0" applyNumberFormat="1" applyFont="1" applyFill="1" applyBorder="1" applyAlignment="1">
      <alignment horizontal="center" vertical="center"/>
    </xf>
    <xf numFmtId="3" fontId="3" fillId="13" borderId="1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center" vertical="center"/>
    </xf>
    <xf numFmtId="3" fontId="15" fillId="0" borderId="61" xfId="0" applyNumberFormat="1" applyFont="1" applyFill="1" applyBorder="1" applyAlignment="1">
      <alignment horizontal="center" vertical="center"/>
    </xf>
    <xf numFmtId="3" fontId="15" fillId="0" borderId="8" xfId="0" applyNumberFormat="1" applyFont="1" applyFill="1" applyBorder="1" applyAlignment="1">
      <alignment horizontal="center" vertical="center"/>
    </xf>
    <xf numFmtId="3" fontId="15" fillId="0" borderId="75" xfId="0" applyNumberFormat="1" applyFont="1" applyFill="1" applyBorder="1" applyAlignment="1">
      <alignment horizontal="center" vertical="center"/>
    </xf>
    <xf numFmtId="3" fontId="15" fillId="0" borderId="78" xfId="0" applyNumberFormat="1" applyFont="1" applyFill="1" applyBorder="1" applyAlignment="1">
      <alignment horizontal="center" vertical="center"/>
    </xf>
    <xf numFmtId="3" fontId="15" fillId="0" borderId="79" xfId="0" applyNumberFormat="1" applyFont="1" applyFill="1" applyBorder="1" applyAlignment="1">
      <alignment horizontal="center" vertical="center"/>
    </xf>
    <xf numFmtId="3" fontId="15" fillId="0" borderId="39" xfId="0" applyNumberFormat="1" applyFont="1" applyFill="1" applyBorder="1" applyAlignment="1">
      <alignment horizontal="center" vertical="center"/>
    </xf>
    <xf numFmtId="3" fontId="15" fillId="0" borderId="80" xfId="0" applyNumberFormat="1" applyFont="1" applyFill="1" applyBorder="1" applyAlignment="1">
      <alignment horizontal="center" vertical="center"/>
    </xf>
    <xf numFmtId="3" fontId="27" fillId="0" borderId="8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3" fontId="15" fillId="6" borderId="8" xfId="0" applyNumberFormat="1" applyFont="1" applyFill="1" applyBorder="1" applyAlignment="1">
      <alignment horizontal="center" vertical="center"/>
    </xf>
    <xf numFmtId="3" fontId="16" fillId="0" borderId="64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left" vertical="center"/>
    </xf>
    <xf numFmtId="3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vertical="center"/>
    </xf>
    <xf numFmtId="3" fontId="15" fillId="5" borderId="17" xfId="0" applyNumberFormat="1" applyFont="1" applyFill="1" applyBorder="1" applyAlignment="1">
      <alignment horizontal="center" vertical="center"/>
    </xf>
    <xf numFmtId="3" fontId="16" fillId="13" borderId="81" xfId="2" applyNumberFormat="1" applyFont="1" applyFill="1" applyBorder="1" applyAlignment="1">
      <alignment horizontal="center" vertical="center"/>
    </xf>
    <xf numFmtId="3" fontId="16" fillId="13" borderId="82" xfId="2" applyNumberFormat="1" applyFont="1" applyFill="1" applyBorder="1" applyAlignment="1">
      <alignment horizontal="center" vertical="center"/>
    </xf>
    <xf numFmtId="3" fontId="16" fillId="13" borderId="83" xfId="2" applyNumberFormat="1" applyFont="1" applyFill="1" applyBorder="1" applyAlignment="1">
      <alignment horizontal="center" vertical="center"/>
    </xf>
    <xf numFmtId="165" fontId="16" fillId="0" borderId="55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15" fillId="14" borderId="1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vertical="center"/>
    </xf>
    <xf numFmtId="3" fontId="15" fillId="13" borderId="10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vertical="center"/>
    </xf>
    <xf numFmtId="3" fontId="15" fillId="0" borderId="10" xfId="0" applyNumberFormat="1" applyFont="1" applyFill="1" applyBorder="1" applyAlignment="1">
      <alignment horizontal="center" vertical="center"/>
    </xf>
    <xf numFmtId="3" fontId="15" fillId="15" borderId="21" xfId="0" applyNumberFormat="1" applyFont="1" applyFill="1" applyBorder="1" applyAlignment="1">
      <alignment horizontal="right" vertical="center"/>
    </xf>
    <xf numFmtId="3" fontId="15" fillId="17" borderId="21" xfId="0" applyNumberFormat="1" applyFont="1" applyFill="1" applyBorder="1" applyAlignment="1">
      <alignment vertical="center"/>
    </xf>
    <xf numFmtId="3" fontId="15" fillId="6" borderId="21" xfId="0" applyNumberFormat="1" applyFont="1" applyFill="1" applyBorder="1" applyAlignment="1">
      <alignment vertical="center"/>
    </xf>
    <xf numFmtId="3" fontId="15" fillId="15" borderId="1" xfId="0" applyNumberFormat="1" applyFont="1" applyFill="1" applyBorder="1" applyAlignment="1">
      <alignment horizontal="center" vertical="center"/>
    </xf>
    <xf numFmtId="3" fontId="15" fillId="15" borderId="12" xfId="0" applyNumberFormat="1" applyFont="1" applyFill="1" applyBorder="1" applyAlignment="1">
      <alignment horizontal="center" vertical="center"/>
    </xf>
    <xf numFmtId="3" fontId="15" fillId="13" borderId="9" xfId="0" applyNumberFormat="1" applyFont="1" applyFill="1" applyBorder="1" applyAlignment="1">
      <alignment horizontal="center" vertical="center"/>
    </xf>
    <xf numFmtId="3" fontId="15" fillId="0" borderId="84" xfId="0" applyNumberFormat="1" applyFont="1" applyFill="1" applyBorder="1" applyAlignment="1">
      <alignment horizontal="center" vertical="center" readingOrder="1"/>
    </xf>
    <xf numFmtId="3" fontId="15" fillId="17" borderId="26" xfId="0" applyNumberFormat="1" applyFont="1" applyFill="1" applyBorder="1" applyAlignment="1">
      <alignment horizontal="right" vertical="center"/>
    </xf>
    <xf numFmtId="3" fontId="15" fillId="13" borderId="12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vertical="center"/>
    </xf>
    <xf numFmtId="3" fontId="15" fillId="13" borderId="1" xfId="3" applyNumberFormat="1" applyFont="1" applyFill="1" applyBorder="1" applyAlignment="1">
      <alignment horizontal="center" vertical="center"/>
    </xf>
    <xf numFmtId="3" fontId="15" fillId="13" borderId="10" xfId="3" applyNumberFormat="1" applyFont="1" applyFill="1" applyBorder="1" applyAlignment="1">
      <alignment horizontal="center" vertical="center"/>
    </xf>
    <xf numFmtId="3" fontId="15" fillId="14" borderId="1" xfId="3" applyNumberFormat="1" applyFont="1" applyFill="1" applyBorder="1" applyAlignment="1">
      <alignment horizontal="center" vertical="center"/>
    </xf>
    <xf numFmtId="3" fontId="15" fillId="0" borderId="80" xfId="0" applyNumberFormat="1" applyFont="1" applyFill="1" applyBorder="1" applyAlignment="1">
      <alignment horizontal="center" vertical="center" readingOrder="1"/>
    </xf>
    <xf numFmtId="3" fontId="15" fillId="13" borderId="0" xfId="0" applyNumberFormat="1" applyFont="1" applyFill="1" applyBorder="1" applyAlignment="1">
      <alignment horizontal="center" vertical="center"/>
    </xf>
    <xf numFmtId="3" fontId="15" fillId="13" borderId="82" xfId="0" applyNumberFormat="1" applyFont="1" applyFill="1" applyBorder="1" applyAlignment="1">
      <alignment horizontal="center" vertical="center"/>
    </xf>
    <xf numFmtId="3" fontId="15" fillId="13" borderId="83" xfId="0" applyNumberFormat="1" applyFont="1" applyFill="1" applyBorder="1" applyAlignment="1">
      <alignment horizontal="center" vertical="center"/>
    </xf>
    <xf numFmtId="3" fontId="15" fillId="13" borderId="81" xfId="0" applyNumberFormat="1" applyFont="1" applyFill="1" applyBorder="1" applyAlignment="1">
      <alignment horizontal="center" vertical="center"/>
    </xf>
    <xf numFmtId="3" fontId="15" fillId="0" borderId="79" xfId="0" applyNumberFormat="1" applyFont="1" applyFill="1" applyBorder="1" applyAlignment="1">
      <alignment horizontal="center" vertical="center" readingOrder="1"/>
    </xf>
    <xf numFmtId="3" fontId="15" fillId="0" borderId="0" xfId="0" applyNumberFormat="1" applyFont="1" applyFill="1" applyBorder="1" applyAlignment="1">
      <alignment horizontal="center" vertical="center" readingOrder="1"/>
    </xf>
    <xf numFmtId="3" fontId="15" fillId="14" borderId="12" xfId="0" applyNumberFormat="1" applyFont="1" applyFill="1" applyBorder="1" applyAlignment="1">
      <alignment horizontal="center" vertical="center"/>
    </xf>
    <xf numFmtId="3" fontId="15" fillId="6" borderId="41" xfId="0" applyNumberFormat="1" applyFont="1" applyFill="1" applyBorder="1" applyAlignment="1">
      <alignment horizontal="right" vertical="center"/>
    </xf>
    <xf numFmtId="3" fontId="15" fillId="0" borderId="55" xfId="0" applyNumberFormat="1" applyFont="1" applyFill="1" applyBorder="1" applyAlignment="1">
      <alignment horizontal="center" vertical="center"/>
    </xf>
    <xf numFmtId="3" fontId="15" fillId="13" borderId="55" xfId="0" applyNumberFormat="1" applyFont="1" applyFill="1" applyBorder="1" applyAlignment="1">
      <alignment horizontal="center" vertical="center"/>
    </xf>
    <xf numFmtId="3" fontId="15" fillId="13" borderId="52" xfId="0" applyNumberFormat="1" applyFont="1" applyFill="1" applyBorder="1" applyAlignment="1">
      <alignment horizontal="center" vertical="center"/>
    </xf>
    <xf numFmtId="3" fontId="15" fillId="0" borderId="52" xfId="0" applyNumberFormat="1" applyFont="1" applyFill="1" applyBorder="1" applyAlignment="1">
      <alignment horizontal="center" vertical="center"/>
    </xf>
    <xf numFmtId="3" fontId="15" fillId="13" borderId="64" xfId="0" applyNumberFormat="1" applyFont="1" applyFill="1" applyBorder="1" applyAlignment="1">
      <alignment horizontal="center" vertical="center"/>
    </xf>
    <xf numFmtId="3" fontId="15" fillId="4" borderId="54" xfId="0" applyNumberFormat="1" applyFont="1" applyFill="1" applyBorder="1" applyAlignment="1">
      <alignment horizontal="right" vertical="center"/>
    </xf>
    <xf numFmtId="3" fontId="16" fillId="0" borderId="27" xfId="0" applyNumberFormat="1" applyFont="1" applyFill="1" applyBorder="1" applyAlignment="1">
      <alignment vertical="center"/>
    </xf>
    <xf numFmtId="3" fontId="15" fillId="22" borderId="27" xfId="0" applyNumberFormat="1" applyFont="1" applyFill="1" applyBorder="1" applyAlignment="1">
      <alignment vertical="center"/>
    </xf>
    <xf numFmtId="3" fontId="15" fillId="0" borderId="27" xfId="0" applyNumberFormat="1" applyFont="1" applyFill="1" applyBorder="1" applyAlignment="1">
      <alignment vertical="center"/>
    </xf>
    <xf numFmtId="165" fontId="15" fillId="0" borderId="64" xfId="0" applyNumberFormat="1" applyFont="1" applyFill="1" applyBorder="1" applyAlignment="1">
      <alignment horizontal="center" vertical="center"/>
    </xf>
    <xf numFmtId="3" fontId="27" fillId="14" borderId="17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left" vertical="center"/>
    </xf>
    <xf numFmtId="3" fontId="15" fillId="0" borderId="0" xfId="10" applyNumberFormat="1" applyFont="1" applyFill="1" applyBorder="1" applyAlignment="1">
      <alignment vertical="center"/>
    </xf>
    <xf numFmtId="3" fontId="15" fillId="19" borderId="17" xfId="0" applyNumberFormat="1" applyFont="1" applyFill="1" applyBorder="1" applyAlignment="1">
      <alignment horizontal="center" vertical="center"/>
    </xf>
    <xf numFmtId="3" fontId="15" fillId="0" borderId="64" xfId="0" applyNumberFormat="1" applyFont="1" applyFill="1" applyBorder="1" applyAlignment="1">
      <alignment horizontal="center" vertical="center"/>
    </xf>
    <xf numFmtId="3" fontId="15" fillId="17" borderId="52" xfId="0" applyNumberFormat="1" applyFont="1" applyFill="1" applyBorder="1" applyAlignment="1">
      <alignment horizontal="right" vertical="center"/>
    </xf>
    <xf numFmtId="3" fontId="15" fillId="15" borderId="82" xfId="0" applyNumberFormat="1" applyFont="1" applyFill="1" applyBorder="1" applyAlignment="1">
      <alignment horizontal="right" vertical="center"/>
    </xf>
    <xf numFmtId="3" fontId="15" fillId="15" borderId="19" xfId="0" applyNumberFormat="1" applyFont="1" applyFill="1" applyBorder="1" applyAlignment="1">
      <alignment horizontal="right" vertical="center"/>
    </xf>
    <xf numFmtId="3" fontId="15" fillId="17" borderId="82" xfId="0" applyNumberFormat="1" applyFont="1" applyFill="1" applyBorder="1" applyAlignment="1">
      <alignment horizontal="right" vertical="center"/>
    </xf>
    <xf numFmtId="3" fontId="15" fillId="17" borderId="19" xfId="0" applyNumberFormat="1" applyFont="1" applyFill="1" applyBorder="1" applyAlignment="1">
      <alignment horizontal="right" vertical="center"/>
    </xf>
    <xf numFmtId="3" fontId="15" fillId="18" borderId="82" xfId="0" applyNumberFormat="1" applyFont="1" applyFill="1" applyBorder="1" applyAlignment="1">
      <alignment horizontal="right" vertical="center"/>
    </xf>
    <xf numFmtId="3" fontId="15" fillId="18" borderId="19" xfId="0" applyNumberFormat="1" applyFont="1" applyFill="1" applyBorder="1" applyAlignment="1">
      <alignment horizontal="right" vertical="center"/>
    </xf>
    <xf numFmtId="3" fontId="15" fillId="15" borderId="85" xfId="3" applyNumberFormat="1" applyFont="1" applyFill="1" applyBorder="1" applyAlignment="1">
      <alignment horizontal="right" vertical="center"/>
    </xf>
    <xf numFmtId="3" fontId="15" fillId="17" borderId="85" xfId="3" applyNumberFormat="1" applyFont="1" applyFill="1" applyBorder="1" applyAlignment="1">
      <alignment horizontal="right" vertical="center"/>
    </xf>
    <xf numFmtId="3" fontId="15" fillId="18" borderId="85" xfId="0" applyNumberFormat="1" applyFont="1" applyFill="1" applyBorder="1" applyAlignment="1">
      <alignment horizontal="right" vertical="center"/>
    </xf>
    <xf numFmtId="3" fontId="15" fillId="0" borderId="86" xfId="3" applyNumberFormat="1" applyFont="1" applyFill="1" applyBorder="1" applyAlignment="1">
      <alignment horizontal="center" vertical="center"/>
    </xf>
    <xf numFmtId="3" fontId="15" fillId="0" borderId="87" xfId="0" applyNumberFormat="1" applyFont="1" applyFill="1" applyBorder="1" applyAlignment="1">
      <alignment horizontal="center" vertical="center"/>
    </xf>
    <xf numFmtId="3" fontId="15" fillId="0" borderId="88" xfId="0" applyNumberFormat="1" applyFont="1" applyFill="1" applyBorder="1" applyAlignment="1">
      <alignment horizontal="center" vertical="center"/>
    </xf>
    <xf numFmtId="3" fontId="15" fillId="6" borderId="82" xfId="0" applyNumberFormat="1" applyFont="1" applyFill="1" applyBorder="1" applyAlignment="1">
      <alignment vertical="center"/>
    </xf>
    <xf numFmtId="3" fontId="15" fillId="17" borderId="85" xfId="0" applyNumberFormat="1" applyFont="1" applyFill="1" applyBorder="1" applyAlignment="1">
      <alignment vertical="center"/>
    </xf>
    <xf numFmtId="3" fontId="15" fillId="17" borderId="82" xfId="0" applyNumberFormat="1" applyFont="1" applyFill="1" applyBorder="1" applyAlignment="1">
      <alignment vertical="center"/>
    </xf>
    <xf numFmtId="3" fontId="15" fillId="15" borderId="85" xfId="0" applyNumberFormat="1" applyFont="1" applyFill="1" applyBorder="1" applyAlignment="1">
      <alignment horizontal="right" vertical="center"/>
    </xf>
    <xf numFmtId="3" fontId="15" fillId="0" borderId="85" xfId="0" applyNumberFormat="1" applyFont="1" applyFill="1" applyBorder="1" applyAlignment="1">
      <alignment horizontal="center" vertical="center"/>
    </xf>
    <xf numFmtId="3" fontId="15" fillId="0" borderId="82" xfId="0" applyNumberFormat="1" applyFont="1" applyFill="1" applyBorder="1" applyAlignment="1">
      <alignment horizontal="center" vertical="center"/>
    </xf>
    <xf numFmtId="3" fontId="15" fillId="17" borderId="85" xfId="0" applyNumberFormat="1" applyFont="1" applyFill="1" applyBorder="1" applyAlignment="1">
      <alignment horizontal="right" vertical="center"/>
    </xf>
    <xf numFmtId="3" fontId="15" fillId="15" borderId="82" xfId="3" applyNumberFormat="1" applyFont="1" applyFill="1" applyBorder="1" applyAlignment="1">
      <alignment horizontal="right" vertical="center"/>
    </xf>
    <xf numFmtId="3" fontId="15" fillId="17" borderId="82" xfId="3" applyNumberFormat="1" applyFont="1" applyFill="1" applyBorder="1" applyAlignment="1">
      <alignment horizontal="right" vertical="center"/>
    </xf>
    <xf numFmtId="3" fontId="15" fillId="18" borderId="82" xfId="10" applyNumberFormat="1" applyFont="1" applyFill="1" applyBorder="1" applyAlignment="1">
      <alignment horizontal="right" vertical="center"/>
    </xf>
    <xf numFmtId="3" fontId="15" fillId="17" borderId="1" xfId="0" applyNumberFormat="1" applyFont="1" applyFill="1" applyBorder="1" applyAlignment="1">
      <alignment horizontal="right" vertical="center"/>
    </xf>
    <xf numFmtId="3" fontId="15" fillId="18" borderId="1" xfId="10" applyNumberFormat="1" applyFont="1" applyFill="1" applyBorder="1" applyAlignment="1">
      <alignment horizontal="right" vertical="center"/>
    </xf>
    <xf numFmtId="3" fontId="15" fillId="0" borderId="87" xfId="3" applyNumberFormat="1" applyFont="1" applyFill="1" applyBorder="1" applyAlignment="1">
      <alignment horizontal="center" vertical="center"/>
    </xf>
    <xf numFmtId="3" fontId="15" fillId="15" borderId="1" xfId="0" applyNumberFormat="1" applyFont="1" applyFill="1" applyBorder="1" applyAlignment="1">
      <alignment horizontal="right" vertical="center"/>
    </xf>
    <xf numFmtId="3" fontId="15" fillId="18" borderId="1" xfId="0" applyNumberFormat="1" applyFont="1" applyFill="1" applyBorder="1" applyAlignment="1">
      <alignment horizontal="right" vertical="center"/>
    </xf>
    <xf numFmtId="3" fontId="15" fillId="15" borderId="1" xfId="3" applyNumberFormat="1" applyFont="1" applyFill="1" applyBorder="1" applyAlignment="1">
      <alignment horizontal="right" vertical="center"/>
    </xf>
    <xf numFmtId="3" fontId="15" fillId="17" borderId="1" xfId="3" applyNumberFormat="1" applyFont="1" applyFill="1" applyBorder="1" applyAlignment="1">
      <alignment horizontal="right" vertical="center"/>
    </xf>
    <xf numFmtId="3" fontId="15" fillId="6" borderId="1" xfId="0" applyNumberFormat="1" applyFont="1" applyFill="1" applyBorder="1" applyAlignment="1">
      <alignment vertical="center"/>
    </xf>
    <xf numFmtId="3" fontId="28" fillId="0" borderId="1" xfId="0" applyNumberFormat="1" applyFont="1" applyBorder="1" applyAlignment="1">
      <alignment horizontal="right"/>
    </xf>
    <xf numFmtId="0" fontId="29" fillId="0" borderId="12" xfId="0" applyFont="1" applyBorder="1"/>
    <xf numFmtId="0" fontId="28" fillId="0" borderId="89" xfId="0" applyFont="1" applyBorder="1"/>
    <xf numFmtId="1" fontId="28" fillId="0" borderId="90" xfId="0" applyNumberFormat="1" applyFont="1" applyBorder="1" applyAlignment="1">
      <alignment horizontal="right"/>
    </xf>
    <xf numFmtId="0" fontId="30" fillId="0" borderId="82" xfId="0" applyFont="1" applyFill="1" applyBorder="1"/>
    <xf numFmtId="169" fontId="30" fillId="0" borderId="63" xfId="0" applyNumberFormat="1" applyFont="1" applyBorder="1" applyAlignment="1">
      <alignment horizontal="right" vertical="center"/>
    </xf>
    <xf numFmtId="170" fontId="30" fillId="0" borderId="54" xfId="0" applyNumberFormat="1" applyFont="1" applyBorder="1" applyAlignment="1">
      <alignment horizontal="left" vertical="center"/>
    </xf>
    <xf numFmtId="0" fontId="30" fillId="0" borderId="0" xfId="0" applyFont="1"/>
    <xf numFmtId="3" fontId="15" fillId="4" borderId="0" xfId="0" applyNumberFormat="1" applyFont="1" applyFill="1" applyBorder="1" applyAlignment="1">
      <alignment horizontal="right" vertical="center"/>
    </xf>
    <xf numFmtId="3" fontId="15" fillId="6" borderId="26" xfId="0" applyNumberFormat="1" applyFont="1" applyFill="1" applyBorder="1" applyAlignment="1">
      <alignment horizontal="right" vertical="center"/>
    </xf>
    <xf numFmtId="3" fontId="15" fillId="4" borderId="52" xfId="0" applyNumberFormat="1" applyFont="1" applyFill="1" applyBorder="1" applyAlignment="1">
      <alignment horizontal="right" vertical="center"/>
    </xf>
    <xf numFmtId="3" fontId="15" fillId="10" borderId="8" xfId="0" applyNumberFormat="1" applyFont="1" applyFill="1" applyBorder="1" applyAlignment="1">
      <alignment horizontal="center" vertical="center" wrapText="1"/>
    </xf>
    <xf numFmtId="3" fontId="15" fillId="4" borderId="8" xfId="0" applyNumberFormat="1" applyFont="1" applyFill="1" applyBorder="1" applyAlignment="1">
      <alignment horizontal="center" vertical="center" wrapText="1"/>
    </xf>
    <xf numFmtId="3" fontId="15" fillId="8" borderId="51" xfId="0" applyNumberFormat="1" applyFont="1" applyFill="1" applyBorder="1" applyAlignment="1">
      <alignment horizontal="center" vertical="center" wrapText="1"/>
    </xf>
    <xf numFmtId="168" fontId="15" fillId="0" borderId="8" xfId="0" applyNumberFormat="1" applyFont="1" applyFill="1" applyBorder="1" applyAlignment="1">
      <alignment horizontal="left" vertical="center" wrapText="1"/>
    </xf>
    <xf numFmtId="3" fontId="4" fillId="15" borderId="82" xfId="0" applyNumberFormat="1" applyFont="1" applyFill="1" applyBorder="1" applyAlignment="1">
      <alignment horizontal="right" vertical="center"/>
    </xf>
    <xf numFmtId="3" fontId="4" fillId="17" borderId="82" xfId="0" applyNumberFormat="1" applyFont="1" applyFill="1" applyBorder="1" applyAlignment="1">
      <alignment vertical="center"/>
    </xf>
    <xf numFmtId="3" fontId="4" fillId="6" borderId="82" xfId="0" applyNumberFormat="1" applyFont="1" applyFill="1" applyBorder="1" applyAlignment="1">
      <alignment vertical="center"/>
    </xf>
    <xf numFmtId="3" fontId="15" fillId="6" borderId="85" xfId="0" applyNumberFormat="1" applyFont="1" applyFill="1" applyBorder="1" applyAlignment="1">
      <alignment vertical="center"/>
    </xf>
    <xf numFmtId="3" fontId="15" fillId="18" borderId="85" xfId="10" applyNumberFormat="1" applyFont="1" applyFill="1" applyBorder="1" applyAlignment="1">
      <alignment horizontal="right" vertical="center"/>
    </xf>
    <xf numFmtId="3" fontId="15" fillId="15" borderId="8" xfId="0" applyNumberFormat="1" applyFont="1" applyFill="1" applyBorder="1" applyAlignment="1">
      <alignment horizontal="right" vertical="center"/>
    </xf>
    <xf numFmtId="3" fontId="15" fillId="17" borderId="8" xfId="0" applyNumberFormat="1" applyFont="1" applyFill="1" applyBorder="1" applyAlignment="1">
      <alignment vertical="center"/>
    </xf>
    <xf numFmtId="3" fontId="15" fillId="6" borderId="51" xfId="0" applyNumberFormat="1" applyFont="1" applyFill="1" applyBorder="1" applyAlignment="1">
      <alignment vertical="center"/>
    </xf>
    <xf numFmtId="3" fontId="15" fillId="18" borderId="51" xfId="0" applyNumberFormat="1" applyFont="1" applyFill="1" applyBorder="1" applyAlignment="1">
      <alignment vertical="center"/>
    </xf>
    <xf numFmtId="3" fontId="15" fillId="17" borderId="0" xfId="0" applyNumberFormat="1" applyFont="1" applyFill="1" applyBorder="1" applyAlignment="1">
      <alignment horizontal="right" vertical="center"/>
    </xf>
    <xf numFmtId="3" fontId="15" fillId="6" borderId="52" xfId="0" applyNumberFormat="1" applyFont="1" applyFill="1" applyBorder="1" applyAlignment="1">
      <alignment horizontal="right" vertical="center"/>
    </xf>
    <xf numFmtId="3" fontId="16" fillId="13" borderId="1" xfId="2" applyNumberFormat="1" applyFont="1" applyFill="1" applyBorder="1" applyAlignment="1">
      <alignment horizontal="center" vertical="center"/>
    </xf>
    <xf numFmtId="3" fontId="16" fillId="9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/>
    </xf>
    <xf numFmtId="3" fontId="16" fillId="11" borderId="1" xfId="0" applyNumberFormat="1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16" fillId="9" borderId="12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vertical="center"/>
    </xf>
    <xf numFmtId="3" fontId="15" fillId="14" borderId="10" xfId="0" applyNumberFormat="1" applyFont="1" applyFill="1" applyBorder="1" applyAlignment="1">
      <alignment horizontal="center" vertical="center"/>
    </xf>
    <xf numFmtId="3" fontId="16" fillId="13" borderId="12" xfId="2" applyNumberFormat="1" applyFont="1" applyFill="1" applyBorder="1" applyAlignment="1">
      <alignment horizontal="center" vertical="center"/>
    </xf>
    <xf numFmtId="3" fontId="16" fillId="13" borderId="10" xfId="2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15" fillId="13" borderId="91" xfId="0" applyNumberFormat="1" applyFont="1" applyFill="1" applyBorder="1" applyAlignment="1">
      <alignment horizontal="center" vertical="center"/>
    </xf>
    <xf numFmtId="3" fontId="15" fillId="13" borderId="92" xfId="0" applyNumberFormat="1" applyFont="1" applyFill="1" applyBorder="1" applyAlignment="1">
      <alignment horizontal="center" vertical="center"/>
    </xf>
    <xf numFmtId="3" fontId="15" fillId="13" borderId="93" xfId="0" applyNumberFormat="1" applyFont="1" applyFill="1" applyBorder="1" applyAlignment="1">
      <alignment horizontal="center" vertical="center"/>
    </xf>
    <xf numFmtId="3" fontId="16" fillId="11" borderId="12" xfId="0" applyNumberFormat="1" applyFont="1" applyFill="1" applyBorder="1" applyAlignment="1">
      <alignment horizontal="left" vertical="center" wrapText="1"/>
    </xf>
    <xf numFmtId="3" fontId="16" fillId="13" borderId="12" xfId="2" applyNumberFormat="1" applyFont="1" applyFill="1" applyBorder="1" applyAlignment="1">
      <alignment vertical="center"/>
    </xf>
    <xf numFmtId="3" fontId="16" fillId="13" borderId="1" xfId="2" applyNumberFormat="1" applyFont="1" applyFill="1" applyBorder="1" applyAlignment="1">
      <alignment vertical="center"/>
    </xf>
    <xf numFmtId="3" fontId="16" fillId="13" borderId="10" xfId="2" applyNumberFormat="1" applyFont="1" applyFill="1" applyBorder="1" applyAlignment="1">
      <alignment vertical="center"/>
    </xf>
    <xf numFmtId="3" fontId="16" fillId="0" borderId="10" xfId="3" applyNumberFormat="1" applyFont="1" applyFill="1" applyBorder="1" applyAlignment="1">
      <alignment vertical="center"/>
    </xf>
    <xf numFmtId="3" fontId="4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79" xfId="3" applyNumberFormat="1" applyFont="1" applyFill="1" applyBorder="1" applyAlignment="1">
      <alignment horizontal="center" vertical="center"/>
    </xf>
    <xf numFmtId="3" fontId="15" fillId="0" borderId="0" xfId="3" applyNumberFormat="1" applyFont="1" applyFill="1" applyBorder="1" applyAlignment="1">
      <alignment horizontal="center" vertical="center"/>
    </xf>
    <xf numFmtId="3" fontId="15" fillId="13" borderId="9" xfId="3" applyNumberFormat="1" applyFont="1" applyFill="1" applyBorder="1" applyAlignment="1">
      <alignment horizontal="center" vertical="center"/>
    </xf>
    <xf numFmtId="3" fontId="16" fillId="13" borderId="1" xfId="0" applyNumberFormat="1" applyFont="1" applyFill="1" applyBorder="1" applyAlignment="1">
      <alignment horizontal="left" vertical="center" wrapText="1"/>
    </xf>
    <xf numFmtId="3" fontId="15" fillId="13" borderId="1" xfId="0" applyNumberFormat="1" applyFont="1" applyFill="1" applyBorder="1" applyAlignment="1">
      <alignment horizontal="right" vertical="center" wrapText="1"/>
    </xf>
    <xf numFmtId="3" fontId="15" fillId="12" borderId="10" xfId="0" applyNumberFormat="1" applyFont="1" applyFill="1" applyBorder="1" applyAlignment="1">
      <alignment horizontal="right" vertical="center" wrapText="1"/>
    </xf>
    <xf numFmtId="3" fontId="16" fillId="11" borderId="10" xfId="0" applyNumberFormat="1" applyFont="1" applyFill="1" applyBorder="1" applyAlignment="1">
      <alignment horizontal="left" vertical="center" wrapText="1"/>
    </xf>
    <xf numFmtId="3" fontId="15" fillId="12" borderId="12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3" fontId="16" fillId="0" borderId="12" xfId="3" applyNumberFormat="1" applyFont="1" applyFill="1" applyBorder="1" applyAlignment="1">
      <alignment vertical="center"/>
    </xf>
    <xf numFmtId="3" fontId="15" fillId="13" borderId="12" xfId="0" applyNumberFormat="1" applyFont="1" applyFill="1" applyBorder="1" applyAlignment="1">
      <alignment horizontal="right" vertical="center" wrapText="1"/>
    </xf>
    <xf numFmtId="3" fontId="4" fillId="14" borderId="10" xfId="0" applyNumberFormat="1" applyFont="1" applyFill="1" applyBorder="1" applyAlignment="1">
      <alignment horizontal="center" vertical="center"/>
    </xf>
    <xf numFmtId="3" fontId="15" fillId="13" borderId="10" xfId="0" applyNumberFormat="1" applyFont="1" applyFill="1" applyBorder="1" applyAlignment="1">
      <alignment horizontal="right" vertical="center" wrapText="1"/>
    </xf>
    <xf numFmtId="3" fontId="16" fillId="13" borderId="94" xfId="2" applyNumberFormat="1" applyFont="1" applyFill="1" applyBorder="1" applyAlignment="1">
      <alignment horizontal="center" vertical="center"/>
    </xf>
    <xf numFmtId="3" fontId="16" fillId="13" borderId="85" xfId="2" applyNumberFormat="1" applyFont="1" applyFill="1" applyBorder="1" applyAlignment="1">
      <alignment horizontal="center" vertical="center"/>
    </xf>
    <xf numFmtId="3" fontId="16" fillId="13" borderId="95" xfId="2" applyNumberFormat="1" applyFont="1" applyFill="1" applyBorder="1" applyAlignment="1">
      <alignment horizontal="center" vertical="center"/>
    </xf>
    <xf numFmtId="3" fontId="16" fillId="13" borderId="94" xfId="2" applyNumberFormat="1" applyFont="1" applyFill="1" applyBorder="1" applyAlignment="1">
      <alignment vertical="center"/>
    </xf>
    <xf numFmtId="3" fontId="16" fillId="13" borderId="85" xfId="2" applyNumberFormat="1" applyFont="1" applyFill="1" applyBorder="1" applyAlignment="1">
      <alignment vertical="center"/>
    </xf>
    <xf numFmtId="3" fontId="16" fillId="13" borderId="95" xfId="2" applyNumberFormat="1" applyFont="1" applyFill="1" applyBorder="1" applyAlignment="1">
      <alignment vertical="center"/>
    </xf>
    <xf numFmtId="3" fontId="17" fillId="0" borderId="12" xfId="0" applyNumberFormat="1" applyFont="1" applyFill="1" applyBorder="1" applyAlignment="1">
      <alignment horizontal="center" vertical="center"/>
    </xf>
    <xf numFmtId="3" fontId="17" fillId="13" borderId="10" xfId="0" applyNumberFormat="1" applyFont="1" applyFill="1" applyBorder="1" applyAlignment="1">
      <alignment horizontal="center" vertical="center"/>
    </xf>
    <xf numFmtId="3" fontId="16" fillId="13" borderId="1" xfId="0" applyNumberFormat="1" applyFont="1" applyFill="1" applyBorder="1" applyAlignment="1">
      <alignment vertical="center"/>
    </xf>
    <xf numFmtId="3" fontId="15" fillId="13" borderId="1" xfId="0" applyNumberFormat="1" applyFont="1" applyFill="1" applyBorder="1" applyAlignment="1">
      <alignment vertical="center"/>
    </xf>
    <xf numFmtId="3" fontId="15" fillId="13" borderId="10" xfId="0" applyNumberFormat="1" applyFont="1" applyFill="1" applyBorder="1" applyAlignment="1">
      <alignment vertical="center"/>
    </xf>
    <xf numFmtId="3" fontId="15" fillId="0" borderId="96" xfId="0" applyNumberFormat="1" applyFont="1" applyFill="1" applyBorder="1" applyAlignment="1">
      <alignment horizontal="center" vertical="center"/>
    </xf>
    <xf numFmtId="3" fontId="15" fillId="0" borderId="83" xfId="0" applyNumberFormat="1" applyFont="1" applyFill="1" applyBorder="1" applyAlignment="1">
      <alignment horizontal="center" vertical="center"/>
    </xf>
    <xf numFmtId="3" fontId="15" fillId="0" borderId="94" xfId="0" applyNumberFormat="1" applyFont="1" applyFill="1" applyBorder="1" applyAlignment="1">
      <alignment horizontal="center" vertical="center"/>
    </xf>
    <xf numFmtId="3" fontId="15" fillId="13" borderId="95" xfId="0" applyNumberFormat="1" applyFont="1" applyFill="1" applyBorder="1" applyAlignment="1">
      <alignment horizontal="center" vertical="center"/>
    </xf>
    <xf numFmtId="3" fontId="15" fillId="13" borderId="97" xfId="0" applyNumberFormat="1" applyFont="1" applyFill="1" applyBorder="1" applyAlignment="1">
      <alignment horizontal="center" vertical="center"/>
    </xf>
    <xf numFmtId="3" fontId="15" fillId="0" borderId="95" xfId="0" applyNumberFormat="1" applyFont="1" applyFill="1" applyBorder="1" applyAlignment="1">
      <alignment horizontal="center" vertical="center"/>
    </xf>
    <xf numFmtId="3" fontId="15" fillId="13" borderId="83" xfId="0" applyNumberFormat="1" applyFont="1" applyFill="1" applyBorder="1" applyAlignment="1">
      <alignment vertical="center"/>
    </xf>
    <xf numFmtId="3" fontId="15" fillId="13" borderId="63" xfId="0" applyNumberFormat="1" applyFont="1" applyFill="1" applyBorder="1" applyAlignment="1">
      <alignment horizontal="center" vertical="center"/>
    </xf>
    <xf numFmtId="3" fontId="15" fillId="0" borderId="54" xfId="0" applyNumberFormat="1" applyFont="1" applyFill="1" applyBorder="1" applyAlignment="1">
      <alignment horizontal="center" vertical="center"/>
    </xf>
    <xf numFmtId="3" fontId="15" fillId="0" borderId="89" xfId="0" applyNumberFormat="1" applyFont="1" applyFill="1" applyBorder="1" applyAlignment="1">
      <alignment horizontal="center" vertical="center"/>
    </xf>
    <xf numFmtId="3" fontId="15" fillId="0" borderId="90" xfId="0" applyNumberFormat="1" applyFont="1" applyFill="1" applyBorder="1" applyAlignment="1">
      <alignment horizontal="center" vertical="center"/>
    </xf>
    <xf numFmtId="3" fontId="15" fillId="13" borderId="90" xfId="0" applyNumberFormat="1" applyFont="1" applyFill="1" applyBorder="1" applyAlignment="1">
      <alignment horizontal="center" vertical="center"/>
    </xf>
    <xf numFmtId="3" fontId="15" fillId="13" borderId="98" xfId="0" applyNumberFormat="1" applyFont="1" applyFill="1" applyBorder="1" applyAlignment="1">
      <alignment vertical="center"/>
    </xf>
    <xf numFmtId="3" fontId="17" fillId="13" borderId="12" xfId="0" applyNumberFormat="1" applyFont="1" applyFill="1" applyBorder="1" applyAlignment="1">
      <alignment horizontal="center" vertical="center"/>
    </xf>
    <xf numFmtId="3" fontId="15" fillId="13" borderId="85" xfId="0" applyNumberFormat="1" applyFont="1" applyFill="1" applyBorder="1" applyAlignment="1">
      <alignment horizontal="center" vertical="center"/>
    </xf>
    <xf numFmtId="3" fontId="4" fillId="15" borderId="1" xfId="0" applyNumberFormat="1" applyFont="1" applyFill="1" applyBorder="1" applyAlignment="1">
      <alignment horizontal="right" vertical="center"/>
    </xf>
    <xf numFmtId="3" fontId="4" fillId="17" borderId="1" xfId="0" applyNumberFormat="1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vertical="center"/>
    </xf>
    <xf numFmtId="3" fontId="15" fillId="8" borderId="54" xfId="0" applyNumberFormat="1" applyFont="1" applyFill="1" applyBorder="1" applyAlignment="1">
      <alignment horizontal="right" vertical="center"/>
    </xf>
    <xf numFmtId="3" fontId="15" fillId="18" borderId="54" xfId="0" applyNumberFormat="1" applyFont="1" applyFill="1" applyBorder="1" applyAlignment="1">
      <alignment horizontal="right" vertical="center"/>
    </xf>
    <xf numFmtId="3" fontId="15" fillId="4" borderId="86" xfId="0" applyNumberFormat="1" applyFont="1" applyFill="1" applyBorder="1" applyAlignment="1">
      <alignment horizontal="right" vertical="center"/>
    </xf>
    <xf numFmtId="3" fontId="15" fillId="4" borderId="87" xfId="0" applyNumberFormat="1" applyFont="1" applyFill="1" applyBorder="1" applyAlignment="1">
      <alignment horizontal="right" vertical="center"/>
    </xf>
    <xf numFmtId="3" fontId="15" fillId="4" borderId="88" xfId="0" applyNumberFormat="1" applyFont="1" applyFill="1" applyBorder="1" applyAlignment="1">
      <alignment horizontal="right" vertical="center"/>
    </xf>
    <xf numFmtId="3" fontId="15" fillId="6" borderId="63" xfId="0" applyNumberFormat="1" applyFont="1" applyFill="1" applyBorder="1" applyAlignment="1">
      <alignment horizontal="right" vertical="center"/>
    </xf>
    <xf numFmtId="3" fontId="4" fillId="6" borderId="26" xfId="0" applyNumberFormat="1" applyFont="1" applyFill="1" applyBorder="1" applyAlignment="1">
      <alignment horizontal="right" vertical="center"/>
    </xf>
    <xf numFmtId="3" fontId="4" fillId="14" borderId="0" xfId="0" applyNumberFormat="1" applyFont="1" applyFill="1" applyBorder="1" applyAlignment="1">
      <alignment horizontal="center" vertical="center"/>
    </xf>
    <xf numFmtId="3" fontId="16" fillId="5" borderId="96" xfId="0" applyNumberFormat="1" applyFont="1" applyFill="1" applyBorder="1" applyAlignment="1">
      <alignment horizontal="center" vertical="center"/>
    </xf>
    <xf numFmtId="3" fontId="23" fillId="0" borderId="22" xfId="0" applyNumberFormat="1" applyFont="1" applyFill="1" applyBorder="1" applyAlignment="1">
      <alignment horizontal="left" vertical="center" indent="4"/>
    </xf>
    <xf numFmtId="3" fontId="5" fillId="13" borderId="0" xfId="0" applyNumberFormat="1" applyFont="1" applyFill="1" applyBorder="1" applyAlignment="1">
      <alignment vertical="center"/>
    </xf>
    <xf numFmtId="0" fontId="0" fillId="13" borderId="0" xfId="0" applyFill="1" applyBorder="1"/>
    <xf numFmtId="3" fontId="23" fillId="13" borderId="0" xfId="0" applyNumberFormat="1" applyFont="1" applyFill="1" applyBorder="1" applyAlignment="1">
      <alignment horizontal="center" vertical="center"/>
    </xf>
    <xf numFmtId="3" fontId="5" fillId="0" borderId="70" xfId="0" applyNumberFormat="1" applyFont="1" applyFill="1" applyBorder="1" applyAlignment="1">
      <alignment horizontal="center" vertical="center"/>
    </xf>
    <xf numFmtId="0" fontId="29" fillId="13" borderId="19" xfId="0" applyFont="1" applyFill="1" applyBorder="1" applyAlignment="1">
      <alignment horizontal="right"/>
    </xf>
    <xf numFmtId="0" fontId="29" fillId="13" borderId="20" xfId="0" applyFont="1" applyFill="1" applyBorder="1" applyAlignment="1">
      <alignment horizontal="right"/>
    </xf>
    <xf numFmtId="0" fontId="29" fillId="13" borderId="99" xfId="0" applyFont="1" applyFill="1" applyBorder="1"/>
    <xf numFmtId="3" fontId="28" fillId="13" borderId="1" xfId="0" applyNumberFormat="1" applyFont="1" applyFill="1" applyBorder="1" applyAlignment="1">
      <alignment horizontal="right"/>
    </xf>
    <xf numFmtId="3" fontId="4" fillId="13" borderId="26" xfId="0" applyNumberFormat="1" applyFont="1" applyFill="1" applyBorder="1" applyAlignment="1">
      <alignment vertical="center" wrapText="1"/>
    </xf>
    <xf numFmtId="3" fontId="5" fillId="13" borderId="26" xfId="0" applyNumberFormat="1" applyFont="1" applyFill="1" applyBorder="1" applyAlignment="1">
      <alignment horizontal="right" vertical="center"/>
    </xf>
    <xf numFmtId="3" fontId="5" fillId="13" borderId="26" xfId="0" applyNumberFormat="1" applyFont="1" applyFill="1" applyBorder="1" applyAlignment="1">
      <alignment vertical="center"/>
    </xf>
    <xf numFmtId="3" fontId="4" fillId="13" borderId="27" xfId="0" applyNumberFormat="1" applyFont="1" applyFill="1" applyBorder="1" applyAlignment="1">
      <alignment horizontal="right" vertical="center"/>
    </xf>
    <xf numFmtId="3" fontId="4" fillId="13" borderId="21" xfId="0" applyNumberFormat="1" applyFont="1" applyFill="1" applyBorder="1" applyAlignment="1">
      <alignment vertical="center"/>
    </xf>
    <xf numFmtId="3" fontId="5" fillId="13" borderId="21" xfId="0" applyNumberFormat="1" applyFont="1" applyFill="1" applyBorder="1" applyAlignment="1">
      <alignment horizontal="right" vertical="center"/>
    </xf>
    <xf numFmtId="3" fontId="5" fillId="13" borderId="21" xfId="0" applyNumberFormat="1" applyFont="1" applyFill="1" applyBorder="1" applyAlignment="1">
      <alignment vertical="center"/>
    </xf>
    <xf numFmtId="0" fontId="29" fillId="13" borderId="12" xfId="0" applyFont="1" applyFill="1" applyBorder="1"/>
    <xf numFmtId="3" fontId="31" fillId="13" borderId="1" xfId="0" applyNumberFormat="1" applyFont="1" applyFill="1" applyBorder="1" applyAlignment="1">
      <alignment horizontal="right"/>
    </xf>
    <xf numFmtId="3" fontId="3" fillId="13" borderId="17" xfId="0" applyNumberFormat="1" applyFont="1" applyFill="1" applyBorder="1" applyAlignment="1">
      <alignment horizontal="left" vertical="center"/>
    </xf>
    <xf numFmtId="3" fontId="3" fillId="13" borderId="17" xfId="0" applyNumberFormat="1" applyFont="1" applyFill="1" applyBorder="1" applyAlignment="1">
      <alignment horizontal="right" vertical="center"/>
    </xf>
    <xf numFmtId="3" fontId="3" fillId="13" borderId="21" xfId="3" applyNumberFormat="1" applyFont="1" applyFill="1" applyBorder="1" applyAlignment="1">
      <alignment horizontal="left" vertical="center"/>
    </xf>
    <xf numFmtId="3" fontId="3" fillId="13" borderId="21" xfId="3" applyNumberFormat="1" applyFont="1" applyFill="1" applyBorder="1" applyAlignment="1">
      <alignment horizontal="right" vertical="center"/>
    </xf>
    <xf numFmtId="3" fontId="3" fillId="13" borderId="21" xfId="0" applyNumberFormat="1" applyFont="1" applyFill="1" applyBorder="1" applyAlignment="1">
      <alignment horizontal="left" vertical="center"/>
    </xf>
    <xf numFmtId="3" fontId="3" fillId="13" borderId="21" xfId="0" applyNumberFormat="1" applyFont="1" applyFill="1" applyBorder="1" applyAlignment="1">
      <alignment horizontal="right" vertical="center"/>
    </xf>
    <xf numFmtId="3" fontId="3" fillId="13" borderId="24" xfId="0" applyNumberFormat="1" applyFont="1" applyFill="1" applyBorder="1" applyAlignment="1">
      <alignment vertical="center" readingOrder="1"/>
    </xf>
    <xf numFmtId="3" fontId="5" fillId="13" borderId="24" xfId="0" applyNumberFormat="1" applyFont="1" applyFill="1" applyBorder="1" applyAlignment="1">
      <alignment horizontal="right" vertical="center"/>
    </xf>
    <xf numFmtId="3" fontId="3" fillId="13" borderId="25" xfId="0" applyNumberFormat="1" applyFont="1" applyFill="1" applyBorder="1" applyAlignment="1">
      <alignment horizontal="left" vertical="center"/>
    </xf>
    <xf numFmtId="3" fontId="3" fillId="13" borderId="25" xfId="0" applyNumberFormat="1" applyFont="1" applyFill="1" applyBorder="1" applyAlignment="1">
      <alignment vertical="center"/>
    </xf>
    <xf numFmtId="3" fontId="3" fillId="13" borderId="26" xfId="0" applyNumberFormat="1" applyFont="1" applyFill="1" applyBorder="1" applyAlignment="1">
      <alignment horizontal="left" vertical="center"/>
    </xf>
    <xf numFmtId="3" fontId="3" fillId="13" borderId="52" xfId="0" applyNumberFormat="1" applyFont="1" applyFill="1" applyBorder="1" applyAlignment="1">
      <alignment horizontal="right" vertical="center"/>
    </xf>
    <xf numFmtId="3" fontId="3" fillId="13" borderId="26" xfId="0" applyNumberFormat="1" applyFont="1" applyFill="1" applyBorder="1" applyAlignment="1">
      <alignment horizontal="right" vertical="center"/>
    </xf>
    <xf numFmtId="3" fontId="3" fillId="13" borderId="29" xfId="0" applyNumberFormat="1" applyFont="1" applyFill="1" applyBorder="1" applyAlignment="1">
      <alignment horizontal="left" vertical="center"/>
    </xf>
    <xf numFmtId="3" fontId="3" fillId="13" borderId="17" xfId="0" applyNumberFormat="1" applyFont="1" applyFill="1" applyBorder="1" applyAlignment="1">
      <alignment vertical="center"/>
    </xf>
    <xf numFmtId="3" fontId="3" fillId="13" borderId="31" xfId="0" applyNumberFormat="1" applyFont="1" applyFill="1" applyBorder="1" applyAlignment="1">
      <alignment horizontal="right" vertical="center"/>
    </xf>
    <xf numFmtId="3" fontId="3" fillId="13" borderId="30" xfId="0" applyNumberFormat="1" applyFont="1" applyFill="1" applyBorder="1" applyAlignment="1">
      <alignment horizontal="right" vertical="center"/>
    </xf>
    <xf numFmtId="3" fontId="4" fillId="13" borderId="30" xfId="0" applyNumberFormat="1" applyFont="1" applyFill="1" applyBorder="1" applyAlignment="1">
      <alignment horizontal="right" vertical="center"/>
    </xf>
    <xf numFmtId="3" fontId="4" fillId="13" borderId="17" xfId="0" applyNumberFormat="1" applyFont="1" applyFill="1" applyBorder="1" applyAlignment="1">
      <alignment horizontal="right" vertical="center"/>
    </xf>
    <xf numFmtId="3" fontId="3" fillId="13" borderId="17" xfId="0" applyNumberFormat="1" applyFont="1" applyFill="1" applyBorder="1" applyAlignment="1">
      <alignment vertical="center" wrapText="1"/>
    </xf>
    <xf numFmtId="3" fontId="3" fillId="5" borderId="26" xfId="0" applyNumberFormat="1" applyFont="1" applyFill="1" applyBorder="1" applyAlignment="1">
      <alignment horizontal="right" vertical="center"/>
    </xf>
    <xf numFmtId="3" fontId="3" fillId="5" borderId="55" xfId="2" applyNumberFormat="1" applyFont="1" applyFill="1" applyBorder="1" applyAlignment="1">
      <alignment horizontal="center" vertical="center"/>
    </xf>
    <xf numFmtId="3" fontId="3" fillId="5" borderId="0" xfId="2" applyNumberFormat="1" applyFont="1" applyFill="1" applyBorder="1" applyAlignment="1">
      <alignment horizontal="center" vertical="center"/>
    </xf>
    <xf numFmtId="3" fontId="3" fillId="5" borderId="52" xfId="2" applyNumberFormat="1" applyFont="1" applyFill="1" applyBorder="1" applyAlignment="1">
      <alignment horizontal="center" vertical="center"/>
    </xf>
    <xf numFmtId="3" fontId="3" fillId="5" borderId="55" xfId="2" applyNumberFormat="1" applyFont="1" applyFill="1" applyBorder="1" applyAlignment="1">
      <alignment vertical="center"/>
    </xf>
    <xf numFmtId="3" fontId="3" fillId="5" borderId="52" xfId="2" applyNumberFormat="1" applyFont="1" applyFill="1" applyBorder="1" applyAlignment="1">
      <alignment vertical="center"/>
    </xf>
    <xf numFmtId="3" fontId="3" fillId="5" borderId="26" xfId="2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left" vertical="center" indent="4"/>
    </xf>
    <xf numFmtId="3" fontId="3" fillId="15" borderId="77" xfId="0" applyNumberFormat="1" applyFont="1" applyFill="1" applyBorder="1" applyAlignment="1">
      <alignment horizontal="right" vertical="center"/>
    </xf>
    <xf numFmtId="3" fontId="5" fillId="17" borderId="26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center" vertical="center"/>
    </xf>
    <xf numFmtId="3" fontId="5" fillId="0" borderId="100" xfId="0" applyNumberFormat="1" applyFont="1" applyFill="1" applyBorder="1" applyAlignment="1">
      <alignment horizontal="center" vertical="center"/>
    </xf>
    <xf numFmtId="3" fontId="4" fillId="14" borderId="1" xfId="0" applyNumberFormat="1" applyFont="1" applyFill="1" applyBorder="1" applyAlignment="1">
      <alignment horizontal="center" vertical="center"/>
    </xf>
    <xf numFmtId="3" fontId="3" fillId="0" borderId="21" xfId="4" applyNumberFormat="1" applyFont="1" applyFill="1" applyBorder="1" applyAlignment="1">
      <alignment horizontal="left" vertical="center"/>
    </xf>
    <xf numFmtId="3" fontId="3" fillId="15" borderId="21" xfId="4" applyNumberFormat="1" applyFont="1" applyFill="1" applyBorder="1" applyAlignment="1">
      <alignment horizontal="right" vertical="center"/>
    </xf>
    <xf numFmtId="3" fontId="3" fillId="17" borderId="21" xfId="4" applyNumberFormat="1" applyFont="1" applyFill="1" applyBorder="1" applyAlignment="1">
      <alignment horizontal="right" vertical="center"/>
    </xf>
    <xf numFmtId="3" fontId="4" fillId="13" borderId="12" xfId="4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>
      <alignment vertical="center"/>
    </xf>
    <xf numFmtId="3" fontId="4" fillId="14" borderId="1" xfId="4" applyNumberFormat="1" applyFont="1" applyFill="1" applyBorder="1" applyAlignment="1">
      <alignment horizontal="center" vertical="center"/>
    </xf>
    <xf numFmtId="3" fontId="4" fillId="13" borderId="1" xfId="4" applyNumberFormat="1" applyFont="1" applyFill="1" applyBorder="1" applyAlignment="1">
      <alignment horizontal="center" vertical="center"/>
    </xf>
    <xf numFmtId="3" fontId="4" fillId="13" borderId="16" xfId="4" applyNumberFormat="1" applyFont="1" applyFill="1" applyBorder="1" applyAlignment="1">
      <alignment horizontal="center" vertical="center"/>
    </xf>
    <xf numFmtId="3" fontId="4" fillId="13" borderId="10" xfId="4" applyNumberFormat="1" applyFont="1" applyFill="1" applyBorder="1" applyAlignment="1">
      <alignment horizontal="center" vertical="center"/>
    </xf>
    <xf numFmtId="3" fontId="4" fillId="18" borderId="23" xfId="0" applyNumberFormat="1" applyFont="1" applyFill="1" applyBorder="1" applyAlignment="1">
      <alignment horizontal="right" vertical="center"/>
    </xf>
    <xf numFmtId="3" fontId="15" fillId="13" borderId="18" xfId="0" applyNumberFormat="1" applyFont="1" applyFill="1" applyBorder="1" applyAlignment="1">
      <alignment horizontal="center" vertical="center"/>
    </xf>
    <xf numFmtId="3" fontId="15" fillId="13" borderId="19" xfId="0" applyNumberFormat="1" applyFont="1" applyFill="1" applyBorder="1" applyAlignment="1">
      <alignment horizontal="center" vertical="center"/>
    </xf>
    <xf numFmtId="3" fontId="15" fillId="13" borderId="94" xfId="0" applyNumberFormat="1" applyFont="1" applyFill="1" applyBorder="1" applyAlignment="1">
      <alignment horizontal="center" vertical="center"/>
    </xf>
    <xf numFmtId="3" fontId="16" fillId="13" borderId="18" xfId="2" applyNumberFormat="1" applyFont="1" applyFill="1" applyBorder="1" applyAlignment="1">
      <alignment horizontal="center" vertical="center"/>
    </xf>
    <xf numFmtId="3" fontId="16" fillId="13" borderId="19" xfId="2" applyNumberFormat="1" applyFont="1" applyFill="1" applyBorder="1" applyAlignment="1">
      <alignment horizontal="center" vertical="center"/>
    </xf>
    <xf numFmtId="3" fontId="16" fillId="9" borderId="19" xfId="0" applyNumberFormat="1" applyFont="1" applyFill="1" applyBorder="1" applyAlignment="1">
      <alignment horizontal="center" vertical="center" wrapText="1"/>
    </xf>
    <xf numFmtId="3" fontId="16" fillId="9" borderId="20" xfId="0" applyNumberFormat="1" applyFont="1" applyFill="1" applyBorder="1" applyAlignment="1">
      <alignment horizontal="center" vertical="center" wrapText="1"/>
    </xf>
    <xf numFmtId="3" fontId="16" fillId="13" borderId="20" xfId="2" applyNumberFormat="1" applyFont="1" applyFill="1" applyBorder="1" applyAlignment="1">
      <alignment horizontal="center" vertical="center"/>
    </xf>
    <xf numFmtId="3" fontId="16" fillId="13" borderId="18" xfId="2" applyNumberFormat="1" applyFont="1" applyFill="1" applyBorder="1" applyAlignment="1">
      <alignment vertical="center"/>
    </xf>
    <xf numFmtId="3" fontId="16" fillId="13" borderId="19" xfId="2" applyNumberFormat="1" applyFont="1" applyFill="1" applyBorder="1" applyAlignment="1">
      <alignment vertical="center"/>
    </xf>
    <xf numFmtId="3" fontId="16" fillId="13" borderId="20" xfId="2" applyNumberFormat="1" applyFont="1" applyFill="1" applyBorder="1" applyAlignment="1">
      <alignment vertical="center"/>
    </xf>
    <xf numFmtId="3" fontId="16" fillId="13" borderId="1" xfId="0" applyNumberFormat="1" applyFont="1" applyFill="1" applyBorder="1" applyAlignment="1">
      <alignment horizontal="center" vertical="center" wrapText="1"/>
    </xf>
    <xf numFmtId="3" fontId="16" fillId="13" borderId="20" xfId="0" applyNumberFormat="1" applyFont="1" applyFill="1" applyBorder="1" applyAlignment="1">
      <alignment horizontal="center" vertical="center" wrapText="1"/>
    </xf>
    <xf numFmtId="3" fontId="4" fillId="13" borderId="10" xfId="0" applyNumberFormat="1" applyFont="1" applyFill="1" applyBorder="1" applyAlignment="1">
      <alignment vertical="center"/>
    </xf>
    <xf numFmtId="3" fontId="16" fillId="13" borderId="12" xfId="0" applyNumberFormat="1" applyFont="1" applyFill="1" applyBorder="1" applyAlignment="1">
      <alignment horizontal="left" vertical="center" wrapText="1"/>
    </xf>
    <xf numFmtId="3" fontId="16" fillId="13" borderId="19" xfId="0" applyNumberFormat="1" applyFont="1" applyFill="1" applyBorder="1" applyAlignment="1">
      <alignment horizontal="center" vertical="center" wrapText="1"/>
    </xf>
    <xf numFmtId="43" fontId="15" fillId="17" borderId="1" xfId="10" applyFont="1" applyFill="1" applyBorder="1" applyAlignment="1">
      <alignment vertical="center"/>
    </xf>
    <xf numFmtId="3" fontId="16" fillId="5" borderId="29" xfId="0" applyNumberFormat="1" applyFont="1" applyFill="1" applyBorder="1" applyAlignment="1">
      <alignment horizontal="center" vertical="center"/>
    </xf>
    <xf numFmtId="3" fontId="16" fillId="5" borderId="30" xfId="0" applyNumberFormat="1" applyFont="1" applyFill="1" applyBorder="1" applyAlignment="1">
      <alignment horizontal="center" vertical="center"/>
    </xf>
    <xf numFmtId="3" fontId="16" fillId="5" borderId="5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vertical="center"/>
    </xf>
    <xf numFmtId="3" fontId="16" fillId="5" borderId="17" xfId="0" applyNumberFormat="1" applyFont="1" applyFill="1" applyBorder="1" applyAlignment="1">
      <alignment horizontal="center" vertical="center"/>
    </xf>
    <xf numFmtId="165" fontId="16" fillId="19" borderId="82" xfId="0" applyNumberFormat="1" applyFont="1" applyFill="1" applyBorder="1" applyAlignment="1">
      <alignment horizontal="center" vertical="center"/>
    </xf>
    <xf numFmtId="3" fontId="15" fillId="26" borderId="79" xfId="0" applyNumberFormat="1" applyFont="1" applyFill="1" applyBorder="1" applyAlignment="1">
      <alignment horizontal="center" vertical="center"/>
    </xf>
    <xf numFmtId="3" fontId="5" fillId="26" borderId="79" xfId="0" applyNumberFormat="1" applyFont="1" applyFill="1" applyBorder="1" applyAlignment="1">
      <alignment horizontal="center" vertical="center"/>
    </xf>
    <xf numFmtId="3" fontId="15" fillId="26" borderId="87" xfId="0" applyNumberFormat="1" applyFont="1" applyFill="1" applyBorder="1" applyAlignment="1">
      <alignment horizontal="center" vertical="center"/>
    </xf>
    <xf numFmtId="3" fontId="15" fillId="26" borderId="0" xfId="0" applyNumberFormat="1" applyFont="1" applyFill="1" applyBorder="1" applyAlignment="1">
      <alignment horizontal="center" vertical="center"/>
    </xf>
    <xf numFmtId="43" fontId="15" fillId="17" borderId="85" xfId="10" applyFont="1" applyFill="1" applyBorder="1" applyAlignment="1">
      <alignment vertical="center"/>
    </xf>
    <xf numFmtId="3" fontId="4" fillId="15" borderId="85" xfId="0" applyNumberFormat="1" applyFont="1" applyFill="1" applyBorder="1" applyAlignment="1">
      <alignment horizontal="right" vertical="center"/>
    </xf>
    <xf numFmtId="3" fontId="4" fillId="17" borderId="85" xfId="0" applyNumberFormat="1" applyFont="1" applyFill="1" applyBorder="1" applyAlignment="1">
      <alignment vertical="center"/>
    </xf>
    <xf numFmtId="3" fontId="4" fillId="6" borderId="85" xfId="0" applyNumberFormat="1" applyFont="1" applyFill="1" applyBorder="1" applyAlignment="1">
      <alignment vertical="center"/>
    </xf>
    <xf numFmtId="3" fontId="3" fillId="26" borderId="65" xfId="0" applyNumberFormat="1" applyFont="1" applyFill="1" applyBorder="1" applyAlignment="1">
      <alignment horizontal="left" vertical="center"/>
    </xf>
    <xf numFmtId="3" fontId="15" fillId="26" borderId="65" xfId="0" applyNumberFormat="1" applyFont="1" applyFill="1" applyBorder="1" applyAlignment="1">
      <alignment vertical="center"/>
    </xf>
    <xf numFmtId="3" fontId="16" fillId="13" borderId="18" xfId="0" applyNumberFormat="1" applyFont="1" applyFill="1" applyBorder="1" applyAlignment="1">
      <alignment horizontal="center" vertical="center" wrapText="1"/>
    </xf>
    <xf numFmtId="3" fontId="3" fillId="13" borderId="19" xfId="0" applyNumberFormat="1" applyFont="1" applyFill="1" applyBorder="1" applyAlignment="1">
      <alignment vertical="center"/>
    </xf>
    <xf numFmtId="3" fontId="15" fillId="13" borderId="20" xfId="0" applyNumberFormat="1" applyFont="1" applyFill="1" applyBorder="1" applyAlignment="1">
      <alignment horizontal="center" vertical="center"/>
    </xf>
    <xf numFmtId="3" fontId="16" fillId="9" borderId="18" xfId="0" applyNumberFormat="1" applyFont="1" applyFill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vertical="center"/>
    </xf>
    <xf numFmtId="3" fontId="16" fillId="0" borderId="18" xfId="0" applyNumberFormat="1" applyFont="1" applyFill="1" applyBorder="1" applyAlignment="1">
      <alignment vertical="center"/>
    </xf>
    <xf numFmtId="3" fontId="15" fillId="0" borderId="19" xfId="0" applyNumberFormat="1" applyFont="1" applyFill="1" applyBorder="1" applyAlignment="1">
      <alignment horizontal="center" vertical="center"/>
    </xf>
    <xf numFmtId="3" fontId="15" fillId="0" borderId="20" xfId="0" applyNumberFormat="1" applyFont="1" applyFill="1" applyBorder="1" applyAlignment="1">
      <alignment horizontal="center" vertical="center"/>
    </xf>
    <xf numFmtId="3" fontId="16" fillId="0" borderId="95" xfId="0" applyNumberFormat="1" applyFont="1" applyFill="1" applyBorder="1" applyAlignment="1">
      <alignment vertical="center"/>
    </xf>
    <xf numFmtId="3" fontId="16" fillId="0" borderId="85" xfId="0" applyNumberFormat="1" applyFont="1" applyFill="1" applyBorder="1" applyAlignment="1">
      <alignment vertical="center"/>
    </xf>
    <xf numFmtId="3" fontId="16" fillId="0" borderId="94" xfId="0" applyNumberFormat="1" applyFont="1" applyFill="1" applyBorder="1" applyAlignment="1">
      <alignment vertical="center"/>
    </xf>
    <xf numFmtId="3" fontId="27" fillId="13" borderId="85" xfId="0" applyNumberFormat="1" applyFont="1" applyFill="1" applyBorder="1" applyAlignment="1">
      <alignment horizontal="center" vertical="center"/>
    </xf>
    <xf numFmtId="3" fontId="4" fillId="13" borderId="94" xfId="0" applyNumberFormat="1" applyFont="1" applyFill="1" applyBorder="1" applyAlignment="1">
      <alignment horizontal="center" vertical="center"/>
    </xf>
    <xf numFmtId="3" fontId="4" fillId="13" borderId="85" xfId="0" applyNumberFormat="1" applyFont="1" applyFill="1" applyBorder="1" applyAlignment="1">
      <alignment horizontal="center" vertical="center"/>
    </xf>
    <xf numFmtId="3" fontId="15" fillId="26" borderId="82" xfId="0" applyNumberFormat="1" applyFont="1" applyFill="1" applyBorder="1" applyAlignment="1">
      <alignment vertical="center"/>
    </xf>
    <xf numFmtId="165" fontId="16" fillId="26" borderId="0" xfId="0" applyNumberFormat="1" applyFont="1" applyFill="1" applyBorder="1" applyAlignment="1">
      <alignment horizontal="center" vertical="center"/>
    </xf>
    <xf numFmtId="3" fontId="15" fillId="26" borderId="10" xfId="0" applyNumberFormat="1" applyFont="1" applyFill="1" applyBorder="1" applyAlignment="1">
      <alignment horizontal="right" vertical="center" wrapText="1"/>
    </xf>
    <xf numFmtId="3" fontId="16" fillId="25" borderId="0" xfId="0" applyNumberFormat="1" applyFont="1" applyFill="1" applyBorder="1" applyAlignment="1">
      <alignment horizontal="center" vertical="center" wrapText="1"/>
    </xf>
    <xf numFmtId="168" fontId="15" fillId="0" borderId="79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vertical="top"/>
    </xf>
    <xf numFmtId="3" fontId="15" fillId="27" borderId="27" xfId="0" applyNumberFormat="1" applyFont="1" applyFill="1" applyBorder="1" applyAlignment="1">
      <alignment horizontal="right" vertical="top"/>
    </xf>
    <xf numFmtId="165" fontId="16" fillId="27" borderId="27" xfId="0" applyNumberFormat="1" applyFont="1" applyFill="1" applyBorder="1" applyAlignment="1">
      <alignment horizontal="right" vertical="top"/>
    </xf>
    <xf numFmtId="3" fontId="16" fillId="27" borderId="0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vertical="top"/>
    </xf>
    <xf numFmtId="3" fontId="15" fillId="0" borderId="101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15" fillId="13" borderId="19" xfId="3" applyNumberFormat="1" applyFont="1" applyFill="1" applyBorder="1" applyAlignment="1">
      <alignment horizontal="center" vertical="center"/>
    </xf>
    <xf numFmtId="3" fontId="15" fillId="0" borderId="18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left" vertical="top"/>
    </xf>
    <xf numFmtId="3" fontId="16" fillId="27" borderId="0" xfId="0" applyNumberFormat="1" applyFont="1" applyFill="1" applyBorder="1" applyAlignment="1">
      <alignment horizontal="left" vertical="top" wrapText="1"/>
    </xf>
    <xf numFmtId="3" fontId="15" fillId="27" borderId="27" xfId="0" applyNumberFormat="1" applyFont="1" applyFill="1" applyBorder="1" applyAlignment="1">
      <alignment horizontal="left" vertical="top"/>
    </xf>
    <xf numFmtId="165" fontId="16" fillId="27" borderId="17" xfId="0" applyNumberFormat="1" applyFont="1" applyFill="1" applyBorder="1" applyAlignment="1">
      <alignment horizontal="left" vertical="top"/>
    </xf>
    <xf numFmtId="3" fontId="16" fillId="27" borderId="29" xfId="2" applyNumberFormat="1" applyFont="1" applyFill="1" applyBorder="1" applyAlignment="1">
      <alignment horizontal="left" vertical="top"/>
    </xf>
    <xf numFmtId="3" fontId="16" fillId="27" borderId="31" xfId="2" applyNumberFormat="1" applyFont="1" applyFill="1" applyBorder="1" applyAlignment="1">
      <alignment horizontal="left" vertical="top"/>
    </xf>
    <xf numFmtId="3" fontId="16" fillId="27" borderId="30" xfId="2" applyNumberFormat="1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left" vertical="top"/>
    </xf>
    <xf numFmtId="3" fontId="3" fillId="27" borderId="8" xfId="0" applyNumberFormat="1" applyFont="1" applyFill="1" applyBorder="1" applyAlignment="1">
      <alignment horizontal="center" vertical="top" wrapText="1"/>
    </xf>
    <xf numFmtId="3" fontId="15" fillId="13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vertical="center"/>
    </xf>
    <xf numFmtId="3" fontId="5" fillId="0" borderId="19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3" fontId="3" fillId="27" borderId="21" xfId="0" applyNumberFormat="1" applyFont="1" applyFill="1" applyBorder="1" applyAlignment="1">
      <alignment horizontal="left" vertical="top"/>
    </xf>
    <xf numFmtId="3" fontId="15" fillId="27" borderId="1" xfId="0" applyNumberFormat="1" applyFont="1" applyFill="1" applyBorder="1" applyAlignment="1">
      <alignment horizontal="center" vertical="top" wrapText="1"/>
    </xf>
    <xf numFmtId="3" fontId="15" fillId="0" borderId="19" xfId="0" applyNumberFormat="1" applyFont="1" applyFill="1" applyBorder="1" applyAlignment="1">
      <alignment vertical="center"/>
    </xf>
    <xf numFmtId="3" fontId="15" fillId="13" borderId="100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left" vertical="top"/>
    </xf>
    <xf numFmtId="3" fontId="3" fillId="0" borderId="8" xfId="0" applyNumberFormat="1" applyFont="1" applyFill="1" applyBorder="1" applyAlignment="1">
      <alignment horizontal="left" vertical="top"/>
    </xf>
    <xf numFmtId="3" fontId="15" fillId="4" borderId="78" xfId="0" applyNumberFormat="1" applyFont="1" applyFill="1" applyBorder="1" applyAlignment="1">
      <alignment horizontal="center" vertical="center" wrapText="1"/>
    </xf>
    <xf numFmtId="3" fontId="15" fillId="8" borderId="77" xfId="0" applyNumberFormat="1" applyFont="1" applyFill="1" applyBorder="1" applyAlignment="1">
      <alignment horizontal="center" vertical="center" wrapText="1"/>
    </xf>
    <xf numFmtId="168" fontId="15" fillId="0" borderId="78" xfId="0" applyNumberFormat="1" applyFont="1" applyFill="1" applyBorder="1" applyAlignment="1">
      <alignment horizontal="left" vertical="center" wrapText="1"/>
    </xf>
    <xf numFmtId="3" fontId="15" fillId="13" borderId="96" xfId="0" applyNumberFormat="1" applyFont="1" applyFill="1" applyBorder="1" applyAlignment="1">
      <alignment horizontal="center" vertical="center"/>
    </xf>
    <xf numFmtId="3" fontId="15" fillId="10" borderId="78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vertical="center"/>
    </xf>
    <xf numFmtId="3" fontId="16" fillId="11" borderId="18" xfId="0" applyNumberFormat="1" applyFont="1" applyFill="1" applyBorder="1" applyAlignment="1">
      <alignment horizontal="left" vertical="center" wrapText="1"/>
    </xf>
    <xf numFmtId="3" fontId="15" fillId="10" borderId="79" xfId="0" applyNumberFormat="1" applyFont="1" applyFill="1" applyBorder="1" applyAlignment="1">
      <alignment horizontal="center" vertical="center" wrapText="1"/>
    </xf>
    <xf numFmtId="3" fontId="15" fillId="4" borderId="79" xfId="0" applyNumberFormat="1" applyFont="1" applyFill="1" applyBorder="1" applyAlignment="1">
      <alignment horizontal="center" vertical="center" wrapText="1"/>
    </xf>
    <xf numFmtId="3" fontId="15" fillId="13" borderId="94" xfId="0" applyNumberFormat="1" applyFont="1" applyFill="1" applyBorder="1" applyAlignment="1">
      <alignment horizontal="right" vertical="center" wrapText="1"/>
    </xf>
    <xf numFmtId="3" fontId="15" fillId="15" borderId="25" xfId="0" applyNumberFormat="1" applyFont="1" applyFill="1" applyBorder="1" applyAlignment="1">
      <alignment horizontal="right" vertical="center"/>
    </xf>
    <xf numFmtId="3" fontId="15" fillId="17" borderId="25" xfId="0" applyNumberFormat="1" applyFont="1" applyFill="1" applyBorder="1" applyAlignment="1">
      <alignment vertical="center"/>
    </xf>
    <xf numFmtId="3" fontId="15" fillId="6" borderId="25" xfId="0" applyNumberFormat="1" applyFont="1" applyFill="1" applyBorder="1" applyAlignment="1">
      <alignment vertical="center"/>
    </xf>
    <xf numFmtId="3" fontId="15" fillId="15" borderId="65" xfId="0" applyNumberFormat="1" applyFont="1" applyFill="1" applyBorder="1" applyAlignment="1">
      <alignment horizontal="right" vertical="center"/>
    </xf>
    <xf numFmtId="3" fontId="15" fillId="17" borderId="65" xfId="0" applyNumberFormat="1" applyFont="1" applyFill="1" applyBorder="1" applyAlignment="1">
      <alignment vertical="center"/>
    </xf>
    <xf numFmtId="3" fontId="15" fillId="6" borderId="65" xfId="0" applyNumberFormat="1" applyFont="1" applyFill="1" applyBorder="1" applyAlignment="1">
      <alignment vertical="center"/>
    </xf>
    <xf numFmtId="3" fontId="15" fillId="18" borderId="25" xfId="0" applyNumberFormat="1" applyFont="1" applyFill="1" applyBorder="1" applyAlignment="1">
      <alignment vertical="center"/>
    </xf>
    <xf numFmtId="3" fontId="15" fillId="18" borderId="65" xfId="0" applyNumberFormat="1" applyFont="1" applyFill="1" applyBorder="1" applyAlignment="1">
      <alignment vertical="center"/>
    </xf>
    <xf numFmtId="3" fontId="3" fillId="28" borderId="8" xfId="0" applyNumberFormat="1" applyFont="1" applyFill="1" applyBorder="1" applyAlignment="1">
      <alignment horizontal="left" vertical="top"/>
    </xf>
    <xf numFmtId="3" fontId="3" fillId="28" borderId="51" xfId="0" applyNumberFormat="1" applyFont="1" applyFill="1" applyBorder="1" applyAlignment="1">
      <alignment horizontal="left" vertical="top"/>
    </xf>
    <xf numFmtId="3" fontId="16" fillId="28" borderId="21" xfId="0" applyNumberFormat="1" applyFont="1" applyFill="1" applyBorder="1" applyAlignment="1">
      <alignment horizontal="left" vertical="top"/>
    </xf>
    <xf numFmtId="3" fontId="3" fillId="28" borderId="16" xfId="0" applyNumberFormat="1" applyFont="1" applyFill="1" applyBorder="1" applyAlignment="1">
      <alignment horizontal="left" vertical="top"/>
    </xf>
    <xf numFmtId="3" fontId="16" fillId="28" borderId="12" xfId="0" applyNumberFormat="1" applyFont="1" applyFill="1" applyBorder="1" applyAlignment="1">
      <alignment horizontal="left" vertical="top"/>
    </xf>
    <xf numFmtId="3" fontId="3" fillId="28" borderId="0" xfId="0" applyNumberFormat="1" applyFont="1" applyFill="1" applyBorder="1" applyAlignment="1">
      <alignment horizontal="left" vertical="top"/>
    </xf>
    <xf numFmtId="3" fontId="3" fillId="28" borderId="79" xfId="0" applyNumberFormat="1" applyFont="1" applyFill="1" applyBorder="1" applyAlignment="1">
      <alignment horizontal="left" vertical="top"/>
    </xf>
    <xf numFmtId="3" fontId="3" fillId="28" borderId="102" xfId="0" applyNumberFormat="1" applyFont="1" applyFill="1" applyBorder="1" applyAlignment="1">
      <alignment horizontal="left" vertical="top"/>
    </xf>
    <xf numFmtId="3" fontId="16" fillId="28" borderId="94" xfId="0" applyNumberFormat="1" applyFont="1" applyFill="1" applyBorder="1" applyAlignment="1">
      <alignment horizontal="left" vertical="top"/>
    </xf>
    <xf numFmtId="3" fontId="15" fillId="28" borderId="8" xfId="0" applyNumberFormat="1" applyFont="1" applyFill="1" applyBorder="1" applyAlignment="1">
      <alignment horizontal="left" vertical="top"/>
    </xf>
    <xf numFmtId="3" fontId="16" fillId="0" borderId="19" xfId="0" applyNumberFormat="1" applyFont="1" applyFill="1" applyBorder="1" applyAlignment="1">
      <alignment vertical="center"/>
    </xf>
    <xf numFmtId="3" fontId="16" fillId="0" borderId="20" xfId="0" applyNumberFormat="1" applyFont="1" applyFill="1" applyBorder="1" applyAlignment="1">
      <alignment vertical="center"/>
    </xf>
    <xf numFmtId="3" fontId="17" fillId="0" borderId="18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vertical="center"/>
    </xf>
    <xf numFmtId="3" fontId="17" fillId="0" borderId="94" xfId="0" applyNumberFormat="1" applyFont="1" applyFill="1" applyBorder="1" applyAlignment="1">
      <alignment horizontal="center" vertical="center"/>
    </xf>
    <xf numFmtId="3" fontId="17" fillId="13" borderId="95" xfId="0" applyNumberFormat="1" applyFont="1" applyFill="1" applyBorder="1" applyAlignment="1">
      <alignment horizontal="center" vertical="center"/>
    </xf>
    <xf numFmtId="3" fontId="3" fillId="0" borderId="20" xfId="0" applyNumberFormat="1" applyFont="1" applyFill="1" applyBorder="1" applyAlignment="1">
      <alignment vertical="center"/>
    </xf>
    <xf numFmtId="3" fontId="16" fillId="13" borderId="19" xfId="0" applyNumberFormat="1" applyFont="1" applyFill="1" applyBorder="1" applyAlignment="1">
      <alignment vertical="center"/>
    </xf>
    <xf numFmtId="3" fontId="16" fillId="13" borderId="85" xfId="0" applyNumberFormat="1" applyFont="1" applyFill="1" applyBorder="1" applyAlignment="1">
      <alignment vertical="center"/>
    </xf>
    <xf numFmtId="3" fontId="15" fillId="0" borderId="98" xfId="0" applyNumberFormat="1" applyFont="1" applyFill="1" applyBorder="1" applyAlignment="1">
      <alignment horizontal="center" vertical="center"/>
    </xf>
    <xf numFmtId="3" fontId="15" fillId="13" borderId="89" xfId="0" applyNumberFormat="1" applyFont="1" applyFill="1" applyBorder="1" applyAlignment="1">
      <alignment horizontal="center" vertical="center"/>
    </xf>
    <xf numFmtId="3" fontId="15" fillId="0" borderId="103" xfId="0" applyNumberFormat="1" applyFont="1" applyFill="1" applyBorder="1" applyAlignment="1">
      <alignment horizontal="center" vertical="center"/>
    </xf>
    <xf numFmtId="3" fontId="15" fillId="0" borderId="104" xfId="0" applyNumberFormat="1" applyFont="1" applyFill="1" applyBorder="1" applyAlignment="1">
      <alignment horizontal="center" vertical="center"/>
    </xf>
    <xf numFmtId="3" fontId="15" fillId="0" borderId="105" xfId="0" applyNumberFormat="1" applyFont="1" applyFill="1" applyBorder="1" applyAlignment="1">
      <alignment horizontal="center" vertical="center"/>
    </xf>
    <xf numFmtId="3" fontId="15" fillId="18" borderId="52" xfId="0" applyNumberFormat="1" applyFont="1" applyFill="1" applyBorder="1" applyAlignment="1">
      <alignment horizontal="right" vertical="center"/>
    </xf>
    <xf numFmtId="3" fontId="15" fillId="4" borderId="95" xfId="0" applyNumberFormat="1" applyFont="1" applyFill="1" applyBorder="1" applyAlignment="1">
      <alignment horizontal="right" vertical="center"/>
    </xf>
    <xf numFmtId="3" fontId="15" fillId="17" borderId="65" xfId="0" applyNumberFormat="1" applyFont="1" applyFill="1" applyBorder="1" applyAlignment="1">
      <alignment horizontal="right" vertical="center"/>
    </xf>
    <xf numFmtId="3" fontId="15" fillId="6" borderId="94" xfId="0" applyNumberFormat="1" applyFont="1" applyFill="1" applyBorder="1" applyAlignment="1">
      <alignment horizontal="right" vertical="center"/>
    </xf>
    <xf numFmtId="3" fontId="17" fillId="13" borderId="94" xfId="0" applyNumberFormat="1" applyFont="1" applyFill="1" applyBorder="1" applyAlignment="1">
      <alignment horizontal="center" vertical="center"/>
    </xf>
    <xf numFmtId="3" fontId="15" fillId="13" borderId="20" xfId="0" applyNumberFormat="1" applyFont="1" applyFill="1" applyBorder="1" applyAlignment="1">
      <alignment vertical="center"/>
    </xf>
    <xf numFmtId="3" fontId="15" fillId="0" borderId="95" xfId="0" applyNumberFormat="1" applyFont="1" applyFill="1" applyBorder="1" applyAlignment="1">
      <alignment vertical="center"/>
    </xf>
    <xf numFmtId="3" fontId="15" fillId="13" borderId="95" xfId="0" applyNumberFormat="1" applyFont="1" applyFill="1" applyBorder="1" applyAlignment="1">
      <alignment vertical="center"/>
    </xf>
    <xf numFmtId="3" fontId="15" fillId="17" borderId="79" xfId="0" applyNumberFormat="1" applyFont="1" applyFill="1" applyBorder="1" applyAlignment="1">
      <alignment horizontal="right" vertical="center"/>
    </xf>
    <xf numFmtId="3" fontId="15" fillId="6" borderId="97" xfId="0" applyNumberFormat="1" applyFont="1" applyFill="1" applyBorder="1" applyAlignment="1">
      <alignment horizontal="right" vertical="center"/>
    </xf>
    <xf numFmtId="3" fontId="15" fillId="0" borderId="94" xfId="0" applyNumberFormat="1" applyFont="1" applyFill="1" applyBorder="1" applyAlignment="1">
      <alignment vertical="center"/>
    </xf>
    <xf numFmtId="3" fontId="15" fillId="13" borderId="85" xfId="0" applyNumberFormat="1" applyFont="1" applyFill="1" applyBorder="1" applyAlignment="1">
      <alignment vertical="center"/>
    </xf>
    <xf numFmtId="3" fontId="27" fillId="0" borderId="78" xfId="0" applyNumberFormat="1" applyFont="1" applyFill="1" applyBorder="1" applyAlignment="1">
      <alignment horizontal="center" vertical="center"/>
    </xf>
    <xf numFmtId="3" fontId="17" fillId="0" borderId="64" xfId="0" applyNumberFormat="1" applyFont="1" applyFill="1" applyBorder="1" applyAlignment="1">
      <alignment horizontal="center" vertical="center"/>
    </xf>
    <xf numFmtId="3" fontId="15" fillId="6" borderId="87" xfId="0" applyNumberFormat="1" applyFont="1" applyFill="1" applyBorder="1" applyAlignment="1">
      <alignment horizontal="right" vertical="center"/>
    </xf>
    <xf numFmtId="3" fontId="15" fillId="6" borderId="88" xfId="0" applyNumberFormat="1" applyFont="1" applyFill="1" applyBorder="1" applyAlignment="1">
      <alignment horizontal="right" vertical="center"/>
    </xf>
    <xf numFmtId="3" fontId="3" fillId="13" borderId="0" xfId="0" applyNumberFormat="1" applyFont="1" applyFill="1" applyBorder="1" applyAlignment="1">
      <alignment horizontal="left" vertical="top"/>
    </xf>
    <xf numFmtId="3" fontId="15" fillId="18" borderId="65" xfId="0" applyNumberFormat="1" applyFont="1" applyFill="1" applyBorder="1" applyAlignment="1">
      <alignment horizontal="right" vertical="center"/>
    </xf>
    <xf numFmtId="3" fontId="27" fillId="0" borderId="79" xfId="0" applyNumberFormat="1" applyFont="1" applyFill="1" applyBorder="1" applyAlignment="1">
      <alignment horizontal="center" vertical="center"/>
    </xf>
    <xf numFmtId="3" fontId="16" fillId="0" borderId="82" xfId="0" applyNumberFormat="1" applyFont="1" applyFill="1" applyBorder="1" applyAlignment="1">
      <alignment vertical="center"/>
    </xf>
    <xf numFmtId="3" fontId="32" fillId="0" borderId="82" xfId="0" applyNumberFormat="1" applyFont="1" applyFill="1" applyBorder="1" applyAlignment="1">
      <alignment vertical="center"/>
    </xf>
    <xf numFmtId="3" fontId="15" fillId="12" borderId="96" xfId="0" applyNumberFormat="1" applyFont="1" applyFill="1" applyBorder="1" applyAlignment="1">
      <alignment horizontal="right" vertical="center" wrapText="1"/>
    </xf>
    <xf numFmtId="3" fontId="3" fillId="28" borderId="17" xfId="0" applyNumberFormat="1" applyFont="1" applyFill="1" applyBorder="1" applyAlignment="1">
      <alignment horizontal="left" vertical="top"/>
    </xf>
    <xf numFmtId="3" fontId="16" fillId="28" borderId="29" xfId="0" applyNumberFormat="1" applyFont="1" applyFill="1" applyBorder="1" applyAlignment="1">
      <alignment horizontal="left" vertical="top"/>
    </xf>
    <xf numFmtId="3" fontId="16" fillId="28" borderId="31" xfId="0" applyNumberFormat="1" applyFont="1" applyFill="1" applyBorder="1" applyAlignment="1">
      <alignment horizontal="left" vertical="top"/>
    </xf>
    <xf numFmtId="3" fontId="16" fillId="28" borderId="30" xfId="0" applyNumberFormat="1" applyFont="1" applyFill="1" applyBorder="1" applyAlignment="1">
      <alignment horizontal="left" vertical="top"/>
    </xf>
    <xf numFmtId="3" fontId="15" fillId="13" borderId="65" xfId="0" applyNumberFormat="1" applyFont="1" applyFill="1" applyBorder="1" applyAlignment="1">
      <alignment horizontal="right" vertical="center"/>
    </xf>
    <xf numFmtId="3" fontId="15" fillId="13" borderId="82" xfId="0" applyNumberFormat="1" applyFont="1" applyFill="1" applyBorder="1" applyAlignment="1">
      <alignment horizontal="right" vertical="center"/>
    </xf>
    <xf numFmtId="3" fontId="16" fillId="27" borderId="10" xfId="0" applyNumberFormat="1" applyFont="1" applyFill="1" applyBorder="1" applyAlignment="1">
      <alignment horizontal="left" vertical="top"/>
    </xf>
    <xf numFmtId="3" fontId="16" fillId="27" borderId="21" xfId="0" applyNumberFormat="1" applyFont="1" applyFill="1" applyBorder="1" applyAlignment="1">
      <alignment horizontal="left" vertical="top"/>
    </xf>
    <xf numFmtId="3" fontId="16" fillId="27" borderId="21" xfId="0" applyNumberFormat="1" applyFont="1" applyFill="1" applyBorder="1" applyAlignment="1">
      <alignment horizontal="right" vertical="center"/>
    </xf>
    <xf numFmtId="3" fontId="15" fillId="25" borderId="17" xfId="0" applyNumberFormat="1" applyFont="1" applyFill="1" applyBorder="1" applyAlignment="1">
      <alignment horizontal="right" vertical="center"/>
    </xf>
    <xf numFmtId="3" fontId="16" fillId="27" borderId="16" xfId="0" applyNumberFormat="1" applyFont="1" applyFill="1" applyBorder="1" applyAlignment="1">
      <alignment horizontal="left" vertical="top"/>
    </xf>
    <xf numFmtId="3" fontId="16" fillId="27" borderId="8" xfId="0" applyNumberFormat="1" applyFont="1" applyFill="1" applyBorder="1" applyAlignment="1">
      <alignment horizontal="center" vertical="top" wrapText="1"/>
    </xf>
    <xf numFmtId="3" fontId="15" fillId="27" borderId="51" xfId="0" applyNumberFormat="1" applyFont="1" applyFill="1" applyBorder="1" applyAlignment="1">
      <alignment horizontal="right" vertical="top"/>
    </xf>
    <xf numFmtId="165" fontId="16" fillId="27" borderId="21" xfId="0" applyNumberFormat="1" applyFont="1" applyFill="1" applyBorder="1" applyAlignment="1">
      <alignment horizontal="right" vertical="top"/>
    </xf>
    <xf numFmtId="3" fontId="5" fillId="6" borderId="31" xfId="0" applyNumberFormat="1" applyFont="1" applyFill="1" applyBorder="1" applyAlignment="1">
      <alignment horizontal="center" vertical="center"/>
    </xf>
    <xf numFmtId="3" fontId="3" fillId="27" borderId="8" xfId="0" applyNumberFormat="1" applyFont="1" applyFill="1" applyBorder="1" applyAlignment="1">
      <alignment wrapText="1" readingOrder="1"/>
    </xf>
    <xf numFmtId="3" fontId="27" fillId="17" borderId="82" xfId="3" applyNumberFormat="1" applyFont="1" applyFill="1" applyBorder="1" applyAlignment="1">
      <alignment horizontal="right" vertical="center"/>
    </xf>
    <xf numFmtId="3" fontId="4" fillId="26" borderId="86" xfId="0" applyNumberFormat="1" applyFont="1" applyFill="1" applyBorder="1" applyAlignment="1">
      <alignment horizontal="left" vertical="center" indent="2"/>
    </xf>
    <xf numFmtId="3" fontId="15" fillId="29" borderId="1" xfId="0" applyNumberFormat="1" applyFont="1" applyFill="1" applyBorder="1" applyAlignment="1">
      <alignment horizontal="center" vertical="center"/>
    </xf>
    <xf numFmtId="3" fontId="19" fillId="5" borderId="63" xfId="0" applyNumberFormat="1" applyFont="1" applyFill="1" applyBorder="1" applyAlignment="1">
      <alignment vertical="center"/>
    </xf>
    <xf numFmtId="0" fontId="0" fillId="0" borderId="64" xfId="0" applyBorder="1" applyAlignment="1"/>
    <xf numFmtId="3" fontId="16" fillId="28" borderId="12" xfId="0" applyNumberFormat="1" applyFont="1" applyFill="1" applyBorder="1" applyAlignment="1">
      <alignment horizontal="left" vertical="top"/>
    </xf>
    <xf numFmtId="3" fontId="16" fillId="28" borderId="94" xfId="0" applyNumberFormat="1" applyFont="1" applyFill="1" applyBorder="1" applyAlignment="1">
      <alignment horizontal="left" vertical="top"/>
    </xf>
    <xf numFmtId="3" fontId="3" fillId="0" borderId="100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3" fontId="15" fillId="13" borderId="79" xfId="0" applyNumberFormat="1" applyFont="1" applyFill="1" applyBorder="1" applyAlignment="1">
      <alignment horizontal="center" vertical="center"/>
    </xf>
    <xf numFmtId="3" fontId="15" fillId="13" borderId="8" xfId="0" applyNumberFormat="1" applyFont="1" applyFill="1" applyBorder="1" applyAlignment="1">
      <alignment horizontal="center" vertical="center"/>
    </xf>
    <xf numFmtId="3" fontId="16" fillId="9" borderId="88" xfId="0" applyNumberFormat="1" applyFont="1" applyFill="1" applyBorder="1" applyAlignment="1">
      <alignment horizontal="center" vertical="center" wrapText="1"/>
    </xf>
    <xf numFmtId="3" fontId="16" fillId="11" borderId="16" xfId="0" applyNumberFormat="1" applyFont="1" applyFill="1" applyBorder="1" applyAlignment="1">
      <alignment horizontal="left" vertical="center" wrapText="1"/>
    </xf>
    <xf numFmtId="3" fontId="15" fillId="13" borderId="78" xfId="0" applyNumberFormat="1" applyFont="1" applyFill="1" applyBorder="1" applyAlignment="1">
      <alignment horizontal="center" vertical="center"/>
    </xf>
    <xf numFmtId="3" fontId="16" fillId="25" borderId="31" xfId="2" applyNumberFormat="1" applyFont="1" applyFill="1" applyBorder="1" applyAlignment="1">
      <alignment horizontal="center" vertical="center"/>
    </xf>
    <xf numFmtId="3" fontId="16" fillId="13" borderId="0" xfId="2" applyNumberFormat="1" applyFont="1" applyFill="1" applyBorder="1" applyAlignment="1">
      <alignment horizontal="center" vertical="center"/>
    </xf>
    <xf numFmtId="3" fontId="15" fillId="13" borderId="8" xfId="3" applyNumberFormat="1" applyFont="1" applyFill="1" applyBorder="1" applyAlignment="1">
      <alignment horizontal="center" vertical="center"/>
    </xf>
    <xf numFmtId="3" fontId="5" fillId="0" borderId="78" xfId="0" applyNumberFormat="1" applyFont="1" applyFill="1" applyBorder="1" applyAlignment="1">
      <alignment vertical="center"/>
    </xf>
    <xf numFmtId="3" fontId="15" fillId="13" borderId="16" xfId="0" applyNumberFormat="1" applyFont="1" applyFill="1" applyBorder="1" applyAlignment="1">
      <alignment horizontal="center" vertical="center"/>
    </xf>
    <xf numFmtId="3" fontId="3" fillId="0" borderId="88" xfId="0" applyNumberFormat="1" applyFont="1" applyFill="1" applyBorder="1" applyAlignment="1">
      <alignment vertical="center"/>
    </xf>
    <xf numFmtId="3" fontId="15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3" fontId="15" fillId="13" borderId="8" xfId="0" applyNumberFormat="1" applyFont="1" applyFill="1" applyBorder="1" applyAlignment="1">
      <alignment horizontal="right" vertical="center" wrapText="1"/>
    </xf>
    <xf numFmtId="3" fontId="15" fillId="13" borderId="8" xfId="0" applyNumberFormat="1" applyFont="1" applyFill="1" applyBorder="1" applyAlignment="1">
      <alignment vertical="center"/>
    </xf>
    <xf numFmtId="3" fontId="15" fillId="13" borderId="79" xfId="0" applyNumberFormat="1" applyFont="1" applyFill="1" applyBorder="1" applyAlignment="1">
      <alignment vertical="center"/>
    </xf>
    <xf numFmtId="3" fontId="15" fillId="13" borderId="88" xfId="0" applyNumberFormat="1" applyFont="1" applyFill="1" applyBorder="1" applyAlignment="1">
      <alignment horizontal="center" vertical="center"/>
    </xf>
    <xf numFmtId="3" fontId="15" fillId="0" borderId="16" xfId="0" applyNumberFormat="1" applyFont="1" applyFill="1" applyBorder="1" applyAlignment="1">
      <alignment vertical="center"/>
    </xf>
    <xf numFmtId="3" fontId="15" fillId="8" borderId="72" xfId="0" applyNumberFormat="1" applyFont="1" applyFill="1" applyBorder="1" applyAlignment="1">
      <alignment horizontal="center" vertical="center"/>
    </xf>
    <xf numFmtId="3" fontId="3" fillId="26" borderId="16" xfId="0" applyNumberFormat="1" applyFont="1" applyFill="1" applyBorder="1" applyAlignment="1">
      <alignment vertical="center"/>
    </xf>
    <xf numFmtId="0" fontId="0" fillId="0" borderId="8" xfId="0" applyBorder="1" applyAlignment="1">
      <alignment vertical="center"/>
    </xf>
    <xf numFmtId="3" fontId="4" fillId="26" borderId="16" xfId="0" applyNumberFormat="1" applyFont="1" applyFill="1" applyBorder="1" applyAlignment="1">
      <alignment vertical="center"/>
    </xf>
    <xf numFmtId="3" fontId="4" fillId="26" borderId="8" xfId="0" applyNumberFormat="1" applyFont="1" applyFill="1" applyBorder="1" applyAlignment="1">
      <alignment vertical="center"/>
    </xf>
    <xf numFmtId="3" fontId="4" fillId="26" borderId="88" xfId="0" applyNumberFormat="1" applyFont="1" applyFill="1" applyBorder="1" applyAlignment="1">
      <alignment vertical="center"/>
    </xf>
    <xf numFmtId="3" fontId="4" fillId="26" borderId="78" xfId="0" applyNumberFormat="1" applyFont="1" applyFill="1" applyBorder="1" applyAlignment="1">
      <alignment vertical="center"/>
    </xf>
    <xf numFmtId="3" fontId="3" fillId="25" borderId="106" xfId="3" applyNumberFormat="1" applyFont="1" applyFill="1" applyBorder="1" applyAlignment="1">
      <alignment vertical="center"/>
    </xf>
    <xf numFmtId="3" fontId="3" fillId="25" borderId="79" xfId="3" applyNumberFormat="1" applyFont="1" applyFill="1" applyBorder="1" applyAlignment="1">
      <alignment vertical="center"/>
    </xf>
    <xf numFmtId="3" fontId="4" fillId="25" borderId="0" xfId="0" applyNumberFormat="1" applyFont="1" applyFill="1" applyBorder="1" applyAlignment="1">
      <alignment vertical="center" wrapText="1" readingOrder="1"/>
    </xf>
    <xf numFmtId="3" fontId="16" fillId="27" borderId="70" xfId="0" applyNumberFormat="1" applyFont="1" applyFill="1" applyBorder="1" applyAlignment="1">
      <alignment vertical="top"/>
    </xf>
    <xf numFmtId="3" fontId="16" fillId="27" borderId="8" xfId="0" applyNumberFormat="1" applyFont="1" applyFill="1" applyBorder="1" applyAlignment="1">
      <alignment vertical="top"/>
    </xf>
    <xf numFmtId="3" fontId="16" fillId="27" borderId="51" xfId="0" applyNumberFormat="1" applyFont="1" applyFill="1" applyBorder="1" applyAlignment="1">
      <alignment vertical="top"/>
    </xf>
    <xf numFmtId="3" fontId="16" fillId="27" borderId="55" xfId="0" applyNumberFormat="1" applyFont="1" applyFill="1" applyBorder="1" applyAlignment="1">
      <alignment vertical="top"/>
    </xf>
    <xf numFmtId="3" fontId="16" fillId="27" borderId="0" xfId="0" applyNumberFormat="1" applyFont="1" applyFill="1" applyBorder="1" applyAlignment="1">
      <alignment vertical="top"/>
    </xf>
    <xf numFmtId="3" fontId="16" fillId="27" borderId="16" xfId="0" applyNumberFormat="1" applyFont="1" applyFill="1" applyBorder="1" applyAlignment="1">
      <alignment vertical="top"/>
    </xf>
    <xf numFmtId="3" fontId="4" fillId="0" borderId="78" xfId="0" applyNumberFormat="1" applyFont="1" applyFill="1" applyBorder="1" applyAlignment="1">
      <alignment vertical="center" wrapText="1" readingOrder="1"/>
    </xf>
    <xf numFmtId="0" fontId="0" fillId="0" borderId="100" xfId="0" applyBorder="1" applyAlignment="1">
      <alignment vertical="center" wrapText="1" readingOrder="1"/>
    </xf>
    <xf numFmtId="3" fontId="15" fillId="27" borderId="8" xfId="0" applyNumberFormat="1" applyFont="1" applyFill="1" applyBorder="1" applyAlignment="1">
      <alignment vertical="top" wrapText="1" readingOrder="1"/>
    </xf>
    <xf numFmtId="3" fontId="15" fillId="27" borderId="0" xfId="0" applyNumberFormat="1" applyFont="1" applyFill="1" applyBorder="1" applyAlignment="1">
      <alignment wrapText="1" readingOrder="1"/>
    </xf>
    <xf numFmtId="3" fontId="15" fillId="27" borderId="0" xfId="0" applyNumberFormat="1" applyFont="1" applyFill="1" applyBorder="1" applyAlignment="1">
      <alignment vertical="top" wrapText="1" readingOrder="1"/>
    </xf>
    <xf numFmtId="3" fontId="15" fillId="27" borderId="70" xfId="0" applyNumberFormat="1" applyFont="1" applyFill="1" applyBorder="1" applyAlignment="1">
      <alignment vertical="top"/>
    </xf>
    <xf numFmtId="3" fontId="15" fillId="27" borderId="8" xfId="0" applyNumberFormat="1" applyFont="1" applyFill="1" applyBorder="1" applyAlignment="1">
      <alignment vertical="top"/>
    </xf>
    <xf numFmtId="3" fontId="3" fillId="27" borderId="8" xfId="0" applyNumberFormat="1" applyFont="1" applyFill="1" applyBorder="1" applyAlignment="1">
      <alignment vertical="top" wrapText="1" readingOrder="1"/>
    </xf>
    <xf numFmtId="0" fontId="20" fillId="16" borderId="8" xfId="0" applyFont="1" applyFill="1" applyBorder="1" applyAlignment="1">
      <alignment vertical="top" wrapText="1"/>
    </xf>
    <xf numFmtId="3" fontId="15" fillId="16" borderId="16" xfId="0" applyNumberFormat="1" applyFont="1" applyFill="1" applyBorder="1" applyAlignment="1">
      <alignment vertical="top"/>
    </xf>
    <xf numFmtId="3" fontId="15" fillId="16" borderId="8" xfId="0" applyNumberFormat="1" applyFont="1" applyFill="1" applyBorder="1" applyAlignment="1">
      <alignment vertical="top"/>
    </xf>
    <xf numFmtId="3" fontId="15" fillId="16" borderId="51" xfId="0" applyNumberFormat="1" applyFont="1" applyFill="1" applyBorder="1" applyAlignment="1">
      <alignment vertical="top"/>
    </xf>
    <xf numFmtId="3" fontId="15" fillId="16" borderId="8" xfId="0" applyNumberFormat="1" applyFont="1" applyFill="1" applyBorder="1" applyAlignment="1">
      <alignment vertical="top" wrapText="1"/>
    </xf>
    <xf numFmtId="165" fontId="16" fillId="28" borderId="70" xfId="0" applyNumberFormat="1" applyFont="1" applyFill="1" applyBorder="1" applyAlignment="1">
      <alignment vertical="top"/>
    </xf>
    <xf numFmtId="165" fontId="16" fillId="28" borderId="8" xfId="0" applyNumberFormat="1" applyFont="1" applyFill="1" applyBorder="1" applyAlignment="1">
      <alignment vertical="top"/>
    </xf>
    <xf numFmtId="165" fontId="16" fillId="28" borderId="51" xfId="0" applyNumberFormat="1" applyFont="1" applyFill="1" applyBorder="1" applyAlignment="1">
      <alignment vertical="top"/>
    </xf>
    <xf numFmtId="3" fontId="4" fillId="28" borderId="16" xfId="0" applyNumberFormat="1" applyFont="1" applyFill="1" applyBorder="1" applyAlignment="1">
      <alignment vertical="top" wrapText="1"/>
    </xf>
    <xf numFmtId="3" fontId="4" fillId="28" borderId="8" xfId="0" applyNumberFormat="1" applyFont="1" applyFill="1" applyBorder="1" applyAlignment="1">
      <alignment vertical="top" wrapText="1"/>
    </xf>
    <xf numFmtId="3" fontId="16" fillId="28" borderId="16" xfId="0" applyNumberFormat="1" applyFont="1" applyFill="1" applyBorder="1" applyAlignment="1">
      <alignment vertical="top"/>
    </xf>
    <xf numFmtId="3" fontId="16" fillId="28" borderId="8" xfId="0" applyNumberFormat="1" applyFont="1" applyFill="1" applyBorder="1" applyAlignment="1">
      <alignment vertical="top"/>
    </xf>
    <xf numFmtId="3" fontId="16" fillId="28" borderId="51" xfId="0" applyNumberFormat="1" applyFont="1" applyFill="1" applyBorder="1" applyAlignment="1">
      <alignment vertical="top"/>
    </xf>
    <xf numFmtId="3" fontId="23" fillId="28" borderId="8" xfId="0" applyNumberFormat="1" applyFont="1" applyFill="1" applyBorder="1" applyAlignment="1">
      <alignment vertical="top" wrapText="1"/>
    </xf>
    <xf numFmtId="3" fontId="32" fillId="28" borderId="8" xfId="0" applyNumberFormat="1" applyFont="1" applyFill="1" applyBorder="1" applyAlignment="1">
      <alignment vertical="top"/>
    </xf>
    <xf numFmtId="3" fontId="32" fillId="28" borderId="51" xfId="0" applyNumberFormat="1" applyFont="1" applyFill="1" applyBorder="1" applyAlignment="1">
      <alignment vertical="top"/>
    </xf>
    <xf numFmtId="3" fontId="4" fillId="28" borderId="8" xfId="0" applyNumberFormat="1" applyFont="1" applyFill="1" applyBorder="1" applyAlignment="1">
      <alignment vertical="top"/>
    </xf>
    <xf numFmtId="3" fontId="8" fillId="5" borderId="55" xfId="0" applyNumberFormat="1" applyFont="1" applyFill="1" applyBorder="1" applyAlignment="1">
      <alignment vertical="center" wrapText="1"/>
    </xf>
    <xf numFmtId="3" fontId="8" fillId="5" borderId="0" xfId="0" applyNumberFormat="1" applyFont="1" applyFill="1" applyBorder="1" applyAlignment="1">
      <alignment vertical="center" wrapText="1"/>
    </xf>
    <xf numFmtId="3" fontId="15" fillId="13" borderId="9" xfId="0" applyNumberFormat="1" applyFont="1" applyFill="1" applyBorder="1" applyAlignment="1">
      <alignment horizontal="right" vertical="center" wrapText="1"/>
    </xf>
    <xf numFmtId="3" fontId="16" fillId="13" borderId="100" xfId="0" applyNumberFormat="1" applyFont="1" applyFill="1" applyBorder="1" applyAlignment="1">
      <alignment horizontal="center" vertical="center" wrapText="1"/>
    </xf>
    <xf numFmtId="3" fontId="15" fillId="8" borderId="28" xfId="0" applyNumberFormat="1" applyFont="1" applyFill="1" applyBorder="1" applyAlignment="1">
      <alignment horizontal="center" vertical="center"/>
    </xf>
    <xf numFmtId="3" fontId="15" fillId="8" borderId="27" xfId="0" applyNumberFormat="1" applyFont="1" applyFill="1" applyBorder="1" applyAlignment="1">
      <alignment horizontal="center" vertical="center"/>
    </xf>
    <xf numFmtId="3" fontId="15" fillId="24" borderId="12" xfId="0" applyNumberFormat="1" applyFont="1" applyFill="1" applyBorder="1" applyAlignment="1">
      <alignment horizontal="right" vertical="center" wrapText="1"/>
    </xf>
    <xf numFmtId="3" fontId="15" fillId="24" borderId="1" xfId="0" applyNumberFormat="1" applyFont="1" applyFill="1" applyBorder="1" applyAlignment="1">
      <alignment horizontal="right" vertical="center" wrapText="1"/>
    </xf>
    <xf numFmtId="3" fontId="15" fillId="24" borderId="10" xfId="0" applyNumberFormat="1" applyFont="1" applyFill="1" applyBorder="1" applyAlignment="1">
      <alignment horizontal="right" vertical="center" wrapText="1"/>
    </xf>
    <xf numFmtId="0" fontId="0" fillId="0" borderId="8" xfId="0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" fontId="16" fillId="28" borderId="12" xfId="0" applyNumberFormat="1" applyFont="1" applyFill="1" applyBorder="1" applyAlignment="1">
      <alignment horizontal="left" vertical="top"/>
    </xf>
    <xf numFmtId="3" fontId="16" fillId="28" borderId="94" xfId="0" applyNumberFormat="1" applyFont="1" applyFill="1" applyBorder="1" applyAlignment="1">
      <alignment horizontal="left" vertical="top"/>
    </xf>
    <xf numFmtId="3" fontId="15" fillId="17" borderId="106" xfId="0" applyNumberFormat="1" applyFont="1" applyFill="1" applyBorder="1" applyAlignment="1">
      <alignment horizontal="right" vertical="center"/>
    </xf>
    <xf numFmtId="3" fontId="15" fillId="17" borderId="87" xfId="0" applyNumberFormat="1" applyFont="1" applyFill="1" applyBorder="1" applyAlignment="1">
      <alignment horizontal="right" vertical="center"/>
    </xf>
    <xf numFmtId="3" fontId="15" fillId="17" borderId="88" xfId="0" applyNumberFormat="1" applyFont="1" applyFill="1" applyBorder="1" applyAlignment="1">
      <alignment horizontal="right" vertical="center"/>
    </xf>
    <xf numFmtId="3" fontId="15" fillId="8" borderId="63" xfId="0" applyNumberFormat="1" applyFont="1" applyFill="1" applyBorder="1" applyAlignment="1">
      <alignment horizontal="right" vertical="center"/>
    </xf>
    <xf numFmtId="3" fontId="16" fillId="5" borderId="27" xfId="10" applyNumberFormat="1" applyFont="1" applyFill="1" applyBorder="1" applyAlignment="1">
      <alignment horizontal="center" vertical="center"/>
    </xf>
    <xf numFmtId="3" fontId="3" fillId="27" borderId="21" xfId="0" applyNumberFormat="1" applyFont="1" applyFill="1" applyBorder="1" applyAlignment="1">
      <alignment horizontal="right" vertical="top"/>
    </xf>
    <xf numFmtId="3" fontId="16" fillId="28" borderId="12" xfId="0" applyNumberFormat="1" applyFont="1" applyFill="1" applyBorder="1" applyAlignment="1">
      <alignment horizontal="left" vertical="top"/>
    </xf>
    <xf numFmtId="3" fontId="15" fillId="17" borderId="8" xfId="0" applyNumberFormat="1" applyFont="1" applyFill="1" applyBorder="1" applyAlignment="1">
      <alignment horizontal="right" vertical="center"/>
    </xf>
    <xf numFmtId="3" fontId="15" fillId="18" borderId="8" xfId="0" applyNumberFormat="1" applyFont="1" applyFill="1" applyBorder="1" applyAlignment="1">
      <alignment horizontal="right" vertical="center"/>
    </xf>
    <xf numFmtId="165" fontId="16" fillId="0" borderId="8" xfId="0" applyNumberFormat="1" applyFont="1" applyFill="1" applyBorder="1" applyAlignment="1">
      <alignment horizontal="center" vertical="center"/>
    </xf>
    <xf numFmtId="3" fontId="16" fillId="5" borderId="78" xfId="0" applyNumberFormat="1" applyFont="1" applyFill="1" applyBorder="1" applyAlignment="1">
      <alignment horizontal="center" vertical="center"/>
    </xf>
    <xf numFmtId="3" fontId="16" fillId="20" borderId="29" xfId="0" applyNumberFormat="1" applyFont="1" applyFill="1" applyBorder="1" applyAlignment="1">
      <alignment vertical="center"/>
    </xf>
    <xf numFmtId="3" fontId="16" fillId="16" borderId="79" xfId="0" applyNumberFormat="1" applyFont="1" applyFill="1" applyBorder="1" applyAlignment="1">
      <alignment horizontal="center" vertical="top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16" fillId="28" borderId="12" xfId="0" applyNumberFormat="1" applyFont="1" applyFill="1" applyBorder="1" applyAlignment="1">
      <alignment horizontal="left" vertical="top"/>
    </xf>
    <xf numFmtId="3" fontId="16" fillId="28" borderId="94" xfId="0" applyNumberFormat="1" applyFont="1" applyFill="1" applyBorder="1" applyAlignment="1">
      <alignment horizontal="left" vertical="top"/>
    </xf>
    <xf numFmtId="165" fontId="16" fillId="0" borderId="60" xfId="0" applyNumberFormat="1" applyFont="1" applyFill="1" applyBorder="1" applyAlignment="1">
      <alignment horizontal="center" vertical="center"/>
    </xf>
    <xf numFmtId="3" fontId="16" fillId="28" borderId="70" xfId="0" applyNumberFormat="1" applyFont="1" applyFill="1" applyBorder="1" applyAlignment="1">
      <alignment horizontal="left" vertical="top"/>
    </xf>
    <xf numFmtId="3" fontId="3" fillId="27" borderId="79" xfId="0" applyNumberFormat="1" applyFont="1" applyFill="1" applyBorder="1" applyAlignment="1">
      <alignment vertical="top"/>
    </xf>
    <xf numFmtId="3" fontId="3" fillId="27" borderId="78" xfId="0" applyNumberFormat="1" applyFont="1" applyFill="1" applyBorder="1" applyAlignment="1">
      <alignment vertical="top"/>
    </xf>
    <xf numFmtId="3" fontId="0" fillId="0" borderId="64" xfId="0" applyNumberFormat="1" applyBorder="1" applyAlignment="1"/>
    <xf numFmtId="3" fontId="15" fillId="16" borderId="88" xfId="0" applyNumberFormat="1" applyFont="1" applyFill="1" applyBorder="1" applyAlignment="1">
      <alignment horizontal="center" vertical="top"/>
    </xf>
    <xf numFmtId="3" fontId="15" fillId="6" borderId="0" xfId="0" applyNumberFormat="1" applyFont="1" applyFill="1" applyBorder="1" applyAlignment="1">
      <alignment horizontal="center" vertical="center"/>
    </xf>
    <xf numFmtId="3" fontId="15" fillId="15" borderId="28" xfId="0" applyNumberFormat="1" applyFont="1" applyFill="1" applyBorder="1" applyAlignment="1">
      <alignment vertical="center" wrapText="1"/>
    </xf>
    <xf numFmtId="3" fontId="15" fillId="30" borderId="28" xfId="0" applyNumberFormat="1" applyFont="1" applyFill="1" applyBorder="1" applyAlignment="1">
      <alignment vertical="center"/>
    </xf>
    <xf numFmtId="3" fontId="16" fillId="0" borderId="28" xfId="0" applyNumberFormat="1" applyFont="1" applyFill="1" applyBorder="1" applyAlignment="1">
      <alignment vertical="center"/>
    </xf>
    <xf numFmtId="165" fontId="16" fillId="0" borderId="28" xfId="0" applyNumberFormat="1" applyFont="1" applyFill="1" applyBorder="1" applyAlignment="1">
      <alignment vertical="center"/>
    </xf>
    <xf numFmtId="0" fontId="0" fillId="0" borderId="78" xfId="0" applyBorder="1" applyAlignment="1">
      <alignment vertical="center"/>
    </xf>
    <xf numFmtId="3" fontId="0" fillId="0" borderId="70" xfId="0" applyNumberFormat="1" applyBorder="1" applyAlignment="1">
      <alignment vertical="center"/>
    </xf>
    <xf numFmtId="3" fontId="15" fillId="27" borderId="16" xfId="0" applyNumberFormat="1" applyFont="1" applyFill="1" applyBorder="1" applyAlignment="1">
      <alignment vertical="top" wrapText="1" readingOrder="1"/>
    </xf>
    <xf numFmtId="3" fontId="15" fillId="27" borderId="106" xfId="0" applyNumberFormat="1" applyFont="1" applyFill="1" applyBorder="1" applyAlignment="1">
      <alignment wrapText="1" readingOrder="1"/>
    </xf>
    <xf numFmtId="3" fontId="15" fillId="27" borderId="79" xfId="0" applyNumberFormat="1" applyFont="1" applyFill="1" applyBorder="1" applyAlignment="1">
      <alignment wrapText="1" readingOrder="1"/>
    </xf>
    <xf numFmtId="3" fontId="15" fillId="27" borderId="106" xfId="0" applyNumberFormat="1" applyFont="1" applyFill="1" applyBorder="1" applyAlignment="1">
      <alignment vertical="top" wrapText="1" readingOrder="1"/>
    </xf>
    <xf numFmtId="3" fontId="15" fillId="27" borderId="79" xfId="0" applyNumberFormat="1" applyFont="1" applyFill="1" applyBorder="1" applyAlignment="1">
      <alignment vertical="top" wrapText="1" readingOrder="1"/>
    </xf>
    <xf numFmtId="3" fontId="3" fillId="27" borderId="16" xfId="0" applyNumberFormat="1" applyFont="1" applyFill="1" applyBorder="1" applyAlignment="1">
      <alignment vertical="top" wrapText="1" readingOrder="1"/>
    </xf>
    <xf numFmtId="3" fontId="3" fillId="27" borderId="16" xfId="0" applyNumberFormat="1" applyFont="1" applyFill="1" applyBorder="1" applyAlignment="1">
      <alignment wrapText="1" readingOrder="1"/>
    </xf>
    <xf numFmtId="3" fontId="15" fillId="16" borderId="85" xfId="0" applyNumberFormat="1" applyFont="1" applyFill="1" applyBorder="1" applyAlignment="1">
      <alignment vertical="center"/>
    </xf>
    <xf numFmtId="3" fontId="16" fillId="16" borderId="106" xfId="0" applyNumberFormat="1" applyFont="1" applyFill="1" applyBorder="1" applyAlignment="1">
      <alignment vertical="center"/>
    </xf>
    <xf numFmtId="0" fontId="0" fillId="0" borderId="99" xfId="0" applyBorder="1" applyAlignment="1">
      <alignment vertical="center"/>
    </xf>
    <xf numFmtId="0" fontId="0" fillId="0" borderId="100" xfId="0" applyBorder="1" applyAlignment="1">
      <alignment vertical="center"/>
    </xf>
    <xf numFmtId="3" fontId="16" fillId="5" borderId="70" xfId="0" applyNumberFormat="1" applyFont="1" applyFill="1" applyBorder="1" applyAlignment="1">
      <alignment vertical="center" wrapText="1"/>
    </xf>
    <xf numFmtId="3" fontId="16" fillId="5" borderId="8" xfId="0" applyNumberFormat="1" applyFont="1" applyFill="1" applyBorder="1" applyAlignment="1">
      <alignment vertical="center" wrapText="1"/>
    </xf>
    <xf numFmtId="3" fontId="16" fillId="5" borderId="51" xfId="0" applyNumberFormat="1" applyFont="1" applyFill="1" applyBorder="1" applyAlignment="1">
      <alignment vertical="center" wrapText="1"/>
    </xf>
    <xf numFmtId="0" fontId="20" fillId="16" borderId="16" xfId="0" applyFont="1" applyFill="1" applyBorder="1" applyAlignment="1">
      <alignment vertical="top" wrapText="1"/>
    </xf>
    <xf numFmtId="3" fontId="15" fillId="5" borderId="0" xfId="0" applyNumberFormat="1" applyFont="1" applyFill="1" applyBorder="1" applyAlignment="1">
      <alignment vertical="center" wrapText="1"/>
    </xf>
    <xf numFmtId="3" fontId="16" fillId="5" borderId="79" xfId="0" applyNumberFormat="1" applyFont="1" applyFill="1" applyBorder="1" applyAlignment="1">
      <alignment vertical="center"/>
    </xf>
    <xf numFmtId="3" fontId="16" fillId="5" borderId="102" xfId="0" applyNumberFormat="1" applyFont="1" applyFill="1" applyBorder="1" applyAlignment="1">
      <alignment vertical="center"/>
    </xf>
    <xf numFmtId="3" fontId="15" fillId="5" borderId="78" xfId="0" applyNumberFormat="1" applyFont="1" applyFill="1" applyBorder="1" applyAlignment="1">
      <alignment vertical="center" wrapText="1"/>
    </xf>
    <xf numFmtId="3" fontId="16" fillId="5" borderId="78" xfId="0" applyNumberFormat="1" applyFont="1" applyFill="1" applyBorder="1" applyAlignment="1">
      <alignment vertical="center"/>
    </xf>
    <xf numFmtId="3" fontId="16" fillId="5" borderId="77" xfId="0" applyNumberFormat="1" applyFont="1" applyFill="1" applyBorder="1" applyAlignment="1">
      <alignment vertical="center"/>
    </xf>
    <xf numFmtId="3" fontId="16" fillId="5" borderId="99" xfId="0" applyNumberFormat="1" applyFont="1" applyFill="1" applyBorder="1" applyAlignment="1">
      <alignment vertical="center"/>
    </xf>
    <xf numFmtId="3" fontId="16" fillId="16" borderId="79" xfId="0" applyNumberFormat="1" applyFont="1" applyFill="1" applyBorder="1" applyAlignment="1">
      <alignment vertical="top"/>
    </xf>
    <xf numFmtId="3" fontId="15" fillId="16" borderId="16" xfId="0" applyNumberFormat="1" applyFont="1" applyFill="1" applyBorder="1" applyAlignment="1">
      <alignment vertical="top" wrapText="1"/>
    </xf>
    <xf numFmtId="0" fontId="0" fillId="0" borderId="54" xfId="0" applyBorder="1" applyAlignment="1"/>
    <xf numFmtId="0" fontId="6" fillId="0" borderId="63" xfId="0" applyFont="1" applyBorder="1" applyAlignment="1"/>
    <xf numFmtId="3" fontId="15" fillId="8" borderId="26" xfId="0" applyNumberFormat="1" applyFont="1" applyFill="1" applyBorder="1" applyAlignment="1">
      <alignment horizontal="center" vertical="center"/>
    </xf>
    <xf numFmtId="3" fontId="15" fillId="5" borderId="28" xfId="0" applyNumberFormat="1" applyFont="1" applyFill="1" applyBorder="1" applyAlignment="1">
      <alignment horizontal="center" vertical="center"/>
    </xf>
    <xf numFmtId="3" fontId="3" fillId="26" borderId="28" xfId="0" applyNumberFormat="1" applyFont="1" applyFill="1" applyBorder="1" applyAlignment="1">
      <alignment horizontal="left" vertical="center"/>
    </xf>
    <xf numFmtId="3" fontId="5" fillId="26" borderId="61" xfId="0" applyNumberFormat="1" applyFont="1" applyFill="1" applyBorder="1" applyAlignment="1">
      <alignment horizontal="center" vertical="center"/>
    </xf>
    <xf numFmtId="3" fontId="15" fillId="26" borderId="61" xfId="0" applyNumberFormat="1" applyFont="1" applyFill="1" applyBorder="1" applyAlignment="1">
      <alignment horizontal="center" vertical="center"/>
    </xf>
    <xf numFmtId="3" fontId="15" fillId="26" borderId="28" xfId="0" applyNumberFormat="1" applyFont="1" applyFill="1" applyBorder="1" applyAlignment="1">
      <alignment vertical="center"/>
    </xf>
    <xf numFmtId="3" fontId="15" fillId="12" borderId="20" xfId="0" applyNumberFormat="1" applyFont="1" applyFill="1" applyBorder="1" applyAlignment="1">
      <alignment horizontal="right" vertical="center" wrapText="1"/>
    </xf>
    <xf numFmtId="3" fontId="15" fillId="13" borderId="82" xfId="0" applyNumberFormat="1" applyFont="1" applyFill="1" applyBorder="1" applyAlignment="1">
      <alignment vertical="center"/>
    </xf>
    <xf numFmtId="3" fontId="16" fillId="13" borderId="88" xfId="0" applyNumberFormat="1" applyFont="1" applyFill="1" applyBorder="1" applyAlignment="1">
      <alignment horizontal="center" vertical="center" wrapText="1"/>
    </xf>
    <xf numFmtId="3" fontId="15" fillId="12" borderId="88" xfId="0" applyNumberFormat="1" applyFont="1" applyFill="1" applyBorder="1" applyAlignment="1">
      <alignment horizontal="right" vertical="center" wrapText="1"/>
    </xf>
    <xf numFmtId="3" fontId="15" fillId="26" borderId="85" xfId="0" applyNumberFormat="1" applyFont="1" applyFill="1" applyBorder="1" applyAlignment="1">
      <alignment horizontal="center" vertical="center"/>
    </xf>
    <xf numFmtId="3" fontId="15" fillId="15" borderId="26" xfId="0" applyNumberFormat="1" applyFont="1" applyFill="1" applyBorder="1" applyAlignment="1">
      <alignment vertical="center" wrapText="1"/>
    </xf>
    <xf numFmtId="3" fontId="15" fillId="15" borderId="85" xfId="0" applyNumberFormat="1" applyFont="1" applyFill="1" applyBorder="1" applyAlignment="1">
      <alignment vertical="center" wrapText="1"/>
    </xf>
    <xf numFmtId="3" fontId="15" fillId="8" borderId="85" xfId="0" applyNumberFormat="1" applyFont="1" applyFill="1" applyBorder="1" applyAlignment="1">
      <alignment horizontal="center" vertical="center"/>
    </xf>
    <xf numFmtId="3" fontId="15" fillId="30" borderId="26" xfId="0" applyNumberFormat="1" applyFont="1" applyFill="1" applyBorder="1" applyAlignment="1">
      <alignment vertical="center"/>
    </xf>
    <xf numFmtId="3" fontId="15" fillId="30" borderId="85" xfId="0" applyNumberFormat="1" applyFont="1" applyFill="1" applyBorder="1" applyAlignment="1">
      <alignment vertical="center"/>
    </xf>
    <xf numFmtId="165" fontId="15" fillId="12" borderId="12" xfId="0" applyNumberFormat="1" applyFont="1" applyFill="1" applyBorder="1" applyAlignment="1">
      <alignment horizontal="right" vertical="center" wrapText="1"/>
    </xf>
    <xf numFmtId="3" fontId="15" fillId="26" borderId="61" xfId="0" applyNumberFormat="1" applyFont="1" applyFill="1" applyBorder="1" applyAlignment="1">
      <alignment horizontal="left" vertical="center"/>
    </xf>
    <xf numFmtId="3" fontId="5" fillId="13" borderId="1" xfId="0" applyNumberFormat="1" applyFont="1" applyFill="1" applyBorder="1" applyAlignment="1">
      <alignment vertical="center"/>
    </xf>
    <xf numFmtId="0" fontId="0" fillId="0" borderId="77" xfId="0" applyBorder="1" applyAlignment="1">
      <alignment vertical="center"/>
    </xf>
    <xf numFmtId="3" fontId="15" fillId="16" borderId="19" xfId="0" applyNumberFormat="1" applyFont="1" applyFill="1" applyBorder="1" applyAlignment="1">
      <alignment vertical="top"/>
    </xf>
    <xf numFmtId="165" fontId="15" fillId="26" borderId="28" xfId="0" applyNumberFormat="1" applyFont="1" applyFill="1" applyBorder="1" applyAlignment="1">
      <alignment vertical="center"/>
    </xf>
    <xf numFmtId="165" fontId="8" fillId="5" borderId="0" xfId="0" applyNumberFormat="1" applyFont="1" applyFill="1" applyBorder="1" applyAlignment="1">
      <alignment vertical="center" wrapText="1"/>
    </xf>
    <xf numFmtId="165" fontId="0" fillId="0" borderId="64" xfId="0" applyNumberFormat="1" applyBorder="1" applyAlignment="1"/>
    <xf numFmtId="3" fontId="15" fillId="26" borderId="60" xfId="0" applyNumberFormat="1" applyFont="1" applyFill="1" applyBorder="1" applyAlignment="1">
      <alignment vertical="center"/>
    </xf>
    <xf numFmtId="3" fontId="15" fillId="0" borderId="16" xfId="0" applyNumberFormat="1" applyFont="1" applyFill="1" applyBorder="1" applyAlignment="1">
      <alignment horizontal="center" vertical="center"/>
    </xf>
    <xf numFmtId="3" fontId="15" fillId="12" borderId="16" xfId="0" applyNumberFormat="1" applyFont="1" applyFill="1" applyBorder="1" applyAlignment="1">
      <alignment horizontal="right" vertical="center" wrapText="1"/>
    </xf>
    <xf numFmtId="3" fontId="15" fillId="0" borderId="70" xfId="0" applyNumberFormat="1" applyFont="1" applyFill="1" applyBorder="1" applyAlignment="1">
      <alignment horizontal="center" vertical="center"/>
    </xf>
    <xf numFmtId="3" fontId="15" fillId="25" borderId="29" xfId="0" applyNumberFormat="1" applyFont="1" applyFill="1" applyBorder="1" applyAlignment="1">
      <alignment horizontal="right" vertical="center"/>
    </xf>
    <xf numFmtId="3" fontId="15" fillId="27" borderId="8" xfId="0" applyNumberFormat="1" applyFont="1" applyFill="1" applyBorder="1" applyAlignment="1">
      <alignment horizontal="right" vertical="top"/>
    </xf>
    <xf numFmtId="3" fontId="15" fillId="27" borderId="63" xfId="0" applyNumberFormat="1" applyFont="1" applyFill="1" applyBorder="1" applyAlignment="1">
      <alignment horizontal="right" vertical="top"/>
    </xf>
    <xf numFmtId="3" fontId="15" fillId="12" borderId="70" xfId="0" applyNumberFormat="1" applyFont="1" applyFill="1" applyBorder="1" applyAlignment="1">
      <alignment horizontal="right" vertical="center" wrapText="1"/>
    </xf>
    <xf numFmtId="3" fontId="15" fillId="27" borderId="63" xfId="0" applyNumberFormat="1" applyFont="1" applyFill="1" applyBorder="1" applyAlignment="1">
      <alignment horizontal="left" vertical="top"/>
    </xf>
    <xf numFmtId="3" fontId="15" fillId="13" borderId="106" xfId="0" applyNumberFormat="1" applyFont="1" applyFill="1" applyBorder="1" applyAlignment="1">
      <alignment horizontal="right" vertical="center"/>
    </xf>
    <xf numFmtId="3" fontId="16" fillId="27" borderId="70" xfId="0" applyNumberFormat="1" applyFont="1" applyFill="1" applyBorder="1" applyAlignment="1">
      <alignment horizontal="right" vertical="center"/>
    </xf>
    <xf numFmtId="3" fontId="15" fillId="13" borderId="86" xfId="0" applyNumberFormat="1" applyFont="1" applyFill="1" applyBorder="1" applyAlignment="1">
      <alignment horizontal="center" vertical="center"/>
    </xf>
    <xf numFmtId="3" fontId="15" fillId="27" borderId="16" xfId="0" applyNumberFormat="1" applyFont="1" applyFill="1" applyBorder="1" applyAlignment="1">
      <alignment horizontal="center" vertical="top" wrapText="1"/>
    </xf>
    <xf numFmtId="3" fontId="3" fillId="28" borderId="29" xfId="0" applyNumberFormat="1" applyFont="1" applyFill="1" applyBorder="1" applyAlignment="1">
      <alignment horizontal="left" vertical="top"/>
    </xf>
    <xf numFmtId="3" fontId="16" fillId="28" borderId="106" xfId="0" applyNumberFormat="1" applyFont="1" applyFill="1" applyBorder="1" applyAlignment="1">
      <alignment horizontal="left" vertical="top"/>
    </xf>
    <xf numFmtId="3" fontId="16" fillId="0" borderId="16" xfId="0" applyNumberFormat="1" applyFont="1" applyFill="1" applyBorder="1" applyAlignment="1">
      <alignment vertical="center"/>
    </xf>
    <xf numFmtId="3" fontId="15" fillId="26" borderId="62" xfId="0" applyNumberFormat="1" applyFont="1" applyFill="1" applyBorder="1" applyAlignment="1">
      <alignment vertical="center"/>
    </xf>
    <xf numFmtId="3" fontId="15" fillId="15" borderId="82" xfId="0" applyNumberFormat="1" applyFont="1" applyFill="1" applyBorder="1" applyAlignment="1">
      <alignment horizontal="right" vertical="top"/>
    </xf>
    <xf numFmtId="3" fontId="16" fillId="15" borderId="82" xfId="0" applyNumberFormat="1" applyFont="1" applyFill="1" applyBorder="1" applyAlignment="1">
      <alignment horizontal="right" vertical="center"/>
    </xf>
    <xf numFmtId="3" fontId="15" fillId="30" borderId="62" xfId="0" applyNumberFormat="1" applyFont="1" applyFill="1" applyBorder="1" applyAlignment="1">
      <alignment vertical="center"/>
    </xf>
    <xf numFmtId="3" fontId="15" fillId="8" borderId="1" xfId="0" applyNumberFormat="1" applyFont="1" applyFill="1" applyBorder="1" applyAlignment="1">
      <alignment horizontal="center" vertical="center"/>
    </xf>
    <xf numFmtId="3" fontId="15" fillId="15" borderId="60" xfId="0" applyNumberFormat="1" applyFont="1" applyFill="1" applyBorder="1" applyAlignment="1">
      <alignment horizontal="right" vertical="center" wrapText="1"/>
    </xf>
    <xf numFmtId="3" fontId="8" fillId="5" borderId="0" xfId="0" applyNumberFormat="1" applyFont="1" applyFill="1" applyBorder="1" applyAlignment="1">
      <alignment horizontal="right" vertical="center" wrapText="1"/>
    </xf>
    <xf numFmtId="0" fontId="0" fillId="0" borderId="64" xfId="0" applyBorder="1" applyAlignment="1">
      <alignment horizontal="right"/>
    </xf>
    <xf numFmtId="3" fontId="3" fillId="15" borderId="82" xfId="3" applyNumberFormat="1" applyFont="1" applyFill="1" applyBorder="1" applyAlignment="1">
      <alignment horizontal="right" vertical="center"/>
    </xf>
    <xf numFmtId="3" fontId="4" fillId="15" borderId="82" xfId="0" applyNumberFormat="1" applyFont="1" applyFill="1" applyBorder="1" applyAlignment="1">
      <alignment horizontal="right" vertical="center" wrapText="1"/>
    </xf>
    <xf numFmtId="3" fontId="16" fillId="15" borderId="82" xfId="0" applyNumberFormat="1" applyFont="1" applyFill="1" applyBorder="1" applyAlignment="1">
      <alignment horizontal="right" vertical="top"/>
    </xf>
    <xf numFmtId="3" fontId="15" fillId="15" borderId="82" xfId="0" applyNumberFormat="1" applyFont="1" applyFill="1" applyBorder="1" applyAlignment="1">
      <alignment horizontal="right" vertical="top" wrapText="1"/>
    </xf>
    <xf numFmtId="3" fontId="15" fillId="15" borderId="82" xfId="0" applyNumberFormat="1" applyFont="1" applyFill="1" applyBorder="1" applyAlignment="1">
      <alignment horizontal="right" wrapText="1"/>
    </xf>
    <xf numFmtId="3" fontId="3" fillId="15" borderId="82" xfId="0" applyNumberFormat="1" applyFont="1" applyFill="1" applyBorder="1" applyAlignment="1">
      <alignment horizontal="right" vertical="top" wrapText="1"/>
    </xf>
    <xf numFmtId="3" fontId="3" fillId="15" borderId="82" xfId="0" applyNumberFormat="1" applyFont="1" applyFill="1" applyBorder="1" applyAlignment="1">
      <alignment horizontal="right" wrapText="1"/>
    </xf>
    <xf numFmtId="3" fontId="3" fillId="15" borderId="82" xfId="0" applyNumberFormat="1" applyFont="1" applyFill="1" applyBorder="1" applyAlignment="1">
      <alignment horizontal="right" vertical="top"/>
    </xf>
    <xf numFmtId="0" fontId="20" fillId="15" borderId="82" xfId="0" applyFont="1" applyFill="1" applyBorder="1" applyAlignment="1">
      <alignment horizontal="right" vertical="top" wrapText="1"/>
    </xf>
    <xf numFmtId="3" fontId="4" fillId="15" borderId="82" xfId="0" applyNumberFormat="1" applyFont="1" applyFill="1" applyBorder="1" applyAlignment="1">
      <alignment horizontal="right" vertical="top" wrapText="1"/>
    </xf>
    <xf numFmtId="3" fontId="23" fillId="15" borderId="82" xfId="0" applyNumberFormat="1" applyFont="1" applyFill="1" applyBorder="1" applyAlignment="1">
      <alignment horizontal="right" vertical="top" wrapText="1"/>
    </xf>
    <xf numFmtId="3" fontId="4" fillId="15" borderId="82" xfId="0" applyNumberFormat="1" applyFont="1" applyFill="1" applyBorder="1" applyAlignment="1">
      <alignment horizontal="right" vertical="top"/>
    </xf>
    <xf numFmtId="3" fontId="4" fillId="15" borderId="19" xfId="0" applyNumberFormat="1" applyFont="1" applyFill="1" applyBorder="1" applyAlignment="1">
      <alignment horizontal="right" vertical="top" wrapText="1"/>
    </xf>
    <xf numFmtId="3" fontId="16" fillId="5" borderId="27" xfId="0" applyNumberFormat="1" applyFont="1" applyFill="1" applyBorder="1" applyAlignment="1">
      <alignment horizontal="right" vertical="center"/>
    </xf>
    <xf numFmtId="3" fontId="16" fillId="0" borderId="64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3" fontId="15" fillId="8" borderId="55" xfId="0" applyNumberFormat="1" applyFont="1" applyFill="1" applyBorder="1" applyAlignment="1">
      <alignment horizontal="center" vertical="center"/>
    </xf>
    <xf numFmtId="3" fontId="15" fillId="30" borderId="52" xfId="0" applyNumberFormat="1" applyFont="1" applyFill="1" applyBorder="1" applyAlignment="1">
      <alignment vertical="center"/>
    </xf>
    <xf numFmtId="3" fontId="15" fillId="30" borderId="82" xfId="0" applyNumberFormat="1" applyFont="1" applyFill="1" applyBorder="1" applyAlignment="1">
      <alignment vertical="center"/>
    </xf>
    <xf numFmtId="3" fontId="15" fillId="30" borderId="19" xfId="0" applyNumberFormat="1" applyFont="1" applyFill="1" applyBorder="1" applyAlignment="1">
      <alignment vertical="center"/>
    </xf>
    <xf numFmtId="3" fontId="0" fillId="0" borderId="8" xfId="0" applyNumberFormat="1" applyBorder="1" applyAlignment="1">
      <alignment vertical="center"/>
    </xf>
    <xf numFmtId="3" fontId="15" fillId="12" borderId="8" xfId="0" applyNumberFormat="1" applyFont="1" applyFill="1" applyBorder="1" applyAlignment="1">
      <alignment horizontal="right" vertical="center" wrapText="1"/>
    </xf>
    <xf numFmtId="10" fontId="3" fillId="16" borderId="1" xfId="9" applyNumberFormat="1" applyFont="1" applyFill="1" applyBorder="1" applyAlignment="1">
      <alignment horizontal="center" vertical="center"/>
    </xf>
    <xf numFmtId="3" fontId="3" fillId="15" borderId="1" xfId="0" applyNumberFormat="1" applyFont="1" applyFill="1" applyBorder="1" applyAlignment="1">
      <alignment horizontal="right" vertical="center"/>
    </xf>
    <xf numFmtId="9" fontId="5" fillId="0" borderId="0" xfId="9" applyFont="1" applyFill="1" applyBorder="1" applyAlignment="1">
      <alignment vertical="center"/>
    </xf>
    <xf numFmtId="10" fontId="5" fillId="0" borderId="0" xfId="9" applyNumberFormat="1" applyFont="1" applyFill="1" applyBorder="1" applyAlignment="1">
      <alignment vertical="center"/>
    </xf>
    <xf numFmtId="3" fontId="4" fillId="0" borderId="64" xfId="0" applyNumberFormat="1" applyFont="1" applyFill="1" applyBorder="1" applyAlignment="1">
      <alignment vertical="center"/>
    </xf>
    <xf numFmtId="3" fontId="4" fillId="15" borderId="0" xfId="0" applyNumberFormat="1" applyFont="1" applyFill="1" applyBorder="1" applyAlignment="1">
      <alignment vertical="center"/>
    </xf>
    <xf numFmtId="3" fontId="3" fillId="13" borderId="61" xfId="0" applyNumberFormat="1" applyFont="1" applyFill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6" fontId="3" fillId="18" borderId="1" xfId="10" applyNumberFormat="1" applyFont="1" applyFill="1" applyBorder="1" applyAlignment="1">
      <alignment horizontal="left" vertical="center"/>
    </xf>
    <xf numFmtId="166" fontId="4" fillId="18" borderId="1" xfId="10" applyNumberFormat="1" applyFont="1" applyFill="1" applyBorder="1" applyAlignment="1">
      <alignment horizontal="left" vertical="center"/>
    </xf>
    <xf numFmtId="3" fontId="5" fillId="13" borderId="8" xfId="0" applyNumberFormat="1" applyFont="1" applyFill="1" applyBorder="1" applyAlignment="1">
      <alignment horizontal="center" vertical="center"/>
    </xf>
    <xf numFmtId="3" fontId="3" fillId="20" borderId="0" xfId="0" applyNumberFormat="1" applyFont="1" applyFill="1" applyBorder="1" applyAlignment="1">
      <alignment horizontal="center" vertical="center"/>
    </xf>
    <xf numFmtId="9" fontId="4" fillId="0" borderId="0" xfId="9" applyFont="1" applyFill="1" applyBorder="1" applyAlignment="1">
      <alignment vertical="center"/>
    </xf>
    <xf numFmtId="10" fontId="4" fillId="0" borderId="0" xfId="9" applyNumberFormat="1" applyFont="1" applyFill="1" applyBorder="1" applyAlignment="1">
      <alignment horizontal="center" vertical="center"/>
    </xf>
    <xf numFmtId="43" fontId="5" fillId="13" borderId="1" xfId="10" applyFont="1" applyFill="1" applyBorder="1" applyAlignment="1">
      <alignment horizontal="center" vertical="center"/>
    </xf>
    <xf numFmtId="3" fontId="4" fillId="16" borderId="1" xfId="0" applyNumberFormat="1" applyFont="1" applyFill="1" applyBorder="1" applyAlignment="1">
      <alignment horizontal="center" vertical="center"/>
    </xf>
    <xf numFmtId="3" fontId="3" fillId="31" borderId="0" xfId="4" applyNumberFormat="1" applyFont="1" applyFill="1" applyBorder="1" applyAlignment="1">
      <alignment vertical="center"/>
    </xf>
    <xf numFmtId="3" fontId="5" fillId="31" borderId="1" xfId="3" applyNumberFormat="1" applyFont="1" applyFill="1" applyBorder="1" applyAlignment="1">
      <alignment horizontal="center" vertical="center"/>
    </xf>
    <xf numFmtId="43" fontId="3" fillId="16" borderId="1" xfId="10" applyFont="1" applyFill="1" applyBorder="1" applyAlignment="1">
      <alignment vertical="center"/>
    </xf>
    <xf numFmtId="3" fontId="3" fillId="16" borderId="1" xfId="0" applyNumberFormat="1" applyFont="1" applyFill="1" applyBorder="1" applyAlignment="1">
      <alignment vertical="center"/>
    </xf>
    <xf numFmtId="3" fontId="3" fillId="16" borderId="1" xfId="0" applyNumberFormat="1" applyFont="1" applyFill="1" applyBorder="1" applyAlignment="1">
      <alignment horizontal="center" vertical="center"/>
    </xf>
    <xf numFmtId="10" fontId="5" fillId="8" borderId="1" xfId="9" applyNumberFormat="1" applyFont="1" applyFill="1" applyBorder="1" applyAlignment="1">
      <alignment horizontal="center" vertical="center"/>
    </xf>
    <xf numFmtId="0" fontId="10" fillId="0" borderId="0" xfId="7" applyFont="1" applyAlignment="1">
      <alignment vertical="center"/>
    </xf>
    <xf numFmtId="3" fontId="4" fillId="31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3" fontId="4" fillId="25" borderId="1" xfId="0" applyNumberFormat="1" applyFont="1" applyFill="1" applyBorder="1" applyAlignment="1">
      <alignment vertical="center"/>
    </xf>
    <xf numFmtId="3" fontId="5" fillId="25" borderId="1" xfId="0" applyNumberFormat="1" applyFont="1" applyFill="1" applyBorder="1" applyAlignment="1">
      <alignment horizontal="right" vertical="center"/>
    </xf>
    <xf numFmtId="3" fontId="3" fillId="5" borderId="1" xfId="0" applyNumberFormat="1" applyFont="1" applyFill="1" applyBorder="1" applyAlignment="1">
      <alignment horizontal="left" vertical="center"/>
    </xf>
    <xf numFmtId="3" fontId="3" fillId="5" borderId="1" xfId="0" applyNumberFormat="1" applyFont="1" applyFill="1" applyBorder="1" applyAlignment="1">
      <alignment horizontal="right" vertical="center"/>
    </xf>
    <xf numFmtId="10" fontId="3" fillId="5" borderId="1" xfId="9" applyNumberFormat="1" applyFont="1" applyFill="1" applyBorder="1" applyAlignment="1">
      <alignment horizontal="center" vertical="center"/>
    </xf>
    <xf numFmtId="3" fontId="3" fillId="31" borderId="1" xfId="3" applyNumberFormat="1" applyFont="1" applyFill="1" applyBorder="1" applyAlignment="1">
      <alignment horizontal="left" vertical="center"/>
    </xf>
    <xf numFmtId="43" fontId="3" fillId="31" borderId="1" xfId="10" applyFont="1" applyFill="1" applyBorder="1" applyAlignment="1">
      <alignment horizontal="right" vertical="center"/>
    </xf>
    <xf numFmtId="10" fontId="3" fillId="31" borderId="1" xfId="9" applyNumberFormat="1" applyFont="1" applyFill="1" applyBorder="1" applyAlignment="1">
      <alignment horizontal="center" vertical="center"/>
    </xf>
    <xf numFmtId="43" fontId="5" fillId="31" borderId="1" xfId="10" applyFont="1" applyFill="1" applyBorder="1" applyAlignment="1">
      <alignment horizontal="center" vertical="center"/>
    </xf>
    <xf numFmtId="3" fontId="4" fillId="23" borderId="1" xfId="3" applyNumberFormat="1" applyFont="1" applyFill="1" applyBorder="1" applyAlignment="1">
      <alignment horizontal="left" vertical="center"/>
    </xf>
    <xf numFmtId="43" fontId="4" fillId="15" borderId="1" xfId="10" applyFont="1" applyFill="1" applyBorder="1" applyAlignment="1">
      <alignment horizontal="right" vertical="center"/>
    </xf>
    <xf numFmtId="3" fontId="4" fillId="32" borderId="1" xfId="3" applyNumberFormat="1" applyFont="1" applyFill="1" applyBorder="1" applyAlignment="1">
      <alignment horizontal="right" vertical="center"/>
    </xf>
    <xf numFmtId="10" fontId="3" fillId="13" borderId="1" xfId="9" applyNumberFormat="1" applyFont="1" applyFill="1" applyBorder="1" applyAlignment="1">
      <alignment horizontal="center" vertical="center"/>
    </xf>
    <xf numFmtId="9" fontId="3" fillId="0" borderId="1" xfId="9" applyFont="1" applyFill="1" applyBorder="1" applyAlignment="1">
      <alignment horizontal="center" vertical="center"/>
    </xf>
    <xf numFmtId="10" fontId="3" fillId="0" borderId="1" xfId="9" applyNumberFormat="1" applyFont="1" applyFill="1" applyBorder="1" applyAlignment="1">
      <alignment horizontal="center" vertical="center"/>
    </xf>
    <xf numFmtId="43" fontId="4" fillId="32" borderId="1" xfId="10" applyFont="1" applyFill="1" applyBorder="1" applyAlignment="1">
      <alignment horizontal="right" vertical="center"/>
    </xf>
    <xf numFmtId="3" fontId="4" fillId="13" borderId="1" xfId="3" applyNumberFormat="1" applyFont="1" applyFill="1" applyBorder="1" applyAlignment="1">
      <alignment horizontal="left" vertical="center"/>
    </xf>
    <xf numFmtId="43" fontId="3" fillId="15" borderId="1" xfId="10" applyFont="1" applyFill="1" applyBorder="1" applyAlignment="1">
      <alignment horizontal="right" vertical="center"/>
    </xf>
    <xf numFmtId="166" fontId="4" fillId="15" borderId="1" xfId="10" applyNumberFormat="1" applyFont="1" applyFill="1" applyBorder="1" applyAlignment="1">
      <alignment horizontal="right" vertical="center"/>
    </xf>
    <xf numFmtId="3" fontId="4" fillId="15" borderId="1" xfId="3" applyNumberFormat="1" applyFont="1" applyFill="1" applyBorder="1" applyAlignment="1">
      <alignment horizontal="right" vertical="center"/>
    </xf>
    <xf numFmtId="43" fontId="3" fillId="32" borderId="1" xfId="10" applyFont="1" applyFill="1" applyBorder="1" applyAlignment="1">
      <alignment horizontal="right" vertical="center"/>
    </xf>
    <xf numFmtId="166" fontId="4" fillId="32" borderId="1" xfId="10" applyNumberFormat="1" applyFont="1" applyFill="1" applyBorder="1" applyAlignment="1">
      <alignment horizontal="right" vertical="center"/>
    </xf>
    <xf numFmtId="3" fontId="3" fillId="31" borderId="1" xfId="3" applyNumberFormat="1" applyFont="1" applyFill="1" applyBorder="1" applyAlignment="1">
      <alignment horizontal="right" vertical="center"/>
    </xf>
    <xf numFmtId="3" fontId="4" fillId="0" borderId="1" xfId="3" applyNumberFormat="1" applyFont="1" applyFill="1" applyBorder="1" applyAlignment="1">
      <alignment horizontal="left" vertical="center"/>
    </xf>
    <xf numFmtId="166" fontId="3" fillId="31" borderId="1" xfId="10" applyNumberFormat="1" applyFont="1" applyFill="1" applyBorder="1" applyAlignment="1">
      <alignment horizontal="left" vertical="center"/>
    </xf>
    <xf numFmtId="3" fontId="3" fillId="31" borderId="1" xfId="10" applyNumberFormat="1" applyFont="1" applyFill="1" applyBorder="1" applyAlignment="1">
      <alignment horizontal="right" vertical="center"/>
    </xf>
    <xf numFmtId="166" fontId="3" fillId="31" borderId="1" xfId="10" applyNumberFormat="1" applyFont="1" applyFill="1" applyBorder="1" applyAlignment="1">
      <alignment horizontal="right" vertical="center"/>
    </xf>
    <xf numFmtId="3" fontId="4" fillId="33" borderId="1" xfId="3" applyNumberFormat="1" applyFont="1" applyFill="1" applyBorder="1" applyAlignment="1">
      <alignment horizontal="left" vertical="center"/>
    </xf>
    <xf numFmtId="3" fontId="3" fillId="16" borderId="1" xfId="0" applyNumberFormat="1" applyFont="1" applyFill="1" applyBorder="1" applyAlignment="1">
      <alignment horizontal="left" vertical="center"/>
    </xf>
    <xf numFmtId="3" fontId="3" fillId="16" borderId="1" xfId="0" applyNumberFormat="1" applyFont="1" applyFill="1" applyBorder="1" applyAlignment="1">
      <alignment horizontal="right" vertical="center"/>
    </xf>
    <xf numFmtId="166" fontId="3" fillId="16" borderId="1" xfId="10" applyNumberFormat="1" applyFont="1" applyFill="1" applyBorder="1" applyAlignment="1">
      <alignment horizontal="left" vertical="center"/>
    </xf>
    <xf numFmtId="3" fontId="3" fillId="23" borderId="1" xfId="0" applyNumberFormat="1" applyFont="1" applyFill="1" applyBorder="1" applyAlignment="1">
      <alignment horizontal="left" vertical="center" indent="2" readingOrder="1"/>
    </xf>
    <xf numFmtId="3" fontId="4" fillId="23" borderId="1" xfId="0" applyNumberFormat="1" applyFont="1" applyFill="1" applyBorder="1" applyAlignment="1">
      <alignment horizontal="left" vertical="center" indent="2" readingOrder="1"/>
    </xf>
    <xf numFmtId="3" fontId="4" fillId="32" borderId="1" xfId="0" applyNumberFormat="1" applyFont="1" applyFill="1" applyBorder="1" applyAlignment="1">
      <alignment horizontal="right" vertical="center"/>
    </xf>
    <xf numFmtId="166" fontId="3" fillId="32" borderId="1" xfId="10" applyNumberFormat="1" applyFont="1" applyFill="1" applyBorder="1" applyAlignment="1">
      <alignment horizontal="right" vertical="center"/>
    </xf>
    <xf numFmtId="166" fontId="3" fillId="5" borderId="1" xfId="10" applyNumberFormat="1" applyFont="1" applyFill="1" applyBorder="1" applyAlignment="1">
      <alignment horizontal="left" vertical="center"/>
    </xf>
    <xf numFmtId="3" fontId="3" fillId="23" borderId="1" xfId="0" applyNumberFormat="1" applyFont="1" applyFill="1" applyBorder="1" applyAlignment="1">
      <alignment vertical="center" readingOrder="1"/>
    </xf>
    <xf numFmtId="3" fontId="4" fillId="23" borderId="1" xfId="0" applyNumberFormat="1" applyFont="1" applyFill="1" applyBorder="1" applyAlignment="1">
      <alignment vertical="center" readingOrder="1"/>
    </xf>
    <xf numFmtId="3" fontId="3" fillId="0" borderId="1" xfId="0" applyNumberFormat="1" applyFont="1" applyFill="1" applyBorder="1" applyAlignment="1">
      <alignment vertical="center" readingOrder="1"/>
    </xf>
    <xf numFmtId="3" fontId="4" fillId="0" borderId="1" xfId="0" applyNumberFormat="1" applyFont="1" applyFill="1" applyBorder="1" applyAlignment="1">
      <alignment vertical="center" readingOrder="1"/>
    </xf>
    <xf numFmtId="166" fontId="5" fillId="18" borderId="1" xfId="10" applyNumberFormat="1" applyFont="1" applyFill="1" applyBorder="1" applyAlignment="1">
      <alignment horizontal="left" vertical="center"/>
    </xf>
    <xf numFmtId="3" fontId="5" fillId="15" borderId="1" xfId="0" applyNumberFormat="1" applyFont="1" applyFill="1" applyBorder="1" applyAlignment="1">
      <alignment horizontal="right" vertical="center"/>
    </xf>
    <xf numFmtId="43" fontId="5" fillId="32" borderId="1" xfId="10" applyFont="1" applyFill="1" applyBorder="1" applyAlignment="1">
      <alignment horizontal="right" vertical="center"/>
    </xf>
    <xf numFmtId="3" fontId="3" fillId="6" borderId="1" xfId="0" applyNumberFormat="1" applyFont="1" applyFill="1" applyBorder="1" applyAlignment="1">
      <alignment horizontal="center" vertical="center"/>
    </xf>
    <xf numFmtId="3" fontId="3" fillId="20" borderId="1" xfId="0" applyNumberFormat="1" applyFont="1" applyFill="1" applyBorder="1" applyAlignment="1">
      <alignment vertical="center"/>
    </xf>
    <xf numFmtId="3" fontId="5" fillId="22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3" fontId="5" fillId="10" borderId="1" xfId="0" applyNumberFormat="1" applyFont="1" applyFill="1" applyBorder="1" applyAlignment="1">
      <alignment horizontal="center" vertical="center"/>
    </xf>
    <xf numFmtId="9" fontId="5" fillId="8" borderId="1" xfId="9" applyFont="1" applyFill="1" applyBorder="1" applyAlignment="1">
      <alignment horizontal="center" vertical="center"/>
    </xf>
    <xf numFmtId="3" fontId="5" fillId="8" borderId="1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" fillId="13" borderId="1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5" fillId="13" borderId="1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3" fillId="13" borderId="61" xfId="2" applyNumberFormat="1" applyFont="1" applyFill="1" applyBorder="1" applyAlignment="1">
      <alignment horizontal="center" vertical="center"/>
    </xf>
    <xf numFmtId="3" fontId="3" fillId="13" borderId="0" xfId="0" applyNumberFormat="1" applyFont="1" applyFill="1" applyBorder="1" applyAlignment="1">
      <alignment horizontal="center" vertical="center"/>
    </xf>
    <xf numFmtId="3" fontId="3" fillId="32" borderId="1" xfId="0" applyNumberFormat="1" applyFont="1" applyFill="1" applyBorder="1" applyAlignment="1">
      <alignment horizontal="right" vertical="center"/>
    </xf>
    <xf numFmtId="0" fontId="34" fillId="0" borderId="27" xfId="0" applyFont="1" applyBorder="1" applyAlignment="1">
      <alignment vertical="center"/>
    </xf>
    <xf numFmtId="3" fontId="34" fillId="0" borderId="54" xfId="0" applyNumberFormat="1" applyFont="1" applyBorder="1" applyAlignment="1">
      <alignment horizontal="right" vertical="center"/>
    </xf>
    <xf numFmtId="0" fontId="35" fillId="0" borderId="27" xfId="0" applyFont="1" applyBorder="1" applyAlignment="1">
      <alignment vertical="center"/>
    </xf>
    <xf numFmtId="3" fontId="35" fillId="0" borderId="54" xfId="0" applyNumberFormat="1" applyFont="1" applyBorder="1" applyAlignment="1">
      <alignment horizontal="right" vertical="center"/>
    </xf>
    <xf numFmtId="0" fontId="36" fillId="34" borderId="27" xfId="0" applyFont="1" applyFill="1" applyBorder="1" applyAlignment="1">
      <alignment vertical="center"/>
    </xf>
    <xf numFmtId="0" fontId="33" fillId="34" borderId="54" xfId="0" applyFont="1" applyFill="1" applyBorder="1" applyAlignment="1">
      <alignment vertical="center"/>
    </xf>
    <xf numFmtId="0" fontId="37" fillId="34" borderId="27" xfId="0" applyFont="1" applyFill="1" applyBorder="1" applyAlignment="1">
      <alignment vertical="center"/>
    </xf>
    <xf numFmtId="3" fontId="37" fillId="34" borderId="54" xfId="0" applyNumberFormat="1" applyFont="1" applyFill="1" applyBorder="1" applyAlignment="1">
      <alignment horizontal="right" vertical="center"/>
    </xf>
    <xf numFmtId="43" fontId="0" fillId="0" borderId="0" xfId="10" applyFont="1"/>
    <xf numFmtId="3" fontId="6" fillId="0" borderId="0" xfId="7" applyNumberFormat="1" applyFont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4" fillId="19" borderId="1" xfId="3" applyNumberFormat="1" applyFont="1" applyFill="1" applyBorder="1" applyAlignment="1">
      <alignment horizontal="left" vertical="center"/>
    </xf>
    <xf numFmtId="3" fontId="3" fillId="13" borderId="0" xfId="4" applyNumberFormat="1" applyFont="1" applyFill="1" applyBorder="1" applyAlignment="1">
      <alignment vertical="center"/>
    </xf>
    <xf numFmtId="3" fontId="3" fillId="13" borderId="1" xfId="4" applyNumberFormat="1" applyFont="1" applyFill="1" applyBorder="1" applyAlignment="1">
      <alignment vertical="center"/>
    </xf>
    <xf numFmtId="3" fontId="4" fillId="13" borderId="1" xfId="0" applyNumberFormat="1" applyFont="1" applyFill="1" applyBorder="1" applyAlignment="1">
      <alignment horizontal="center" vertical="center"/>
    </xf>
    <xf numFmtId="9" fontId="4" fillId="0" borderId="0" xfId="9" applyFont="1" applyFill="1" applyBorder="1" applyAlignment="1">
      <alignment horizontal="center" vertical="center"/>
    </xf>
    <xf numFmtId="0" fontId="0" fillId="15" borderId="0" xfId="0" applyFill="1"/>
    <xf numFmtId="3" fontId="0" fillId="15" borderId="0" xfId="0" applyNumberFormat="1" applyFill="1"/>
    <xf numFmtId="3" fontId="5" fillId="15" borderId="1" xfId="3" applyNumberFormat="1" applyFont="1" applyFill="1" applyBorder="1" applyAlignment="1">
      <alignment horizontal="center" vertical="center"/>
    </xf>
    <xf numFmtId="3" fontId="5" fillId="15" borderId="1" xfId="0" applyNumberFormat="1" applyFont="1" applyFill="1" applyBorder="1" applyAlignment="1">
      <alignment vertical="center"/>
    </xf>
    <xf numFmtId="43" fontId="3" fillId="15" borderId="1" xfId="10" applyFont="1" applyFill="1" applyBorder="1" applyAlignment="1">
      <alignment vertical="center"/>
    </xf>
    <xf numFmtId="3" fontId="3" fillId="15" borderId="1" xfId="0" applyNumberFormat="1" applyFont="1" applyFill="1" applyBorder="1" applyAlignment="1">
      <alignment vertical="center"/>
    </xf>
    <xf numFmtId="3" fontId="3" fillId="15" borderId="1" xfId="0" applyNumberFormat="1" applyFont="1" applyFill="1" applyBorder="1" applyAlignment="1">
      <alignment horizontal="center" vertical="center"/>
    </xf>
    <xf numFmtId="3" fontId="5" fillId="15" borderId="0" xfId="0" applyNumberFormat="1" applyFont="1" applyFill="1" applyBorder="1" applyAlignment="1">
      <alignment horizontal="center" vertical="center"/>
    </xf>
    <xf numFmtId="3" fontId="10" fillId="15" borderId="1" xfId="0" applyNumberFormat="1" applyFont="1" applyFill="1" applyBorder="1" applyAlignment="1">
      <alignment horizontal="center" vertical="center"/>
    </xf>
    <xf numFmtId="43" fontId="0" fillId="15" borderId="0" xfId="10" applyFont="1" applyFill="1"/>
    <xf numFmtId="3" fontId="6" fillId="15" borderId="0" xfId="7" applyNumberFormat="1" applyFont="1" applyFill="1" applyAlignment="1">
      <alignment horizontal="center" vertical="center"/>
    </xf>
    <xf numFmtId="3" fontId="3" fillId="15" borderId="0" xfId="4" applyNumberFormat="1" applyFont="1" applyFill="1" applyBorder="1" applyAlignment="1">
      <alignment vertical="center"/>
    </xf>
    <xf numFmtId="166" fontId="4" fillId="15" borderId="1" xfId="10" applyNumberFormat="1" applyFont="1" applyFill="1" applyBorder="1" applyAlignment="1">
      <alignment horizontal="center" vertical="center"/>
    </xf>
    <xf numFmtId="3" fontId="4" fillId="15" borderId="1" xfId="3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3" fillId="15" borderId="1" xfId="0" applyNumberFormat="1" applyFont="1" applyFill="1" applyBorder="1" applyAlignment="1">
      <alignment horizontal="center" vertical="center" wrapText="1"/>
    </xf>
    <xf numFmtId="0" fontId="10" fillId="0" borderId="0" xfId="7" applyFont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3" fillId="32" borderId="1" xfId="0" applyNumberFormat="1" applyFont="1" applyFill="1" applyBorder="1" applyAlignment="1">
      <alignment horizontal="center" vertical="center"/>
    </xf>
    <xf numFmtId="3" fontId="3" fillId="3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3" fontId="5" fillId="10" borderId="1" xfId="0" applyNumberFormat="1" applyFont="1" applyFill="1" applyBorder="1" applyAlignment="1">
      <alignment horizontal="center" vertical="center"/>
    </xf>
    <xf numFmtId="3" fontId="3" fillId="20" borderId="12" xfId="0" applyNumberFormat="1" applyFont="1" applyFill="1" applyBorder="1" applyAlignment="1">
      <alignment horizontal="center" vertical="center"/>
    </xf>
    <xf numFmtId="3" fontId="3" fillId="20" borderId="9" xfId="0" applyNumberFormat="1" applyFont="1" applyFill="1" applyBorder="1" applyAlignment="1">
      <alignment horizontal="center" vertical="center"/>
    </xf>
    <xf numFmtId="3" fontId="3" fillId="20" borderId="1" xfId="0" applyNumberFormat="1" applyFont="1" applyFill="1" applyBorder="1" applyAlignment="1">
      <alignment horizontal="center" vertical="center"/>
    </xf>
    <xf numFmtId="3" fontId="3" fillId="5" borderId="82" xfId="2" applyNumberFormat="1" applyFont="1" applyFill="1" applyBorder="1" applyAlignment="1">
      <alignment horizontal="center" vertical="center"/>
    </xf>
    <xf numFmtId="3" fontId="5" fillId="13" borderId="1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0" fontId="25" fillId="0" borderId="0" xfId="7" applyFont="1" applyAlignment="1">
      <alignment horizontal="left" vertical="center"/>
    </xf>
    <xf numFmtId="3" fontId="3" fillId="4" borderId="29" xfId="0" applyNumberFormat="1" applyFont="1" applyFill="1" applyBorder="1" applyAlignment="1">
      <alignment horizontal="center" vertical="center"/>
    </xf>
    <xf numFmtId="3" fontId="3" fillId="4" borderId="31" xfId="0" applyNumberFormat="1" applyFont="1" applyFill="1" applyBorder="1" applyAlignment="1">
      <alignment horizontal="center" vertical="center"/>
    </xf>
    <xf numFmtId="3" fontId="3" fillId="4" borderId="30" xfId="0" applyNumberFormat="1" applyFont="1" applyFill="1" applyBorder="1" applyAlignment="1">
      <alignment horizontal="center" vertical="center"/>
    </xf>
    <xf numFmtId="3" fontId="3" fillId="5" borderId="18" xfId="0" applyNumberFormat="1" applyFont="1" applyFill="1" applyBorder="1" applyAlignment="1">
      <alignment horizontal="center" vertical="center"/>
    </xf>
    <xf numFmtId="3" fontId="3" fillId="5" borderId="19" xfId="0" applyNumberFormat="1" applyFont="1" applyFill="1" applyBorder="1" applyAlignment="1">
      <alignment horizontal="center" vertical="center"/>
    </xf>
    <xf numFmtId="3" fontId="3" fillId="5" borderId="20" xfId="0" applyNumberFormat="1" applyFont="1" applyFill="1" applyBorder="1" applyAlignment="1">
      <alignment horizontal="center" vertical="center"/>
    </xf>
    <xf numFmtId="3" fontId="3" fillId="5" borderId="100" xfId="0" applyNumberFormat="1" applyFont="1" applyFill="1" applyBorder="1" applyAlignment="1">
      <alignment horizontal="center" vertical="center"/>
    </xf>
    <xf numFmtId="3" fontId="3" fillId="5" borderId="108" xfId="2" applyNumberFormat="1" applyFont="1" applyFill="1" applyBorder="1" applyAlignment="1">
      <alignment horizontal="center" vertical="center"/>
    </xf>
    <xf numFmtId="3" fontId="3" fillId="5" borderId="68" xfId="2" applyNumberFormat="1" applyFont="1" applyFill="1" applyBorder="1" applyAlignment="1">
      <alignment horizontal="center" vertical="center"/>
    </xf>
    <xf numFmtId="3" fontId="3" fillId="5" borderId="109" xfId="2" applyNumberFormat="1" applyFont="1" applyFill="1" applyBorder="1" applyAlignment="1">
      <alignment horizontal="center" vertical="center"/>
    </xf>
    <xf numFmtId="3" fontId="3" fillId="18" borderId="70" xfId="0" applyNumberFormat="1" applyFont="1" applyFill="1" applyBorder="1" applyAlignment="1">
      <alignment horizontal="center" vertical="center"/>
    </xf>
    <xf numFmtId="3" fontId="3" fillId="18" borderId="8" xfId="0" applyNumberFormat="1" applyFont="1" applyFill="1" applyBorder="1" applyAlignment="1">
      <alignment horizontal="center" vertical="center"/>
    </xf>
    <xf numFmtId="3" fontId="3" fillId="18" borderId="51" xfId="0" applyNumberFormat="1" applyFont="1" applyFill="1" applyBorder="1" applyAlignment="1">
      <alignment horizontal="center" vertical="center"/>
    </xf>
    <xf numFmtId="3" fontId="3" fillId="5" borderId="29" xfId="2" applyNumberFormat="1" applyFont="1" applyFill="1" applyBorder="1" applyAlignment="1">
      <alignment horizontal="center" vertical="center"/>
    </xf>
    <xf numFmtId="3" fontId="3" fillId="5" borderId="31" xfId="2" applyNumberFormat="1" applyFont="1" applyFill="1" applyBorder="1" applyAlignment="1">
      <alignment horizontal="center" vertical="center"/>
    </xf>
    <xf numFmtId="3" fontId="3" fillId="5" borderId="30" xfId="2" applyNumberFormat="1" applyFont="1" applyFill="1" applyBorder="1" applyAlignment="1">
      <alignment horizontal="center" vertical="center"/>
    </xf>
    <xf numFmtId="3" fontId="3" fillId="5" borderId="110" xfId="2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8" borderId="28" xfId="0" applyNumberFormat="1" applyFont="1" applyFill="1" applyBorder="1" applyAlignment="1">
      <alignment horizontal="center" vertical="center"/>
    </xf>
    <xf numFmtId="3" fontId="3" fillId="32" borderId="27" xfId="0" applyNumberFormat="1" applyFont="1" applyFill="1" applyBorder="1" applyAlignment="1">
      <alignment horizontal="center" vertical="center"/>
    </xf>
    <xf numFmtId="3" fontId="3" fillId="30" borderId="28" xfId="0" applyNumberFormat="1" applyFont="1" applyFill="1" applyBorder="1" applyAlignment="1">
      <alignment horizontal="center" vertical="center"/>
    </xf>
    <xf numFmtId="3" fontId="3" fillId="30" borderId="27" xfId="0" applyNumberFormat="1" applyFont="1" applyFill="1" applyBorder="1" applyAlignment="1">
      <alignment horizontal="center" vertical="center"/>
    </xf>
    <xf numFmtId="3" fontId="4" fillId="0" borderId="110" xfId="0" applyNumberFormat="1" applyFont="1" applyFill="1" applyBorder="1" applyAlignment="1">
      <alignment horizontal="center" vertical="center"/>
    </xf>
    <xf numFmtId="3" fontId="5" fillId="0" borderId="68" xfId="0" applyNumberFormat="1" applyFont="1" applyFill="1" applyBorder="1" applyAlignment="1">
      <alignment horizontal="center" vertical="center"/>
    </xf>
    <xf numFmtId="3" fontId="5" fillId="0" borderId="109" xfId="0" applyNumberFormat="1" applyFont="1" applyFill="1" applyBorder="1" applyAlignment="1">
      <alignment horizontal="center" vertical="center"/>
    </xf>
    <xf numFmtId="3" fontId="10" fillId="5" borderId="60" xfId="0" applyNumberFormat="1" applyFont="1" applyFill="1" applyBorder="1" applyAlignment="1">
      <alignment horizontal="center" vertical="center"/>
    </xf>
    <xf numFmtId="3" fontId="10" fillId="5" borderId="61" xfId="0" applyNumberFormat="1" applyFont="1" applyFill="1" applyBorder="1" applyAlignment="1">
      <alignment horizontal="center" vertical="center"/>
    </xf>
    <xf numFmtId="3" fontId="10" fillId="5" borderId="62" xfId="0" applyNumberFormat="1" applyFont="1" applyFill="1" applyBorder="1" applyAlignment="1">
      <alignment horizontal="center" vertical="center"/>
    </xf>
    <xf numFmtId="3" fontId="8" fillId="5" borderId="29" xfId="0" applyNumberFormat="1" applyFont="1" applyFill="1" applyBorder="1" applyAlignment="1">
      <alignment horizontal="left" vertical="center" wrapText="1"/>
    </xf>
    <xf numFmtId="0" fontId="0" fillId="0" borderId="31" xfId="0" applyBorder="1"/>
    <xf numFmtId="3" fontId="3" fillId="15" borderId="28" xfId="0" applyNumberFormat="1" applyFont="1" applyFill="1" applyBorder="1" applyAlignment="1">
      <alignment horizontal="center" vertical="center" wrapText="1"/>
    </xf>
    <xf numFmtId="3" fontId="3" fillId="15" borderId="27" xfId="0" applyNumberFormat="1" applyFont="1" applyFill="1" applyBorder="1" applyAlignment="1">
      <alignment horizontal="center" vertical="center" wrapText="1"/>
    </xf>
    <xf numFmtId="165" fontId="3" fillId="0" borderId="60" xfId="0" applyNumberFormat="1" applyFont="1" applyFill="1" applyBorder="1" applyAlignment="1">
      <alignment horizontal="center" vertical="center"/>
    </xf>
    <xf numFmtId="165" fontId="3" fillId="0" borderId="63" xfId="0" applyNumberFormat="1" applyFont="1" applyFill="1" applyBorder="1" applyAlignment="1">
      <alignment horizontal="center" vertical="center"/>
    </xf>
    <xf numFmtId="3" fontId="3" fillId="5" borderId="81" xfId="0" applyNumberFormat="1" applyFont="1" applyFill="1" applyBorder="1" applyAlignment="1">
      <alignment horizontal="center" vertical="center"/>
    </xf>
    <xf numFmtId="3" fontId="3" fillId="5" borderId="82" xfId="0" applyNumberFormat="1" applyFont="1" applyFill="1" applyBorder="1" applyAlignment="1">
      <alignment horizontal="center" vertical="center"/>
    </xf>
    <xf numFmtId="3" fontId="3" fillId="5" borderId="83" xfId="0" applyNumberFormat="1" applyFont="1" applyFill="1" applyBorder="1" applyAlignment="1">
      <alignment horizontal="center" vertical="center"/>
    </xf>
    <xf numFmtId="3" fontId="3" fillId="5" borderId="71" xfId="0" applyNumberFormat="1" applyFont="1" applyFill="1" applyBorder="1" applyAlignment="1">
      <alignment horizontal="center" vertical="center"/>
    </xf>
    <xf numFmtId="3" fontId="3" fillId="5" borderId="72" xfId="0" applyNumberFormat="1" applyFont="1" applyFill="1" applyBorder="1" applyAlignment="1">
      <alignment horizontal="center" vertical="center"/>
    </xf>
    <xf numFmtId="3" fontId="3" fillId="5" borderId="73" xfId="0" applyNumberFormat="1" applyFont="1" applyFill="1" applyBorder="1" applyAlignment="1">
      <alignment horizontal="center" vertical="center"/>
    </xf>
    <xf numFmtId="3" fontId="3" fillId="20" borderId="10" xfId="0" applyNumberFormat="1" applyFont="1" applyFill="1" applyBorder="1" applyAlignment="1">
      <alignment horizontal="center" vertical="center"/>
    </xf>
    <xf numFmtId="3" fontId="3" fillId="5" borderId="88" xfId="0" applyNumberFormat="1" applyFont="1" applyFill="1" applyBorder="1" applyAlignment="1">
      <alignment horizontal="center" vertical="center"/>
    </xf>
    <xf numFmtId="3" fontId="5" fillId="10" borderId="91" xfId="0" applyNumberFormat="1" applyFont="1" applyFill="1" applyBorder="1" applyAlignment="1">
      <alignment horizontal="center" vertical="center"/>
    </xf>
    <xf numFmtId="3" fontId="5" fillId="10" borderId="92" xfId="0" applyNumberFormat="1" applyFont="1" applyFill="1" applyBorder="1" applyAlignment="1">
      <alignment horizontal="center" vertical="center"/>
    </xf>
    <xf numFmtId="3" fontId="5" fillId="8" borderId="92" xfId="0" applyNumberFormat="1" applyFont="1" applyFill="1" applyBorder="1" applyAlignment="1">
      <alignment horizontal="center" vertical="center"/>
    </xf>
    <xf numFmtId="3" fontId="5" fillId="8" borderId="93" xfId="0" applyNumberFormat="1" applyFont="1" applyFill="1" applyBorder="1" applyAlignment="1">
      <alignment horizontal="center" vertical="center"/>
    </xf>
    <xf numFmtId="3" fontId="5" fillId="8" borderId="107" xfId="0" applyNumberFormat="1" applyFont="1" applyFill="1" applyBorder="1" applyAlignment="1">
      <alignment horizontal="center" vertical="center"/>
    </xf>
    <xf numFmtId="3" fontId="5" fillId="0" borderId="63" xfId="0" applyNumberFormat="1" applyFont="1" applyFill="1" applyBorder="1" applyAlignment="1">
      <alignment horizontal="center" vertical="center"/>
    </xf>
    <xf numFmtId="3" fontId="5" fillId="0" borderId="64" xfId="0" applyNumberFormat="1" applyFont="1" applyFill="1" applyBorder="1" applyAlignment="1">
      <alignment horizontal="center" vertical="center"/>
    </xf>
    <xf numFmtId="3" fontId="5" fillId="0" borderId="54" xfId="0" applyNumberFormat="1" applyFont="1" applyFill="1" applyBorder="1" applyAlignment="1">
      <alignment horizontal="center" vertical="center"/>
    </xf>
    <xf numFmtId="3" fontId="4" fillId="0" borderId="78" xfId="0" applyNumberFormat="1" applyFont="1" applyFill="1" applyBorder="1" applyAlignment="1">
      <alignment horizontal="center" vertical="center" wrapText="1" readingOrder="1"/>
    </xf>
    <xf numFmtId="0" fontId="0" fillId="0" borderId="78" xfId="0" applyBorder="1" applyAlignment="1">
      <alignment horizontal="center" vertical="center" wrapText="1" readingOrder="1"/>
    </xf>
    <xf numFmtId="3" fontId="4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Border="1" applyAlignment="1">
      <alignment horizontal="center" vertical="center" wrapText="1" readingOrder="1"/>
    </xf>
    <xf numFmtId="0" fontId="0" fillId="0" borderId="0" xfId="0" applyAlignment="1">
      <alignment horizontal="center" vertical="center" wrapText="1" readingOrder="1"/>
    </xf>
    <xf numFmtId="3" fontId="4" fillId="0" borderId="0" xfId="0" applyNumberFormat="1" applyFont="1" applyFill="1" applyBorder="1" applyAlignment="1">
      <alignment horizontal="center" vertical="center" readingOrder="1"/>
    </xf>
    <xf numFmtId="3" fontId="4" fillId="0" borderId="79" xfId="0" applyNumberFormat="1" applyFont="1" applyFill="1" applyBorder="1" applyAlignment="1">
      <alignment horizontal="center" vertical="center" wrapText="1" readingOrder="1"/>
    </xf>
    <xf numFmtId="3" fontId="4" fillId="28" borderId="16" xfId="0" applyNumberFormat="1" applyFont="1" applyFill="1" applyBorder="1" applyAlignment="1">
      <alignment horizontal="center" vertical="top" wrapText="1"/>
    </xf>
    <xf numFmtId="3" fontId="4" fillId="28" borderId="8" xfId="0" applyNumberFormat="1" applyFont="1" applyFill="1" applyBorder="1" applyAlignment="1">
      <alignment horizontal="center" vertical="top" wrapText="1"/>
    </xf>
    <xf numFmtId="3" fontId="16" fillId="5" borderId="96" xfId="0" applyNumberFormat="1" applyFont="1" applyFill="1" applyBorder="1" applyAlignment="1">
      <alignment horizontal="center" vertical="center"/>
    </xf>
    <xf numFmtId="3" fontId="16" fillId="5" borderId="82" xfId="0" applyNumberFormat="1" applyFont="1" applyFill="1" applyBorder="1" applyAlignment="1">
      <alignment horizontal="center" vertical="center"/>
    </xf>
    <xf numFmtId="3" fontId="16" fillId="5" borderId="83" xfId="0" applyNumberFormat="1" applyFont="1" applyFill="1" applyBorder="1" applyAlignment="1">
      <alignment horizontal="center" vertical="center"/>
    </xf>
    <xf numFmtId="3" fontId="15" fillId="0" borderId="106" xfId="0" applyNumberFormat="1" applyFont="1" applyFill="1" applyBorder="1" applyAlignment="1">
      <alignment horizontal="center" vertical="center" wrapText="1"/>
    </xf>
    <xf numFmtId="3" fontId="15" fillId="0" borderId="55" xfId="0" applyNumberFormat="1" applyFont="1" applyFill="1" applyBorder="1" applyAlignment="1">
      <alignment horizontal="center" vertical="center" wrapText="1"/>
    </xf>
    <xf numFmtId="3" fontId="15" fillId="0" borderId="99" xfId="0" applyNumberFormat="1" applyFont="1" applyFill="1" applyBorder="1" applyAlignment="1">
      <alignment horizontal="center" vertical="center" wrapText="1"/>
    </xf>
    <xf numFmtId="3" fontId="16" fillId="28" borderId="70" xfId="0" applyNumberFormat="1" applyFont="1" applyFill="1" applyBorder="1" applyAlignment="1">
      <alignment horizontal="left" vertical="top"/>
    </xf>
    <xf numFmtId="3" fontId="16" fillId="28" borderId="8" xfId="0" applyNumberFormat="1" applyFont="1" applyFill="1" applyBorder="1" applyAlignment="1">
      <alignment horizontal="left" vertical="top"/>
    </xf>
    <xf numFmtId="3" fontId="16" fillId="28" borderId="51" xfId="0" applyNumberFormat="1" applyFont="1" applyFill="1" applyBorder="1" applyAlignment="1">
      <alignment horizontal="left" vertical="top"/>
    </xf>
    <xf numFmtId="3" fontId="16" fillId="28" borderId="29" xfId="0" applyNumberFormat="1" applyFont="1" applyFill="1" applyBorder="1" applyAlignment="1">
      <alignment horizontal="left" vertical="top"/>
    </xf>
    <xf numFmtId="3" fontId="16" fillId="28" borderId="31" xfId="0" applyNumberFormat="1" applyFont="1" applyFill="1" applyBorder="1" applyAlignment="1">
      <alignment horizontal="left" vertical="top"/>
    </xf>
    <xf numFmtId="3" fontId="16" fillId="28" borderId="30" xfId="0" applyNumberFormat="1" applyFont="1" applyFill="1" applyBorder="1" applyAlignment="1">
      <alignment horizontal="left" vertical="top"/>
    </xf>
    <xf numFmtId="3" fontId="16" fillId="28" borderId="12" xfId="0" applyNumberFormat="1" applyFont="1" applyFill="1" applyBorder="1" applyAlignment="1">
      <alignment horizontal="left" vertical="top"/>
    </xf>
    <xf numFmtId="3" fontId="16" fillId="28" borderId="1" xfId="0" applyNumberFormat="1" applyFont="1" applyFill="1" applyBorder="1" applyAlignment="1">
      <alignment horizontal="left" vertical="top"/>
    </xf>
    <xf numFmtId="3" fontId="16" fillId="28" borderId="10" xfId="0" applyNumberFormat="1" applyFont="1" applyFill="1" applyBorder="1" applyAlignment="1">
      <alignment horizontal="left" vertical="top"/>
    </xf>
    <xf numFmtId="3" fontId="16" fillId="28" borderId="94" xfId="0" applyNumberFormat="1" applyFont="1" applyFill="1" applyBorder="1" applyAlignment="1">
      <alignment horizontal="left" vertical="top"/>
    </xf>
    <xf numFmtId="3" fontId="16" fillId="28" borderId="85" xfId="0" applyNumberFormat="1" applyFont="1" applyFill="1" applyBorder="1" applyAlignment="1">
      <alignment horizontal="left" vertical="top"/>
    </xf>
    <xf numFmtId="3" fontId="16" fillId="28" borderId="95" xfId="0" applyNumberFormat="1" applyFont="1" applyFill="1" applyBorder="1" applyAlignment="1">
      <alignment horizontal="left" vertical="top"/>
    </xf>
    <xf numFmtId="3" fontId="16" fillId="5" borderId="106" xfId="0" applyNumberFormat="1" applyFont="1" applyFill="1" applyBorder="1" applyAlignment="1">
      <alignment horizontal="center" vertical="center"/>
    </xf>
    <xf numFmtId="3" fontId="16" fillId="5" borderId="79" xfId="0" applyNumberFormat="1" applyFont="1" applyFill="1" applyBorder="1" applyAlignment="1">
      <alignment horizontal="center" vertical="center"/>
    </xf>
    <xf numFmtId="3" fontId="16" fillId="5" borderId="102" xfId="0" applyNumberFormat="1" applyFont="1" applyFill="1" applyBorder="1" applyAlignment="1">
      <alignment horizontal="center" vertical="center"/>
    </xf>
    <xf numFmtId="165" fontId="16" fillId="0" borderId="85" xfId="0" applyNumberFormat="1" applyFont="1" applyFill="1" applyBorder="1" applyAlignment="1">
      <alignment horizontal="center" vertical="center"/>
    </xf>
    <xf numFmtId="165" fontId="16" fillId="0" borderId="82" xfId="0" applyNumberFormat="1" applyFont="1" applyFill="1" applyBorder="1" applyAlignment="1">
      <alignment horizontal="center" vertical="center"/>
    </xf>
    <xf numFmtId="165" fontId="16" fillId="0" borderId="19" xfId="0" applyNumberFormat="1" applyFont="1" applyFill="1" applyBorder="1" applyAlignment="1">
      <alignment horizontal="center" vertical="center"/>
    </xf>
    <xf numFmtId="3" fontId="16" fillId="28" borderId="55" xfId="0" applyNumberFormat="1" applyFont="1" applyFill="1" applyBorder="1" applyAlignment="1">
      <alignment horizontal="left" vertical="top"/>
    </xf>
    <xf numFmtId="3" fontId="16" fillId="28" borderId="0" xfId="0" applyNumberFormat="1" applyFont="1" applyFill="1" applyBorder="1" applyAlignment="1">
      <alignment horizontal="left" vertical="top"/>
    </xf>
    <xf numFmtId="3" fontId="16" fillId="28" borderId="52" xfId="0" applyNumberFormat="1" applyFont="1" applyFill="1" applyBorder="1" applyAlignment="1">
      <alignment horizontal="left" vertical="top"/>
    </xf>
    <xf numFmtId="3" fontId="16" fillId="16" borderId="86" xfId="0" applyNumberFormat="1" applyFont="1" applyFill="1" applyBorder="1" applyAlignment="1">
      <alignment horizontal="center" vertical="center"/>
    </xf>
    <xf numFmtId="3" fontId="16" fillId="16" borderId="79" xfId="0" applyNumberFormat="1" applyFont="1" applyFill="1" applyBorder="1" applyAlignment="1">
      <alignment horizontal="center" vertical="center"/>
    </xf>
    <xf numFmtId="3" fontId="16" fillId="16" borderId="97" xfId="0" applyNumberFormat="1" applyFont="1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3" fillId="0" borderId="61" xfId="0" applyNumberFormat="1" applyFont="1" applyFill="1" applyBorder="1" applyAlignment="1">
      <alignment horizontal="center" vertical="center"/>
    </xf>
    <xf numFmtId="0" fontId="0" fillId="0" borderId="61" xfId="0" applyBorder="1"/>
    <xf numFmtId="3" fontId="15" fillId="30" borderId="28" xfId="0" applyNumberFormat="1" applyFont="1" applyFill="1" applyBorder="1" applyAlignment="1">
      <alignment horizontal="center" vertical="center"/>
    </xf>
    <xf numFmtId="3" fontId="15" fillId="30" borderId="27" xfId="0" applyNumberFormat="1" applyFont="1" applyFill="1" applyBorder="1" applyAlignment="1">
      <alignment horizontal="center" vertical="center"/>
    </xf>
    <xf numFmtId="3" fontId="4" fillId="0" borderId="87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86" xfId="0" applyNumberFormat="1" applyFont="1" applyFill="1" applyBorder="1" applyAlignment="1">
      <alignment horizontal="center" vertical="center"/>
    </xf>
    <xf numFmtId="3" fontId="4" fillId="0" borderId="79" xfId="0" applyNumberFormat="1" applyFont="1" applyFill="1" applyBorder="1" applyAlignment="1">
      <alignment horizontal="center" vertical="center"/>
    </xf>
    <xf numFmtId="3" fontId="3" fillId="0" borderId="99" xfId="0" applyNumberFormat="1" applyFont="1" applyFill="1" applyBorder="1" applyAlignment="1">
      <alignment horizontal="center" vertical="center"/>
    </xf>
    <xf numFmtId="0" fontId="0" fillId="0" borderId="78" xfId="0" applyBorder="1"/>
    <xf numFmtId="3" fontId="3" fillId="25" borderId="29" xfId="0" applyNumberFormat="1" applyFont="1" applyFill="1" applyBorder="1" applyAlignment="1">
      <alignment horizontal="center" vertical="center" wrapText="1"/>
    </xf>
    <xf numFmtId="3" fontId="3" fillId="25" borderId="31" xfId="0" applyNumberFormat="1" applyFont="1" applyFill="1" applyBorder="1" applyAlignment="1">
      <alignment horizontal="center" vertical="center" wrapText="1"/>
    </xf>
    <xf numFmtId="3" fontId="3" fillId="25" borderId="30" xfId="0" applyNumberFormat="1" applyFont="1" applyFill="1" applyBorder="1" applyAlignment="1">
      <alignment horizontal="center" vertical="center" wrapText="1"/>
    </xf>
    <xf numFmtId="3" fontId="15" fillId="10" borderId="91" xfId="0" applyNumberFormat="1" applyFont="1" applyFill="1" applyBorder="1" applyAlignment="1">
      <alignment horizontal="center" vertical="center"/>
    </xf>
    <xf numFmtId="3" fontId="15" fillId="10" borderId="92" xfId="0" applyNumberFormat="1" applyFont="1" applyFill="1" applyBorder="1" applyAlignment="1">
      <alignment horizontal="center" vertical="center"/>
    </xf>
    <xf numFmtId="3" fontId="16" fillId="20" borderId="29" xfId="0" applyNumberFormat="1" applyFont="1" applyFill="1" applyBorder="1" applyAlignment="1">
      <alignment horizontal="center" vertical="center"/>
    </xf>
    <xf numFmtId="3" fontId="16" fillId="20" borderId="31" xfId="0" applyNumberFormat="1" applyFont="1" applyFill="1" applyBorder="1" applyAlignment="1">
      <alignment horizontal="center" vertical="center"/>
    </xf>
    <xf numFmtId="3" fontId="16" fillId="20" borderId="30" xfId="0" applyNumberFormat="1" applyFont="1" applyFill="1" applyBorder="1" applyAlignment="1">
      <alignment horizontal="center" vertical="center"/>
    </xf>
    <xf numFmtId="3" fontId="15" fillId="10" borderId="89" xfId="0" applyNumberFormat="1" applyFont="1" applyFill="1" applyBorder="1" applyAlignment="1">
      <alignment horizontal="center" vertical="center"/>
    </xf>
    <xf numFmtId="3" fontId="15" fillId="10" borderId="90" xfId="0" applyNumberFormat="1" applyFont="1" applyFill="1" applyBorder="1" applyAlignment="1">
      <alignment horizontal="center" vertical="center"/>
    </xf>
    <xf numFmtId="3" fontId="15" fillId="8" borderId="90" xfId="0" applyNumberFormat="1" applyFont="1" applyFill="1" applyBorder="1" applyAlignment="1">
      <alignment horizontal="center" vertical="center"/>
    </xf>
    <xf numFmtId="3" fontId="15" fillId="8" borderId="98" xfId="0" applyNumberFormat="1" applyFont="1" applyFill="1" applyBorder="1" applyAlignment="1">
      <alignment horizontal="center" vertical="center"/>
    </xf>
    <xf numFmtId="3" fontId="15" fillId="5" borderId="0" xfId="0" applyNumberFormat="1" applyFont="1" applyFill="1" applyBorder="1" applyAlignment="1">
      <alignment horizontal="center" vertical="center" wrapText="1"/>
    </xf>
    <xf numFmtId="3" fontId="15" fillId="5" borderId="78" xfId="0" applyNumberFormat="1" applyFont="1" applyFill="1" applyBorder="1" applyAlignment="1">
      <alignment horizontal="center" vertical="center" wrapText="1"/>
    </xf>
    <xf numFmtId="0" fontId="20" fillId="16" borderId="16" xfId="0" applyFont="1" applyFill="1" applyBorder="1" applyAlignment="1">
      <alignment horizontal="center" vertical="top" wrapText="1"/>
    </xf>
    <xf numFmtId="0" fontId="20" fillId="16" borderId="8" xfId="0" applyFont="1" applyFill="1" applyBorder="1" applyAlignment="1">
      <alignment horizontal="center" vertical="top" wrapText="1"/>
    </xf>
    <xf numFmtId="3" fontId="15" fillId="8" borderId="92" xfId="0" applyNumberFormat="1" applyFont="1" applyFill="1" applyBorder="1" applyAlignment="1">
      <alignment horizontal="center" vertical="center"/>
    </xf>
    <xf numFmtId="3" fontId="15" fillId="8" borderId="93" xfId="0" applyNumberFormat="1" applyFont="1" applyFill="1" applyBorder="1" applyAlignment="1">
      <alignment horizontal="center" vertical="center"/>
    </xf>
    <xf numFmtId="3" fontId="15" fillId="8" borderId="107" xfId="0" applyNumberFormat="1" applyFont="1" applyFill="1" applyBorder="1" applyAlignment="1">
      <alignment horizontal="center" vertical="center"/>
    </xf>
    <xf numFmtId="3" fontId="16" fillId="27" borderId="110" xfId="2" applyNumberFormat="1" applyFont="1" applyFill="1" applyBorder="1" applyAlignment="1">
      <alignment horizontal="center" vertical="top"/>
    </xf>
    <xf numFmtId="3" fontId="16" fillId="27" borderId="68" xfId="2" applyNumberFormat="1" applyFont="1" applyFill="1" applyBorder="1" applyAlignment="1">
      <alignment horizontal="center" vertical="top"/>
    </xf>
    <xf numFmtId="3" fontId="16" fillId="27" borderId="109" xfId="2" applyNumberFormat="1" applyFont="1" applyFill="1" applyBorder="1" applyAlignment="1">
      <alignment horizontal="center" vertical="top"/>
    </xf>
    <xf numFmtId="3" fontId="16" fillId="27" borderId="110" xfId="2" applyNumberFormat="1" applyFont="1" applyFill="1" applyBorder="1" applyAlignment="1">
      <alignment horizontal="left" vertical="top"/>
    </xf>
    <xf numFmtId="3" fontId="16" fillId="27" borderId="68" xfId="2" applyNumberFormat="1" applyFont="1" applyFill="1" applyBorder="1" applyAlignment="1">
      <alignment horizontal="left" vertical="top"/>
    </xf>
    <xf numFmtId="3" fontId="16" fillId="27" borderId="109" xfId="2" applyNumberFormat="1" applyFont="1" applyFill="1" applyBorder="1" applyAlignment="1">
      <alignment horizontal="left" vertical="top"/>
    </xf>
    <xf numFmtId="3" fontId="16" fillId="27" borderId="108" xfId="2" applyNumberFormat="1" applyFont="1" applyFill="1" applyBorder="1" applyAlignment="1">
      <alignment horizontal="left" vertical="top"/>
    </xf>
    <xf numFmtId="3" fontId="0" fillId="0" borderId="66" xfId="0" applyNumberFormat="1" applyBorder="1" applyAlignment="1">
      <alignment horizontal="center" vertical="center"/>
    </xf>
    <xf numFmtId="3" fontId="16" fillId="26" borderId="94" xfId="0" applyNumberFormat="1" applyFont="1" applyFill="1" applyBorder="1" applyAlignment="1">
      <alignment horizontal="center" vertical="center"/>
    </xf>
    <xf numFmtId="3" fontId="16" fillId="26" borderId="85" xfId="0" applyNumberFormat="1" applyFont="1" applyFill="1" applyBorder="1" applyAlignment="1">
      <alignment horizontal="center" vertical="center"/>
    </xf>
    <xf numFmtId="3" fontId="16" fillId="26" borderId="95" xfId="0" applyNumberFormat="1" applyFont="1" applyFill="1" applyBorder="1" applyAlignment="1">
      <alignment horizontal="center" vertical="center"/>
    </xf>
    <xf numFmtId="3" fontId="16" fillId="0" borderId="28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5" fillId="0" borderId="110" xfId="0" applyNumberFormat="1" applyFont="1" applyFill="1" applyBorder="1" applyAlignment="1">
      <alignment horizontal="center" vertical="center"/>
    </xf>
    <xf numFmtId="3" fontId="15" fillId="0" borderId="68" xfId="0" applyNumberFormat="1" applyFont="1" applyFill="1" applyBorder="1" applyAlignment="1">
      <alignment horizontal="center" vertical="center"/>
    </xf>
    <xf numFmtId="3" fontId="15" fillId="0" borderId="109" xfId="0" applyNumberFormat="1" applyFont="1" applyFill="1" applyBorder="1" applyAlignment="1">
      <alignment horizontal="center" vertical="center"/>
    </xf>
    <xf numFmtId="3" fontId="15" fillId="0" borderId="29" xfId="0" applyNumberFormat="1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8" xfId="0" applyBorder="1" applyAlignment="1">
      <alignment horizontal="center" vertical="top" wrapText="1"/>
    </xf>
    <xf numFmtId="3" fontId="15" fillId="15" borderId="28" xfId="0" applyNumberFormat="1" applyFont="1" applyFill="1" applyBorder="1" applyAlignment="1">
      <alignment horizontal="center" vertical="center" wrapText="1"/>
    </xf>
    <xf numFmtId="3" fontId="15" fillId="15" borderId="27" xfId="0" applyNumberFormat="1" applyFont="1" applyFill="1" applyBorder="1" applyAlignment="1">
      <alignment horizontal="center" vertical="center" wrapText="1"/>
    </xf>
    <xf numFmtId="165" fontId="16" fillId="0" borderId="60" xfId="0" applyNumberFormat="1" applyFont="1" applyFill="1" applyBorder="1" applyAlignment="1">
      <alignment horizontal="center" vertical="center"/>
    </xf>
    <xf numFmtId="165" fontId="16" fillId="0" borderId="63" xfId="0" applyNumberFormat="1" applyFont="1" applyFill="1" applyBorder="1" applyAlignment="1">
      <alignment horizontal="center" vertical="center"/>
    </xf>
    <xf numFmtId="3" fontId="15" fillId="27" borderId="106" xfId="0" applyNumberFormat="1" applyFont="1" applyFill="1" applyBorder="1" applyAlignment="1">
      <alignment horizontal="center" vertical="top" wrapText="1" readingOrder="1"/>
    </xf>
    <xf numFmtId="3" fontId="15" fillId="27" borderId="79" xfId="0" applyNumberFormat="1" applyFont="1" applyFill="1" applyBorder="1" applyAlignment="1">
      <alignment horizontal="center" vertical="top" wrapText="1" readingOrder="1"/>
    </xf>
    <xf numFmtId="3" fontId="4" fillId="28" borderId="16" xfId="0" applyNumberFormat="1" applyFont="1" applyFill="1" applyBorder="1" applyAlignment="1">
      <alignment horizontal="center" vertical="top"/>
    </xf>
    <xf numFmtId="3" fontId="4" fillId="28" borderId="8" xfId="0" applyNumberFormat="1" applyFont="1" applyFill="1" applyBorder="1" applyAlignment="1">
      <alignment horizontal="center" vertical="top"/>
    </xf>
    <xf numFmtId="3" fontId="15" fillId="16" borderId="16" xfId="0" applyNumberFormat="1" applyFont="1" applyFill="1" applyBorder="1" applyAlignment="1">
      <alignment horizontal="center" vertical="top" wrapText="1"/>
    </xf>
    <xf numFmtId="3" fontId="15" fillId="16" borderId="8" xfId="0" applyNumberFormat="1" applyFont="1" applyFill="1" applyBorder="1" applyAlignment="1">
      <alignment horizontal="center" vertical="top" wrapText="1"/>
    </xf>
    <xf numFmtId="3" fontId="3" fillId="27" borderId="16" xfId="0" applyNumberFormat="1" applyFont="1" applyFill="1" applyBorder="1" applyAlignment="1">
      <alignment horizontal="center" wrapText="1" readingOrder="1"/>
    </xf>
    <xf numFmtId="3" fontId="3" fillId="27" borderId="8" xfId="0" applyNumberFormat="1" applyFont="1" applyFill="1" applyBorder="1" applyAlignment="1">
      <alignment horizontal="center" wrapText="1" readingOrder="1"/>
    </xf>
    <xf numFmtId="3" fontId="16" fillId="5" borderId="78" xfId="0" applyNumberFormat="1" applyFont="1" applyFill="1" applyBorder="1" applyAlignment="1">
      <alignment horizontal="center" vertical="center"/>
    </xf>
    <xf numFmtId="165" fontId="16" fillId="0" borderId="79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165" fontId="16" fillId="0" borderId="78" xfId="0" applyNumberFormat="1" applyFont="1" applyFill="1" applyBorder="1" applyAlignment="1">
      <alignment horizontal="center" vertical="center"/>
    </xf>
    <xf numFmtId="3" fontId="16" fillId="28" borderId="16" xfId="0" applyNumberFormat="1" applyFont="1" applyFill="1" applyBorder="1" applyAlignment="1">
      <alignment horizontal="center" vertical="top" wrapText="1"/>
    </xf>
    <xf numFmtId="0" fontId="0" fillId="0" borderId="51" xfId="0" applyBorder="1" applyAlignment="1">
      <alignment horizontal="center" vertical="top" wrapText="1"/>
    </xf>
    <xf numFmtId="3" fontId="3" fillId="28" borderId="16" xfId="0" applyNumberFormat="1" applyFont="1" applyFill="1" applyBorder="1" applyAlignment="1">
      <alignment horizontal="center" vertical="top" wrapText="1"/>
    </xf>
    <xf numFmtId="3" fontId="3" fillId="28" borderId="8" xfId="0" applyNumberFormat="1" applyFont="1" applyFill="1" applyBorder="1" applyAlignment="1">
      <alignment horizontal="center" vertical="top" wrapText="1"/>
    </xf>
    <xf numFmtId="3" fontId="3" fillId="28" borderId="55" xfId="0" applyNumberFormat="1" applyFont="1" applyFill="1" applyBorder="1" applyAlignment="1">
      <alignment horizontal="center" vertical="top" wrapText="1"/>
    </xf>
    <xf numFmtId="3" fontId="3" fillId="28" borderId="0" xfId="0" applyNumberFormat="1" applyFont="1" applyFill="1" applyBorder="1" applyAlignment="1">
      <alignment horizontal="center" vertical="top" wrapText="1"/>
    </xf>
    <xf numFmtId="3" fontId="3" fillId="28" borderId="52" xfId="0" applyNumberFormat="1" applyFont="1" applyFill="1" applyBorder="1" applyAlignment="1">
      <alignment horizontal="center" vertical="top" wrapText="1"/>
    </xf>
    <xf numFmtId="3" fontId="3" fillId="28" borderId="63" xfId="0" applyNumberFormat="1" applyFont="1" applyFill="1" applyBorder="1" applyAlignment="1">
      <alignment horizontal="center" vertical="top" wrapText="1"/>
    </xf>
    <xf numFmtId="3" fontId="3" fillId="28" borderId="64" xfId="0" applyNumberFormat="1" applyFont="1" applyFill="1" applyBorder="1" applyAlignment="1">
      <alignment horizontal="center" vertical="top" wrapText="1"/>
    </xf>
    <xf numFmtId="3" fontId="3" fillId="28" borderId="54" xfId="0" applyNumberFormat="1" applyFont="1" applyFill="1" applyBorder="1" applyAlignment="1">
      <alignment horizontal="center" vertical="top" wrapText="1"/>
    </xf>
    <xf numFmtId="165" fontId="16" fillId="0" borderId="86" xfId="0" applyNumberFormat="1" applyFont="1" applyFill="1" applyBorder="1" applyAlignment="1">
      <alignment horizontal="center" vertical="center"/>
    </xf>
    <xf numFmtId="165" fontId="16" fillId="0" borderId="87" xfId="0" applyNumberFormat="1" applyFont="1" applyFill="1" applyBorder="1" applyAlignment="1">
      <alignment horizontal="center" vertical="center"/>
    </xf>
    <xf numFmtId="165" fontId="16" fillId="0" borderId="88" xfId="0" applyNumberFormat="1" applyFont="1" applyFill="1" applyBorder="1" applyAlignment="1">
      <alignment horizontal="center" vertical="center"/>
    </xf>
    <xf numFmtId="3" fontId="3" fillId="27" borderId="16" xfId="0" applyNumberFormat="1" applyFont="1" applyFill="1" applyBorder="1" applyAlignment="1">
      <alignment horizontal="center" vertical="top" wrapText="1" readingOrder="1"/>
    </xf>
    <xf numFmtId="3" fontId="3" fillId="27" borderId="8" xfId="0" applyNumberFormat="1" applyFont="1" applyFill="1" applyBorder="1" applyAlignment="1">
      <alignment horizontal="center" vertical="top" wrapText="1" readingOrder="1"/>
    </xf>
    <xf numFmtId="3" fontId="3" fillId="16" borderId="86" xfId="0" applyNumberFormat="1" applyFont="1" applyFill="1" applyBorder="1" applyAlignment="1">
      <alignment horizontal="center" vertical="top" wrapText="1"/>
    </xf>
    <xf numFmtId="3" fontId="3" fillId="16" borderId="79" xfId="0" applyNumberFormat="1" applyFont="1" applyFill="1" applyBorder="1" applyAlignment="1">
      <alignment horizontal="center" vertical="top" wrapText="1"/>
    </xf>
    <xf numFmtId="3" fontId="3" fillId="16" borderId="88" xfId="0" applyNumberFormat="1" applyFont="1" applyFill="1" applyBorder="1" applyAlignment="1">
      <alignment horizontal="center" vertical="top" wrapText="1"/>
    </xf>
    <xf numFmtId="3" fontId="3" fillId="16" borderId="78" xfId="0" applyNumberFormat="1" applyFont="1" applyFill="1" applyBorder="1" applyAlignment="1">
      <alignment horizontal="center" vertical="top" wrapText="1"/>
    </xf>
    <xf numFmtId="3" fontId="16" fillId="5" borderId="106" xfId="0" applyNumberFormat="1" applyFont="1" applyFill="1" applyBorder="1" applyAlignment="1">
      <alignment horizontal="center" vertical="center" wrapText="1"/>
    </xf>
    <xf numFmtId="3" fontId="16" fillId="5" borderId="79" xfId="0" applyNumberFormat="1" applyFont="1" applyFill="1" applyBorder="1" applyAlignment="1">
      <alignment horizontal="center" vertical="center" wrapText="1"/>
    </xf>
    <xf numFmtId="3" fontId="16" fillId="5" borderId="102" xfId="0" applyNumberFormat="1" applyFont="1" applyFill="1" applyBorder="1" applyAlignment="1">
      <alignment horizontal="center" vertical="center" wrapText="1"/>
    </xf>
    <xf numFmtId="3" fontId="15" fillId="16" borderId="85" xfId="0" applyNumberFormat="1" applyFont="1" applyFill="1" applyBorder="1" applyAlignment="1">
      <alignment horizontal="center" vertical="top"/>
    </xf>
    <xf numFmtId="3" fontId="15" fillId="16" borderId="19" xfId="0" applyNumberFormat="1" applyFont="1" applyFill="1" applyBorder="1" applyAlignment="1">
      <alignment horizontal="center" vertical="top"/>
    </xf>
    <xf numFmtId="165" fontId="16" fillId="0" borderId="90" xfId="0" applyNumberFormat="1" applyFont="1" applyFill="1" applyBorder="1" applyAlignment="1">
      <alignment horizontal="center" vertical="center"/>
    </xf>
    <xf numFmtId="3" fontId="15" fillId="27" borderId="16" xfId="0" applyNumberFormat="1" applyFont="1" applyFill="1" applyBorder="1" applyAlignment="1">
      <alignment horizontal="center" vertical="top" wrapText="1" readingOrder="1"/>
    </xf>
    <xf numFmtId="3" fontId="15" fillId="27" borderId="8" xfId="0" applyNumberFormat="1" applyFont="1" applyFill="1" applyBorder="1" applyAlignment="1">
      <alignment horizontal="center" vertical="top" wrapText="1" readingOrder="1"/>
    </xf>
    <xf numFmtId="3" fontId="15" fillId="27" borderId="106" xfId="0" applyNumberFormat="1" applyFont="1" applyFill="1" applyBorder="1" applyAlignment="1">
      <alignment horizontal="center" wrapText="1" readingOrder="1"/>
    </xf>
    <xf numFmtId="3" fontId="15" fillId="27" borderId="79" xfId="0" applyNumberFormat="1" applyFont="1" applyFill="1" applyBorder="1" applyAlignment="1">
      <alignment horizontal="center" wrapText="1" readingOrder="1"/>
    </xf>
    <xf numFmtId="3" fontId="16" fillId="27" borderId="12" xfId="2" applyNumberFormat="1" applyFont="1" applyFill="1" applyBorder="1" applyAlignment="1">
      <alignment horizontal="center" vertical="top"/>
    </xf>
    <xf numFmtId="3" fontId="16" fillId="27" borderId="1" xfId="2" applyNumberFormat="1" applyFont="1" applyFill="1" applyBorder="1" applyAlignment="1">
      <alignment horizontal="center" vertical="top"/>
    </xf>
    <xf numFmtId="3" fontId="16" fillId="27" borderId="10" xfId="2" applyNumberFormat="1" applyFont="1" applyFill="1" applyBorder="1" applyAlignment="1">
      <alignment horizontal="center" vertical="top"/>
    </xf>
    <xf numFmtId="3" fontId="16" fillId="25" borderId="110" xfId="2" applyNumberFormat="1" applyFont="1" applyFill="1" applyBorder="1" applyAlignment="1">
      <alignment horizontal="center" vertical="center"/>
    </xf>
    <xf numFmtId="3" fontId="16" fillId="25" borderId="68" xfId="2" applyNumberFormat="1" applyFont="1" applyFill="1" applyBorder="1" applyAlignment="1">
      <alignment horizontal="center" vertical="center"/>
    </xf>
    <xf numFmtId="3" fontId="16" fillId="25" borderId="109" xfId="2" applyNumberFormat="1" applyFont="1" applyFill="1" applyBorder="1" applyAlignment="1">
      <alignment horizontal="center" vertical="center"/>
    </xf>
    <xf numFmtId="3" fontId="4" fillId="25" borderId="79" xfId="0" applyNumberFormat="1" applyFont="1" applyFill="1" applyBorder="1" applyAlignment="1">
      <alignment horizontal="center" vertical="center" wrapText="1" readingOrder="1"/>
    </xf>
    <xf numFmtId="3" fontId="4" fillId="0" borderId="81" xfId="0" applyNumberFormat="1" applyFont="1" applyFill="1" applyBorder="1" applyAlignment="1">
      <alignment horizontal="center" vertical="center" wrapText="1" readingOrder="1"/>
    </xf>
    <xf numFmtId="3" fontId="15" fillId="13" borderId="8" xfId="0" applyNumberFormat="1" applyFont="1" applyFill="1" applyBorder="1" applyAlignment="1">
      <alignment horizontal="center" vertical="center"/>
    </xf>
    <xf numFmtId="3" fontId="16" fillId="16" borderId="79" xfId="0" applyNumberFormat="1" applyFont="1" applyFill="1" applyBorder="1" applyAlignment="1">
      <alignment horizontal="center" vertical="top"/>
    </xf>
    <xf numFmtId="3" fontId="15" fillId="16" borderId="85" xfId="0" applyNumberFormat="1" applyFont="1" applyFill="1" applyBorder="1" applyAlignment="1">
      <alignment horizontal="center" vertical="center"/>
    </xf>
    <xf numFmtId="3" fontId="15" fillId="16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5" fillId="13" borderId="29" xfId="0" applyFont="1" applyFill="1" applyBorder="1" applyAlignment="1">
      <alignment horizontal="left" vertical="center" wrapText="1"/>
    </xf>
    <xf numFmtId="0" fontId="22" fillId="13" borderId="31" xfId="0" applyFont="1" applyFill="1" applyBorder="1" applyAlignment="1">
      <alignment horizontal="left" vertical="center" wrapText="1"/>
    </xf>
    <xf numFmtId="0" fontId="22" fillId="13" borderId="30" xfId="0" applyFont="1" applyFill="1" applyBorder="1" applyAlignment="1">
      <alignment horizontal="left" vertical="center" wrapText="1"/>
    </xf>
    <xf numFmtId="0" fontId="29" fillId="13" borderId="29" xfId="0" applyFont="1" applyFill="1" applyBorder="1" applyAlignment="1">
      <alignment horizontal="center" vertical="center" wrapText="1"/>
    </xf>
    <xf numFmtId="0" fontId="30" fillId="13" borderId="31" xfId="0" applyFont="1" applyFill="1" applyBorder="1" applyAlignment="1">
      <alignment horizontal="center" vertical="center" wrapText="1"/>
    </xf>
    <xf numFmtId="0" fontId="30" fillId="13" borderId="30" xfId="0" applyFont="1" applyFill="1" applyBorder="1" applyAlignment="1">
      <alignment horizontal="center" vertical="center" wrapText="1"/>
    </xf>
    <xf numFmtId="0" fontId="29" fillId="13" borderId="28" xfId="0" applyFont="1" applyFill="1" applyBorder="1" applyAlignment="1">
      <alignment horizontal="left" vertical="center" wrapText="1"/>
    </xf>
    <xf numFmtId="0" fontId="30" fillId="13" borderId="27" xfId="0" applyFont="1" applyFill="1" applyBorder="1" applyAlignment="1">
      <alignment horizontal="left" vertical="center" wrapText="1"/>
    </xf>
    <xf numFmtId="0" fontId="28" fillId="13" borderId="31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28" fillId="13" borderId="29" xfId="0" applyFont="1" applyFill="1" applyBorder="1" applyAlignment="1">
      <alignment horizontal="center" vertical="center" wrapText="1"/>
    </xf>
    <xf numFmtId="0" fontId="29" fillId="13" borderId="28" xfId="0" applyFont="1" applyFill="1" applyBorder="1" applyAlignment="1">
      <alignment horizontal="center" vertical="center" wrapText="1"/>
    </xf>
    <xf numFmtId="0" fontId="30" fillId="13" borderId="25" xfId="0" applyFont="1" applyFill="1" applyBorder="1" applyAlignment="1">
      <alignment horizontal="center" vertical="center" wrapText="1"/>
    </xf>
    <xf numFmtId="3" fontId="15" fillId="0" borderId="29" xfId="0" applyNumberFormat="1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3" fontId="15" fillId="0" borderId="30" xfId="0" applyNumberFormat="1" applyFont="1" applyFill="1" applyBorder="1" applyAlignment="1">
      <alignment horizontal="center" vertical="center"/>
    </xf>
    <xf numFmtId="3" fontId="15" fillId="0" borderId="60" xfId="0" applyNumberFormat="1" applyFont="1" applyFill="1" applyBorder="1" applyAlignment="1">
      <alignment horizontal="center" vertical="center"/>
    </xf>
    <xf numFmtId="3" fontId="15" fillId="0" borderId="61" xfId="0" applyNumberFormat="1" applyFont="1" applyFill="1" applyBorder="1" applyAlignment="1">
      <alignment horizontal="center" vertical="center"/>
    </xf>
    <xf numFmtId="3" fontId="15" fillId="0" borderId="62" xfId="0" applyNumberFormat="1" applyFont="1" applyFill="1" applyBorder="1" applyAlignment="1">
      <alignment horizontal="center" vertical="center"/>
    </xf>
    <xf numFmtId="3" fontId="3" fillId="0" borderId="62" xfId="0" applyNumberFormat="1" applyFont="1" applyFill="1" applyBorder="1" applyAlignment="1">
      <alignment horizontal="center" vertical="center"/>
    </xf>
    <xf numFmtId="165" fontId="16" fillId="0" borderId="55" xfId="0" applyNumberFormat="1" applyFont="1" applyFill="1" applyBorder="1" applyAlignment="1">
      <alignment horizontal="center" vertical="center"/>
    </xf>
    <xf numFmtId="3" fontId="4" fillId="28" borderId="9" xfId="0" applyNumberFormat="1" applyFont="1" applyFill="1" applyBorder="1" applyAlignment="1">
      <alignment horizontal="center" vertical="top" wrapText="1"/>
    </xf>
    <xf numFmtId="3" fontId="3" fillId="28" borderId="55" xfId="0" applyNumberFormat="1" applyFont="1" applyFill="1" applyBorder="1" applyAlignment="1">
      <alignment horizontal="left" vertical="top" wrapText="1"/>
    </xf>
    <xf numFmtId="3" fontId="3" fillId="28" borderId="0" xfId="0" applyNumberFormat="1" applyFont="1" applyFill="1" applyBorder="1" applyAlignment="1">
      <alignment horizontal="left" vertical="top" wrapText="1"/>
    </xf>
    <xf numFmtId="3" fontId="3" fillId="28" borderId="52" xfId="0" applyNumberFormat="1" applyFont="1" applyFill="1" applyBorder="1" applyAlignment="1">
      <alignment horizontal="left" vertical="top" wrapText="1"/>
    </xf>
    <xf numFmtId="3" fontId="16" fillId="0" borderId="26" xfId="0" applyNumberFormat="1" applyFont="1" applyFill="1" applyBorder="1" applyAlignment="1">
      <alignment horizontal="center" vertical="center"/>
    </xf>
    <xf numFmtId="3" fontId="3" fillId="0" borderId="55" xfId="0" applyNumberFormat="1" applyFont="1" applyFill="1" applyBorder="1" applyAlignment="1">
      <alignment horizontal="center" vertical="center"/>
    </xf>
    <xf numFmtId="0" fontId="0" fillId="0" borderId="0" xfId="0" applyBorder="1"/>
  </cellXfs>
  <cellStyles count="12">
    <cellStyle name="Comma 2" xfId="1"/>
    <cellStyle name="NívelLinha_1 2" xfId="2"/>
    <cellStyle name="NívelLinha_2 2" xfId="3"/>
    <cellStyle name="NívelLinha_2 2 2" xfId="4"/>
    <cellStyle name="Normal" xfId="0" builtinId="0"/>
    <cellStyle name="Normal 2" xfId="5"/>
    <cellStyle name="Normal 3 2" xfId="6"/>
    <cellStyle name="Normal 5" xfId="7"/>
    <cellStyle name="Normal 6" xfId="8"/>
    <cellStyle name="Porcentagem" xfId="9" builtinId="5"/>
    <cellStyle name="Separador de milhares 5" xfId="11"/>
    <cellStyle name="Vírgula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104775</xdr:rowOff>
    </xdr:from>
    <xdr:to>
      <xdr:col>1</xdr:col>
      <xdr:colOff>1952625</xdr:colOff>
      <xdr:row>2</xdr:row>
      <xdr:rowOff>142875</xdr:rowOff>
    </xdr:to>
    <xdr:pic>
      <xdr:nvPicPr>
        <xdr:cNvPr id="253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104775"/>
          <a:ext cx="19526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94"/>
  <sheetViews>
    <sheetView showGridLines="0" tabSelected="1" zoomScaleNormal="100" workbookViewId="0">
      <pane xSplit="5" topLeftCell="AQ1" activePane="topRight" state="frozen"/>
      <selection activeCell="A4" sqref="A4"/>
      <selection pane="topRight" activeCell="AV1" sqref="AV1"/>
    </sheetView>
  </sheetViews>
  <sheetFormatPr defaultRowHeight="11.25" x14ac:dyDescent="0.2"/>
  <cols>
    <col min="1" max="1" width="1" style="135" customWidth="1"/>
    <col min="2" max="2" width="37.85546875" style="135" customWidth="1"/>
    <col min="3" max="3" width="11.140625" style="135" bestFit="1" customWidth="1"/>
    <col min="4" max="4" width="12" style="135" bestFit="1" customWidth="1"/>
    <col min="5" max="5" width="12.7109375" style="135" bestFit="1" customWidth="1"/>
    <col min="6" max="6" width="10" style="245" customWidth="1"/>
    <col min="7" max="7" width="6.140625" style="245" customWidth="1"/>
    <col min="8" max="8" width="7" style="245" bestFit="1" customWidth="1"/>
    <col min="9" max="9" width="9" style="118" customWidth="1"/>
    <col min="10" max="10" width="8" style="118" customWidth="1"/>
    <col min="11" max="11" width="8.85546875" style="118" customWidth="1"/>
    <col min="12" max="12" width="14" style="118" bestFit="1" customWidth="1"/>
    <col min="13" max="13" width="15.140625" style="118" customWidth="1"/>
    <col min="14" max="14" width="14.140625" style="191" customWidth="1"/>
    <col min="15" max="15" width="9.85546875" style="118" customWidth="1"/>
    <col min="16" max="16" width="10.5703125" style="191" customWidth="1"/>
    <col min="17" max="17" width="11.140625" style="118" customWidth="1"/>
    <col min="18" max="18" width="11.140625" style="191" customWidth="1"/>
    <col min="19" max="19" width="11.140625" style="118" customWidth="1"/>
    <col min="20" max="20" width="11.140625" style="191" customWidth="1"/>
    <col min="21" max="21" width="11.140625" style="118" customWidth="1"/>
    <col min="22" max="22" width="9.85546875" style="191" customWidth="1"/>
    <col min="23" max="23" width="8.42578125" style="118" customWidth="1"/>
    <col min="24" max="24" width="9.85546875" style="118" customWidth="1"/>
    <col min="25" max="25" width="8" style="118" customWidth="1"/>
    <col min="26" max="26" width="8" style="118" bestFit="1" customWidth="1"/>
    <col min="27" max="27" width="7.85546875" style="118" customWidth="1"/>
    <col min="28" max="28" width="8" style="118" bestFit="1" customWidth="1"/>
    <col min="29" max="29" width="7.85546875" style="118" customWidth="1"/>
    <col min="30" max="30" width="7" style="118" customWidth="1"/>
    <col min="31" max="31" width="7.85546875" style="118" customWidth="1"/>
    <col min="32" max="32" width="7" style="118" customWidth="1"/>
    <col min="33" max="34" width="11.140625" style="118" bestFit="1" customWidth="1"/>
    <col min="35" max="35" width="9.85546875" style="118" bestFit="1" customWidth="1"/>
    <col min="36" max="39" width="11.140625" style="118" bestFit="1" customWidth="1"/>
    <col min="40" max="40" width="9.85546875" style="118" bestFit="1" customWidth="1"/>
    <col min="41" max="41" width="11.140625" style="118" bestFit="1" customWidth="1"/>
    <col min="42" max="43" width="8" style="118" bestFit="1" customWidth="1"/>
    <col min="44" max="44" width="7.85546875" style="118" bestFit="1" customWidth="1"/>
    <col min="45" max="47" width="11.140625" style="118" bestFit="1" customWidth="1"/>
    <col min="48" max="16384" width="9.140625" style="135"/>
  </cols>
  <sheetData>
    <row r="1" spans="1:47" customFormat="1" ht="15" x14ac:dyDescent="0.2">
      <c r="B1" s="256"/>
      <c r="C1" s="135"/>
      <c r="D1" s="256"/>
      <c r="E1" s="256"/>
      <c r="F1" s="256"/>
      <c r="G1" s="256"/>
      <c r="N1" s="1036"/>
      <c r="P1" s="1036"/>
      <c r="R1" s="1036"/>
      <c r="T1" s="1036"/>
      <c r="V1" s="1036"/>
    </row>
    <row r="2" spans="1:47" customFormat="1" ht="20.25" x14ac:dyDescent="0.2">
      <c r="B2" s="259"/>
      <c r="C2" s="954" t="s">
        <v>275</v>
      </c>
      <c r="D2" s="954"/>
      <c r="E2" s="954"/>
      <c r="F2" s="954"/>
      <c r="G2" s="954"/>
      <c r="H2" s="954"/>
      <c r="I2" s="954"/>
      <c r="J2" s="954"/>
      <c r="K2" s="954"/>
      <c r="L2" s="938"/>
      <c r="N2" s="1036"/>
      <c r="P2" s="1036"/>
      <c r="R2" s="1036"/>
      <c r="T2" s="1036"/>
      <c r="V2" s="1036"/>
    </row>
    <row r="3" spans="1:47" customFormat="1" ht="20.25" x14ac:dyDescent="0.3">
      <c r="B3" s="260"/>
      <c r="C3" s="295"/>
      <c r="D3" s="295" t="s">
        <v>274</v>
      </c>
      <c r="E3" s="295"/>
      <c r="F3" s="295"/>
      <c r="G3" s="257"/>
      <c r="L3" s="1028">
        <f>+C12/2</f>
        <v>10875000</v>
      </c>
      <c r="M3" s="1028">
        <f>+D12/2</f>
        <v>20900000</v>
      </c>
      <c r="N3" s="1045">
        <f>+E12/2</f>
        <v>31775000</v>
      </c>
      <c r="P3" s="1037"/>
      <c r="R3" s="1036"/>
      <c r="T3" s="1036"/>
      <c r="V3" s="1036"/>
    </row>
    <row r="4" spans="1:47" customFormat="1" ht="15" x14ac:dyDescent="0.2">
      <c r="B4" s="256"/>
      <c r="C4" s="1068"/>
      <c r="D4" s="1068"/>
      <c r="E4" s="1068"/>
      <c r="F4" s="256"/>
      <c r="G4" s="256"/>
      <c r="L4" s="1028">
        <f>+C43/2</f>
        <v>13450000</v>
      </c>
      <c r="M4" s="1028">
        <f>+D43/2</f>
        <v>5250000</v>
      </c>
      <c r="N4" s="1045">
        <f>+E43/2</f>
        <v>18700000</v>
      </c>
      <c r="P4" s="1037"/>
      <c r="R4" s="1036"/>
      <c r="T4" s="1036"/>
      <c r="V4" s="1036"/>
    </row>
    <row r="5" spans="1:47" customFormat="1" ht="14.25" customHeight="1" x14ac:dyDescent="0.3">
      <c r="C5" s="295"/>
      <c r="D5" s="135"/>
      <c r="E5" s="944"/>
      <c r="F5" s="245"/>
      <c r="G5" s="245"/>
      <c r="H5" s="245"/>
      <c r="I5" s="257"/>
      <c r="J5" s="257"/>
      <c r="K5" s="257"/>
      <c r="L5" s="1029">
        <f>+C74/2</f>
        <v>1850000</v>
      </c>
      <c r="M5" s="1029">
        <f>+D74/2</f>
        <v>2100000</v>
      </c>
      <c r="N5" s="1046">
        <f>+E74/2</f>
        <v>3950000</v>
      </c>
      <c r="P5" s="1036"/>
      <c r="R5" s="1036"/>
      <c r="T5" s="1036"/>
      <c r="V5" s="1036"/>
    </row>
    <row r="6" spans="1:47" customFormat="1" ht="12.75" customHeight="1" x14ac:dyDescent="0.25">
      <c r="A6" s="258" t="s">
        <v>85</v>
      </c>
      <c r="C6" s="1055" t="s">
        <v>84</v>
      </c>
      <c r="D6" s="1055"/>
      <c r="E6" s="1050" t="s">
        <v>291</v>
      </c>
      <c r="F6" s="1050"/>
      <c r="G6" s="1050"/>
      <c r="H6" s="1050"/>
      <c r="I6" s="1053"/>
      <c r="J6" s="1053"/>
      <c r="K6" s="1053"/>
      <c r="L6" s="939"/>
      <c r="N6" s="1036"/>
      <c r="P6" s="1036"/>
      <c r="R6" s="1036"/>
      <c r="T6" s="1036"/>
      <c r="V6" s="1036"/>
    </row>
    <row r="7" spans="1:47" x14ac:dyDescent="0.2">
      <c r="B7" s="944"/>
    </row>
    <row r="8" spans="1:47" ht="20.25" x14ac:dyDescent="0.2">
      <c r="B8" s="1052" t="s">
        <v>206</v>
      </c>
      <c r="C8" s="1052"/>
      <c r="D8" s="1052"/>
      <c r="E8" s="1052"/>
      <c r="F8" s="1052"/>
      <c r="G8" s="1052"/>
      <c r="H8" s="1052"/>
      <c r="I8" s="1056" t="s">
        <v>14</v>
      </c>
      <c r="J8" s="1056"/>
      <c r="K8" s="1056"/>
      <c r="L8" s="1056"/>
      <c r="M8" s="1056"/>
      <c r="N8" s="1056"/>
      <c r="O8" s="1056"/>
      <c r="P8" s="1056"/>
      <c r="Q8" s="956"/>
      <c r="R8" s="1044"/>
      <c r="S8" s="956"/>
      <c r="T8" s="1044"/>
      <c r="U8" s="956"/>
      <c r="V8" s="1044"/>
      <c r="W8" s="956"/>
      <c r="X8" s="956"/>
      <c r="Y8" s="956"/>
      <c r="Z8" s="956"/>
      <c r="AA8" s="956"/>
      <c r="AB8" s="956"/>
      <c r="AC8" s="956"/>
      <c r="AD8" s="956"/>
      <c r="AE8" s="956"/>
      <c r="AF8" s="956"/>
      <c r="AG8" s="956"/>
      <c r="AH8" s="956"/>
      <c r="AI8" s="956"/>
      <c r="AJ8" s="956"/>
      <c r="AK8" s="956"/>
      <c r="AL8" s="956"/>
      <c r="AM8" s="956"/>
      <c r="AN8" s="956"/>
      <c r="AO8" s="956"/>
      <c r="AP8" s="956"/>
      <c r="AQ8" s="956"/>
      <c r="AR8" s="956"/>
      <c r="AS8" s="956"/>
      <c r="AT8" s="956"/>
      <c r="AU8" s="956"/>
    </row>
    <row r="9" spans="1:47" s="6" customFormat="1" x14ac:dyDescent="0.2">
      <c r="B9" s="1051" t="s">
        <v>13</v>
      </c>
      <c r="C9" s="1054" t="s">
        <v>210</v>
      </c>
      <c r="D9" s="1057" t="s">
        <v>3</v>
      </c>
      <c r="E9" s="1058" t="s">
        <v>12</v>
      </c>
      <c r="F9" s="1059" t="s">
        <v>2</v>
      </c>
      <c r="G9" s="1059"/>
      <c r="H9" s="1059"/>
      <c r="I9" s="1051" t="s">
        <v>76</v>
      </c>
      <c r="J9" s="1051"/>
      <c r="K9" s="1051"/>
      <c r="L9" s="1051"/>
      <c r="M9" s="1051" t="s">
        <v>77</v>
      </c>
      <c r="N9" s="1051"/>
      <c r="O9" s="1051"/>
      <c r="P9" s="1051"/>
      <c r="Q9" s="1051" t="s">
        <v>71</v>
      </c>
      <c r="R9" s="1051"/>
      <c r="S9" s="1051"/>
      <c r="T9" s="1051"/>
      <c r="U9" s="1051" t="s">
        <v>78</v>
      </c>
      <c r="V9" s="1051"/>
      <c r="W9" s="1051"/>
      <c r="X9" s="1051"/>
      <c r="Y9" s="1051" t="s">
        <v>79</v>
      </c>
      <c r="Z9" s="1051"/>
      <c r="AA9" s="1051"/>
      <c r="AB9" s="1051"/>
      <c r="AC9" s="1051" t="s">
        <v>174</v>
      </c>
      <c r="AD9" s="1051"/>
      <c r="AE9" s="1051"/>
      <c r="AF9" s="1051"/>
      <c r="AG9" s="1065">
        <v>2012</v>
      </c>
      <c r="AH9" s="1065"/>
      <c r="AI9" s="1065">
        <v>2013</v>
      </c>
      <c r="AJ9" s="1065"/>
      <c r="AK9" s="1065">
        <v>2014</v>
      </c>
      <c r="AL9" s="1065"/>
      <c r="AM9" s="1065">
        <v>2015</v>
      </c>
      <c r="AN9" s="1065"/>
      <c r="AO9" s="1065">
        <v>2016</v>
      </c>
      <c r="AP9" s="1065"/>
      <c r="AQ9" s="1065">
        <v>2017</v>
      </c>
      <c r="AR9" s="1065"/>
      <c r="AS9" s="1066" t="s">
        <v>106</v>
      </c>
      <c r="AT9" s="1066"/>
      <c r="AU9" s="1066"/>
    </row>
    <row r="10" spans="1:47" s="6" customFormat="1" x14ac:dyDescent="0.2">
      <c r="B10" s="1051"/>
      <c r="C10" s="1054"/>
      <c r="D10" s="1057"/>
      <c r="E10" s="1058"/>
      <c r="F10" s="957" t="s">
        <v>210</v>
      </c>
      <c r="G10" s="958" t="s">
        <v>3</v>
      </c>
      <c r="H10" s="958" t="s">
        <v>0</v>
      </c>
      <c r="I10" s="1067" t="s">
        <v>11</v>
      </c>
      <c r="J10" s="1067"/>
      <c r="K10" s="1067" t="s">
        <v>10</v>
      </c>
      <c r="L10" s="1067"/>
      <c r="M10" s="1067" t="s">
        <v>11</v>
      </c>
      <c r="N10" s="1067"/>
      <c r="O10" s="1067" t="s">
        <v>10</v>
      </c>
      <c r="P10" s="1067"/>
      <c r="Q10" s="1067" t="s">
        <v>11</v>
      </c>
      <c r="R10" s="1067"/>
      <c r="S10" s="1067" t="s">
        <v>10</v>
      </c>
      <c r="T10" s="1067"/>
      <c r="U10" s="1067" t="s">
        <v>11</v>
      </c>
      <c r="V10" s="1067"/>
      <c r="W10" s="1067" t="s">
        <v>10</v>
      </c>
      <c r="X10" s="1067"/>
      <c r="Y10" s="1067" t="s">
        <v>11</v>
      </c>
      <c r="Z10" s="1067"/>
      <c r="AA10" s="1067" t="s">
        <v>10</v>
      </c>
      <c r="AB10" s="1067"/>
      <c r="AC10" s="1067" t="s">
        <v>11</v>
      </c>
      <c r="AD10" s="1067"/>
      <c r="AE10" s="1067" t="s">
        <v>10</v>
      </c>
      <c r="AF10" s="1067"/>
      <c r="AG10" s="959" t="s">
        <v>264</v>
      </c>
      <c r="AH10" s="959" t="s">
        <v>3</v>
      </c>
      <c r="AI10" s="959" t="s">
        <v>264</v>
      </c>
      <c r="AJ10" s="959" t="s">
        <v>3</v>
      </c>
      <c r="AK10" s="959" t="s">
        <v>264</v>
      </c>
      <c r="AL10" s="959" t="s">
        <v>3</v>
      </c>
      <c r="AM10" s="959" t="s">
        <v>264</v>
      </c>
      <c r="AN10" s="959" t="s">
        <v>3</v>
      </c>
      <c r="AO10" s="959" t="s">
        <v>264</v>
      </c>
      <c r="AP10" s="959" t="s">
        <v>3</v>
      </c>
      <c r="AQ10" s="959" t="s">
        <v>264</v>
      </c>
      <c r="AR10" s="959" t="s">
        <v>3</v>
      </c>
      <c r="AS10" s="959" t="s">
        <v>264</v>
      </c>
      <c r="AT10" s="959" t="s">
        <v>3</v>
      </c>
      <c r="AU10" s="959" t="s">
        <v>0</v>
      </c>
    </row>
    <row r="11" spans="1:47" x14ac:dyDescent="0.2">
      <c r="B11" s="960" t="s">
        <v>87</v>
      </c>
      <c r="C11" s="961"/>
      <c r="D11" s="961"/>
      <c r="E11" s="961"/>
      <c r="F11" s="961"/>
      <c r="G11" s="961"/>
      <c r="H11" s="961"/>
      <c r="I11" s="959" t="s">
        <v>264</v>
      </c>
      <c r="J11" s="959" t="s">
        <v>3</v>
      </c>
      <c r="K11" s="959" t="s">
        <v>264</v>
      </c>
      <c r="L11" s="959" t="s">
        <v>3</v>
      </c>
      <c r="M11" s="959" t="s">
        <v>264</v>
      </c>
      <c r="N11" s="163" t="s">
        <v>3</v>
      </c>
      <c r="O11" s="959" t="s">
        <v>264</v>
      </c>
      <c r="P11" s="163" t="s">
        <v>3</v>
      </c>
      <c r="Q11" s="959" t="s">
        <v>264</v>
      </c>
      <c r="R11" s="163" t="s">
        <v>3</v>
      </c>
      <c r="S11" s="959" t="s">
        <v>264</v>
      </c>
      <c r="T11" s="163" t="s">
        <v>3</v>
      </c>
      <c r="U11" s="959" t="s">
        <v>264</v>
      </c>
      <c r="V11" s="163" t="s">
        <v>3</v>
      </c>
      <c r="W11" s="959" t="s">
        <v>264</v>
      </c>
      <c r="X11" s="959" t="s">
        <v>3</v>
      </c>
      <c r="Y11" s="959" t="s">
        <v>264</v>
      </c>
      <c r="Z11" s="959" t="s">
        <v>3</v>
      </c>
      <c r="AA11" s="959" t="s">
        <v>264</v>
      </c>
      <c r="AB11" s="959" t="s">
        <v>3</v>
      </c>
      <c r="AC11" s="959" t="s">
        <v>264</v>
      </c>
      <c r="AD11" s="959" t="s">
        <v>3</v>
      </c>
      <c r="AE11" s="959" t="s">
        <v>264</v>
      </c>
      <c r="AF11" s="959" t="s">
        <v>3</v>
      </c>
      <c r="AG11" s="959"/>
      <c r="AH11" s="959"/>
      <c r="AI11" s="959"/>
      <c r="AJ11" s="959"/>
      <c r="AK11" s="959"/>
      <c r="AL11" s="959"/>
      <c r="AM11" s="959"/>
      <c r="AN11" s="959"/>
      <c r="AO11" s="959"/>
      <c r="AP11" s="959"/>
      <c r="AQ11" s="959"/>
      <c r="AR11" s="959"/>
      <c r="AS11" s="959"/>
      <c r="AT11" s="959"/>
      <c r="AU11" s="959"/>
    </row>
    <row r="12" spans="1:47" s="6" customFormat="1" x14ac:dyDescent="0.2">
      <c r="B12" s="962" t="s">
        <v>211</v>
      </c>
      <c r="C12" s="963">
        <f>C13+C25+C39+C40</f>
        <v>21750000</v>
      </c>
      <c r="D12" s="963">
        <f>D13+D25+D39+D40</f>
        <v>41800000</v>
      </c>
      <c r="E12" s="963">
        <f>E13+E25+E39+E40</f>
        <v>63550000</v>
      </c>
      <c r="F12" s="964">
        <f t="shared" ref="F12:F31" si="0">C12/$E$82</f>
        <v>0.18913043478260869</v>
      </c>
      <c r="G12" s="964">
        <f t="shared" ref="G12:G31" si="1">D12/$E$82</f>
        <v>0.3634782608695652</v>
      </c>
      <c r="H12" s="964">
        <f>E12/E82</f>
        <v>0.55260869565217396</v>
      </c>
      <c r="I12" s="959">
        <f t="shared" ref="I12:AU12" si="2">I13+I25+I39+I40</f>
        <v>0</v>
      </c>
      <c r="J12" s="959">
        <f t="shared" si="2"/>
        <v>0</v>
      </c>
      <c r="K12" s="959">
        <f t="shared" si="2"/>
        <v>0</v>
      </c>
      <c r="L12" s="959">
        <f t="shared" si="2"/>
        <v>0</v>
      </c>
      <c r="M12" s="959">
        <f t="shared" si="2"/>
        <v>4900000</v>
      </c>
      <c r="N12" s="163">
        <f t="shared" si="2"/>
        <v>0</v>
      </c>
      <c r="O12" s="959">
        <f>O13+O25+O39+O40</f>
        <v>600000</v>
      </c>
      <c r="P12" s="163">
        <f t="shared" si="2"/>
        <v>5600000</v>
      </c>
      <c r="Q12" s="959">
        <f t="shared" si="2"/>
        <v>4991666.666666666</v>
      </c>
      <c r="R12" s="163">
        <f t="shared" si="2"/>
        <v>6200000</v>
      </c>
      <c r="S12" s="959">
        <f t="shared" si="2"/>
        <v>4533333.333333333</v>
      </c>
      <c r="T12" s="163">
        <f t="shared" si="2"/>
        <v>7910000</v>
      </c>
      <c r="U12" s="959">
        <f t="shared" si="2"/>
        <v>4925000</v>
      </c>
      <c r="V12" s="163">
        <f t="shared" si="2"/>
        <v>10615000</v>
      </c>
      <c r="W12" s="959">
        <f t="shared" si="2"/>
        <v>1800000</v>
      </c>
      <c r="X12" s="959">
        <f t="shared" si="2"/>
        <v>7650000</v>
      </c>
      <c r="Y12" s="959">
        <f t="shared" si="2"/>
        <v>0</v>
      </c>
      <c r="Z12" s="959">
        <f t="shared" si="2"/>
        <v>0</v>
      </c>
      <c r="AA12" s="959">
        <f t="shared" si="2"/>
        <v>0</v>
      </c>
      <c r="AB12" s="959">
        <f t="shared" si="2"/>
        <v>0</v>
      </c>
      <c r="AC12" s="959">
        <f t="shared" si="2"/>
        <v>0</v>
      </c>
      <c r="AD12" s="959">
        <f t="shared" si="2"/>
        <v>0</v>
      </c>
      <c r="AE12" s="959">
        <f t="shared" si="2"/>
        <v>0</v>
      </c>
      <c r="AF12" s="959">
        <f t="shared" si="2"/>
        <v>0</v>
      </c>
      <c r="AG12" s="959">
        <f t="shared" si="2"/>
        <v>0</v>
      </c>
      <c r="AH12" s="959">
        <f t="shared" si="2"/>
        <v>0</v>
      </c>
      <c r="AI12" s="959">
        <f t="shared" si="2"/>
        <v>5500000</v>
      </c>
      <c r="AJ12" s="959">
        <f t="shared" si="2"/>
        <v>5600000</v>
      </c>
      <c r="AK12" s="959">
        <f t="shared" si="2"/>
        <v>9525000</v>
      </c>
      <c r="AL12" s="959">
        <f t="shared" si="2"/>
        <v>14110000</v>
      </c>
      <c r="AM12" s="959">
        <f t="shared" si="2"/>
        <v>6725000</v>
      </c>
      <c r="AN12" s="959">
        <f t="shared" si="2"/>
        <v>18265000</v>
      </c>
      <c r="AO12" s="959">
        <f t="shared" si="2"/>
        <v>0</v>
      </c>
      <c r="AP12" s="959">
        <f t="shared" si="2"/>
        <v>3825000</v>
      </c>
      <c r="AQ12" s="959">
        <f t="shared" si="2"/>
        <v>0</v>
      </c>
      <c r="AR12" s="959">
        <f t="shared" si="2"/>
        <v>0</v>
      </c>
      <c r="AS12" s="959">
        <f>AS13+AS25+AS39+AS40</f>
        <v>21750000</v>
      </c>
      <c r="AT12" s="959">
        <f t="shared" si="2"/>
        <v>41800000</v>
      </c>
      <c r="AU12" s="959">
        <f t="shared" si="2"/>
        <v>63550000</v>
      </c>
    </row>
    <row r="13" spans="1:47" s="948" customFormat="1" ht="15" customHeight="1" x14ac:dyDescent="0.2">
      <c r="B13" s="965" t="s">
        <v>248</v>
      </c>
      <c r="C13" s="966">
        <f>SUM(C14:C24)</f>
        <v>9350000</v>
      </c>
      <c r="D13" s="966">
        <f>SUM(D14:D24)</f>
        <v>35000000</v>
      </c>
      <c r="E13" s="966">
        <f>SUM(E14:E24)</f>
        <v>44350000</v>
      </c>
      <c r="F13" s="967">
        <f t="shared" si="0"/>
        <v>8.1304347826086962E-2</v>
      </c>
      <c r="G13" s="967">
        <f t="shared" si="1"/>
        <v>0.30434782608695654</v>
      </c>
      <c r="H13" s="967">
        <f t="shared" ref="H13:H49" si="3">E13/$E$82</f>
        <v>0.38565217391304346</v>
      </c>
      <c r="I13" s="955"/>
      <c r="J13" s="955"/>
      <c r="K13" s="955"/>
      <c r="L13" s="955"/>
      <c r="M13" s="949">
        <f t="shared" ref="M13:X13" si="4">SUM(M14:M24)</f>
        <v>3500000</v>
      </c>
      <c r="N13" s="1038">
        <f t="shared" si="4"/>
        <v>0</v>
      </c>
      <c r="O13" s="949">
        <f t="shared" si="4"/>
        <v>0</v>
      </c>
      <c r="P13" s="1038">
        <f t="shared" si="4"/>
        <v>3870000</v>
      </c>
      <c r="Q13" s="949">
        <f t="shared" si="4"/>
        <v>1425000</v>
      </c>
      <c r="R13" s="1038">
        <f t="shared" si="4"/>
        <v>4840000</v>
      </c>
      <c r="S13" s="949">
        <f t="shared" si="4"/>
        <v>1900000</v>
      </c>
      <c r="T13" s="1038">
        <f t="shared" si="4"/>
        <v>5550000</v>
      </c>
      <c r="U13" s="949">
        <f t="shared" si="4"/>
        <v>2525000</v>
      </c>
      <c r="V13" s="1038">
        <f t="shared" si="4"/>
        <v>9265000</v>
      </c>
      <c r="W13" s="949">
        <f t="shared" si="4"/>
        <v>0</v>
      </c>
      <c r="X13" s="949">
        <f t="shared" si="4"/>
        <v>7650000</v>
      </c>
      <c r="Y13" s="949"/>
      <c r="Z13" s="949"/>
      <c r="AA13" s="949"/>
      <c r="AB13" s="949"/>
      <c r="AC13" s="949"/>
      <c r="AD13" s="949"/>
      <c r="AE13" s="949"/>
      <c r="AF13" s="949"/>
      <c r="AG13" s="968">
        <f>I13+K13</f>
        <v>0</v>
      </c>
      <c r="AH13" s="968">
        <f>J13+L13</f>
        <v>0</v>
      </c>
      <c r="AI13" s="949">
        <f t="shared" ref="AI13:AU13" si="5">SUM(AI14:AI24)</f>
        <v>3500000</v>
      </c>
      <c r="AJ13" s="949">
        <f t="shared" si="5"/>
        <v>3870000</v>
      </c>
      <c r="AK13" s="949">
        <f t="shared" si="5"/>
        <v>3325000</v>
      </c>
      <c r="AL13" s="949">
        <f t="shared" si="5"/>
        <v>10390000</v>
      </c>
      <c r="AM13" s="949">
        <f t="shared" si="5"/>
        <v>2525000</v>
      </c>
      <c r="AN13" s="949">
        <f t="shared" si="5"/>
        <v>16915000</v>
      </c>
      <c r="AO13" s="949">
        <f t="shared" si="5"/>
        <v>0</v>
      </c>
      <c r="AP13" s="949">
        <f t="shared" si="5"/>
        <v>3825000</v>
      </c>
      <c r="AQ13" s="949">
        <f t="shared" si="5"/>
        <v>0</v>
      </c>
      <c r="AR13" s="949">
        <f t="shared" si="5"/>
        <v>0</v>
      </c>
      <c r="AS13" s="949">
        <f t="shared" si="5"/>
        <v>9350000</v>
      </c>
      <c r="AT13" s="949">
        <f t="shared" si="5"/>
        <v>35000000</v>
      </c>
      <c r="AU13" s="949">
        <f t="shared" si="5"/>
        <v>44350000</v>
      </c>
    </row>
    <row r="14" spans="1:47" s="243" customFormat="1" ht="15" customHeight="1" x14ac:dyDescent="0.2">
      <c r="B14" s="969" t="s">
        <v>256</v>
      </c>
      <c r="C14" s="970"/>
      <c r="D14" s="971">
        <v>25500000</v>
      </c>
      <c r="E14" s="941">
        <f>SUM(C14:D14)</f>
        <v>25500000</v>
      </c>
      <c r="F14" s="972">
        <f t="shared" si="0"/>
        <v>0</v>
      </c>
      <c r="G14" s="973">
        <f t="shared" si="1"/>
        <v>0.22173913043478261</v>
      </c>
      <c r="H14" s="974">
        <f t="shared" si="3"/>
        <v>0.22173913043478261</v>
      </c>
      <c r="I14" s="165"/>
      <c r="J14" s="165"/>
      <c r="K14" s="165"/>
      <c r="L14" s="1011"/>
      <c r="M14" s="19"/>
      <c r="N14" s="1038"/>
      <c r="O14" s="19"/>
      <c r="P14" s="1038">
        <v>1000000</v>
      </c>
      <c r="Q14" s="19"/>
      <c r="R14" s="1038">
        <v>2500000</v>
      </c>
      <c r="S14" s="19"/>
      <c r="T14" s="1038">
        <v>3000000</v>
      </c>
      <c r="U14" s="19"/>
      <c r="V14" s="1049">
        <f>8925000-1400000</f>
        <v>7525000</v>
      </c>
      <c r="W14" s="19"/>
      <c r="X14" s="19">
        <v>7650000</v>
      </c>
      <c r="Y14" s="19"/>
      <c r="Z14" s="19">
        <v>2550000</v>
      </c>
      <c r="AA14" s="19"/>
      <c r="AB14" s="19">
        <v>1275000</v>
      </c>
      <c r="AC14" s="19"/>
      <c r="AD14" s="19"/>
      <c r="AE14" s="19"/>
      <c r="AF14" s="19"/>
      <c r="AG14" s="19"/>
      <c r="AH14" s="19"/>
      <c r="AI14" s="19">
        <f t="shared" ref="AI14:AI24" si="6">M14+O14</f>
        <v>0</v>
      </c>
      <c r="AJ14" s="19">
        <f t="shared" ref="AJ14:AJ24" si="7">N14+P14</f>
        <v>1000000</v>
      </c>
      <c r="AK14" s="19">
        <f t="shared" ref="AK14:AK24" si="8">Q14+S14</f>
        <v>0</v>
      </c>
      <c r="AL14" s="19">
        <f t="shared" ref="AL14:AL24" si="9">R14+T14</f>
        <v>5500000</v>
      </c>
      <c r="AM14" s="19">
        <f t="shared" ref="AM14:AM24" si="10">U14+W14</f>
        <v>0</v>
      </c>
      <c r="AN14" s="19">
        <f>V14+X14</f>
        <v>15175000</v>
      </c>
      <c r="AO14" s="19">
        <f t="shared" ref="AO14:AO24" si="11">Y14+AA14</f>
        <v>0</v>
      </c>
      <c r="AP14" s="19">
        <f t="shared" ref="AP14:AP24" si="12">Z14+AB14</f>
        <v>3825000</v>
      </c>
      <c r="AQ14" s="19">
        <f t="shared" ref="AQ14:AQ24" si="13">AC14+AE14</f>
        <v>0</v>
      </c>
      <c r="AR14" s="19">
        <f t="shared" ref="AR14:AR24" si="14">AD14+AF14</f>
        <v>0</v>
      </c>
      <c r="AS14" s="19">
        <f>AG14+AI14+AK14+AM14+AO14+AQ14</f>
        <v>0</v>
      </c>
      <c r="AT14" s="19">
        <f>AH14+AJ14+AL14+AN14+AP14+AR14</f>
        <v>25500000</v>
      </c>
      <c r="AU14" s="19">
        <f t="shared" ref="AU14:AU24" si="15">AT14+AS14</f>
        <v>25500000</v>
      </c>
    </row>
    <row r="15" spans="1:47" s="243" customFormat="1" x14ac:dyDescent="0.2">
      <c r="B15" s="969" t="s">
        <v>257</v>
      </c>
      <c r="C15" s="970">
        <v>2650000</v>
      </c>
      <c r="D15" s="975">
        <v>0</v>
      </c>
      <c r="E15" s="941">
        <f>SUM(C15:D15)</f>
        <v>2650000</v>
      </c>
      <c r="F15" s="972">
        <f t="shared" si="0"/>
        <v>2.3043478260869565E-2</v>
      </c>
      <c r="G15" s="974">
        <f t="shared" si="1"/>
        <v>0</v>
      </c>
      <c r="H15" s="974">
        <f t="shared" si="3"/>
        <v>2.3043478260869565E-2</v>
      </c>
      <c r="I15" s="165"/>
      <c r="J15" s="165"/>
      <c r="K15" s="165"/>
      <c r="L15" s="1011"/>
      <c r="M15" s="19"/>
      <c r="N15" s="1038"/>
      <c r="O15" s="19"/>
      <c r="P15" s="1038"/>
      <c r="Q15" s="19">
        <f>C15*0.2</f>
        <v>530000</v>
      </c>
      <c r="R15" s="1038"/>
      <c r="S15" s="19">
        <f>C15*0.3</f>
        <v>795000</v>
      </c>
      <c r="T15" s="1038"/>
      <c r="U15" s="19">
        <f>C15*0.5</f>
        <v>1325000</v>
      </c>
      <c r="V15" s="1038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>
        <f t="shared" si="6"/>
        <v>0</v>
      </c>
      <c r="AJ15" s="19">
        <f t="shared" si="7"/>
        <v>0</v>
      </c>
      <c r="AK15" s="19">
        <f t="shared" si="8"/>
        <v>1325000</v>
      </c>
      <c r="AL15" s="19">
        <f t="shared" si="9"/>
        <v>0</v>
      </c>
      <c r="AM15" s="19">
        <f t="shared" si="10"/>
        <v>1325000</v>
      </c>
      <c r="AN15" s="19">
        <f t="shared" ref="AN15:AN24" si="16">V15+X15</f>
        <v>0</v>
      </c>
      <c r="AO15" s="19">
        <f t="shared" si="11"/>
        <v>0</v>
      </c>
      <c r="AP15" s="19">
        <f t="shared" si="12"/>
        <v>0</v>
      </c>
      <c r="AQ15" s="19">
        <f t="shared" si="13"/>
        <v>0</v>
      </c>
      <c r="AR15" s="19">
        <f t="shared" si="14"/>
        <v>0</v>
      </c>
      <c r="AS15" s="19">
        <f t="shared" ref="AS15:AS24" si="17">AG15+AI15+AK15+AM15+AO15+AQ15</f>
        <v>2650000</v>
      </c>
      <c r="AT15" s="19">
        <f t="shared" ref="AT15:AT24" si="18">AH15+AJ15+AL15+AN15+AP15+AR15</f>
        <v>0</v>
      </c>
      <c r="AU15" s="19">
        <f t="shared" si="15"/>
        <v>2650000</v>
      </c>
    </row>
    <row r="16" spans="1:47" s="243" customFormat="1" ht="15" customHeight="1" x14ac:dyDescent="0.2">
      <c r="B16" s="976" t="s">
        <v>241</v>
      </c>
      <c r="C16" s="977">
        <v>0</v>
      </c>
      <c r="D16" s="971">
        <v>3600000</v>
      </c>
      <c r="E16" s="941">
        <f t="shared" ref="E16:E24" si="19">SUM(C16:D16)</f>
        <v>3600000</v>
      </c>
      <c r="F16" s="972">
        <f t="shared" si="0"/>
        <v>0</v>
      </c>
      <c r="G16" s="974">
        <f t="shared" si="1"/>
        <v>3.1304347826086959E-2</v>
      </c>
      <c r="H16" s="974">
        <f t="shared" si="3"/>
        <v>3.1304347826086959E-2</v>
      </c>
      <c r="I16" s="165"/>
      <c r="J16" s="165"/>
      <c r="K16" s="165"/>
      <c r="L16" s="1011"/>
      <c r="M16" s="19"/>
      <c r="N16" s="1038"/>
      <c r="O16" s="19"/>
      <c r="P16" s="1038">
        <f>$D$16*0.15</f>
        <v>540000</v>
      </c>
      <c r="Q16" s="19"/>
      <c r="R16" s="1038">
        <f>$D$16*0.3</f>
        <v>1080000</v>
      </c>
      <c r="S16" s="19"/>
      <c r="T16" s="1038">
        <f>$D$16*0.3</f>
        <v>1080000</v>
      </c>
      <c r="U16" s="19"/>
      <c r="V16" s="1038">
        <f>$D$16*0.25</f>
        <v>900000</v>
      </c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>
        <f t="shared" si="6"/>
        <v>0</v>
      </c>
      <c r="AJ16" s="19">
        <f t="shared" si="7"/>
        <v>540000</v>
      </c>
      <c r="AK16" s="19">
        <f t="shared" si="8"/>
        <v>0</v>
      </c>
      <c r="AL16" s="19">
        <f t="shared" si="9"/>
        <v>2160000</v>
      </c>
      <c r="AM16" s="19">
        <f t="shared" si="10"/>
        <v>0</v>
      </c>
      <c r="AN16" s="19">
        <f t="shared" si="16"/>
        <v>900000</v>
      </c>
      <c r="AO16" s="19">
        <f t="shared" si="11"/>
        <v>0</v>
      </c>
      <c r="AP16" s="19">
        <f t="shared" si="12"/>
        <v>0</v>
      </c>
      <c r="AQ16" s="19">
        <f t="shared" si="13"/>
        <v>0</v>
      </c>
      <c r="AR16" s="19">
        <f t="shared" si="14"/>
        <v>0</v>
      </c>
      <c r="AS16" s="19">
        <f t="shared" si="17"/>
        <v>0</v>
      </c>
      <c r="AT16" s="19">
        <f t="shared" si="18"/>
        <v>3600000</v>
      </c>
      <c r="AU16" s="19">
        <f t="shared" si="15"/>
        <v>3600000</v>
      </c>
    </row>
    <row r="17" spans="2:47" s="243" customFormat="1" ht="15" customHeight="1" x14ac:dyDescent="0.2">
      <c r="B17" s="969" t="s">
        <v>242</v>
      </c>
      <c r="C17" s="977">
        <v>0</v>
      </c>
      <c r="D17" s="971">
        <v>2100000</v>
      </c>
      <c r="E17" s="941">
        <f t="shared" si="19"/>
        <v>2100000</v>
      </c>
      <c r="F17" s="972">
        <f t="shared" si="0"/>
        <v>0</v>
      </c>
      <c r="G17" s="974">
        <f t="shared" si="1"/>
        <v>1.8260869565217393E-2</v>
      </c>
      <c r="H17" s="974">
        <f t="shared" si="3"/>
        <v>1.8260869565217393E-2</v>
      </c>
      <c r="I17" s="165"/>
      <c r="J17" s="165"/>
      <c r="K17" s="165"/>
      <c r="L17" s="1011"/>
      <c r="M17" s="19"/>
      <c r="N17" s="1038"/>
      <c r="O17" s="19"/>
      <c r="P17" s="1038">
        <f>$D$17*0.3</f>
        <v>630000</v>
      </c>
      <c r="Q17" s="19"/>
      <c r="R17" s="1038">
        <f>$D$17*0.4</f>
        <v>840000</v>
      </c>
      <c r="S17" s="19"/>
      <c r="T17" s="1038">
        <f>$D$17*0.3</f>
        <v>630000</v>
      </c>
      <c r="U17" s="19"/>
      <c r="V17" s="104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>
        <f t="shared" si="6"/>
        <v>0</v>
      </c>
      <c r="AJ17" s="19">
        <f t="shared" si="7"/>
        <v>630000</v>
      </c>
      <c r="AK17" s="19">
        <f t="shared" si="8"/>
        <v>0</v>
      </c>
      <c r="AL17" s="19">
        <f t="shared" si="9"/>
        <v>1470000</v>
      </c>
      <c r="AM17" s="19">
        <f t="shared" si="10"/>
        <v>0</v>
      </c>
      <c r="AN17" s="19">
        <f t="shared" si="16"/>
        <v>0</v>
      </c>
      <c r="AO17" s="19">
        <f t="shared" si="11"/>
        <v>0</v>
      </c>
      <c r="AP17" s="19">
        <f t="shared" si="12"/>
        <v>0</v>
      </c>
      <c r="AQ17" s="19">
        <f t="shared" si="13"/>
        <v>0</v>
      </c>
      <c r="AR17" s="19">
        <f t="shared" si="14"/>
        <v>0</v>
      </c>
      <c r="AS17" s="19">
        <f t="shared" si="17"/>
        <v>0</v>
      </c>
      <c r="AT17" s="19">
        <f t="shared" si="18"/>
        <v>2100000</v>
      </c>
      <c r="AU17" s="19">
        <f t="shared" si="15"/>
        <v>2100000</v>
      </c>
    </row>
    <row r="18" spans="2:47" s="243" customFormat="1" ht="15" customHeight="1" x14ac:dyDescent="0.2">
      <c r="B18" s="969" t="s">
        <v>244</v>
      </c>
      <c r="C18" s="977">
        <v>0</v>
      </c>
      <c r="D18" s="971">
        <v>2100000</v>
      </c>
      <c r="E18" s="941">
        <f t="shared" si="19"/>
        <v>2100000</v>
      </c>
      <c r="F18" s="972">
        <f t="shared" si="0"/>
        <v>0</v>
      </c>
      <c r="G18" s="974">
        <f t="shared" si="1"/>
        <v>1.8260869565217393E-2</v>
      </c>
      <c r="H18" s="974">
        <f t="shared" si="3"/>
        <v>1.8260869565217393E-2</v>
      </c>
      <c r="I18" s="165"/>
      <c r="J18" s="165"/>
      <c r="K18" s="165"/>
      <c r="L18" s="1011"/>
      <c r="M18" s="19"/>
      <c r="N18" s="1038"/>
      <c r="O18" s="19"/>
      <c r="P18" s="1038"/>
      <c r="Q18" s="19"/>
      <c r="R18" s="1038">
        <f>$D$18*0.2</f>
        <v>420000</v>
      </c>
      <c r="S18" s="19"/>
      <c r="T18" s="1038">
        <f>$D$18*0.4</f>
        <v>840000</v>
      </c>
      <c r="U18" s="19"/>
      <c r="V18" s="1038">
        <f>$D$18*0.4</f>
        <v>840000</v>
      </c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>
        <f t="shared" si="6"/>
        <v>0</v>
      </c>
      <c r="AJ18" s="19">
        <f t="shared" si="7"/>
        <v>0</v>
      </c>
      <c r="AK18" s="19">
        <f t="shared" si="8"/>
        <v>0</v>
      </c>
      <c r="AL18" s="19">
        <f t="shared" si="9"/>
        <v>1260000</v>
      </c>
      <c r="AM18" s="19">
        <f t="shared" si="10"/>
        <v>0</v>
      </c>
      <c r="AN18" s="19">
        <f t="shared" si="16"/>
        <v>840000</v>
      </c>
      <c r="AO18" s="19">
        <f t="shared" si="11"/>
        <v>0</v>
      </c>
      <c r="AP18" s="19">
        <f t="shared" si="12"/>
        <v>0</v>
      </c>
      <c r="AQ18" s="19">
        <f t="shared" si="13"/>
        <v>0</v>
      </c>
      <c r="AR18" s="19">
        <f t="shared" si="14"/>
        <v>0</v>
      </c>
      <c r="AS18" s="19">
        <f t="shared" si="17"/>
        <v>0</v>
      </c>
      <c r="AT18" s="19">
        <f t="shared" si="18"/>
        <v>2100000</v>
      </c>
      <c r="AU18" s="19">
        <f t="shared" si="15"/>
        <v>2100000</v>
      </c>
    </row>
    <row r="19" spans="2:47" s="243" customFormat="1" ht="15" customHeight="1" x14ac:dyDescent="0.2">
      <c r="B19" s="976" t="s">
        <v>245</v>
      </c>
      <c r="C19" s="978">
        <v>2100000</v>
      </c>
      <c r="D19" s="975">
        <v>0</v>
      </c>
      <c r="E19" s="941">
        <f t="shared" si="19"/>
        <v>2100000</v>
      </c>
      <c r="F19" s="972">
        <f t="shared" si="0"/>
        <v>1.8260869565217393E-2</v>
      </c>
      <c r="G19" s="974">
        <f t="shared" si="1"/>
        <v>0</v>
      </c>
      <c r="H19" s="974">
        <f t="shared" si="3"/>
        <v>1.8260869565217393E-2</v>
      </c>
      <c r="I19" s="165"/>
      <c r="J19" s="165"/>
      <c r="K19" s="165"/>
      <c r="L19" s="1011"/>
      <c r="M19" s="19"/>
      <c r="N19" s="1038"/>
      <c r="O19" s="19"/>
      <c r="P19" s="1038"/>
      <c r="Q19" s="19">
        <f>C19*0.2</f>
        <v>420000</v>
      </c>
      <c r="R19" s="1038"/>
      <c r="S19" s="19">
        <f>C19*0.3</f>
        <v>630000</v>
      </c>
      <c r="T19" s="1038"/>
      <c r="U19" s="19">
        <f>C19*0.5</f>
        <v>1050000</v>
      </c>
      <c r="V19" s="1038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>
        <f t="shared" si="6"/>
        <v>0</v>
      </c>
      <c r="AJ19" s="19">
        <f t="shared" si="7"/>
        <v>0</v>
      </c>
      <c r="AK19" s="19">
        <f t="shared" si="8"/>
        <v>1050000</v>
      </c>
      <c r="AL19" s="19">
        <f t="shared" si="9"/>
        <v>0</v>
      </c>
      <c r="AM19" s="19">
        <f t="shared" si="10"/>
        <v>1050000</v>
      </c>
      <c r="AN19" s="19">
        <f t="shared" si="16"/>
        <v>0</v>
      </c>
      <c r="AO19" s="19">
        <f t="shared" si="11"/>
        <v>0</v>
      </c>
      <c r="AP19" s="19">
        <f t="shared" si="12"/>
        <v>0</v>
      </c>
      <c r="AQ19" s="19">
        <f t="shared" si="13"/>
        <v>0</v>
      </c>
      <c r="AR19" s="19">
        <f t="shared" si="14"/>
        <v>0</v>
      </c>
      <c r="AS19" s="19">
        <f t="shared" si="17"/>
        <v>2100000</v>
      </c>
      <c r="AT19" s="19">
        <f t="shared" si="18"/>
        <v>0</v>
      </c>
      <c r="AU19" s="19">
        <f t="shared" si="15"/>
        <v>2100000</v>
      </c>
    </row>
    <row r="20" spans="2:47" s="243" customFormat="1" ht="15" customHeight="1" x14ac:dyDescent="0.2">
      <c r="B20" s="1031" t="s">
        <v>276</v>
      </c>
      <c r="C20" s="979">
        <v>3500000</v>
      </c>
      <c r="D20" s="980">
        <v>0</v>
      </c>
      <c r="E20" s="941">
        <f t="shared" si="19"/>
        <v>3500000</v>
      </c>
      <c r="F20" s="972">
        <f t="shared" si="0"/>
        <v>3.0434782608695653E-2</v>
      </c>
      <c r="G20" s="974">
        <f t="shared" si="1"/>
        <v>0</v>
      </c>
      <c r="H20" s="974">
        <f t="shared" si="3"/>
        <v>3.0434782608695653E-2</v>
      </c>
      <c r="I20" s="165"/>
      <c r="J20" s="165"/>
      <c r="K20" s="165"/>
      <c r="L20" s="1011"/>
      <c r="M20" s="19">
        <f>C20</f>
        <v>3500000</v>
      </c>
      <c r="N20" s="1038"/>
      <c r="O20" s="19"/>
      <c r="P20" s="1038"/>
      <c r="Q20" s="19"/>
      <c r="R20" s="1038"/>
      <c r="S20" s="19"/>
      <c r="T20" s="1038"/>
      <c r="U20" s="19"/>
      <c r="V20" s="1038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>
        <f t="shared" si="6"/>
        <v>3500000</v>
      </c>
      <c r="AJ20" s="19">
        <f t="shared" si="7"/>
        <v>0</v>
      </c>
      <c r="AK20" s="19">
        <f t="shared" si="8"/>
        <v>0</v>
      </c>
      <c r="AL20" s="19">
        <f t="shared" si="9"/>
        <v>0</v>
      </c>
      <c r="AM20" s="19">
        <f t="shared" si="10"/>
        <v>0</v>
      </c>
      <c r="AN20" s="19">
        <f t="shared" si="16"/>
        <v>0</v>
      </c>
      <c r="AO20" s="19">
        <f t="shared" si="11"/>
        <v>0</v>
      </c>
      <c r="AP20" s="19">
        <f t="shared" si="12"/>
        <v>0</v>
      </c>
      <c r="AQ20" s="19">
        <f t="shared" si="13"/>
        <v>0</v>
      </c>
      <c r="AR20" s="19">
        <f t="shared" si="14"/>
        <v>0</v>
      </c>
      <c r="AS20" s="19">
        <f t="shared" si="17"/>
        <v>3500000</v>
      </c>
      <c r="AT20" s="19">
        <f t="shared" si="18"/>
        <v>0</v>
      </c>
      <c r="AU20" s="19">
        <f t="shared" si="15"/>
        <v>3500000</v>
      </c>
    </row>
    <row r="21" spans="2:47" s="243" customFormat="1" ht="15" customHeight="1" x14ac:dyDescent="0.2">
      <c r="B21" s="1031" t="s">
        <v>246</v>
      </c>
      <c r="C21" s="970">
        <v>0</v>
      </c>
      <c r="D21" s="981">
        <v>500000</v>
      </c>
      <c r="E21" s="941">
        <f t="shared" si="19"/>
        <v>500000</v>
      </c>
      <c r="F21" s="972">
        <f t="shared" si="0"/>
        <v>0</v>
      </c>
      <c r="G21" s="974">
        <f t="shared" si="1"/>
        <v>4.3478260869565218E-3</v>
      </c>
      <c r="H21" s="974">
        <f t="shared" si="3"/>
        <v>4.3478260869565218E-3</v>
      </c>
      <c r="I21" s="1030"/>
      <c r="J21" s="1030"/>
      <c r="K21" s="1030"/>
      <c r="L21" s="1030"/>
      <c r="M21" s="19"/>
      <c r="N21" s="1038"/>
      <c r="O21" s="19"/>
      <c r="P21" s="1038">
        <f>D21</f>
        <v>500000</v>
      </c>
      <c r="Q21" s="19"/>
      <c r="R21" s="1038"/>
      <c r="S21" s="19"/>
      <c r="T21" s="1038"/>
      <c r="U21" s="19"/>
      <c r="V21" s="1038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>
        <f t="shared" si="6"/>
        <v>0</v>
      </c>
      <c r="AJ21" s="19">
        <f t="shared" si="7"/>
        <v>500000</v>
      </c>
      <c r="AK21" s="19">
        <f t="shared" si="8"/>
        <v>0</v>
      </c>
      <c r="AL21" s="19">
        <f t="shared" si="9"/>
        <v>0</v>
      </c>
      <c r="AM21" s="19">
        <f t="shared" si="10"/>
        <v>0</v>
      </c>
      <c r="AN21" s="19">
        <f t="shared" si="16"/>
        <v>0</v>
      </c>
      <c r="AO21" s="19">
        <f t="shared" si="11"/>
        <v>0</v>
      </c>
      <c r="AP21" s="19">
        <f t="shared" si="12"/>
        <v>0</v>
      </c>
      <c r="AQ21" s="19">
        <f t="shared" si="13"/>
        <v>0</v>
      </c>
      <c r="AR21" s="19">
        <f t="shared" si="14"/>
        <v>0</v>
      </c>
      <c r="AS21" s="19">
        <f t="shared" si="17"/>
        <v>0</v>
      </c>
      <c r="AT21" s="19">
        <f t="shared" si="18"/>
        <v>500000</v>
      </c>
      <c r="AU21" s="19">
        <f t="shared" si="15"/>
        <v>500000</v>
      </c>
    </row>
    <row r="22" spans="2:47" s="243" customFormat="1" ht="15" customHeight="1" x14ac:dyDescent="0.2">
      <c r="B22" s="1031" t="s">
        <v>247</v>
      </c>
      <c r="C22" s="970">
        <v>0</v>
      </c>
      <c r="D22" s="981">
        <v>1200000</v>
      </c>
      <c r="E22" s="941">
        <f t="shared" si="19"/>
        <v>1200000</v>
      </c>
      <c r="F22" s="972">
        <f t="shared" si="0"/>
        <v>0</v>
      </c>
      <c r="G22" s="974">
        <f t="shared" si="1"/>
        <v>1.0434782608695653E-2</v>
      </c>
      <c r="H22" s="974">
        <f t="shared" si="3"/>
        <v>1.0434782608695653E-2</v>
      </c>
      <c r="I22" s="165"/>
      <c r="J22" s="165"/>
      <c r="K22" s="165"/>
      <c r="L22" s="1011"/>
      <c r="M22" s="19"/>
      <c r="N22" s="1047"/>
      <c r="O22" s="19"/>
      <c r="P22" s="1038">
        <f>D22</f>
        <v>1200000</v>
      </c>
      <c r="Q22" s="19"/>
      <c r="R22" s="1038"/>
      <c r="S22" s="19"/>
      <c r="T22" s="1038"/>
      <c r="U22" s="19"/>
      <c r="V22" s="1038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>
        <f t="shared" si="6"/>
        <v>0</v>
      </c>
      <c r="AJ22" s="19">
        <f t="shared" si="7"/>
        <v>1200000</v>
      </c>
      <c r="AK22" s="19">
        <f t="shared" si="8"/>
        <v>0</v>
      </c>
      <c r="AL22" s="19">
        <f t="shared" si="9"/>
        <v>0</v>
      </c>
      <c r="AM22" s="19">
        <f t="shared" si="10"/>
        <v>0</v>
      </c>
      <c r="AN22" s="19">
        <f t="shared" si="16"/>
        <v>0</v>
      </c>
      <c r="AO22" s="19">
        <f t="shared" si="11"/>
        <v>0</v>
      </c>
      <c r="AP22" s="19">
        <f t="shared" si="12"/>
        <v>0</v>
      </c>
      <c r="AQ22" s="19">
        <f t="shared" si="13"/>
        <v>0</v>
      </c>
      <c r="AR22" s="19">
        <f t="shared" si="14"/>
        <v>0</v>
      </c>
      <c r="AS22" s="19">
        <f t="shared" si="17"/>
        <v>0</v>
      </c>
      <c r="AT22" s="19">
        <f t="shared" si="18"/>
        <v>1200000</v>
      </c>
      <c r="AU22" s="19">
        <f t="shared" si="15"/>
        <v>1200000</v>
      </c>
    </row>
    <row r="23" spans="2:47" s="243" customFormat="1" ht="15" customHeight="1" x14ac:dyDescent="0.2">
      <c r="B23" s="969" t="s">
        <v>249</v>
      </c>
      <c r="C23" s="979">
        <v>450000</v>
      </c>
      <c r="D23" s="980">
        <v>0</v>
      </c>
      <c r="E23" s="941">
        <f t="shared" si="19"/>
        <v>450000</v>
      </c>
      <c r="F23" s="972">
        <f t="shared" si="0"/>
        <v>3.9130434782608699E-3</v>
      </c>
      <c r="G23" s="974">
        <f t="shared" si="1"/>
        <v>0</v>
      </c>
      <c r="H23" s="974">
        <f t="shared" si="3"/>
        <v>3.9130434782608699E-3</v>
      </c>
      <c r="I23" s="165"/>
      <c r="J23" s="165"/>
      <c r="K23" s="165"/>
      <c r="L23" s="1011"/>
      <c r="M23" s="19"/>
      <c r="N23" s="1038"/>
      <c r="O23" s="19"/>
      <c r="P23" s="1038"/>
      <c r="Q23" s="19">
        <f>C23/3</f>
        <v>150000</v>
      </c>
      <c r="R23" s="1038"/>
      <c r="S23" s="19">
        <f>C23/3</f>
        <v>150000</v>
      </c>
      <c r="T23" s="1038"/>
      <c r="U23" s="19">
        <f>C23/3</f>
        <v>150000</v>
      </c>
      <c r="V23" s="1038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>
        <f t="shared" si="6"/>
        <v>0</v>
      </c>
      <c r="AJ23" s="19">
        <f t="shared" si="7"/>
        <v>0</v>
      </c>
      <c r="AK23" s="19">
        <f t="shared" si="8"/>
        <v>300000</v>
      </c>
      <c r="AL23" s="19">
        <f t="shared" si="9"/>
        <v>0</v>
      </c>
      <c r="AM23" s="19">
        <f t="shared" si="10"/>
        <v>150000</v>
      </c>
      <c r="AN23" s="19">
        <f t="shared" si="16"/>
        <v>0</v>
      </c>
      <c r="AO23" s="19">
        <f t="shared" si="11"/>
        <v>0</v>
      </c>
      <c r="AP23" s="19">
        <f t="shared" si="12"/>
        <v>0</v>
      </c>
      <c r="AQ23" s="19">
        <f t="shared" si="13"/>
        <v>0</v>
      </c>
      <c r="AR23" s="19">
        <f t="shared" si="14"/>
        <v>0</v>
      </c>
      <c r="AS23" s="19">
        <f>AG23+AI23+AK23+AM23+AO23+AQ23</f>
        <v>450000</v>
      </c>
      <c r="AT23" s="19">
        <f t="shared" si="18"/>
        <v>0</v>
      </c>
      <c r="AU23" s="19">
        <f t="shared" si="15"/>
        <v>450000</v>
      </c>
    </row>
    <row r="24" spans="2:47" s="243" customFormat="1" ht="15" customHeight="1" x14ac:dyDescent="0.2">
      <c r="B24" s="969" t="s">
        <v>250</v>
      </c>
      <c r="C24" s="979">
        <v>650000</v>
      </c>
      <c r="D24" s="980">
        <v>0</v>
      </c>
      <c r="E24" s="941">
        <f t="shared" si="19"/>
        <v>650000</v>
      </c>
      <c r="F24" s="972">
        <f t="shared" si="0"/>
        <v>5.6521739130434784E-3</v>
      </c>
      <c r="G24" s="974">
        <f t="shared" si="1"/>
        <v>0</v>
      </c>
      <c r="H24" s="974">
        <f t="shared" si="3"/>
        <v>5.6521739130434784E-3</v>
      </c>
      <c r="I24" s="165"/>
      <c r="J24" s="165"/>
      <c r="K24" s="165"/>
      <c r="L24" s="1011"/>
      <c r="M24" s="19"/>
      <c r="N24" s="1038"/>
      <c r="O24" s="19"/>
      <c r="P24" s="1038"/>
      <c r="Q24" s="19">
        <f>$C$24/2</f>
        <v>325000</v>
      </c>
      <c r="R24" s="1038"/>
      <c r="S24" s="19">
        <f>$C$24/2</f>
        <v>325000</v>
      </c>
      <c r="T24" s="1038"/>
      <c r="U24" s="19"/>
      <c r="V24" s="1038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>
        <f t="shared" si="6"/>
        <v>0</v>
      </c>
      <c r="AJ24" s="19">
        <f t="shared" si="7"/>
        <v>0</v>
      </c>
      <c r="AK24" s="19">
        <f t="shared" si="8"/>
        <v>650000</v>
      </c>
      <c r="AL24" s="19">
        <f t="shared" si="9"/>
        <v>0</v>
      </c>
      <c r="AM24" s="19">
        <f t="shared" si="10"/>
        <v>0</v>
      </c>
      <c r="AN24" s="19">
        <f t="shared" si="16"/>
        <v>0</v>
      </c>
      <c r="AO24" s="19">
        <f t="shared" si="11"/>
        <v>0</v>
      </c>
      <c r="AP24" s="19">
        <f t="shared" si="12"/>
        <v>0</v>
      </c>
      <c r="AQ24" s="19">
        <f t="shared" si="13"/>
        <v>0</v>
      </c>
      <c r="AR24" s="19">
        <f t="shared" si="14"/>
        <v>0</v>
      </c>
      <c r="AS24" s="19">
        <f t="shared" si="17"/>
        <v>650000</v>
      </c>
      <c r="AT24" s="19">
        <f t="shared" si="18"/>
        <v>0</v>
      </c>
      <c r="AU24" s="19">
        <f t="shared" si="15"/>
        <v>650000</v>
      </c>
    </row>
    <row r="25" spans="2:47" s="948" customFormat="1" ht="15" customHeight="1" x14ac:dyDescent="0.2">
      <c r="B25" s="965" t="s">
        <v>243</v>
      </c>
      <c r="C25" s="982">
        <f>SUM(C26:C38)</f>
        <v>8050000</v>
      </c>
      <c r="D25" s="982">
        <f>SUM(D26:D38)</f>
        <v>3400000</v>
      </c>
      <c r="E25" s="982">
        <f>SUM(E26:E38)</f>
        <v>11450000</v>
      </c>
      <c r="F25" s="967">
        <f t="shared" si="0"/>
        <v>7.0000000000000007E-2</v>
      </c>
      <c r="G25" s="967">
        <f t="shared" si="1"/>
        <v>2.9565217391304348E-2</v>
      </c>
      <c r="H25" s="967">
        <f t="shared" si="3"/>
        <v>9.9565217391304348E-2</v>
      </c>
      <c r="I25" s="955">
        <f>SUM(I26:I38)</f>
        <v>0</v>
      </c>
      <c r="J25" s="955">
        <f t="shared" ref="J25:AT25" si="20">SUM(J26:J38)</f>
        <v>0</v>
      </c>
      <c r="K25" s="955">
        <f t="shared" si="20"/>
        <v>0</v>
      </c>
      <c r="L25" s="955">
        <f t="shared" si="20"/>
        <v>0</v>
      </c>
      <c r="M25" s="955">
        <f t="shared" si="20"/>
        <v>1050000</v>
      </c>
      <c r="N25" s="163">
        <f t="shared" si="20"/>
        <v>0</v>
      </c>
      <c r="O25" s="955">
        <f t="shared" si="20"/>
        <v>200000</v>
      </c>
      <c r="P25" s="163">
        <f>SUM(P26:P38)</f>
        <v>1050000</v>
      </c>
      <c r="Q25" s="955">
        <f>SUM(Q26:Q38)</f>
        <v>2766666.6666666665</v>
      </c>
      <c r="R25" s="163">
        <f t="shared" si="20"/>
        <v>0</v>
      </c>
      <c r="S25" s="955">
        <f>SUM(S26:S38)</f>
        <v>1833333.3333333333</v>
      </c>
      <c r="T25" s="163">
        <f>SUM(T26:T38)</f>
        <v>1000000</v>
      </c>
      <c r="U25" s="955">
        <f>SUM(U26:U38)</f>
        <v>1200000</v>
      </c>
      <c r="V25" s="163">
        <f t="shared" si="20"/>
        <v>1350000</v>
      </c>
      <c r="W25" s="955">
        <f>SUM(W26:W38)</f>
        <v>1000000</v>
      </c>
      <c r="X25" s="955">
        <f t="shared" si="20"/>
        <v>0</v>
      </c>
      <c r="Y25" s="955">
        <f t="shared" si="20"/>
        <v>0</v>
      </c>
      <c r="Z25" s="955">
        <f t="shared" si="20"/>
        <v>0</v>
      </c>
      <c r="AA25" s="955">
        <f t="shared" si="20"/>
        <v>0</v>
      </c>
      <c r="AB25" s="955">
        <f t="shared" si="20"/>
        <v>0</v>
      </c>
      <c r="AC25" s="955">
        <f t="shared" si="20"/>
        <v>0</v>
      </c>
      <c r="AD25" s="955">
        <f t="shared" si="20"/>
        <v>0</v>
      </c>
      <c r="AE25" s="955">
        <f t="shared" si="20"/>
        <v>0</v>
      </c>
      <c r="AF25" s="955">
        <f t="shared" si="20"/>
        <v>0</v>
      </c>
      <c r="AG25" s="955">
        <f t="shared" si="20"/>
        <v>0</v>
      </c>
      <c r="AH25" s="955">
        <f t="shared" si="20"/>
        <v>0</v>
      </c>
      <c r="AI25" s="955">
        <f>SUM(AI26:AI38)</f>
        <v>1250000</v>
      </c>
      <c r="AJ25" s="955">
        <f>SUM(AJ26:AJ38)</f>
        <v>1050000</v>
      </c>
      <c r="AK25" s="955">
        <f t="shared" si="20"/>
        <v>4600000</v>
      </c>
      <c r="AL25" s="955">
        <f t="shared" si="20"/>
        <v>1000000</v>
      </c>
      <c r="AM25" s="955">
        <f t="shared" si="20"/>
        <v>2200000</v>
      </c>
      <c r="AN25" s="955">
        <f t="shared" si="20"/>
        <v>1350000</v>
      </c>
      <c r="AO25" s="955">
        <f t="shared" si="20"/>
        <v>0</v>
      </c>
      <c r="AP25" s="955">
        <f t="shared" si="20"/>
        <v>0</v>
      </c>
      <c r="AQ25" s="955">
        <f t="shared" si="20"/>
        <v>0</v>
      </c>
      <c r="AR25" s="955">
        <f t="shared" si="20"/>
        <v>0</v>
      </c>
      <c r="AS25" s="955">
        <f t="shared" si="20"/>
        <v>8050000</v>
      </c>
      <c r="AT25" s="955">
        <f t="shared" si="20"/>
        <v>3400000</v>
      </c>
      <c r="AU25" s="955">
        <f>SUM(AU26:AU38)</f>
        <v>11450000</v>
      </c>
    </row>
    <row r="26" spans="2:47" s="243" customFormat="1" x14ac:dyDescent="0.2">
      <c r="B26" s="969" t="s">
        <v>251</v>
      </c>
      <c r="C26" s="970">
        <v>0</v>
      </c>
      <c r="D26" s="971">
        <v>1050000</v>
      </c>
      <c r="E26" s="941">
        <f>SUM(C26:D26)</f>
        <v>1050000</v>
      </c>
      <c r="F26" s="972">
        <f t="shared" si="0"/>
        <v>0</v>
      </c>
      <c r="G26" s="974">
        <f t="shared" si="1"/>
        <v>9.1304347826086964E-3</v>
      </c>
      <c r="H26" s="974">
        <f t="shared" si="3"/>
        <v>9.1304347826086964E-3</v>
      </c>
      <c r="I26" s="165"/>
      <c r="J26" s="165"/>
      <c r="K26" s="165"/>
      <c r="L26" s="165"/>
      <c r="M26" s="19"/>
      <c r="N26" s="1038"/>
      <c r="O26" s="19"/>
      <c r="P26" s="1038">
        <f>D26</f>
        <v>1050000</v>
      </c>
      <c r="Q26" s="19"/>
      <c r="R26" s="1038"/>
      <c r="S26" s="19"/>
      <c r="T26" s="1038"/>
      <c r="U26" s="19"/>
      <c r="V26" s="1038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>
        <f t="shared" ref="AI26:AJ29" si="21">M26+O26</f>
        <v>0</v>
      </c>
      <c r="AJ26" s="19">
        <f t="shared" si="21"/>
        <v>1050000</v>
      </c>
      <c r="AK26" s="19">
        <f t="shared" ref="AK26:AL38" si="22">Q26+S26</f>
        <v>0</v>
      </c>
      <c r="AL26" s="19">
        <f t="shared" si="22"/>
        <v>0</v>
      </c>
      <c r="AM26" s="19">
        <f t="shared" ref="AM26:AN29" si="23">U26+W26</f>
        <v>0</v>
      </c>
      <c r="AN26" s="19">
        <f t="shared" si="23"/>
        <v>0</v>
      </c>
      <c r="AO26" s="19">
        <f t="shared" ref="AO26:AP29" si="24">Y26+AA26</f>
        <v>0</v>
      </c>
      <c r="AP26" s="19">
        <f t="shared" si="24"/>
        <v>0</v>
      </c>
      <c r="AQ26" s="19">
        <f t="shared" ref="AQ26:AR29" si="25">AC26+AE26</f>
        <v>0</v>
      </c>
      <c r="AR26" s="19">
        <f t="shared" si="25"/>
        <v>0</v>
      </c>
      <c r="AS26" s="19">
        <f t="shared" ref="AS26:AT29" si="26">AG26+AI26+AK26+AM26+AO26+AQ26</f>
        <v>0</v>
      </c>
      <c r="AT26" s="19">
        <f t="shared" si="26"/>
        <v>1050000</v>
      </c>
      <c r="AU26" s="19">
        <f>AT26+AS26</f>
        <v>1050000</v>
      </c>
    </row>
    <row r="27" spans="2:47" s="243" customFormat="1" ht="15" customHeight="1" x14ac:dyDescent="0.2">
      <c r="B27" s="969" t="s">
        <v>252</v>
      </c>
      <c r="C27" s="970">
        <v>0</v>
      </c>
      <c r="D27" s="971">
        <v>2350000</v>
      </c>
      <c r="E27" s="941">
        <f t="shared" ref="E27:E38" si="27">SUM(C27:D27)</f>
        <v>2350000</v>
      </c>
      <c r="F27" s="972">
        <f t="shared" si="0"/>
        <v>0</v>
      </c>
      <c r="G27" s="974">
        <f t="shared" si="1"/>
        <v>2.0434782608695651E-2</v>
      </c>
      <c r="H27" s="974">
        <f t="shared" si="3"/>
        <v>2.0434782608695651E-2</v>
      </c>
      <c r="I27" s="165"/>
      <c r="J27" s="165"/>
      <c r="K27" s="165"/>
      <c r="L27" s="165"/>
      <c r="M27" s="19"/>
      <c r="N27" s="1038"/>
      <c r="O27" s="19"/>
      <c r="P27" s="1038"/>
      <c r="Q27" s="19"/>
      <c r="R27" s="1038"/>
      <c r="S27" s="19"/>
      <c r="T27" s="1038">
        <v>1000000</v>
      </c>
      <c r="U27" s="19"/>
      <c r="V27" s="1038">
        <v>1350000</v>
      </c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>
        <f t="shared" si="21"/>
        <v>0</v>
      </c>
      <c r="AJ27" s="19">
        <f t="shared" si="21"/>
        <v>0</v>
      </c>
      <c r="AK27" s="19">
        <f t="shared" si="22"/>
        <v>0</v>
      </c>
      <c r="AL27" s="19">
        <f t="shared" si="22"/>
        <v>1000000</v>
      </c>
      <c r="AM27" s="19">
        <f t="shared" si="23"/>
        <v>0</v>
      </c>
      <c r="AN27" s="19">
        <f t="shared" si="23"/>
        <v>1350000</v>
      </c>
      <c r="AO27" s="19">
        <f t="shared" si="24"/>
        <v>0</v>
      </c>
      <c r="AP27" s="19">
        <f t="shared" si="24"/>
        <v>0</v>
      </c>
      <c r="AQ27" s="19">
        <f t="shared" si="25"/>
        <v>0</v>
      </c>
      <c r="AR27" s="19">
        <f t="shared" si="25"/>
        <v>0</v>
      </c>
      <c r="AS27" s="19">
        <f t="shared" si="26"/>
        <v>0</v>
      </c>
      <c r="AT27" s="19">
        <f t="shared" si="26"/>
        <v>2350000</v>
      </c>
      <c r="AU27" s="19">
        <f>AT27+AS27</f>
        <v>2350000</v>
      </c>
    </row>
    <row r="28" spans="2:47" s="243" customFormat="1" ht="15" customHeight="1" x14ac:dyDescent="0.2">
      <c r="B28" s="969" t="s">
        <v>260</v>
      </c>
      <c r="C28" s="979">
        <v>200000</v>
      </c>
      <c r="D28" s="980">
        <v>0</v>
      </c>
      <c r="E28" s="941">
        <f t="shared" si="27"/>
        <v>200000</v>
      </c>
      <c r="F28" s="972">
        <f t="shared" si="0"/>
        <v>1.7391304347826088E-3</v>
      </c>
      <c r="G28" s="974">
        <f t="shared" si="1"/>
        <v>0</v>
      </c>
      <c r="H28" s="974">
        <f t="shared" si="3"/>
        <v>1.7391304347826088E-3</v>
      </c>
      <c r="I28" s="165"/>
      <c r="J28" s="165"/>
      <c r="K28" s="165"/>
      <c r="L28" s="165"/>
      <c r="M28" s="19"/>
      <c r="N28" s="1038"/>
      <c r="O28" s="19">
        <f>C28</f>
        <v>200000</v>
      </c>
      <c r="P28" s="1038"/>
      <c r="Q28" s="19"/>
      <c r="R28" s="1038"/>
      <c r="S28" s="19"/>
      <c r="T28" s="1038"/>
      <c r="U28" s="19"/>
      <c r="V28" s="1038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>
        <f t="shared" si="21"/>
        <v>200000</v>
      </c>
      <c r="AJ28" s="19">
        <f t="shared" si="21"/>
        <v>0</v>
      </c>
      <c r="AK28" s="19">
        <f t="shared" si="22"/>
        <v>0</v>
      </c>
      <c r="AL28" s="19">
        <f t="shared" si="22"/>
        <v>0</v>
      </c>
      <c r="AM28" s="19">
        <f t="shared" si="23"/>
        <v>0</v>
      </c>
      <c r="AN28" s="19">
        <f t="shared" si="23"/>
        <v>0</v>
      </c>
      <c r="AO28" s="19">
        <f t="shared" si="24"/>
        <v>0</v>
      </c>
      <c r="AP28" s="19">
        <f t="shared" si="24"/>
        <v>0</v>
      </c>
      <c r="AQ28" s="19">
        <f t="shared" si="25"/>
        <v>0</v>
      </c>
      <c r="AR28" s="19">
        <f t="shared" si="25"/>
        <v>0</v>
      </c>
      <c r="AS28" s="19">
        <f t="shared" si="26"/>
        <v>200000</v>
      </c>
      <c r="AT28" s="19">
        <f t="shared" si="26"/>
        <v>0</v>
      </c>
      <c r="AU28" s="19">
        <f>AT28+AS28</f>
        <v>200000</v>
      </c>
    </row>
    <row r="29" spans="2:47" s="243" customFormat="1" ht="15" customHeight="1" x14ac:dyDescent="0.2">
      <c r="B29" s="983" t="s">
        <v>263</v>
      </c>
      <c r="C29" s="979">
        <v>500000</v>
      </c>
      <c r="D29" s="980">
        <v>0</v>
      </c>
      <c r="E29" s="941">
        <f t="shared" si="27"/>
        <v>500000</v>
      </c>
      <c r="F29" s="972">
        <f t="shared" si="0"/>
        <v>4.3478260869565218E-3</v>
      </c>
      <c r="G29" s="974">
        <f t="shared" si="1"/>
        <v>0</v>
      </c>
      <c r="H29" s="974">
        <f t="shared" si="3"/>
        <v>4.3478260869565218E-3</v>
      </c>
      <c r="I29" s="165"/>
      <c r="J29" s="165"/>
      <c r="K29" s="165"/>
      <c r="L29" s="165"/>
      <c r="M29" s="19"/>
      <c r="N29" s="1038"/>
      <c r="O29" s="19"/>
      <c r="P29" s="1038"/>
      <c r="Q29" s="19">
        <f>C29/3</f>
        <v>166666.66666666666</v>
      </c>
      <c r="R29" s="1038"/>
      <c r="S29" s="19">
        <f>(C29/3)*2</f>
        <v>333333.33333333331</v>
      </c>
      <c r="T29" s="1038"/>
      <c r="U29" s="19"/>
      <c r="V29" s="1038"/>
      <c r="W29" s="1032"/>
      <c r="X29" s="19"/>
      <c r="Y29" s="1032"/>
      <c r="Z29" s="19"/>
      <c r="AA29" s="19"/>
      <c r="AB29" s="19"/>
      <c r="AC29" s="19"/>
      <c r="AD29" s="19"/>
      <c r="AE29" s="19"/>
      <c r="AF29" s="19"/>
      <c r="AG29" s="19"/>
      <c r="AH29" s="19"/>
      <c r="AI29" s="19">
        <f t="shared" si="21"/>
        <v>0</v>
      </c>
      <c r="AJ29" s="19">
        <f t="shared" si="21"/>
        <v>0</v>
      </c>
      <c r="AK29" s="19">
        <f t="shared" si="22"/>
        <v>500000</v>
      </c>
      <c r="AL29" s="19">
        <f t="shared" si="22"/>
        <v>0</v>
      </c>
      <c r="AM29" s="19">
        <f>U29+W29</f>
        <v>0</v>
      </c>
      <c r="AN29" s="19">
        <f t="shared" si="23"/>
        <v>0</v>
      </c>
      <c r="AO29" s="19">
        <f>Y29+AA29</f>
        <v>0</v>
      </c>
      <c r="AP29" s="19">
        <f t="shared" si="24"/>
        <v>0</v>
      </c>
      <c r="AQ29" s="19">
        <f t="shared" si="25"/>
        <v>0</v>
      </c>
      <c r="AR29" s="19">
        <f t="shared" si="25"/>
        <v>0</v>
      </c>
      <c r="AS29" s="19">
        <f t="shared" si="26"/>
        <v>500000</v>
      </c>
      <c r="AT29" s="19">
        <f t="shared" si="26"/>
        <v>0</v>
      </c>
      <c r="AU29" s="19">
        <f>AT29+AS29</f>
        <v>500000</v>
      </c>
    </row>
    <row r="30" spans="2:47" s="243" customFormat="1" ht="15" customHeight="1" x14ac:dyDescent="0.2">
      <c r="B30" s="983" t="s">
        <v>261</v>
      </c>
      <c r="C30" s="979">
        <v>1000000</v>
      </c>
      <c r="D30" s="980">
        <v>0</v>
      </c>
      <c r="E30" s="941">
        <f t="shared" si="27"/>
        <v>1000000</v>
      </c>
      <c r="F30" s="972">
        <f t="shared" si="0"/>
        <v>8.6956521739130436E-3</v>
      </c>
      <c r="G30" s="974">
        <f t="shared" si="1"/>
        <v>0</v>
      </c>
      <c r="H30" s="974">
        <f t="shared" si="3"/>
        <v>8.6956521739130436E-3</v>
      </c>
      <c r="I30" s="165"/>
      <c r="J30" s="165"/>
      <c r="K30" s="165"/>
      <c r="L30" s="165"/>
      <c r="M30" s="19"/>
      <c r="N30" s="1038"/>
      <c r="O30" s="19"/>
      <c r="P30" s="1038"/>
      <c r="Q30" s="19"/>
      <c r="R30" s="1038"/>
      <c r="S30" s="19"/>
      <c r="T30" s="1038"/>
      <c r="U30" s="19"/>
      <c r="V30" s="1038"/>
      <c r="W30" s="19">
        <f>C30</f>
        <v>1000000</v>
      </c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>
        <f t="shared" ref="AI30:AI38" si="28">M30+O30</f>
        <v>0</v>
      </c>
      <c r="AJ30" s="19">
        <f t="shared" ref="AJ30:AJ38" si="29">N30+P30</f>
        <v>0</v>
      </c>
      <c r="AK30" s="19">
        <f t="shared" si="22"/>
        <v>0</v>
      </c>
      <c r="AL30" s="19">
        <f t="shared" ref="AL30:AL38" si="30">R30+T30</f>
        <v>0</v>
      </c>
      <c r="AM30" s="19">
        <f t="shared" ref="AM30:AM38" si="31">U30+W30</f>
        <v>1000000</v>
      </c>
      <c r="AN30" s="19">
        <f t="shared" ref="AN30:AN38" si="32">V30+X30</f>
        <v>0</v>
      </c>
      <c r="AO30" s="19">
        <f t="shared" ref="AO30:AO38" si="33">Y30+AA30</f>
        <v>0</v>
      </c>
      <c r="AP30" s="19">
        <f t="shared" ref="AP30:AP38" si="34">Z30+AB30</f>
        <v>0</v>
      </c>
      <c r="AQ30" s="19">
        <f t="shared" ref="AQ30:AQ38" si="35">AC30+AE30</f>
        <v>0</v>
      </c>
      <c r="AR30" s="19">
        <f t="shared" ref="AR30:AR38" si="36">AD30+AF30</f>
        <v>0</v>
      </c>
      <c r="AS30" s="19">
        <f t="shared" ref="AS30:AS38" si="37">AG30+AI30+AK30+AM30+AO30+AQ30</f>
        <v>1000000</v>
      </c>
      <c r="AT30" s="19">
        <f t="shared" ref="AT30:AT38" si="38">AH30+AJ30+AL30+AN30+AP30+AR30</f>
        <v>0</v>
      </c>
      <c r="AU30" s="19">
        <f t="shared" ref="AU30:AU38" si="39">AT30+AS30</f>
        <v>1000000</v>
      </c>
    </row>
    <row r="31" spans="2:47" s="243" customFormat="1" ht="15" customHeight="1" x14ac:dyDescent="0.2">
      <c r="B31" s="983" t="s">
        <v>262</v>
      </c>
      <c r="C31" s="979">
        <v>1000000</v>
      </c>
      <c r="D31" s="980">
        <v>0</v>
      </c>
      <c r="E31" s="941">
        <f t="shared" si="27"/>
        <v>1000000</v>
      </c>
      <c r="F31" s="972">
        <f t="shared" si="0"/>
        <v>8.6956521739130436E-3</v>
      </c>
      <c r="G31" s="974">
        <f t="shared" si="1"/>
        <v>0</v>
      </c>
      <c r="H31" s="974">
        <f t="shared" si="3"/>
        <v>8.6956521739130436E-3</v>
      </c>
      <c r="I31" s="165"/>
      <c r="J31" s="165"/>
      <c r="K31" s="165"/>
      <c r="L31" s="165"/>
      <c r="M31" s="19"/>
      <c r="N31" s="1038"/>
      <c r="O31" s="19"/>
      <c r="P31" s="1038"/>
      <c r="Q31" s="19">
        <f>C31/2</f>
        <v>500000</v>
      </c>
      <c r="R31" s="1038"/>
      <c r="S31" s="19">
        <f>Q31</f>
        <v>500000</v>
      </c>
      <c r="T31" s="1038"/>
      <c r="U31" s="19"/>
      <c r="V31" s="1038"/>
      <c r="W31" s="1033"/>
      <c r="X31" s="19"/>
      <c r="Y31" s="1032"/>
      <c r="Z31" s="19"/>
      <c r="AA31" s="19"/>
      <c r="AB31" s="19"/>
      <c r="AC31" s="19"/>
      <c r="AD31" s="19"/>
      <c r="AE31" s="19"/>
      <c r="AF31" s="19"/>
      <c r="AG31" s="19"/>
      <c r="AH31" s="19"/>
      <c r="AI31" s="19">
        <f t="shared" si="28"/>
        <v>0</v>
      </c>
      <c r="AJ31" s="19">
        <f t="shared" si="29"/>
        <v>0</v>
      </c>
      <c r="AK31" s="19">
        <f t="shared" si="22"/>
        <v>1000000</v>
      </c>
      <c r="AL31" s="19">
        <f t="shared" si="30"/>
        <v>0</v>
      </c>
      <c r="AM31" s="19">
        <f>U31+W31</f>
        <v>0</v>
      </c>
      <c r="AN31" s="19">
        <f t="shared" si="32"/>
        <v>0</v>
      </c>
      <c r="AO31" s="19">
        <f>Y31+AA31</f>
        <v>0</v>
      </c>
      <c r="AP31" s="19">
        <f t="shared" si="34"/>
        <v>0</v>
      </c>
      <c r="AQ31" s="19">
        <f t="shared" si="35"/>
        <v>0</v>
      </c>
      <c r="AR31" s="19">
        <f t="shared" si="36"/>
        <v>0</v>
      </c>
      <c r="AS31" s="19">
        <f t="shared" si="37"/>
        <v>1000000</v>
      </c>
      <c r="AT31" s="19">
        <f t="shared" si="38"/>
        <v>0</v>
      </c>
      <c r="AU31" s="19">
        <f t="shared" si="39"/>
        <v>1000000</v>
      </c>
    </row>
    <row r="32" spans="2:47" s="243" customFormat="1" ht="15" customHeight="1" x14ac:dyDescent="0.2">
      <c r="B32" s="983" t="s">
        <v>267</v>
      </c>
      <c r="C32" s="979">
        <v>1500000</v>
      </c>
      <c r="D32" s="980"/>
      <c r="E32" s="941">
        <f t="shared" si="27"/>
        <v>1500000</v>
      </c>
      <c r="F32" s="972">
        <f t="shared" ref="F32:F49" si="40">C32/$E$82</f>
        <v>1.3043478260869565E-2</v>
      </c>
      <c r="G32" s="974"/>
      <c r="H32" s="974">
        <f t="shared" si="3"/>
        <v>1.3043478260869565E-2</v>
      </c>
      <c r="I32" s="165"/>
      <c r="J32" s="165"/>
      <c r="K32" s="165"/>
      <c r="L32" s="165"/>
      <c r="M32" s="19"/>
      <c r="N32" s="1038"/>
      <c r="O32" s="19"/>
      <c r="P32" s="1038"/>
      <c r="Q32" s="19">
        <v>500000</v>
      </c>
      <c r="R32" s="1038"/>
      <c r="S32" s="19">
        <v>1000000</v>
      </c>
      <c r="T32" s="1038"/>
      <c r="U32" s="1032"/>
      <c r="V32" s="1038"/>
      <c r="W32" s="1033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>
        <f t="shared" si="28"/>
        <v>0</v>
      </c>
      <c r="AJ32" s="19">
        <f t="shared" si="29"/>
        <v>0</v>
      </c>
      <c r="AK32" s="19">
        <f t="shared" si="22"/>
        <v>1500000</v>
      </c>
      <c r="AL32" s="19">
        <f t="shared" si="30"/>
        <v>0</v>
      </c>
      <c r="AM32" s="19">
        <f>U32+W32</f>
        <v>0</v>
      </c>
      <c r="AN32" s="19">
        <f t="shared" si="32"/>
        <v>0</v>
      </c>
      <c r="AO32" s="19">
        <f t="shared" si="33"/>
        <v>0</v>
      </c>
      <c r="AP32" s="19">
        <f t="shared" si="34"/>
        <v>0</v>
      </c>
      <c r="AQ32" s="19">
        <f t="shared" si="35"/>
        <v>0</v>
      </c>
      <c r="AR32" s="19">
        <f t="shared" si="36"/>
        <v>0</v>
      </c>
      <c r="AS32" s="19">
        <f t="shared" si="37"/>
        <v>1500000</v>
      </c>
      <c r="AT32" s="19">
        <f t="shared" si="38"/>
        <v>0</v>
      </c>
      <c r="AU32" s="19">
        <f t="shared" si="39"/>
        <v>1500000</v>
      </c>
    </row>
    <row r="33" spans="2:52" s="243" customFormat="1" ht="15" customHeight="1" x14ac:dyDescent="0.2">
      <c r="B33" s="1031" t="s">
        <v>268</v>
      </c>
      <c r="C33" s="979">
        <v>550000</v>
      </c>
      <c r="D33" s="980">
        <v>0</v>
      </c>
      <c r="E33" s="941">
        <f t="shared" si="27"/>
        <v>550000</v>
      </c>
      <c r="F33" s="972">
        <f t="shared" si="40"/>
        <v>4.7826086956521737E-3</v>
      </c>
      <c r="G33" s="974">
        <f>D33/$E$82</f>
        <v>0</v>
      </c>
      <c r="H33" s="974">
        <f t="shared" si="3"/>
        <v>4.7826086956521737E-3</v>
      </c>
      <c r="I33" s="165"/>
      <c r="J33" s="165"/>
      <c r="K33" s="165"/>
      <c r="L33" s="165"/>
      <c r="M33" s="19">
        <f>C33</f>
        <v>550000</v>
      </c>
      <c r="N33" s="1038"/>
      <c r="O33" s="19"/>
      <c r="P33" s="1038"/>
      <c r="Q33" s="19"/>
      <c r="R33" s="1038"/>
      <c r="S33" s="19"/>
      <c r="T33" s="1038"/>
      <c r="U33" s="19"/>
      <c r="V33" s="1038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>
        <f t="shared" si="28"/>
        <v>550000</v>
      </c>
      <c r="AJ33" s="19">
        <f t="shared" si="29"/>
        <v>0</v>
      </c>
      <c r="AK33" s="19">
        <f t="shared" si="22"/>
        <v>0</v>
      </c>
      <c r="AL33" s="19">
        <f t="shared" si="30"/>
        <v>0</v>
      </c>
      <c r="AM33" s="19">
        <f t="shared" si="31"/>
        <v>0</v>
      </c>
      <c r="AN33" s="19">
        <f t="shared" si="32"/>
        <v>0</v>
      </c>
      <c r="AO33" s="19">
        <f t="shared" si="33"/>
        <v>0</v>
      </c>
      <c r="AP33" s="19">
        <f t="shared" si="34"/>
        <v>0</v>
      </c>
      <c r="AQ33" s="19">
        <f t="shared" si="35"/>
        <v>0</v>
      </c>
      <c r="AR33" s="19">
        <f t="shared" si="36"/>
        <v>0</v>
      </c>
      <c r="AS33" s="19">
        <f t="shared" si="37"/>
        <v>550000</v>
      </c>
      <c r="AT33" s="19">
        <f t="shared" si="38"/>
        <v>0</v>
      </c>
      <c r="AU33" s="19">
        <f t="shared" si="39"/>
        <v>550000</v>
      </c>
    </row>
    <row r="34" spans="2:52" s="243" customFormat="1" ht="15" customHeight="1" x14ac:dyDescent="0.2">
      <c r="B34" s="1031" t="s">
        <v>269</v>
      </c>
      <c r="C34" s="979">
        <v>1150000</v>
      </c>
      <c r="D34" s="980">
        <v>0</v>
      </c>
      <c r="E34" s="941">
        <f t="shared" si="27"/>
        <v>1150000</v>
      </c>
      <c r="F34" s="972">
        <f t="shared" si="40"/>
        <v>0.01</v>
      </c>
      <c r="G34" s="974">
        <f>D34/$E$82</f>
        <v>0</v>
      </c>
      <c r="H34" s="974">
        <f t="shared" si="3"/>
        <v>0.01</v>
      </c>
      <c r="I34" s="165"/>
      <c r="J34" s="165"/>
      <c r="K34" s="165"/>
      <c r="L34" s="165"/>
      <c r="M34" s="19"/>
      <c r="N34" s="1038"/>
      <c r="O34" s="19"/>
      <c r="P34" s="1038"/>
      <c r="Q34" s="19">
        <f>C34</f>
        <v>1150000</v>
      </c>
      <c r="R34" s="1038"/>
      <c r="S34" s="19"/>
      <c r="T34" s="1038"/>
      <c r="U34" s="19"/>
      <c r="V34" s="1038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>
        <f t="shared" si="28"/>
        <v>0</v>
      </c>
      <c r="AJ34" s="19">
        <f t="shared" si="29"/>
        <v>0</v>
      </c>
      <c r="AK34" s="19">
        <f t="shared" si="22"/>
        <v>1150000</v>
      </c>
      <c r="AL34" s="19">
        <f t="shared" si="30"/>
        <v>0</v>
      </c>
      <c r="AM34" s="19">
        <f t="shared" si="31"/>
        <v>0</v>
      </c>
      <c r="AN34" s="19">
        <f t="shared" si="32"/>
        <v>0</v>
      </c>
      <c r="AO34" s="19">
        <f t="shared" si="33"/>
        <v>0</v>
      </c>
      <c r="AP34" s="19">
        <f t="shared" si="34"/>
        <v>0</v>
      </c>
      <c r="AQ34" s="19">
        <f t="shared" si="35"/>
        <v>0</v>
      </c>
      <c r="AR34" s="19">
        <f t="shared" si="36"/>
        <v>0</v>
      </c>
      <c r="AS34" s="19">
        <f t="shared" si="37"/>
        <v>1150000</v>
      </c>
      <c r="AT34" s="19">
        <f t="shared" si="38"/>
        <v>0</v>
      </c>
      <c r="AU34" s="19">
        <f t="shared" si="39"/>
        <v>1150000</v>
      </c>
    </row>
    <row r="35" spans="2:52" s="243" customFormat="1" ht="15" customHeight="1" x14ac:dyDescent="0.2">
      <c r="B35" s="1031" t="s">
        <v>270</v>
      </c>
      <c r="C35" s="979">
        <v>500000</v>
      </c>
      <c r="D35" s="980">
        <v>0</v>
      </c>
      <c r="E35" s="941">
        <f t="shared" si="27"/>
        <v>500000</v>
      </c>
      <c r="F35" s="972">
        <f t="shared" si="40"/>
        <v>4.3478260869565218E-3</v>
      </c>
      <c r="G35" s="974">
        <f>D35/$E$82</f>
        <v>0</v>
      </c>
      <c r="H35" s="974">
        <f t="shared" si="3"/>
        <v>4.3478260869565218E-3</v>
      </c>
      <c r="I35" s="165"/>
      <c r="J35" s="165"/>
      <c r="K35" s="165"/>
      <c r="L35" s="165"/>
      <c r="M35" s="19">
        <f>C35</f>
        <v>500000</v>
      </c>
      <c r="N35" s="1038"/>
      <c r="O35" s="19"/>
      <c r="P35" s="1038"/>
      <c r="Q35" s="1033"/>
      <c r="R35" s="1038"/>
      <c r="S35" s="19"/>
      <c r="T35" s="1038"/>
      <c r="U35" s="19"/>
      <c r="V35" s="1038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>
        <f t="shared" si="28"/>
        <v>500000</v>
      </c>
      <c r="AJ35" s="19">
        <f t="shared" si="29"/>
        <v>0</v>
      </c>
      <c r="AK35" s="19">
        <f t="shared" si="22"/>
        <v>0</v>
      </c>
      <c r="AL35" s="19">
        <f t="shared" si="30"/>
        <v>0</v>
      </c>
      <c r="AM35" s="19">
        <f t="shared" si="31"/>
        <v>0</v>
      </c>
      <c r="AN35" s="19">
        <f t="shared" si="32"/>
        <v>0</v>
      </c>
      <c r="AO35" s="19">
        <f t="shared" si="33"/>
        <v>0</v>
      </c>
      <c r="AP35" s="19">
        <f t="shared" si="34"/>
        <v>0</v>
      </c>
      <c r="AQ35" s="19">
        <f t="shared" si="35"/>
        <v>0</v>
      </c>
      <c r="AR35" s="19">
        <f t="shared" si="36"/>
        <v>0</v>
      </c>
      <c r="AS35" s="19">
        <f t="shared" si="37"/>
        <v>500000</v>
      </c>
      <c r="AT35" s="19">
        <f t="shared" si="38"/>
        <v>0</v>
      </c>
      <c r="AU35" s="19">
        <f t="shared" si="39"/>
        <v>500000</v>
      </c>
    </row>
    <row r="36" spans="2:52" s="243" customFormat="1" ht="15" customHeight="1" x14ac:dyDescent="0.2">
      <c r="B36" s="1031" t="s">
        <v>271</v>
      </c>
      <c r="C36" s="979">
        <v>1200000</v>
      </c>
      <c r="D36" s="980">
        <v>0</v>
      </c>
      <c r="E36" s="941">
        <f t="shared" si="27"/>
        <v>1200000</v>
      </c>
      <c r="F36" s="972">
        <f t="shared" si="40"/>
        <v>1.0434782608695653E-2</v>
      </c>
      <c r="G36" s="974">
        <f>D36/$E$82</f>
        <v>0</v>
      </c>
      <c r="H36" s="974">
        <f t="shared" si="3"/>
        <v>1.0434782608695653E-2</v>
      </c>
      <c r="I36" s="165"/>
      <c r="J36" s="165"/>
      <c r="K36" s="165"/>
      <c r="L36" s="165"/>
      <c r="M36" s="19"/>
      <c r="N36" s="1038"/>
      <c r="O36" s="19"/>
      <c r="P36" s="1038"/>
      <c r="Q36" s="19"/>
      <c r="R36" s="1038"/>
      <c r="S36" s="19"/>
      <c r="T36" s="1038"/>
      <c r="U36" s="19">
        <f>C36</f>
        <v>1200000</v>
      </c>
      <c r="V36" s="103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>
        <f t="shared" si="28"/>
        <v>0</v>
      </c>
      <c r="AJ36" s="19">
        <f t="shared" si="29"/>
        <v>0</v>
      </c>
      <c r="AK36" s="19">
        <f t="shared" si="22"/>
        <v>0</v>
      </c>
      <c r="AL36" s="19">
        <f t="shared" si="30"/>
        <v>0</v>
      </c>
      <c r="AM36" s="19">
        <f t="shared" si="31"/>
        <v>1200000</v>
      </c>
      <c r="AN36" s="19">
        <f t="shared" si="32"/>
        <v>0</v>
      </c>
      <c r="AO36" s="19">
        <f t="shared" si="33"/>
        <v>0</v>
      </c>
      <c r="AP36" s="19">
        <f t="shared" si="34"/>
        <v>0</v>
      </c>
      <c r="AQ36" s="19">
        <f t="shared" si="35"/>
        <v>0</v>
      </c>
      <c r="AR36" s="19">
        <f t="shared" si="36"/>
        <v>0</v>
      </c>
      <c r="AS36" s="19">
        <f t="shared" si="37"/>
        <v>1200000</v>
      </c>
      <c r="AT36" s="19">
        <f t="shared" si="38"/>
        <v>0</v>
      </c>
      <c r="AU36" s="19">
        <f t="shared" si="39"/>
        <v>1200000</v>
      </c>
    </row>
    <row r="37" spans="2:52" s="243" customFormat="1" ht="15" customHeight="1" x14ac:dyDescent="0.2">
      <c r="B37" s="1031" t="s">
        <v>272</v>
      </c>
      <c r="C37" s="979">
        <v>50000</v>
      </c>
      <c r="D37" s="980">
        <v>0</v>
      </c>
      <c r="E37" s="941">
        <f t="shared" si="27"/>
        <v>50000</v>
      </c>
      <c r="F37" s="972">
        <f t="shared" si="40"/>
        <v>4.3478260869565219E-4</v>
      </c>
      <c r="G37" s="974">
        <f>D37/$E$82</f>
        <v>0</v>
      </c>
      <c r="H37" s="974">
        <f t="shared" si="3"/>
        <v>4.3478260869565219E-4</v>
      </c>
      <c r="I37" s="165"/>
      <c r="J37" s="165"/>
      <c r="K37" s="165"/>
      <c r="L37" s="165"/>
      <c r="M37" s="19"/>
      <c r="N37" s="1038"/>
      <c r="O37" s="19"/>
      <c r="P37" s="1038"/>
      <c r="Q37" s="19">
        <f>C37</f>
        <v>50000</v>
      </c>
      <c r="R37" s="1038"/>
      <c r="S37" s="19"/>
      <c r="T37" s="1038"/>
      <c r="U37" s="1032"/>
      <c r="V37" s="103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>
        <f t="shared" si="28"/>
        <v>0</v>
      </c>
      <c r="AJ37" s="19">
        <f t="shared" si="29"/>
        <v>0</v>
      </c>
      <c r="AK37" s="19">
        <f t="shared" si="22"/>
        <v>50000</v>
      </c>
      <c r="AL37" s="19">
        <f t="shared" si="30"/>
        <v>0</v>
      </c>
      <c r="AM37" s="19">
        <f>U37+W37</f>
        <v>0</v>
      </c>
      <c r="AN37" s="19">
        <f t="shared" si="32"/>
        <v>0</v>
      </c>
      <c r="AO37" s="19">
        <f t="shared" si="33"/>
        <v>0</v>
      </c>
      <c r="AP37" s="19">
        <f t="shared" si="34"/>
        <v>0</v>
      </c>
      <c r="AQ37" s="19">
        <f t="shared" si="35"/>
        <v>0</v>
      </c>
      <c r="AR37" s="19">
        <f t="shared" si="36"/>
        <v>0</v>
      </c>
      <c r="AS37" s="19">
        <f t="shared" si="37"/>
        <v>50000</v>
      </c>
      <c r="AT37" s="19">
        <f t="shared" si="38"/>
        <v>0</v>
      </c>
      <c r="AU37" s="19">
        <f t="shared" si="39"/>
        <v>50000</v>
      </c>
    </row>
    <row r="38" spans="2:52" s="243" customFormat="1" ht="15" customHeight="1" x14ac:dyDescent="0.2">
      <c r="B38" s="1031" t="s">
        <v>273</v>
      </c>
      <c r="C38" s="979">
        <v>400000</v>
      </c>
      <c r="D38" s="980"/>
      <c r="E38" s="941">
        <f t="shared" si="27"/>
        <v>400000</v>
      </c>
      <c r="F38" s="972">
        <f t="shared" si="40"/>
        <v>3.4782608695652175E-3</v>
      </c>
      <c r="G38" s="974"/>
      <c r="H38" s="974">
        <f t="shared" si="3"/>
        <v>3.4782608695652175E-3</v>
      </c>
      <c r="I38" s="165"/>
      <c r="J38" s="165"/>
      <c r="K38" s="165"/>
      <c r="L38" s="165"/>
      <c r="M38" s="19"/>
      <c r="N38" s="1038"/>
      <c r="O38" s="19"/>
      <c r="P38" s="1038"/>
      <c r="Q38" s="19">
        <v>400000</v>
      </c>
      <c r="R38" s="1038"/>
      <c r="S38" s="1032"/>
      <c r="T38" s="1038"/>
      <c r="U38" s="19"/>
      <c r="V38" s="103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>
        <f t="shared" si="28"/>
        <v>0</v>
      </c>
      <c r="AJ38" s="19">
        <f t="shared" si="29"/>
        <v>0</v>
      </c>
      <c r="AK38" s="19">
        <f t="shared" si="22"/>
        <v>400000</v>
      </c>
      <c r="AL38" s="19">
        <f t="shared" si="30"/>
        <v>0</v>
      </c>
      <c r="AM38" s="19">
        <f t="shared" si="31"/>
        <v>0</v>
      </c>
      <c r="AN38" s="19">
        <f t="shared" si="32"/>
        <v>0</v>
      </c>
      <c r="AO38" s="19">
        <f t="shared" si="33"/>
        <v>0</v>
      </c>
      <c r="AP38" s="19">
        <f t="shared" si="34"/>
        <v>0</v>
      </c>
      <c r="AQ38" s="19">
        <f t="shared" si="35"/>
        <v>0</v>
      </c>
      <c r="AR38" s="19">
        <f t="shared" si="36"/>
        <v>0</v>
      </c>
      <c r="AS38" s="19">
        <f t="shared" si="37"/>
        <v>400000</v>
      </c>
      <c r="AT38" s="19">
        <f t="shared" si="38"/>
        <v>0</v>
      </c>
      <c r="AU38" s="19">
        <f t="shared" si="39"/>
        <v>400000</v>
      </c>
    </row>
    <row r="39" spans="2:52" s="948" customFormat="1" ht="15" customHeight="1" x14ac:dyDescent="0.2">
      <c r="B39" s="965" t="s">
        <v>265</v>
      </c>
      <c r="C39" s="982">
        <v>4000000</v>
      </c>
      <c r="D39" s="966">
        <v>0</v>
      </c>
      <c r="E39" s="984">
        <f>SUM(C39:D39)</f>
        <v>4000000</v>
      </c>
      <c r="F39" s="967">
        <f t="shared" si="40"/>
        <v>3.4782608695652174E-2</v>
      </c>
      <c r="G39" s="967">
        <f t="shared" ref="G39:G49" si="41">D39/$E$82</f>
        <v>0</v>
      </c>
      <c r="H39" s="967">
        <f t="shared" si="3"/>
        <v>3.4782608695652174E-2</v>
      </c>
      <c r="I39" s="955"/>
      <c r="J39" s="955"/>
      <c r="K39" s="955"/>
      <c r="L39" s="955"/>
      <c r="M39" s="949"/>
      <c r="N39" s="1038"/>
      <c r="O39" s="949">
        <f>C39/10</f>
        <v>400000</v>
      </c>
      <c r="P39" s="1038"/>
      <c r="Q39" s="949">
        <f>(C39/10)*2</f>
        <v>800000</v>
      </c>
      <c r="R39" s="1038"/>
      <c r="S39" s="949">
        <f>(C39/10)*2</f>
        <v>800000</v>
      </c>
      <c r="T39" s="1038"/>
      <c r="U39" s="949">
        <f>(C39/10)*3</f>
        <v>1200000</v>
      </c>
      <c r="V39" s="1038"/>
      <c r="W39" s="949">
        <f>(E39/10)*2</f>
        <v>800000</v>
      </c>
      <c r="X39" s="949"/>
      <c r="Y39" s="949"/>
      <c r="Z39" s="949"/>
      <c r="AA39" s="949"/>
      <c r="AB39" s="949"/>
      <c r="AC39" s="949"/>
      <c r="AD39" s="949"/>
      <c r="AE39" s="949"/>
      <c r="AF39" s="949"/>
      <c r="AG39" s="949">
        <f t="shared" ref="AG39:AH42" si="42">I39+K39</f>
        <v>0</v>
      </c>
      <c r="AH39" s="949">
        <f t="shared" si="42"/>
        <v>0</v>
      </c>
      <c r="AI39" s="949">
        <f t="shared" ref="AI39:AJ42" si="43">M39+O39</f>
        <v>400000</v>
      </c>
      <c r="AJ39" s="949">
        <f t="shared" si="43"/>
        <v>0</v>
      </c>
      <c r="AK39" s="949">
        <f t="shared" ref="AK39:AL42" si="44">Q39+S39</f>
        <v>1600000</v>
      </c>
      <c r="AL39" s="949">
        <f t="shared" si="44"/>
        <v>0</v>
      </c>
      <c r="AM39" s="949">
        <f t="shared" ref="AM39:AN42" si="45">U39+W39</f>
        <v>2000000</v>
      </c>
      <c r="AN39" s="949">
        <f t="shared" si="45"/>
        <v>0</v>
      </c>
      <c r="AO39" s="949">
        <f t="shared" ref="AO39:AP42" si="46">Y39+AA39</f>
        <v>0</v>
      </c>
      <c r="AP39" s="949">
        <f t="shared" si="46"/>
        <v>0</v>
      </c>
      <c r="AQ39" s="949">
        <f t="shared" ref="AQ39:AR42" si="47">AC39+AE39</f>
        <v>0</v>
      </c>
      <c r="AR39" s="949">
        <f t="shared" si="47"/>
        <v>0</v>
      </c>
      <c r="AS39" s="949">
        <f t="shared" ref="AS39:AT42" si="48">AG39+AI39+AK39+AM39+AO39+AQ39</f>
        <v>4000000</v>
      </c>
      <c r="AT39" s="949">
        <f t="shared" si="48"/>
        <v>0</v>
      </c>
      <c r="AU39" s="949">
        <f>AT39+AS39</f>
        <v>4000000</v>
      </c>
    </row>
    <row r="40" spans="2:52" s="948" customFormat="1" ht="15" customHeight="1" x14ac:dyDescent="0.2">
      <c r="B40" s="965" t="s">
        <v>253</v>
      </c>
      <c r="C40" s="985">
        <f>SUM(C41:C42)</f>
        <v>350000</v>
      </c>
      <c r="D40" s="985">
        <f>SUM(D41:D42)</f>
        <v>3400000</v>
      </c>
      <c r="E40" s="986">
        <f>SUM(E41:E42)</f>
        <v>3750000</v>
      </c>
      <c r="F40" s="967">
        <f t="shared" si="40"/>
        <v>3.0434782608695652E-3</v>
      </c>
      <c r="G40" s="967">
        <f t="shared" si="41"/>
        <v>2.9565217391304348E-2</v>
      </c>
      <c r="H40" s="967">
        <f t="shared" si="3"/>
        <v>3.2608695652173912E-2</v>
      </c>
      <c r="I40" s="955">
        <f t="shared" ref="I40:AF40" si="49">I41+I42</f>
        <v>0</v>
      </c>
      <c r="J40" s="955">
        <f t="shared" si="49"/>
        <v>0</v>
      </c>
      <c r="K40" s="955">
        <f t="shared" si="49"/>
        <v>0</v>
      </c>
      <c r="L40" s="955">
        <f t="shared" si="49"/>
        <v>0</v>
      </c>
      <c r="M40" s="955">
        <f>M41+M42</f>
        <v>350000</v>
      </c>
      <c r="N40" s="163">
        <f t="shared" si="49"/>
        <v>0</v>
      </c>
      <c r="O40" s="955">
        <f t="shared" si="49"/>
        <v>0</v>
      </c>
      <c r="P40" s="163">
        <f t="shared" si="49"/>
        <v>680000</v>
      </c>
      <c r="Q40" s="955">
        <f t="shared" si="49"/>
        <v>0</v>
      </c>
      <c r="R40" s="163">
        <f t="shared" si="49"/>
        <v>1360000</v>
      </c>
      <c r="S40" s="955">
        <f t="shared" si="49"/>
        <v>0</v>
      </c>
      <c r="T40" s="163">
        <f t="shared" si="49"/>
        <v>1360000</v>
      </c>
      <c r="U40" s="955">
        <f t="shared" si="49"/>
        <v>0</v>
      </c>
      <c r="V40" s="163">
        <f t="shared" si="49"/>
        <v>0</v>
      </c>
      <c r="W40" s="955">
        <f t="shared" si="49"/>
        <v>0</v>
      </c>
      <c r="X40" s="955">
        <f t="shared" si="49"/>
        <v>0</v>
      </c>
      <c r="Y40" s="955">
        <f t="shared" si="49"/>
        <v>0</v>
      </c>
      <c r="Z40" s="955">
        <f t="shared" si="49"/>
        <v>0</v>
      </c>
      <c r="AA40" s="955">
        <f t="shared" si="49"/>
        <v>0</v>
      </c>
      <c r="AB40" s="955">
        <f t="shared" si="49"/>
        <v>0</v>
      </c>
      <c r="AC40" s="955">
        <f t="shared" si="49"/>
        <v>0</v>
      </c>
      <c r="AD40" s="955">
        <f t="shared" si="49"/>
        <v>0</v>
      </c>
      <c r="AE40" s="955">
        <f t="shared" si="49"/>
        <v>0</v>
      </c>
      <c r="AF40" s="955">
        <f t="shared" si="49"/>
        <v>0</v>
      </c>
      <c r="AG40" s="968">
        <f t="shared" si="42"/>
        <v>0</v>
      </c>
      <c r="AH40" s="968">
        <f t="shared" si="42"/>
        <v>0</v>
      </c>
      <c r="AI40" s="949">
        <f t="shared" si="43"/>
        <v>350000</v>
      </c>
      <c r="AJ40" s="949">
        <f t="shared" si="43"/>
        <v>680000</v>
      </c>
      <c r="AK40" s="949">
        <f t="shared" si="44"/>
        <v>0</v>
      </c>
      <c r="AL40" s="949">
        <f t="shared" si="44"/>
        <v>2720000</v>
      </c>
      <c r="AM40" s="949">
        <f t="shared" si="45"/>
        <v>0</v>
      </c>
      <c r="AN40" s="949">
        <f t="shared" si="45"/>
        <v>0</v>
      </c>
      <c r="AO40" s="949">
        <f t="shared" si="46"/>
        <v>0</v>
      </c>
      <c r="AP40" s="949">
        <f t="shared" si="46"/>
        <v>0</v>
      </c>
      <c r="AQ40" s="949">
        <f t="shared" si="47"/>
        <v>0</v>
      </c>
      <c r="AR40" s="949">
        <f t="shared" si="47"/>
        <v>0</v>
      </c>
      <c r="AS40" s="949">
        <f t="shared" si="48"/>
        <v>350000</v>
      </c>
      <c r="AT40" s="949">
        <f t="shared" si="48"/>
        <v>3400000</v>
      </c>
      <c r="AU40" s="949">
        <f>AT40+AS40</f>
        <v>3750000</v>
      </c>
    </row>
    <row r="41" spans="2:52" s="243" customFormat="1" ht="15" customHeight="1" x14ac:dyDescent="0.2">
      <c r="B41" s="987" t="s">
        <v>255</v>
      </c>
      <c r="C41" s="970">
        <v>0</v>
      </c>
      <c r="D41" s="971">
        <v>3400000</v>
      </c>
      <c r="E41" s="941">
        <f>SUM(C41:D41)</f>
        <v>3400000</v>
      </c>
      <c r="F41" s="972">
        <f t="shared" si="40"/>
        <v>0</v>
      </c>
      <c r="G41" s="974">
        <f t="shared" si="41"/>
        <v>2.9565217391304348E-2</v>
      </c>
      <c r="H41" s="974">
        <f t="shared" si="3"/>
        <v>2.9565217391304348E-2</v>
      </c>
      <c r="I41" s="165"/>
      <c r="J41" s="165"/>
      <c r="K41" s="165"/>
      <c r="L41" s="165"/>
      <c r="M41" s="19"/>
      <c r="N41" s="1038"/>
      <c r="O41" s="19"/>
      <c r="P41" s="1038">
        <f>D41*0.2</f>
        <v>680000</v>
      </c>
      <c r="Q41" s="19"/>
      <c r="R41" s="1038">
        <f>D41*0.4</f>
        <v>1360000</v>
      </c>
      <c r="S41" s="19"/>
      <c r="T41" s="1038">
        <f>D41*0.4</f>
        <v>1360000</v>
      </c>
      <c r="U41" s="19"/>
      <c r="V41" s="103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946">
        <f t="shared" si="42"/>
        <v>0</v>
      </c>
      <c r="AH41" s="946">
        <f t="shared" si="42"/>
        <v>0</v>
      </c>
      <c r="AI41" s="19">
        <f t="shared" si="43"/>
        <v>0</v>
      </c>
      <c r="AJ41" s="19">
        <f t="shared" si="43"/>
        <v>680000</v>
      </c>
      <c r="AK41" s="19">
        <f t="shared" si="44"/>
        <v>0</v>
      </c>
      <c r="AL41" s="19">
        <f t="shared" si="44"/>
        <v>2720000</v>
      </c>
      <c r="AM41" s="19">
        <f t="shared" si="45"/>
        <v>0</v>
      </c>
      <c r="AN41" s="19">
        <f t="shared" si="45"/>
        <v>0</v>
      </c>
      <c r="AO41" s="19">
        <f t="shared" si="46"/>
        <v>0</v>
      </c>
      <c r="AP41" s="19">
        <f t="shared" si="46"/>
        <v>0</v>
      </c>
      <c r="AQ41" s="19">
        <f t="shared" si="47"/>
        <v>0</v>
      </c>
      <c r="AR41" s="19">
        <f t="shared" si="47"/>
        <v>0</v>
      </c>
      <c r="AS41" s="19">
        <f t="shared" si="48"/>
        <v>0</v>
      </c>
      <c r="AT41" s="19">
        <f t="shared" si="48"/>
        <v>3400000</v>
      </c>
      <c r="AU41" s="19">
        <f>AT41+AS41</f>
        <v>3400000</v>
      </c>
    </row>
    <row r="42" spans="2:52" s="243" customFormat="1" ht="15" customHeight="1" x14ac:dyDescent="0.2">
      <c r="B42" s="1031" t="s">
        <v>254</v>
      </c>
      <c r="C42" s="979">
        <v>350000</v>
      </c>
      <c r="D42" s="975">
        <v>0</v>
      </c>
      <c r="E42" s="941">
        <f>SUM(C42:D42)</f>
        <v>350000</v>
      </c>
      <c r="F42" s="972">
        <f t="shared" si="40"/>
        <v>3.0434782608695652E-3</v>
      </c>
      <c r="G42" s="974">
        <f t="shared" si="41"/>
        <v>0</v>
      </c>
      <c r="H42" s="974">
        <f t="shared" si="3"/>
        <v>3.0434782608695652E-3</v>
      </c>
      <c r="I42" s="165"/>
      <c r="J42" s="165"/>
      <c r="K42" s="165"/>
      <c r="L42" s="165"/>
      <c r="M42" s="19">
        <f>C42</f>
        <v>350000</v>
      </c>
      <c r="N42" s="1038"/>
      <c r="O42" s="19"/>
      <c r="P42" s="1038"/>
      <c r="Q42" s="19"/>
      <c r="R42" s="1038"/>
      <c r="S42" s="19"/>
      <c r="T42" s="1038"/>
      <c r="U42" s="19"/>
      <c r="V42" s="103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946">
        <f t="shared" si="42"/>
        <v>0</v>
      </c>
      <c r="AH42" s="946">
        <f t="shared" si="42"/>
        <v>0</v>
      </c>
      <c r="AI42" s="19">
        <f t="shared" si="43"/>
        <v>350000</v>
      </c>
      <c r="AJ42" s="19">
        <f t="shared" si="43"/>
        <v>0</v>
      </c>
      <c r="AK42" s="19">
        <f t="shared" si="44"/>
        <v>0</v>
      </c>
      <c r="AL42" s="19">
        <f t="shared" si="44"/>
        <v>0</v>
      </c>
      <c r="AM42" s="19">
        <f t="shared" si="45"/>
        <v>0</v>
      </c>
      <c r="AN42" s="19">
        <f t="shared" si="45"/>
        <v>0</v>
      </c>
      <c r="AO42" s="19">
        <f t="shared" si="46"/>
        <v>0</v>
      </c>
      <c r="AP42" s="19">
        <f t="shared" si="46"/>
        <v>0</v>
      </c>
      <c r="AQ42" s="19">
        <f t="shared" si="47"/>
        <v>0</v>
      </c>
      <c r="AR42" s="19">
        <f t="shared" si="47"/>
        <v>0</v>
      </c>
      <c r="AS42" s="19">
        <f t="shared" si="48"/>
        <v>350000</v>
      </c>
      <c r="AT42" s="19">
        <f t="shared" si="48"/>
        <v>0</v>
      </c>
      <c r="AU42" s="19">
        <f>AT42+AS42</f>
        <v>350000</v>
      </c>
    </row>
    <row r="43" spans="2:52" ht="15" customHeight="1" x14ac:dyDescent="0.2">
      <c r="B43" s="988" t="s">
        <v>209</v>
      </c>
      <c r="C43" s="989">
        <f>+C44+C61</f>
        <v>26900000</v>
      </c>
      <c r="D43" s="989">
        <f>+D44+D61</f>
        <v>10500000</v>
      </c>
      <c r="E43" s="990">
        <f>+E44+E61</f>
        <v>37400000</v>
      </c>
      <c r="F43" s="931">
        <f t="shared" si="40"/>
        <v>0.23391304347826086</v>
      </c>
      <c r="G43" s="931">
        <f t="shared" si="41"/>
        <v>9.1304347826086957E-2</v>
      </c>
      <c r="H43" s="931">
        <f t="shared" si="3"/>
        <v>0.32521739130434785</v>
      </c>
      <c r="I43" s="947">
        <f t="shared" ref="I43:AU43" si="50">I44+I61</f>
        <v>0</v>
      </c>
      <c r="J43" s="947">
        <f t="shared" si="50"/>
        <v>0</v>
      </c>
      <c r="K43" s="947">
        <f t="shared" si="50"/>
        <v>3150000</v>
      </c>
      <c r="L43" s="947">
        <f t="shared" si="50"/>
        <v>0</v>
      </c>
      <c r="M43" s="947">
        <f t="shared" si="50"/>
        <v>200000</v>
      </c>
      <c r="N43" s="163">
        <f t="shared" si="50"/>
        <v>0</v>
      </c>
      <c r="O43" s="947">
        <f t="shared" si="50"/>
        <v>400000</v>
      </c>
      <c r="P43" s="163">
        <f t="shared" si="50"/>
        <v>450000</v>
      </c>
      <c r="Q43" s="947">
        <f t="shared" si="50"/>
        <v>1316666.6666666665</v>
      </c>
      <c r="R43" s="163">
        <f t="shared" si="50"/>
        <v>1130000</v>
      </c>
      <c r="S43" s="947">
        <f t="shared" si="50"/>
        <v>3488571.6666666665</v>
      </c>
      <c r="T43" s="163">
        <f t="shared" si="50"/>
        <v>2222500</v>
      </c>
      <c r="U43" s="947">
        <f t="shared" si="50"/>
        <v>6019801.666666666</v>
      </c>
      <c r="V43" s="163">
        <f t="shared" si="50"/>
        <v>2293333.3333333335</v>
      </c>
      <c r="W43" s="947">
        <f t="shared" si="50"/>
        <v>4562460</v>
      </c>
      <c r="X43" s="947">
        <f t="shared" si="50"/>
        <v>1233333.3333333335</v>
      </c>
      <c r="Y43" s="947">
        <f t="shared" si="50"/>
        <v>3575000</v>
      </c>
      <c r="Z43" s="947">
        <f t="shared" si="50"/>
        <v>1233333.3333333335</v>
      </c>
      <c r="AA43" s="947">
        <f t="shared" si="50"/>
        <v>2437500</v>
      </c>
      <c r="AB43" s="947">
        <f t="shared" si="50"/>
        <v>870833.33333333337</v>
      </c>
      <c r="AC43" s="947">
        <f t="shared" si="50"/>
        <v>875000</v>
      </c>
      <c r="AD43" s="947">
        <f t="shared" si="50"/>
        <v>533333.33333333337</v>
      </c>
      <c r="AE43" s="947">
        <f t="shared" si="50"/>
        <v>875000</v>
      </c>
      <c r="AF43" s="947">
        <f t="shared" si="50"/>
        <v>533333.33333333337</v>
      </c>
      <c r="AG43" s="947">
        <f t="shared" si="50"/>
        <v>3150000</v>
      </c>
      <c r="AH43" s="947">
        <f t="shared" si="50"/>
        <v>0</v>
      </c>
      <c r="AI43" s="947">
        <f t="shared" si="50"/>
        <v>600000</v>
      </c>
      <c r="AJ43" s="947">
        <f t="shared" si="50"/>
        <v>450000</v>
      </c>
      <c r="AK43" s="947">
        <f t="shared" si="50"/>
        <v>6342738.333333333</v>
      </c>
      <c r="AL43" s="947">
        <f t="shared" si="50"/>
        <v>3352500</v>
      </c>
      <c r="AM43" s="947">
        <f t="shared" si="50"/>
        <v>10582261.666666666</v>
      </c>
      <c r="AN43" s="947">
        <f t="shared" si="50"/>
        <v>3526666.666666667</v>
      </c>
      <c r="AO43" s="947">
        <f>AO44+AO61</f>
        <v>4475000</v>
      </c>
      <c r="AP43" s="947">
        <f t="shared" si="50"/>
        <v>2104166.666666667</v>
      </c>
      <c r="AQ43" s="947">
        <f t="shared" si="50"/>
        <v>1750000</v>
      </c>
      <c r="AR43" s="947">
        <f t="shared" si="50"/>
        <v>1066666.6666666667</v>
      </c>
      <c r="AS43" s="947">
        <f t="shared" si="50"/>
        <v>26900000</v>
      </c>
      <c r="AT43" s="947">
        <f t="shared" si="50"/>
        <v>10500000</v>
      </c>
      <c r="AU43" s="947">
        <f t="shared" si="50"/>
        <v>37400000</v>
      </c>
    </row>
    <row r="44" spans="2:52" x14ac:dyDescent="0.2">
      <c r="B44" s="962" t="s">
        <v>231</v>
      </c>
      <c r="C44" s="963">
        <f>C45+C48+C58+C59+C60</f>
        <v>18350000</v>
      </c>
      <c r="D44" s="963">
        <f>D45+D48+D58+D59+D60</f>
        <v>9150000</v>
      </c>
      <c r="E44" s="963">
        <f>E45+E48+E58+E59+E60</f>
        <v>27500000</v>
      </c>
      <c r="F44" s="931">
        <f t="shared" si="40"/>
        <v>0.15956521739130436</v>
      </c>
      <c r="G44" s="931">
        <f t="shared" si="41"/>
        <v>7.9565217391304344E-2</v>
      </c>
      <c r="H44" s="931">
        <f t="shared" si="3"/>
        <v>0.2391304347826087</v>
      </c>
      <c r="I44" s="959">
        <f>SUM(I45:I60)</f>
        <v>0</v>
      </c>
      <c r="J44" s="959">
        <f>SUM(J45:J60)</f>
        <v>0</v>
      </c>
      <c r="K44" s="959">
        <f t="shared" ref="K44:AU44" si="51">K45+K48+K58+K59+K60</f>
        <v>2850000</v>
      </c>
      <c r="L44" s="959">
        <f t="shared" si="51"/>
        <v>0</v>
      </c>
      <c r="M44" s="959">
        <f t="shared" si="51"/>
        <v>0</v>
      </c>
      <c r="N44" s="163">
        <f t="shared" si="51"/>
        <v>0</v>
      </c>
      <c r="O44" s="959">
        <f t="shared" si="51"/>
        <v>0</v>
      </c>
      <c r="P44" s="163">
        <f t="shared" si="51"/>
        <v>0</v>
      </c>
      <c r="Q44" s="959">
        <f t="shared" si="51"/>
        <v>0</v>
      </c>
      <c r="R44" s="163">
        <f t="shared" si="51"/>
        <v>680000</v>
      </c>
      <c r="S44" s="959">
        <f t="shared" si="51"/>
        <v>1659405</v>
      </c>
      <c r="T44" s="163">
        <f t="shared" si="51"/>
        <v>1772500</v>
      </c>
      <c r="U44" s="959">
        <f t="shared" si="51"/>
        <v>4078135</v>
      </c>
      <c r="V44" s="163">
        <f t="shared" si="51"/>
        <v>2293333.3333333335</v>
      </c>
      <c r="W44" s="959">
        <f t="shared" si="51"/>
        <v>3537460</v>
      </c>
      <c r="X44" s="959">
        <f t="shared" si="51"/>
        <v>1233333.3333333335</v>
      </c>
      <c r="Y44" s="959">
        <f t="shared" si="51"/>
        <v>2550000</v>
      </c>
      <c r="Z44" s="959">
        <f t="shared" si="51"/>
        <v>1233333.3333333335</v>
      </c>
      <c r="AA44" s="959">
        <f t="shared" si="51"/>
        <v>1925000</v>
      </c>
      <c r="AB44" s="959">
        <f t="shared" si="51"/>
        <v>870833.33333333337</v>
      </c>
      <c r="AC44" s="959">
        <f t="shared" si="51"/>
        <v>875000</v>
      </c>
      <c r="AD44" s="959">
        <f t="shared" si="51"/>
        <v>533333.33333333337</v>
      </c>
      <c r="AE44" s="959">
        <f t="shared" si="51"/>
        <v>875000</v>
      </c>
      <c r="AF44" s="959">
        <f t="shared" si="51"/>
        <v>533333.33333333337</v>
      </c>
      <c r="AG44" s="959">
        <f t="shared" si="51"/>
        <v>2850000</v>
      </c>
      <c r="AH44" s="959">
        <f t="shared" si="51"/>
        <v>0</v>
      </c>
      <c r="AI44" s="959">
        <f t="shared" si="51"/>
        <v>0</v>
      </c>
      <c r="AJ44" s="959">
        <f t="shared" si="51"/>
        <v>0</v>
      </c>
      <c r="AK44" s="959">
        <f t="shared" si="51"/>
        <v>1659405</v>
      </c>
      <c r="AL44" s="959">
        <f t="shared" si="51"/>
        <v>2452500</v>
      </c>
      <c r="AM44" s="959">
        <f t="shared" si="51"/>
        <v>7615595</v>
      </c>
      <c r="AN44" s="959">
        <f t="shared" si="51"/>
        <v>3526666.666666667</v>
      </c>
      <c r="AO44" s="959">
        <f t="shared" si="51"/>
        <v>4475000</v>
      </c>
      <c r="AP44" s="959">
        <f t="shared" si="51"/>
        <v>2104166.666666667</v>
      </c>
      <c r="AQ44" s="959">
        <f t="shared" si="51"/>
        <v>1750000</v>
      </c>
      <c r="AR44" s="959">
        <f t="shared" si="51"/>
        <v>1066666.6666666667</v>
      </c>
      <c r="AS44" s="959">
        <f t="shared" si="51"/>
        <v>18350000</v>
      </c>
      <c r="AT44" s="959">
        <f t="shared" si="51"/>
        <v>9150000</v>
      </c>
      <c r="AU44" s="959">
        <f t="shared" si="51"/>
        <v>27500000</v>
      </c>
    </row>
    <row r="45" spans="2:52" s="207" customFormat="1" x14ac:dyDescent="0.2">
      <c r="B45" s="991" t="s">
        <v>212</v>
      </c>
      <c r="C45" s="487">
        <f>+C46+C47</f>
        <v>2850000</v>
      </c>
      <c r="D45" s="975">
        <f>+D46+D47</f>
        <v>0</v>
      </c>
      <c r="E45" s="941">
        <f>SUM(C45:D45)</f>
        <v>2850000</v>
      </c>
      <c r="F45" s="972">
        <f t="shared" si="40"/>
        <v>2.4782608695652172E-2</v>
      </c>
      <c r="G45" s="972">
        <f t="shared" si="41"/>
        <v>0</v>
      </c>
      <c r="H45" s="972">
        <f t="shared" si="3"/>
        <v>2.4782608695652172E-2</v>
      </c>
      <c r="I45" s="1014"/>
      <c r="J45" s="1014"/>
      <c r="K45" s="1014">
        <f>SUM(K46:K47)</f>
        <v>2850000</v>
      </c>
      <c r="L45" s="1014"/>
      <c r="M45" s="1014"/>
      <c r="N45" s="163"/>
      <c r="O45" s="1014"/>
      <c r="P45" s="163"/>
      <c r="Q45" s="1014"/>
      <c r="R45" s="163"/>
      <c r="S45" s="1014"/>
      <c r="T45" s="163"/>
      <c r="U45" s="1014"/>
      <c r="V45" s="163"/>
      <c r="W45" s="1014"/>
      <c r="X45" s="1014"/>
      <c r="Y45" s="1014"/>
      <c r="Z45" s="1014"/>
      <c r="AA45" s="1014"/>
      <c r="AB45" s="1016"/>
      <c r="AC45" s="1014"/>
      <c r="AD45" s="1014"/>
      <c r="AE45" s="1014"/>
      <c r="AF45" s="1014"/>
      <c r="AG45" s="946">
        <f>I45+K45</f>
        <v>2850000</v>
      </c>
      <c r="AH45" s="946">
        <f>J45+L45</f>
        <v>0</v>
      </c>
      <c r="AI45" s="19">
        <f>M45+O45</f>
        <v>0</v>
      </c>
      <c r="AJ45" s="19">
        <f>N45+P45</f>
        <v>0</v>
      </c>
      <c r="AK45" s="19">
        <f>Q45+S45</f>
        <v>0</v>
      </c>
      <c r="AL45" s="19">
        <f>R45+T45</f>
        <v>0</v>
      </c>
      <c r="AM45" s="19">
        <f>U45+W45</f>
        <v>0</v>
      </c>
      <c r="AN45" s="19">
        <f>V45+X45</f>
        <v>0</v>
      </c>
      <c r="AO45" s="19">
        <f t="shared" ref="AO45:AO59" si="52">Y45+AA45</f>
        <v>0</v>
      </c>
      <c r="AP45" s="19">
        <f t="shared" ref="AP45:AP59" si="53">Z45+AB45</f>
        <v>0</v>
      </c>
      <c r="AQ45" s="19">
        <f t="shared" ref="AQ45:AQ59" si="54">AC45+AE45</f>
        <v>0</v>
      </c>
      <c r="AR45" s="19">
        <f t="shared" ref="AR45:AR59" si="55">AD45+AF45</f>
        <v>0</v>
      </c>
      <c r="AS45" s="19">
        <f>SUM(AS46:AS47)</f>
        <v>2850000</v>
      </c>
      <c r="AT45" s="19">
        <f>SUM(AT46:AT47)</f>
        <v>0</v>
      </c>
      <c r="AU45" s="19">
        <f>SUM(AU46:AU47)</f>
        <v>2850000</v>
      </c>
    </row>
    <row r="46" spans="2:52" x14ac:dyDescent="0.2">
      <c r="B46" s="992" t="s">
        <v>230</v>
      </c>
      <c r="C46" s="487">
        <v>2700000</v>
      </c>
      <c r="D46" s="975">
        <v>0</v>
      </c>
      <c r="E46" s="941">
        <f t="shared" ref="E46:E59" si="56">SUM(C46:D46)</f>
        <v>2700000</v>
      </c>
      <c r="F46" s="972">
        <f t="shared" si="40"/>
        <v>2.3478260869565216E-2</v>
      </c>
      <c r="G46" s="974">
        <f t="shared" si="41"/>
        <v>0</v>
      </c>
      <c r="H46" s="974">
        <f t="shared" si="3"/>
        <v>2.3478260869565216E-2</v>
      </c>
      <c r="I46" s="165"/>
      <c r="J46" s="165"/>
      <c r="K46" s="165">
        <f>C46</f>
        <v>2700000</v>
      </c>
      <c r="L46" s="165"/>
      <c r="M46" s="165"/>
      <c r="N46" s="163"/>
      <c r="O46" s="165"/>
      <c r="P46" s="163"/>
      <c r="Q46" s="165"/>
      <c r="R46" s="163"/>
      <c r="S46" s="165"/>
      <c r="T46" s="163"/>
      <c r="U46" s="165"/>
      <c r="V46" s="163"/>
      <c r="W46" s="165"/>
      <c r="X46" s="165"/>
      <c r="Y46" s="165"/>
      <c r="Z46" s="165"/>
      <c r="AA46" s="165"/>
      <c r="AB46" s="1016"/>
      <c r="AC46" s="165"/>
      <c r="AD46" s="165"/>
      <c r="AE46" s="165"/>
      <c r="AF46" s="165"/>
      <c r="AG46" s="946">
        <f t="shared" ref="AG46:AG60" si="57">I46+K46</f>
        <v>2700000</v>
      </c>
      <c r="AH46" s="946">
        <f t="shared" ref="AH46:AH52" si="58">J46+L46</f>
        <v>0</v>
      </c>
      <c r="AI46" s="19">
        <f t="shared" ref="AI46:AI60" si="59">M46+O46</f>
        <v>0</v>
      </c>
      <c r="AJ46" s="19">
        <f t="shared" ref="AJ46:AJ60" si="60">N46+P46</f>
        <v>0</v>
      </c>
      <c r="AK46" s="19">
        <f t="shared" ref="AK46:AK59" si="61">Q46+S46</f>
        <v>0</v>
      </c>
      <c r="AL46" s="19">
        <f t="shared" ref="AL46:AL60" si="62">R46+T46</f>
        <v>0</v>
      </c>
      <c r="AM46" s="19">
        <f t="shared" ref="AM46:AM59" si="63">U46+W46</f>
        <v>0</v>
      </c>
      <c r="AN46" s="19">
        <f t="shared" ref="AN46:AN59" si="64">V46+X46</f>
        <v>0</v>
      </c>
      <c r="AO46" s="19">
        <f t="shared" si="52"/>
        <v>0</v>
      </c>
      <c r="AP46" s="19">
        <f t="shared" si="53"/>
        <v>0</v>
      </c>
      <c r="AQ46" s="19">
        <f t="shared" si="54"/>
        <v>0</v>
      </c>
      <c r="AR46" s="19">
        <f t="shared" si="55"/>
        <v>0</v>
      </c>
      <c r="AS46" s="19">
        <f t="shared" ref="AS46:AT48" si="65">AG46+AI46+AK46+AM46+AO46+AQ46</f>
        <v>2700000</v>
      </c>
      <c r="AT46" s="19">
        <f t="shared" si="65"/>
        <v>0</v>
      </c>
      <c r="AU46" s="19">
        <f>AT46+AS46</f>
        <v>2700000</v>
      </c>
    </row>
    <row r="47" spans="2:52" ht="12" thickBot="1" x14ac:dyDescent="0.25">
      <c r="B47" s="992" t="s">
        <v>238</v>
      </c>
      <c r="C47" s="487">
        <v>150000</v>
      </c>
      <c r="D47" s="975">
        <v>0</v>
      </c>
      <c r="E47" s="941">
        <f t="shared" si="56"/>
        <v>150000</v>
      </c>
      <c r="F47" s="972">
        <f t="shared" si="40"/>
        <v>1.3043478260869566E-3</v>
      </c>
      <c r="G47" s="974">
        <f t="shared" si="41"/>
        <v>0</v>
      </c>
      <c r="H47" s="974">
        <f t="shared" si="3"/>
        <v>1.3043478260869566E-3</v>
      </c>
      <c r="I47" s="165"/>
      <c r="J47" s="165"/>
      <c r="K47" s="165">
        <f>C47</f>
        <v>150000</v>
      </c>
      <c r="L47" s="165"/>
      <c r="M47" s="165"/>
      <c r="N47" s="163"/>
      <c r="O47" s="165"/>
      <c r="P47" s="163"/>
      <c r="Q47" s="1014"/>
      <c r="R47" s="163"/>
      <c r="S47" s="1014"/>
      <c r="T47" s="163"/>
      <c r="U47" s="1014"/>
      <c r="V47" s="163"/>
      <c r="W47" s="165"/>
      <c r="X47" s="165"/>
      <c r="Y47" s="165"/>
      <c r="Z47" s="165"/>
      <c r="AA47" s="165"/>
      <c r="AB47" s="1016"/>
      <c r="AC47" s="165"/>
      <c r="AD47" s="165"/>
      <c r="AE47" s="165"/>
      <c r="AF47" s="165"/>
      <c r="AG47" s="946">
        <f t="shared" si="57"/>
        <v>150000</v>
      </c>
      <c r="AH47" s="946">
        <f t="shared" si="58"/>
        <v>0</v>
      </c>
      <c r="AI47" s="19">
        <f t="shared" si="59"/>
        <v>0</v>
      </c>
      <c r="AJ47" s="19">
        <f t="shared" si="60"/>
        <v>0</v>
      </c>
      <c r="AK47" s="19">
        <f t="shared" si="61"/>
        <v>0</v>
      </c>
      <c r="AL47" s="19">
        <f t="shared" si="62"/>
        <v>0</v>
      </c>
      <c r="AM47" s="19">
        <f t="shared" si="63"/>
        <v>0</v>
      </c>
      <c r="AN47" s="19">
        <f t="shared" si="64"/>
        <v>0</v>
      </c>
      <c r="AO47" s="19">
        <f t="shared" si="52"/>
        <v>0</v>
      </c>
      <c r="AP47" s="19">
        <f t="shared" si="53"/>
        <v>0</v>
      </c>
      <c r="AQ47" s="19">
        <f t="shared" si="54"/>
        <v>0</v>
      </c>
      <c r="AR47" s="19">
        <f t="shared" si="55"/>
        <v>0</v>
      </c>
      <c r="AS47" s="19">
        <f t="shared" si="65"/>
        <v>150000</v>
      </c>
      <c r="AT47" s="19">
        <f t="shared" si="65"/>
        <v>0</v>
      </c>
      <c r="AU47" s="19">
        <f>AT47+AS47</f>
        <v>150000</v>
      </c>
    </row>
    <row r="48" spans="2:52" s="207" customFormat="1" ht="12" thickBot="1" x14ac:dyDescent="0.25">
      <c r="B48" s="991" t="s">
        <v>213</v>
      </c>
      <c r="C48" s="932">
        <f>C49+C55+C57</f>
        <v>3550000</v>
      </c>
      <c r="D48" s="1019">
        <f>D49+D55+D57</f>
        <v>3150000</v>
      </c>
      <c r="E48" s="940">
        <f t="shared" si="56"/>
        <v>6700000</v>
      </c>
      <c r="F48" s="972">
        <f t="shared" si="40"/>
        <v>3.0869565217391304E-2</v>
      </c>
      <c r="G48" s="972">
        <f t="shared" si="41"/>
        <v>2.7391304347826086E-2</v>
      </c>
      <c r="H48" s="972">
        <f t="shared" si="3"/>
        <v>5.8260869565217394E-2</v>
      </c>
      <c r="I48" s="1014"/>
      <c r="J48" s="1014"/>
      <c r="K48" s="1014"/>
      <c r="L48" s="1014"/>
      <c r="M48" s="1014"/>
      <c r="N48" s="163"/>
      <c r="O48" s="1014">
        <v>0</v>
      </c>
      <c r="P48" s="163">
        <f>P49+P55</f>
        <v>0</v>
      </c>
      <c r="Q48" s="1014">
        <v>0</v>
      </c>
      <c r="R48" s="163">
        <f>R49+R55</f>
        <v>680000</v>
      </c>
      <c r="S48" s="1014">
        <f>S49+S55+S57</f>
        <v>1034405</v>
      </c>
      <c r="T48" s="163">
        <f>T49+T55+T57</f>
        <v>1410000</v>
      </c>
      <c r="U48" s="1014">
        <f>U49+U55+U57</f>
        <v>1528135</v>
      </c>
      <c r="V48" s="163">
        <f>V49</f>
        <v>1060000</v>
      </c>
      <c r="W48" s="1034">
        <f>W49</f>
        <v>987460</v>
      </c>
      <c r="X48" s="1014"/>
      <c r="Y48" s="1014"/>
      <c r="Z48" s="1014"/>
      <c r="AA48" s="1014"/>
      <c r="AB48" s="1016"/>
      <c r="AC48" s="1014"/>
      <c r="AD48" s="1014"/>
      <c r="AE48" s="1014"/>
      <c r="AF48" s="1014"/>
      <c r="AG48" s="946">
        <f t="shared" si="57"/>
        <v>0</v>
      </c>
      <c r="AH48" s="946">
        <f t="shared" si="58"/>
        <v>0</v>
      </c>
      <c r="AI48" s="19">
        <f t="shared" si="59"/>
        <v>0</v>
      </c>
      <c r="AJ48" s="19">
        <f t="shared" si="60"/>
        <v>0</v>
      </c>
      <c r="AK48" s="19">
        <f t="shared" si="61"/>
        <v>1034405</v>
      </c>
      <c r="AL48" s="19">
        <f>R48+T48</f>
        <v>2090000</v>
      </c>
      <c r="AM48" s="19">
        <f t="shared" si="63"/>
        <v>2515595</v>
      </c>
      <c r="AN48" s="19">
        <f t="shared" si="64"/>
        <v>1060000</v>
      </c>
      <c r="AO48" s="19">
        <f t="shared" si="52"/>
        <v>0</v>
      </c>
      <c r="AP48" s="19">
        <f t="shared" si="53"/>
        <v>0</v>
      </c>
      <c r="AQ48" s="19">
        <f t="shared" si="54"/>
        <v>0</v>
      </c>
      <c r="AR48" s="19">
        <f t="shared" si="55"/>
        <v>0</v>
      </c>
      <c r="AS48" s="19">
        <f>AG48+AI48+AK48+AM48+AO48+AQ48</f>
        <v>3550000</v>
      </c>
      <c r="AT48" s="19">
        <f t="shared" si="65"/>
        <v>3150000</v>
      </c>
      <c r="AU48" s="19">
        <f>AT48+AS48</f>
        <v>6700000</v>
      </c>
      <c r="AV48" s="1017"/>
      <c r="AW48" s="1017"/>
      <c r="AX48" s="1017"/>
      <c r="AY48" s="1017"/>
      <c r="AZ48" s="1017"/>
    </row>
    <row r="49" spans="1:52" x14ac:dyDescent="0.2">
      <c r="A49" s="936"/>
      <c r="B49" s="992" t="s">
        <v>232</v>
      </c>
      <c r="C49" s="487">
        <f>SUM(C50:C54)</f>
        <v>2921750</v>
      </c>
      <c r="D49" s="993">
        <f>SUM(D50:D54)</f>
        <v>2650000</v>
      </c>
      <c r="E49" s="941">
        <f t="shared" si="56"/>
        <v>5571750</v>
      </c>
      <c r="F49" s="972">
        <f t="shared" si="40"/>
        <v>2.5406521739130435E-2</v>
      </c>
      <c r="G49" s="974">
        <f t="shared" si="41"/>
        <v>2.3043478260869565E-2</v>
      </c>
      <c r="H49" s="974">
        <f t="shared" si="3"/>
        <v>4.845E-2</v>
      </c>
      <c r="I49" s="165"/>
      <c r="J49" s="165"/>
      <c r="K49" s="165"/>
      <c r="L49" s="165"/>
      <c r="M49" s="165"/>
      <c r="N49" s="163"/>
      <c r="O49" s="165"/>
      <c r="P49" s="163">
        <v>0</v>
      </c>
      <c r="Q49" s="165"/>
      <c r="R49" s="163">
        <f>SUM(R50:R54)</f>
        <v>530000</v>
      </c>
      <c r="S49" s="165">
        <f>SUM(S50:S54)</f>
        <v>720280</v>
      </c>
      <c r="T49" s="163">
        <f>SUM(T50:T54)</f>
        <v>1060000</v>
      </c>
      <c r="U49" s="165">
        <f>SUM(U50:U54)</f>
        <v>1214010</v>
      </c>
      <c r="V49" s="163">
        <f>SUM(V50:V57)</f>
        <v>1060000</v>
      </c>
      <c r="W49" s="1034">
        <f>SUM(W50:W57)</f>
        <v>987460</v>
      </c>
      <c r="X49" s="165"/>
      <c r="Y49" s="165"/>
      <c r="Z49" s="165"/>
      <c r="AA49" s="165"/>
      <c r="AB49" s="1016"/>
      <c r="AC49" s="165"/>
      <c r="AD49" s="165"/>
      <c r="AE49" s="165"/>
      <c r="AF49" s="165"/>
      <c r="AG49" s="946">
        <f t="shared" si="57"/>
        <v>0</v>
      </c>
      <c r="AH49" s="946">
        <f t="shared" si="58"/>
        <v>0</v>
      </c>
      <c r="AI49" s="19">
        <f t="shared" si="59"/>
        <v>0</v>
      </c>
      <c r="AJ49" s="19">
        <v>0</v>
      </c>
      <c r="AK49" s="19">
        <f t="shared" si="61"/>
        <v>720280</v>
      </c>
      <c r="AL49" s="19">
        <f t="shared" si="62"/>
        <v>1590000</v>
      </c>
      <c r="AM49" s="19">
        <f t="shared" si="63"/>
        <v>2201470</v>
      </c>
      <c r="AN49" s="19">
        <f t="shared" si="64"/>
        <v>1060000</v>
      </c>
      <c r="AO49" s="19">
        <f t="shared" si="52"/>
        <v>0</v>
      </c>
      <c r="AP49" s="19">
        <f t="shared" si="53"/>
        <v>0</v>
      </c>
      <c r="AQ49" s="19">
        <f t="shared" si="54"/>
        <v>0</v>
      </c>
      <c r="AR49" s="19">
        <f t="shared" si="55"/>
        <v>0</v>
      </c>
      <c r="AS49" s="19">
        <f t="shared" ref="AS49:AS60" si="66">AG49+AI49+AK49+AM49+AO49+AQ49</f>
        <v>2921750</v>
      </c>
      <c r="AT49" s="19">
        <f t="shared" ref="AT49:AT60" si="67">AH49+AJ49+AL49+AN49+AP49+AR49</f>
        <v>2650000</v>
      </c>
      <c r="AU49" s="19">
        <f t="shared" ref="AU49:AU60" si="68">AT49+AS49</f>
        <v>5571750</v>
      </c>
      <c r="AV49" s="937"/>
      <c r="AW49" s="937"/>
      <c r="AX49" s="937"/>
      <c r="AY49" s="937"/>
      <c r="AZ49" s="937"/>
    </row>
    <row r="50" spans="1:52" x14ac:dyDescent="0.2">
      <c r="A50" s="936"/>
      <c r="B50" s="992" t="s">
        <v>277</v>
      </c>
      <c r="C50" s="487">
        <v>313100</v>
      </c>
      <c r="D50" s="993"/>
      <c r="E50" s="941">
        <f>SUM(C50:D50)</f>
        <v>313100</v>
      </c>
      <c r="F50" s="972"/>
      <c r="G50" s="974"/>
      <c r="H50" s="974">
        <f t="shared" ref="H50:H54" si="69">E50/$E$82</f>
        <v>2.7226086956521739E-3</v>
      </c>
      <c r="I50" s="1016"/>
      <c r="J50" s="1016"/>
      <c r="K50" s="1016"/>
      <c r="L50" s="1016"/>
      <c r="M50" s="1016"/>
      <c r="N50" s="163"/>
      <c r="O50" s="1016"/>
      <c r="P50" s="163"/>
      <c r="Q50" s="1016"/>
      <c r="R50" s="163"/>
      <c r="S50" s="1016">
        <f>0.5*C50</f>
        <v>156550</v>
      </c>
      <c r="T50" s="163"/>
      <c r="U50" s="1016">
        <f>0.5*C50</f>
        <v>156550</v>
      </c>
      <c r="V50" s="163"/>
      <c r="W50" s="1016"/>
      <c r="X50" s="1016"/>
      <c r="Y50" s="1016"/>
      <c r="Z50" s="1016"/>
      <c r="AA50" s="1016"/>
      <c r="AB50" s="1016"/>
      <c r="AC50" s="1016"/>
      <c r="AD50" s="1016"/>
      <c r="AE50" s="1016"/>
      <c r="AF50" s="1016"/>
      <c r="AG50" s="946">
        <f t="shared" si="57"/>
        <v>0</v>
      </c>
      <c r="AH50" s="946">
        <f t="shared" si="58"/>
        <v>0</v>
      </c>
      <c r="AI50" s="19">
        <f t="shared" si="59"/>
        <v>0</v>
      </c>
      <c r="AJ50" s="19">
        <f t="shared" si="60"/>
        <v>0</v>
      </c>
      <c r="AK50" s="19">
        <f t="shared" si="61"/>
        <v>156550</v>
      </c>
      <c r="AL50" s="19">
        <f t="shared" si="62"/>
        <v>0</v>
      </c>
      <c r="AM50" s="19">
        <f t="shared" si="63"/>
        <v>156550</v>
      </c>
      <c r="AN50" s="19">
        <f t="shared" si="64"/>
        <v>0</v>
      </c>
      <c r="AO50" s="19">
        <f t="shared" si="52"/>
        <v>0</v>
      </c>
      <c r="AP50" s="19">
        <f t="shared" si="53"/>
        <v>0</v>
      </c>
      <c r="AQ50" s="19">
        <f t="shared" si="54"/>
        <v>0</v>
      </c>
      <c r="AR50" s="19">
        <f t="shared" si="55"/>
        <v>0</v>
      </c>
      <c r="AS50" s="19">
        <f t="shared" si="66"/>
        <v>313100</v>
      </c>
      <c r="AT50" s="19">
        <f t="shared" si="67"/>
        <v>0</v>
      </c>
      <c r="AU50" s="19">
        <f t="shared" si="68"/>
        <v>313100</v>
      </c>
      <c r="AV50" s="1018"/>
      <c r="AW50" s="1018"/>
      <c r="AX50" s="1018"/>
      <c r="AY50" s="1018"/>
      <c r="AZ50" s="1018"/>
    </row>
    <row r="51" spans="1:52" x14ac:dyDescent="0.2">
      <c r="A51" s="936"/>
      <c r="B51" s="992" t="s">
        <v>278</v>
      </c>
      <c r="C51" s="487">
        <v>110700</v>
      </c>
      <c r="D51" s="993"/>
      <c r="E51" s="941">
        <f>SUM(C51:D51)</f>
        <v>110700</v>
      </c>
      <c r="F51" s="972"/>
      <c r="G51" s="974"/>
      <c r="H51" s="974">
        <f t="shared" si="69"/>
        <v>9.6260869565217388E-4</v>
      </c>
      <c r="I51" s="1016"/>
      <c r="J51" s="1016"/>
      <c r="K51" s="1016"/>
      <c r="L51" s="1016"/>
      <c r="M51" s="1016"/>
      <c r="N51" s="163"/>
      <c r="O51" s="1016"/>
      <c r="P51" s="163"/>
      <c r="Q51" s="1016"/>
      <c r="R51" s="163"/>
      <c r="S51" s="1016">
        <f>0.5*C51</f>
        <v>55350</v>
      </c>
      <c r="T51" s="163"/>
      <c r="U51" s="1016">
        <f>0.5*C51</f>
        <v>55350</v>
      </c>
      <c r="V51" s="163"/>
      <c r="W51" s="1016"/>
      <c r="X51" s="1016"/>
      <c r="Y51" s="1016"/>
      <c r="Z51" s="1016"/>
      <c r="AA51" s="1016"/>
      <c r="AB51" s="1016"/>
      <c r="AC51" s="1016"/>
      <c r="AD51" s="1016"/>
      <c r="AE51" s="1016"/>
      <c r="AF51" s="1016"/>
      <c r="AG51" s="946">
        <f t="shared" si="57"/>
        <v>0</v>
      </c>
      <c r="AH51" s="946">
        <f t="shared" si="58"/>
        <v>0</v>
      </c>
      <c r="AI51" s="19">
        <f t="shared" si="59"/>
        <v>0</v>
      </c>
      <c r="AJ51" s="19">
        <f t="shared" si="60"/>
        <v>0</v>
      </c>
      <c r="AK51" s="19">
        <f t="shared" si="61"/>
        <v>55350</v>
      </c>
      <c r="AL51" s="19">
        <f t="shared" si="62"/>
        <v>0</v>
      </c>
      <c r="AM51" s="19">
        <f t="shared" si="63"/>
        <v>55350</v>
      </c>
      <c r="AN51" s="19">
        <f t="shared" si="64"/>
        <v>0</v>
      </c>
      <c r="AO51" s="19">
        <f t="shared" si="52"/>
        <v>0</v>
      </c>
      <c r="AP51" s="19">
        <f t="shared" si="53"/>
        <v>0</v>
      </c>
      <c r="AQ51" s="19">
        <f t="shared" si="54"/>
        <v>0</v>
      </c>
      <c r="AR51" s="19">
        <f t="shared" si="55"/>
        <v>0</v>
      </c>
      <c r="AS51" s="19">
        <f t="shared" si="66"/>
        <v>110700</v>
      </c>
      <c r="AT51" s="19">
        <f t="shared" si="67"/>
        <v>0</v>
      </c>
      <c r="AU51" s="19">
        <f t="shared" si="68"/>
        <v>110700</v>
      </c>
      <c r="AV51" s="1018"/>
      <c r="AW51" s="1018"/>
      <c r="AX51" s="1018"/>
      <c r="AY51" s="1018"/>
      <c r="AZ51" s="1018"/>
    </row>
    <row r="52" spans="1:52" x14ac:dyDescent="0.2">
      <c r="A52" s="936"/>
      <c r="B52" s="992" t="s">
        <v>279</v>
      </c>
      <c r="C52" s="487"/>
      <c r="D52" s="993">
        <v>1018650</v>
      </c>
      <c r="E52" s="941">
        <f>SUM(C52:D52)</f>
        <v>1018650</v>
      </c>
      <c r="F52" s="972"/>
      <c r="G52" s="974"/>
      <c r="H52" s="974">
        <f t="shared" si="69"/>
        <v>8.857826086956521E-3</v>
      </c>
      <c r="I52" s="1016"/>
      <c r="J52" s="1016"/>
      <c r="K52" s="1016"/>
      <c r="L52" s="1016"/>
      <c r="M52" s="1016"/>
      <c r="N52" s="163"/>
      <c r="O52" s="1016"/>
      <c r="P52" s="163">
        <f>0.1*D52</f>
        <v>101865</v>
      </c>
      <c r="Q52" s="1016"/>
      <c r="R52" s="163">
        <f>0.2*D52</f>
        <v>203730</v>
      </c>
      <c r="S52" s="1016"/>
      <c r="T52" s="163">
        <f>D52*0.4</f>
        <v>407460</v>
      </c>
      <c r="U52" s="1016"/>
      <c r="V52" s="163">
        <f>D52*0.4</f>
        <v>407460</v>
      </c>
      <c r="W52" s="1016"/>
      <c r="X52" s="1016"/>
      <c r="Y52" s="1016"/>
      <c r="Z52" s="1016"/>
      <c r="AA52" s="1016"/>
      <c r="AB52" s="1016"/>
      <c r="AC52" s="1016"/>
      <c r="AD52" s="1016"/>
      <c r="AE52" s="1016"/>
      <c r="AF52" s="1016"/>
      <c r="AG52" s="946">
        <f t="shared" si="57"/>
        <v>0</v>
      </c>
      <c r="AH52" s="946">
        <f t="shared" si="58"/>
        <v>0</v>
      </c>
      <c r="AI52" s="19">
        <f t="shared" si="59"/>
        <v>0</v>
      </c>
      <c r="AJ52" s="19"/>
      <c r="AK52" s="19">
        <f t="shared" si="61"/>
        <v>0</v>
      </c>
      <c r="AL52" s="19">
        <f t="shared" si="62"/>
        <v>611190</v>
      </c>
      <c r="AM52" s="19">
        <f t="shared" si="63"/>
        <v>0</v>
      </c>
      <c r="AN52" s="19">
        <f t="shared" si="64"/>
        <v>407460</v>
      </c>
      <c r="AO52" s="19">
        <f t="shared" si="52"/>
        <v>0</v>
      </c>
      <c r="AP52" s="19">
        <f t="shared" si="53"/>
        <v>0</v>
      </c>
      <c r="AQ52" s="19">
        <f t="shared" si="54"/>
        <v>0</v>
      </c>
      <c r="AR52" s="19">
        <f t="shared" si="55"/>
        <v>0</v>
      </c>
      <c r="AS52" s="19">
        <f t="shared" si="66"/>
        <v>0</v>
      </c>
      <c r="AT52" s="19">
        <f t="shared" si="67"/>
        <v>1018650</v>
      </c>
      <c r="AU52" s="19">
        <f t="shared" si="68"/>
        <v>1018650</v>
      </c>
      <c r="AV52" s="1018"/>
      <c r="AW52" s="1018"/>
      <c r="AX52" s="1018"/>
      <c r="AY52" s="1018"/>
      <c r="AZ52" s="1018"/>
    </row>
    <row r="53" spans="1:52" x14ac:dyDescent="0.2">
      <c r="A53" s="936"/>
      <c r="B53" s="992" t="s">
        <v>280</v>
      </c>
      <c r="C53" s="487">
        <v>29300</v>
      </c>
      <c r="D53" s="993"/>
      <c r="E53" s="941">
        <f>SUM(C53:D53)</f>
        <v>29300</v>
      </c>
      <c r="F53" s="972"/>
      <c r="G53" s="974"/>
      <c r="H53" s="974">
        <f t="shared" si="69"/>
        <v>2.5478260869565215E-4</v>
      </c>
      <c r="I53" s="1016"/>
      <c r="K53" s="1016"/>
      <c r="L53" s="1016"/>
      <c r="M53" s="1016"/>
      <c r="N53" s="163"/>
      <c r="O53" s="1016"/>
      <c r="P53" s="163"/>
      <c r="Q53" s="1016"/>
      <c r="R53" s="163"/>
      <c r="S53" s="1016">
        <f>0.5*C53</f>
        <v>14650</v>
      </c>
      <c r="T53" s="163"/>
      <c r="U53" s="1016">
        <f>0.5*C53</f>
        <v>14650</v>
      </c>
      <c r="V53" s="163"/>
      <c r="W53" s="1016"/>
      <c r="X53" s="1016"/>
      <c r="Y53" s="1016"/>
      <c r="Z53" s="1016"/>
      <c r="AA53" s="1016"/>
      <c r="AB53" s="1016"/>
      <c r="AC53" s="1016"/>
      <c r="AD53" s="1016"/>
      <c r="AE53" s="1016"/>
      <c r="AF53" s="1016"/>
      <c r="AG53" s="946">
        <f t="shared" si="57"/>
        <v>0</v>
      </c>
      <c r="AH53" s="946">
        <f>Plan2!H18+L53</f>
        <v>1158650</v>
      </c>
      <c r="AI53" s="19">
        <f t="shared" si="59"/>
        <v>0</v>
      </c>
      <c r="AJ53" s="19">
        <f t="shared" si="60"/>
        <v>0</v>
      </c>
      <c r="AK53" s="19">
        <f t="shared" si="61"/>
        <v>14650</v>
      </c>
      <c r="AL53" s="19">
        <f t="shared" si="62"/>
        <v>0</v>
      </c>
      <c r="AM53" s="19">
        <f t="shared" si="63"/>
        <v>14650</v>
      </c>
      <c r="AN53" s="19">
        <f t="shared" si="64"/>
        <v>0</v>
      </c>
      <c r="AO53" s="19">
        <f t="shared" si="52"/>
        <v>0</v>
      </c>
      <c r="AP53" s="19">
        <f t="shared" si="53"/>
        <v>0</v>
      </c>
      <c r="AQ53" s="19">
        <f t="shared" si="54"/>
        <v>0</v>
      </c>
      <c r="AR53" s="19">
        <f t="shared" si="55"/>
        <v>0</v>
      </c>
      <c r="AS53" s="19">
        <f t="shared" si="66"/>
        <v>29300</v>
      </c>
      <c r="AT53" s="19">
        <f t="shared" si="67"/>
        <v>1158650</v>
      </c>
      <c r="AU53" s="19">
        <f t="shared" si="68"/>
        <v>1187950</v>
      </c>
      <c r="AV53" s="1018"/>
      <c r="AW53" s="1018"/>
      <c r="AX53" s="1018"/>
      <c r="AY53" s="1018"/>
      <c r="AZ53" s="1018"/>
    </row>
    <row r="54" spans="1:52" x14ac:dyDescent="0.2">
      <c r="A54" s="936"/>
      <c r="B54" s="992" t="s">
        <v>282</v>
      </c>
      <c r="C54" s="487">
        <v>2468650</v>
      </c>
      <c r="D54" s="993">
        <v>1631350</v>
      </c>
      <c r="E54" s="941">
        <f>SUM(C54:D54)</f>
        <v>4100000</v>
      </c>
      <c r="F54" s="972"/>
      <c r="G54" s="974"/>
      <c r="H54" s="974">
        <f t="shared" si="69"/>
        <v>3.5652173913043476E-2</v>
      </c>
      <c r="I54" s="1016"/>
      <c r="J54" s="1016"/>
      <c r="K54" s="1016"/>
      <c r="L54" s="1016"/>
      <c r="M54" s="1016"/>
      <c r="N54" s="163"/>
      <c r="O54" s="1016"/>
      <c r="P54" s="163">
        <f>0.1*D54</f>
        <v>163135</v>
      </c>
      <c r="Q54" s="1016"/>
      <c r="R54" s="163">
        <f>0.2*D54</f>
        <v>326270</v>
      </c>
      <c r="S54" s="1016">
        <f>0.2*C54</f>
        <v>493730</v>
      </c>
      <c r="T54" s="163">
        <f>D54*0.4</f>
        <v>652540</v>
      </c>
      <c r="U54" s="1016">
        <f>0.4*C54</f>
        <v>987460</v>
      </c>
      <c r="V54" s="163">
        <f>D54*0.4</f>
        <v>652540</v>
      </c>
      <c r="W54" s="1016">
        <f>C54*0.4</f>
        <v>987460</v>
      </c>
      <c r="X54" s="1016"/>
      <c r="Y54" s="1016"/>
      <c r="Z54" s="1016"/>
      <c r="AA54" s="1016"/>
      <c r="AB54" s="1016"/>
      <c r="AC54" s="1016"/>
      <c r="AD54" s="1016"/>
      <c r="AE54" s="1016"/>
      <c r="AF54" s="1016"/>
      <c r="AG54" s="946">
        <f t="shared" si="57"/>
        <v>0</v>
      </c>
      <c r="AH54" s="946">
        <f t="shared" ref="AH54:AH60" si="70">J54+L54</f>
        <v>0</v>
      </c>
      <c r="AI54" s="19">
        <f t="shared" si="59"/>
        <v>0</v>
      </c>
      <c r="AJ54" s="19">
        <f t="shared" si="60"/>
        <v>163135</v>
      </c>
      <c r="AK54" s="19">
        <f t="shared" si="61"/>
        <v>493730</v>
      </c>
      <c r="AL54" s="19">
        <f t="shared" si="62"/>
        <v>978810</v>
      </c>
      <c r="AM54" s="19">
        <f t="shared" si="63"/>
        <v>1974920</v>
      </c>
      <c r="AN54" s="19">
        <v>489405</v>
      </c>
      <c r="AO54" s="19">
        <f t="shared" si="52"/>
        <v>0</v>
      </c>
      <c r="AP54" s="19">
        <f t="shared" si="53"/>
        <v>0</v>
      </c>
      <c r="AQ54" s="19">
        <f t="shared" si="54"/>
        <v>0</v>
      </c>
      <c r="AR54" s="19">
        <f t="shared" si="55"/>
        <v>0</v>
      </c>
      <c r="AS54" s="19">
        <f t="shared" si="66"/>
        <v>2468650</v>
      </c>
      <c r="AT54" s="19">
        <f t="shared" si="67"/>
        <v>1631350</v>
      </c>
      <c r="AU54" s="19">
        <f t="shared" si="68"/>
        <v>4100000</v>
      </c>
      <c r="AV54" s="1018"/>
      <c r="AW54" s="1018"/>
      <c r="AX54" s="1018"/>
      <c r="AY54" s="1018"/>
      <c r="AZ54" s="1018"/>
    </row>
    <row r="55" spans="1:52" x14ac:dyDescent="0.2">
      <c r="A55" s="936"/>
      <c r="B55" s="992" t="s">
        <v>233</v>
      </c>
      <c r="C55" s="487">
        <f>C56</f>
        <v>268360</v>
      </c>
      <c r="D55" s="993">
        <f>D56</f>
        <v>500000</v>
      </c>
      <c r="E55" s="941">
        <f>E56</f>
        <v>768360</v>
      </c>
      <c r="F55" s="972">
        <f t="shared" ref="F55:F81" si="71">C55/$E$82</f>
        <v>2.3335652173913043E-3</v>
      </c>
      <c r="G55" s="974">
        <f t="shared" ref="G55:G81" si="72">D55/$E$82</f>
        <v>4.3478260869565218E-3</v>
      </c>
      <c r="H55" s="974">
        <f t="shared" ref="H55:H81" si="73">E55/$E$82</f>
        <v>6.6813913043478265E-3</v>
      </c>
      <c r="I55" s="165"/>
      <c r="J55" s="165"/>
      <c r="K55" s="165"/>
      <c r="L55" s="165"/>
      <c r="M55" s="165"/>
      <c r="N55" s="163"/>
      <c r="O55" s="165"/>
      <c r="P55" s="163"/>
      <c r="Q55" s="165"/>
      <c r="R55" s="163">
        <v>150000</v>
      </c>
      <c r="S55" s="165">
        <f>SUM(S56)</f>
        <v>134180</v>
      </c>
      <c r="T55" s="163">
        <v>350000</v>
      </c>
      <c r="U55" s="165">
        <f>SUM(U56)</f>
        <v>134180</v>
      </c>
      <c r="V55" s="163"/>
      <c r="W55" s="165"/>
      <c r="X55" s="165"/>
      <c r="Y55" s="165"/>
      <c r="Z55" s="165"/>
      <c r="AA55" s="165"/>
      <c r="AB55" s="1016"/>
      <c r="AC55" s="165"/>
      <c r="AD55" s="165"/>
      <c r="AE55" s="165"/>
      <c r="AF55" s="165"/>
      <c r="AG55" s="946">
        <f t="shared" si="57"/>
        <v>0</v>
      </c>
      <c r="AH55" s="946">
        <f t="shared" si="70"/>
        <v>0</v>
      </c>
      <c r="AI55" s="19">
        <f t="shared" si="59"/>
        <v>0</v>
      </c>
      <c r="AJ55" s="19">
        <f t="shared" si="60"/>
        <v>0</v>
      </c>
      <c r="AK55" s="19">
        <f t="shared" si="61"/>
        <v>134180</v>
      </c>
      <c r="AL55" s="19">
        <f t="shared" si="62"/>
        <v>500000</v>
      </c>
      <c r="AM55" s="19">
        <f t="shared" si="63"/>
        <v>134180</v>
      </c>
      <c r="AN55" s="19">
        <f t="shared" si="64"/>
        <v>0</v>
      </c>
      <c r="AO55" s="19">
        <f t="shared" si="52"/>
        <v>0</v>
      </c>
      <c r="AP55" s="19">
        <f t="shared" si="53"/>
        <v>0</v>
      </c>
      <c r="AQ55" s="19">
        <f t="shared" si="54"/>
        <v>0</v>
      </c>
      <c r="AR55" s="19">
        <f t="shared" si="55"/>
        <v>0</v>
      </c>
      <c r="AS55" s="19">
        <f t="shared" si="66"/>
        <v>268360</v>
      </c>
      <c r="AT55" s="19">
        <f t="shared" si="67"/>
        <v>500000</v>
      </c>
      <c r="AU55" s="19">
        <f t="shared" si="68"/>
        <v>768360</v>
      </c>
    </row>
    <row r="56" spans="1:52" x14ac:dyDescent="0.2">
      <c r="A56" s="936"/>
      <c r="B56" s="992" t="s">
        <v>281</v>
      </c>
      <c r="C56" s="487">
        <v>268360</v>
      </c>
      <c r="D56" s="993">
        <v>500000</v>
      </c>
      <c r="E56" s="941">
        <f t="shared" si="56"/>
        <v>768360</v>
      </c>
      <c r="F56" s="972">
        <f t="shared" si="71"/>
        <v>2.3335652173913043E-3</v>
      </c>
      <c r="G56" s="974">
        <f t="shared" si="72"/>
        <v>4.3478260869565218E-3</v>
      </c>
      <c r="H56" s="974">
        <f t="shared" si="73"/>
        <v>6.6813913043478265E-3</v>
      </c>
      <c r="I56" s="165"/>
      <c r="J56" s="165"/>
      <c r="K56" s="165"/>
      <c r="L56" s="165"/>
      <c r="M56" s="165"/>
      <c r="N56" s="1048"/>
      <c r="O56" s="165"/>
      <c r="P56" s="163"/>
      <c r="Q56" s="165"/>
      <c r="R56" s="163">
        <v>150000</v>
      </c>
      <c r="S56" s="165">
        <f>0.5*C56</f>
        <v>134180</v>
      </c>
      <c r="T56" s="163">
        <v>350000</v>
      </c>
      <c r="U56" s="165">
        <f>0.5*C56</f>
        <v>134180</v>
      </c>
      <c r="V56" s="163"/>
      <c r="W56" s="165"/>
      <c r="X56" s="165"/>
      <c r="Y56" s="165"/>
      <c r="Z56" s="165"/>
      <c r="AA56" s="165"/>
      <c r="AB56" s="1016"/>
      <c r="AC56" s="165"/>
      <c r="AD56" s="165"/>
      <c r="AE56" s="165"/>
      <c r="AF56" s="165"/>
      <c r="AG56" s="946">
        <f t="shared" si="57"/>
        <v>0</v>
      </c>
      <c r="AH56" s="946">
        <f t="shared" si="70"/>
        <v>0</v>
      </c>
      <c r="AI56" s="19">
        <f t="shared" si="59"/>
        <v>0</v>
      </c>
      <c r="AJ56" s="19">
        <f t="shared" si="60"/>
        <v>0</v>
      </c>
      <c r="AK56" s="19">
        <f t="shared" si="61"/>
        <v>134180</v>
      </c>
      <c r="AL56" s="19">
        <f t="shared" si="62"/>
        <v>500000</v>
      </c>
      <c r="AM56" s="19">
        <f t="shared" si="63"/>
        <v>134180</v>
      </c>
      <c r="AN56" s="19">
        <f t="shared" si="64"/>
        <v>0</v>
      </c>
      <c r="AO56" s="19">
        <f t="shared" si="52"/>
        <v>0</v>
      </c>
      <c r="AP56" s="19">
        <f t="shared" si="53"/>
        <v>0</v>
      </c>
      <c r="AQ56" s="19">
        <f t="shared" si="54"/>
        <v>0</v>
      </c>
      <c r="AR56" s="19">
        <f t="shared" si="55"/>
        <v>0</v>
      </c>
      <c r="AS56" s="19">
        <f t="shared" si="66"/>
        <v>268360</v>
      </c>
      <c r="AT56" s="19">
        <f t="shared" si="67"/>
        <v>500000</v>
      </c>
      <c r="AU56" s="19">
        <f t="shared" si="68"/>
        <v>768360</v>
      </c>
    </row>
    <row r="57" spans="1:52" x14ac:dyDescent="0.2">
      <c r="A57" s="936"/>
      <c r="B57" s="992" t="s">
        <v>234</v>
      </c>
      <c r="C57" s="487">
        <v>359890</v>
      </c>
      <c r="D57" s="993"/>
      <c r="E57" s="941">
        <f t="shared" si="56"/>
        <v>359890</v>
      </c>
      <c r="F57" s="972">
        <f t="shared" si="71"/>
        <v>3.1294782608695653E-3</v>
      </c>
      <c r="G57" s="974">
        <f t="shared" si="72"/>
        <v>0</v>
      </c>
      <c r="H57" s="974">
        <f t="shared" si="73"/>
        <v>3.1294782608695653E-3</v>
      </c>
      <c r="I57" s="165"/>
      <c r="J57" s="165"/>
      <c r="K57" s="165"/>
      <c r="L57" s="165"/>
      <c r="M57" s="165"/>
      <c r="N57" s="163"/>
      <c r="O57" s="165"/>
      <c r="P57" s="163"/>
      <c r="Q57" s="165"/>
      <c r="R57" s="163"/>
      <c r="S57" s="165">
        <f>0.5*C57</f>
        <v>179945</v>
      </c>
      <c r="T57" s="163"/>
      <c r="U57" s="165">
        <f>0.5*C57</f>
        <v>179945</v>
      </c>
      <c r="V57" s="163"/>
      <c r="W57" s="165"/>
      <c r="X57" s="165"/>
      <c r="Y57" s="165"/>
      <c r="Z57" s="165"/>
      <c r="AA57" s="165"/>
      <c r="AB57" s="1016"/>
      <c r="AC57" s="165"/>
      <c r="AD57" s="165"/>
      <c r="AE57" s="165"/>
      <c r="AF57" s="165"/>
      <c r="AG57" s="946">
        <f t="shared" si="57"/>
        <v>0</v>
      </c>
      <c r="AH57" s="946">
        <f t="shared" si="70"/>
        <v>0</v>
      </c>
      <c r="AI57" s="19">
        <f t="shared" si="59"/>
        <v>0</v>
      </c>
      <c r="AJ57" s="19">
        <f t="shared" si="60"/>
        <v>0</v>
      </c>
      <c r="AK57" s="19">
        <f t="shared" si="61"/>
        <v>179945</v>
      </c>
      <c r="AL57" s="19">
        <f t="shared" si="62"/>
        <v>0</v>
      </c>
      <c r="AM57" s="19">
        <f t="shared" si="63"/>
        <v>179945</v>
      </c>
      <c r="AN57" s="19">
        <f t="shared" si="64"/>
        <v>0</v>
      </c>
      <c r="AO57" s="19">
        <f t="shared" si="52"/>
        <v>0</v>
      </c>
      <c r="AP57" s="19">
        <f t="shared" si="53"/>
        <v>0</v>
      </c>
      <c r="AQ57" s="19">
        <f t="shared" si="54"/>
        <v>0</v>
      </c>
      <c r="AR57" s="19">
        <f t="shared" si="55"/>
        <v>0</v>
      </c>
      <c r="AS57" s="19">
        <f t="shared" si="66"/>
        <v>359890</v>
      </c>
      <c r="AT57" s="19">
        <f t="shared" si="67"/>
        <v>0</v>
      </c>
      <c r="AU57" s="19">
        <f t="shared" si="68"/>
        <v>359890</v>
      </c>
    </row>
    <row r="58" spans="1:52" s="207" customFormat="1" x14ac:dyDescent="0.2">
      <c r="B58" s="991" t="s">
        <v>237</v>
      </c>
      <c r="C58" s="932">
        <v>4200000</v>
      </c>
      <c r="D58" s="980">
        <v>1350000</v>
      </c>
      <c r="E58" s="940">
        <f t="shared" si="56"/>
        <v>5550000</v>
      </c>
      <c r="F58" s="972">
        <f t="shared" si="71"/>
        <v>3.6521739130434785E-2</v>
      </c>
      <c r="G58" s="972">
        <f t="shared" si="72"/>
        <v>1.1739130434782608E-2</v>
      </c>
      <c r="H58" s="972">
        <f t="shared" si="73"/>
        <v>4.8260869565217392E-2</v>
      </c>
      <c r="I58" s="1013"/>
      <c r="J58" s="1013"/>
      <c r="K58" s="879"/>
      <c r="L58" s="879"/>
      <c r="M58" s="1013"/>
      <c r="N58" s="33"/>
      <c r="O58" s="879"/>
      <c r="P58" s="1039"/>
      <c r="Q58" s="1013"/>
      <c r="R58" s="33"/>
      <c r="S58" s="879"/>
      <c r="T58" s="1039"/>
      <c r="U58" s="1013">
        <f>C58/4</f>
        <v>1050000</v>
      </c>
      <c r="V58" s="33">
        <f>D58/4</f>
        <v>337500</v>
      </c>
      <c r="W58" s="879">
        <f>C58/4</f>
        <v>1050000</v>
      </c>
      <c r="X58" s="879">
        <f>D58/4</f>
        <v>337500</v>
      </c>
      <c r="Y58" s="879">
        <f>C58/4</f>
        <v>1050000</v>
      </c>
      <c r="Z58" s="879">
        <f>D58/4</f>
        <v>337500</v>
      </c>
      <c r="AA58" s="879">
        <f>C58/4</f>
        <v>1050000</v>
      </c>
      <c r="AB58" s="879">
        <f>D58/4</f>
        <v>337500</v>
      </c>
      <c r="AC58" s="1013"/>
      <c r="AD58" s="1013"/>
      <c r="AE58" s="879"/>
      <c r="AF58" s="879"/>
      <c r="AG58" s="946">
        <f t="shared" si="57"/>
        <v>0</v>
      </c>
      <c r="AH58" s="946">
        <f t="shared" si="70"/>
        <v>0</v>
      </c>
      <c r="AI58" s="19">
        <f t="shared" si="59"/>
        <v>0</v>
      </c>
      <c r="AJ58" s="19">
        <f t="shared" si="60"/>
        <v>0</v>
      </c>
      <c r="AK58" s="19">
        <f t="shared" si="61"/>
        <v>0</v>
      </c>
      <c r="AL58" s="19">
        <f t="shared" si="62"/>
        <v>0</v>
      </c>
      <c r="AM58" s="19">
        <f t="shared" si="63"/>
        <v>2100000</v>
      </c>
      <c r="AN58" s="19">
        <f t="shared" si="64"/>
        <v>675000</v>
      </c>
      <c r="AO58" s="19">
        <f t="shared" si="52"/>
        <v>2100000</v>
      </c>
      <c r="AP58" s="19">
        <f t="shared" si="53"/>
        <v>675000</v>
      </c>
      <c r="AQ58" s="19">
        <f t="shared" si="54"/>
        <v>0</v>
      </c>
      <c r="AR58" s="19">
        <f t="shared" si="55"/>
        <v>0</v>
      </c>
      <c r="AS58" s="19">
        <f t="shared" si="66"/>
        <v>4200000</v>
      </c>
      <c r="AT58" s="19">
        <f t="shared" si="67"/>
        <v>1350000</v>
      </c>
      <c r="AU58" s="19">
        <f t="shared" si="68"/>
        <v>5550000</v>
      </c>
    </row>
    <row r="59" spans="1:52" s="207" customFormat="1" x14ac:dyDescent="0.2">
      <c r="B59" s="991" t="s">
        <v>235</v>
      </c>
      <c r="C59" s="932">
        <v>5250000</v>
      </c>
      <c r="D59" s="980">
        <v>3200000</v>
      </c>
      <c r="E59" s="940">
        <f t="shared" si="56"/>
        <v>8450000</v>
      </c>
      <c r="F59" s="972">
        <f t="shared" si="71"/>
        <v>4.5652173913043478E-2</v>
      </c>
      <c r="G59" s="972">
        <f t="shared" si="72"/>
        <v>2.782608695652174E-2</v>
      </c>
      <c r="H59" s="972">
        <f t="shared" si="73"/>
        <v>7.3478260869565215E-2</v>
      </c>
      <c r="I59" s="1013"/>
      <c r="J59" s="1013"/>
      <c r="K59" s="879"/>
      <c r="L59" s="879"/>
      <c r="M59" s="1013"/>
      <c r="N59" s="33"/>
      <c r="O59" s="879"/>
      <c r="P59" s="1039"/>
      <c r="Q59" s="1013"/>
      <c r="R59" s="33"/>
      <c r="S59" s="879"/>
      <c r="T59" s="1039"/>
      <c r="U59" s="1013">
        <f>$C$59/6</f>
        <v>875000</v>
      </c>
      <c r="V59" s="33">
        <f>$D$59/6</f>
        <v>533333.33333333337</v>
      </c>
      <c r="W59" s="1013">
        <f>$C$59/6</f>
        <v>875000</v>
      </c>
      <c r="X59" s="1013">
        <f>$D$59/6</f>
        <v>533333.33333333337</v>
      </c>
      <c r="Y59" s="1013">
        <f>$C$59/6</f>
        <v>875000</v>
      </c>
      <c r="Z59" s="1013">
        <f>$D$59/6</f>
        <v>533333.33333333337</v>
      </c>
      <c r="AA59" s="1013">
        <f>$C$59/6</f>
        <v>875000</v>
      </c>
      <c r="AB59" s="1015">
        <f>$D$59/6</f>
        <v>533333.33333333337</v>
      </c>
      <c r="AC59" s="1013">
        <f>$C$59/6</f>
        <v>875000</v>
      </c>
      <c r="AD59" s="1013">
        <f>$D$59/6</f>
        <v>533333.33333333337</v>
      </c>
      <c r="AE59" s="1013">
        <f>$C$59/6</f>
        <v>875000</v>
      </c>
      <c r="AF59" s="1013">
        <f>$D$59/6</f>
        <v>533333.33333333337</v>
      </c>
      <c r="AG59" s="946">
        <f t="shared" si="57"/>
        <v>0</v>
      </c>
      <c r="AH59" s="946">
        <f t="shared" si="70"/>
        <v>0</v>
      </c>
      <c r="AI59" s="19">
        <f t="shared" si="59"/>
        <v>0</v>
      </c>
      <c r="AJ59" s="19">
        <f t="shared" si="60"/>
        <v>0</v>
      </c>
      <c r="AK59" s="19">
        <f t="shared" si="61"/>
        <v>0</v>
      </c>
      <c r="AL59" s="19">
        <f t="shared" si="62"/>
        <v>0</v>
      </c>
      <c r="AM59" s="19">
        <f t="shared" si="63"/>
        <v>1750000</v>
      </c>
      <c r="AN59" s="19">
        <f t="shared" si="64"/>
        <v>1066666.6666666667</v>
      </c>
      <c r="AO59" s="19">
        <f t="shared" si="52"/>
        <v>1750000</v>
      </c>
      <c r="AP59" s="19">
        <f t="shared" si="53"/>
        <v>1066666.6666666667</v>
      </c>
      <c r="AQ59" s="19">
        <f t="shared" si="54"/>
        <v>1750000</v>
      </c>
      <c r="AR59" s="19">
        <f t="shared" si="55"/>
        <v>1066666.6666666667</v>
      </c>
      <c r="AS59" s="19">
        <f t="shared" si="66"/>
        <v>5250000</v>
      </c>
      <c r="AT59" s="19">
        <f t="shared" si="67"/>
        <v>3200000</v>
      </c>
      <c r="AU59" s="19">
        <f t="shared" si="68"/>
        <v>8450000</v>
      </c>
    </row>
    <row r="60" spans="1:52" s="207" customFormat="1" x14ac:dyDescent="0.2">
      <c r="B60" s="991" t="s">
        <v>236</v>
      </c>
      <c r="C60" s="932">
        <v>2500000</v>
      </c>
      <c r="D60" s="980">
        <v>1450000</v>
      </c>
      <c r="E60" s="940">
        <f>SUM(C60:D60)</f>
        <v>3950000</v>
      </c>
      <c r="F60" s="972">
        <f t="shared" si="71"/>
        <v>2.1739130434782608E-2</v>
      </c>
      <c r="G60" s="972">
        <f t="shared" si="72"/>
        <v>1.2608695652173913E-2</v>
      </c>
      <c r="H60" s="972">
        <f t="shared" si="73"/>
        <v>3.4347826086956523E-2</v>
      </c>
      <c r="I60" s="1013"/>
      <c r="J60" s="1013"/>
      <c r="K60" s="1013"/>
      <c r="L60" s="1013"/>
      <c r="M60" s="1013"/>
      <c r="N60" s="33"/>
      <c r="O60" s="879"/>
      <c r="P60" s="1039"/>
      <c r="Q60" s="1013"/>
      <c r="R60" s="33"/>
      <c r="S60" s="879">
        <f>C60/4</f>
        <v>625000</v>
      </c>
      <c r="T60" s="1039">
        <f>D60/4</f>
        <v>362500</v>
      </c>
      <c r="U60" s="1013">
        <f>C60/4</f>
        <v>625000</v>
      </c>
      <c r="V60" s="33">
        <f>D60/4</f>
        <v>362500</v>
      </c>
      <c r="W60" s="879">
        <f>C60/4</f>
        <v>625000</v>
      </c>
      <c r="X60" s="879">
        <f>D60/4</f>
        <v>362500</v>
      </c>
      <c r="Y60" s="1013">
        <f>C60/4</f>
        <v>625000</v>
      </c>
      <c r="Z60" s="1013">
        <f>D60/4</f>
        <v>362500</v>
      </c>
      <c r="AA60" s="879"/>
      <c r="AB60" s="879"/>
      <c r="AC60" s="1013"/>
      <c r="AD60" s="1013"/>
      <c r="AE60" s="879"/>
      <c r="AF60" s="879"/>
      <c r="AG60" s="946">
        <f t="shared" si="57"/>
        <v>0</v>
      </c>
      <c r="AH60" s="946">
        <f t="shared" si="70"/>
        <v>0</v>
      </c>
      <c r="AI60" s="19">
        <f t="shared" si="59"/>
        <v>0</v>
      </c>
      <c r="AJ60" s="19">
        <f t="shared" si="60"/>
        <v>0</v>
      </c>
      <c r="AK60" s="19">
        <f>Q60+S60</f>
        <v>625000</v>
      </c>
      <c r="AL60" s="19">
        <f t="shared" si="62"/>
        <v>362500</v>
      </c>
      <c r="AM60" s="19">
        <f>U60+W60</f>
        <v>1250000</v>
      </c>
      <c r="AN60" s="19">
        <f>V60+X60</f>
        <v>725000</v>
      </c>
      <c r="AO60" s="19">
        <f>Y60+AA60</f>
        <v>625000</v>
      </c>
      <c r="AP60" s="19">
        <f>Z60+AB60</f>
        <v>362500</v>
      </c>
      <c r="AQ60" s="19">
        <f>AC60+AE60</f>
        <v>0</v>
      </c>
      <c r="AR60" s="19">
        <f>AD60+AF60</f>
        <v>0</v>
      </c>
      <c r="AS60" s="19">
        <f t="shared" si="66"/>
        <v>2500000</v>
      </c>
      <c r="AT60" s="19">
        <f t="shared" si="67"/>
        <v>1450000</v>
      </c>
      <c r="AU60" s="19">
        <f t="shared" si="68"/>
        <v>3950000</v>
      </c>
    </row>
    <row r="61" spans="1:52" ht="17.25" customHeight="1" x14ac:dyDescent="0.2">
      <c r="B61" s="962" t="s">
        <v>219</v>
      </c>
      <c r="C61" s="963">
        <f>+C62+C65+C68+C71</f>
        <v>8550000</v>
      </c>
      <c r="D61" s="963">
        <f>+D62+D65+D68+D71</f>
        <v>1350000</v>
      </c>
      <c r="E61" s="995">
        <f>+E62+E65+E68+E71</f>
        <v>9900000</v>
      </c>
      <c r="F61" s="931">
        <f t="shared" si="71"/>
        <v>7.4347826086956517E-2</v>
      </c>
      <c r="G61" s="931">
        <f t="shared" si="72"/>
        <v>1.1739130434782608E-2</v>
      </c>
      <c r="H61" s="931">
        <f t="shared" si="73"/>
        <v>8.608695652173913E-2</v>
      </c>
      <c r="I61" s="947">
        <f>SUM(I62:I73)</f>
        <v>0</v>
      </c>
      <c r="J61" s="959">
        <f t="shared" ref="J61:AT61" si="74">SUM(J62:J73)</f>
        <v>0</v>
      </c>
      <c r="K61" s="947">
        <f t="shared" si="74"/>
        <v>300000</v>
      </c>
      <c r="L61" s="947">
        <f t="shared" si="74"/>
        <v>0</v>
      </c>
      <c r="M61" s="947">
        <f t="shared" si="74"/>
        <v>200000</v>
      </c>
      <c r="N61" s="163">
        <f t="shared" si="74"/>
        <v>0</v>
      </c>
      <c r="O61" s="947">
        <f t="shared" si="74"/>
        <v>400000</v>
      </c>
      <c r="P61" s="163">
        <f t="shared" si="74"/>
        <v>450000</v>
      </c>
      <c r="Q61" s="947">
        <f t="shared" si="74"/>
        <v>1316666.6666666665</v>
      </c>
      <c r="R61" s="163">
        <f t="shared" si="74"/>
        <v>450000</v>
      </c>
      <c r="S61" s="947">
        <f t="shared" si="74"/>
        <v>1829166.6666666665</v>
      </c>
      <c r="T61" s="163">
        <f t="shared" si="74"/>
        <v>450000</v>
      </c>
      <c r="U61" s="947">
        <f t="shared" si="74"/>
        <v>1941666.6666666665</v>
      </c>
      <c r="V61" s="163">
        <f t="shared" si="74"/>
        <v>0</v>
      </c>
      <c r="W61" s="947">
        <f t="shared" si="74"/>
        <v>1025000</v>
      </c>
      <c r="X61" s="947">
        <f t="shared" si="74"/>
        <v>0</v>
      </c>
      <c r="Y61" s="947">
        <f t="shared" si="74"/>
        <v>1025000</v>
      </c>
      <c r="Z61" s="947">
        <f t="shared" si="74"/>
        <v>0</v>
      </c>
      <c r="AA61" s="947">
        <f t="shared" si="74"/>
        <v>512500</v>
      </c>
      <c r="AB61" s="947">
        <f t="shared" si="74"/>
        <v>0</v>
      </c>
      <c r="AC61" s="947">
        <f t="shared" si="74"/>
        <v>0</v>
      </c>
      <c r="AD61" s="947">
        <f t="shared" si="74"/>
        <v>0</v>
      </c>
      <c r="AE61" s="947">
        <f t="shared" si="74"/>
        <v>0</v>
      </c>
      <c r="AF61" s="947">
        <f t="shared" si="74"/>
        <v>0</v>
      </c>
      <c r="AG61" s="947">
        <f t="shared" si="74"/>
        <v>300000</v>
      </c>
      <c r="AH61" s="947">
        <f t="shared" si="74"/>
        <v>0</v>
      </c>
      <c r="AI61" s="947">
        <f t="shared" si="74"/>
        <v>600000</v>
      </c>
      <c r="AJ61" s="947">
        <f t="shared" si="74"/>
        <v>450000</v>
      </c>
      <c r="AK61" s="947">
        <f t="shared" si="74"/>
        <v>4683333.333333333</v>
      </c>
      <c r="AL61" s="947">
        <f t="shared" si="74"/>
        <v>900000</v>
      </c>
      <c r="AM61" s="947">
        <f t="shared" si="74"/>
        <v>2966666.6666666665</v>
      </c>
      <c r="AN61" s="947">
        <f t="shared" si="74"/>
        <v>0</v>
      </c>
      <c r="AO61" s="947">
        <f t="shared" si="74"/>
        <v>0</v>
      </c>
      <c r="AP61" s="947">
        <f t="shared" si="74"/>
        <v>0</v>
      </c>
      <c r="AQ61" s="947">
        <f t="shared" si="74"/>
        <v>0</v>
      </c>
      <c r="AR61" s="947">
        <f t="shared" si="74"/>
        <v>0</v>
      </c>
      <c r="AS61" s="947">
        <f t="shared" si="74"/>
        <v>8550000</v>
      </c>
      <c r="AT61" s="947">
        <f t="shared" si="74"/>
        <v>1350000</v>
      </c>
      <c r="AU61" s="947">
        <f>SUM(AU62:AU73)</f>
        <v>9900000</v>
      </c>
    </row>
    <row r="62" spans="1:52" x14ac:dyDescent="0.2">
      <c r="B62" s="996" t="s">
        <v>229</v>
      </c>
      <c r="C62" s="932">
        <f>C63+C64</f>
        <v>2750000</v>
      </c>
      <c r="D62" s="980">
        <f>D63+D64</f>
        <v>0</v>
      </c>
      <c r="E62" s="940">
        <f>SUM(C62:D62)</f>
        <v>2750000</v>
      </c>
      <c r="F62" s="972">
        <f t="shared" si="71"/>
        <v>2.391304347826087E-2</v>
      </c>
      <c r="G62" s="974">
        <f t="shared" si="72"/>
        <v>0</v>
      </c>
      <c r="H62" s="974">
        <f t="shared" si="73"/>
        <v>2.391304347826087E-2</v>
      </c>
      <c r="I62" s="17"/>
      <c r="J62" s="17"/>
      <c r="K62" s="17"/>
      <c r="L62" s="17"/>
      <c r="M62" s="17"/>
      <c r="N62" s="33"/>
      <c r="O62" s="17"/>
      <c r="P62" s="33"/>
      <c r="Q62" s="17">
        <f>C62/3</f>
        <v>916666.66666666663</v>
      </c>
      <c r="R62" s="33"/>
      <c r="S62" s="17">
        <f>C62/3</f>
        <v>916666.66666666663</v>
      </c>
      <c r="T62" s="33"/>
      <c r="U62" s="17">
        <f>C62/3</f>
        <v>916666.66666666663</v>
      </c>
      <c r="V62" s="33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946">
        <f>I62+K62</f>
        <v>0</v>
      </c>
      <c r="AH62" s="946">
        <f>J62+L62</f>
        <v>0</v>
      </c>
      <c r="AI62" s="19">
        <f>M62+O62</f>
        <v>0</v>
      </c>
      <c r="AJ62" s="19">
        <f>N62+P62</f>
        <v>0</v>
      </c>
      <c r="AK62" s="19">
        <f>Q62+S62</f>
        <v>1833333.3333333333</v>
      </c>
      <c r="AL62" s="19">
        <f>R62+T62</f>
        <v>0</v>
      </c>
      <c r="AM62" s="19">
        <f>U62+W62</f>
        <v>916666.66666666663</v>
      </c>
      <c r="AN62" s="19">
        <f>V62+X62</f>
        <v>0</v>
      </c>
      <c r="AO62" s="19">
        <f>Y62+AA62</f>
        <v>0</v>
      </c>
      <c r="AP62" s="19">
        <f>Z62+AB62</f>
        <v>0</v>
      </c>
      <c r="AQ62" s="19">
        <f>AC62+AE62</f>
        <v>0</v>
      </c>
      <c r="AR62" s="19">
        <f>AD62+AF62</f>
        <v>0</v>
      </c>
      <c r="AS62" s="19">
        <f>AG62+AI62+AK62+AM62+AO62+AQ62</f>
        <v>2750000</v>
      </c>
      <c r="AT62" s="19">
        <f>AH62+AJ62+AL62+AN62+AP62+AR62</f>
        <v>0</v>
      </c>
      <c r="AU62" s="19">
        <f>AT62+AS62</f>
        <v>2750000</v>
      </c>
    </row>
    <row r="63" spans="1:52" x14ac:dyDescent="0.2">
      <c r="B63" s="997" t="s">
        <v>220</v>
      </c>
      <c r="C63" s="487">
        <v>2300000</v>
      </c>
      <c r="D63" s="975">
        <v>0</v>
      </c>
      <c r="E63" s="941">
        <f t="shared" ref="E63:E73" si="75">SUM(C63:D63)</f>
        <v>2300000</v>
      </c>
      <c r="F63" s="972">
        <f t="shared" si="71"/>
        <v>0.02</v>
      </c>
      <c r="G63" s="974">
        <f t="shared" si="72"/>
        <v>0</v>
      </c>
      <c r="H63" s="974">
        <f t="shared" si="73"/>
        <v>0.02</v>
      </c>
      <c r="I63" s="17"/>
      <c r="J63" s="17"/>
      <c r="K63" s="17"/>
      <c r="L63" s="17"/>
      <c r="M63" s="17"/>
      <c r="N63" s="33"/>
      <c r="O63" s="17"/>
      <c r="P63" s="33"/>
      <c r="Q63" s="17"/>
      <c r="R63" s="33"/>
      <c r="S63" s="17"/>
      <c r="T63" s="33"/>
      <c r="U63" s="17"/>
      <c r="V63" s="33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946">
        <f t="shared" ref="AG63:AG73" si="76">I63+K63</f>
        <v>0</v>
      </c>
      <c r="AH63" s="946">
        <f t="shared" ref="AH63:AH73" si="77">J63+L63</f>
        <v>0</v>
      </c>
      <c r="AI63" s="19">
        <f t="shared" ref="AI63:AI73" si="78">M63+O63</f>
        <v>0</v>
      </c>
      <c r="AJ63" s="19">
        <f t="shared" ref="AJ63:AJ73" si="79">N63+P63</f>
        <v>0</v>
      </c>
      <c r="AK63" s="19">
        <f t="shared" ref="AK63:AK73" si="80">Q63+S63</f>
        <v>0</v>
      </c>
      <c r="AL63" s="19">
        <f t="shared" ref="AL63:AL73" si="81">R63+T63</f>
        <v>0</v>
      </c>
      <c r="AM63" s="19">
        <f t="shared" ref="AM63:AM73" si="82">U63+W63</f>
        <v>0</v>
      </c>
      <c r="AN63" s="19">
        <f t="shared" ref="AN63:AN73" si="83">V63+X63</f>
        <v>0</v>
      </c>
      <c r="AO63" s="19">
        <f t="shared" ref="AO63:AO73" si="84">Y63+AA63</f>
        <v>0</v>
      </c>
      <c r="AP63" s="19">
        <f t="shared" ref="AP63:AP73" si="85">Z63+AB63</f>
        <v>0</v>
      </c>
      <c r="AQ63" s="19">
        <f t="shared" ref="AQ63:AQ73" si="86">AC63+AE63</f>
        <v>0</v>
      </c>
      <c r="AR63" s="19">
        <f t="shared" ref="AR63:AR73" si="87">AD63+AF63</f>
        <v>0</v>
      </c>
      <c r="AS63" s="19">
        <f t="shared" ref="AS63:AS73" si="88">AG63+AI63+AK63+AM63+AO63+AQ63</f>
        <v>0</v>
      </c>
      <c r="AT63" s="19">
        <f t="shared" ref="AT63:AT73" si="89">AH63+AJ63+AL63+AN63+AP63+AR63</f>
        <v>0</v>
      </c>
      <c r="AU63" s="19">
        <f t="shared" ref="AU63:AU73" si="90">AT63+AS63</f>
        <v>0</v>
      </c>
    </row>
    <row r="64" spans="1:52" x14ac:dyDescent="0.2">
      <c r="B64" s="997" t="s">
        <v>221</v>
      </c>
      <c r="C64" s="487">
        <v>450000</v>
      </c>
      <c r="D64" s="975">
        <v>0</v>
      </c>
      <c r="E64" s="941">
        <f t="shared" si="75"/>
        <v>450000</v>
      </c>
      <c r="F64" s="972">
        <f t="shared" si="71"/>
        <v>3.9130434782608699E-3</v>
      </c>
      <c r="G64" s="974">
        <f t="shared" si="72"/>
        <v>0</v>
      </c>
      <c r="H64" s="974">
        <f t="shared" si="73"/>
        <v>3.9130434782608699E-3</v>
      </c>
      <c r="I64" s="17"/>
      <c r="J64" s="17"/>
      <c r="K64" s="17"/>
      <c r="L64" s="17"/>
      <c r="M64" s="17"/>
      <c r="N64" s="33"/>
      <c r="O64" s="17"/>
      <c r="P64" s="33"/>
      <c r="Q64" s="17"/>
      <c r="R64" s="33"/>
      <c r="S64" s="17"/>
      <c r="T64" s="33"/>
      <c r="U64" s="17"/>
      <c r="V64" s="33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946">
        <f t="shared" si="76"/>
        <v>0</v>
      </c>
      <c r="AH64" s="946">
        <f t="shared" si="77"/>
        <v>0</v>
      </c>
      <c r="AI64" s="19">
        <f t="shared" si="78"/>
        <v>0</v>
      </c>
      <c r="AJ64" s="19">
        <f t="shared" si="79"/>
        <v>0</v>
      </c>
      <c r="AK64" s="19">
        <f t="shared" si="80"/>
        <v>0</v>
      </c>
      <c r="AL64" s="19">
        <f t="shared" si="81"/>
        <v>0</v>
      </c>
      <c r="AM64" s="19">
        <f t="shared" si="82"/>
        <v>0</v>
      </c>
      <c r="AN64" s="19">
        <f t="shared" si="83"/>
        <v>0</v>
      </c>
      <c r="AO64" s="19">
        <f t="shared" si="84"/>
        <v>0</v>
      </c>
      <c r="AP64" s="19">
        <f t="shared" si="85"/>
        <v>0</v>
      </c>
      <c r="AQ64" s="19">
        <f t="shared" si="86"/>
        <v>0</v>
      </c>
      <c r="AR64" s="19">
        <f t="shared" si="87"/>
        <v>0</v>
      </c>
      <c r="AS64" s="19">
        <f t="shared" si="88"/>
        <v>0</v>
      </c>
      <c r="AT64" s="19">
        <f t="shared" si="89"/>
        <v>0</v>
      </c>
      <c r="AU64" s="19">
        <f t="shared" si="90"/>
        <v>0</v>
      </c>
    </row>
    <row r="65" spans="2:47" x14ac:dyDescent="0.2">
      <c r="B65" s="996" t="s">
        <v>228</v>
      </c>
      <c r="C65" s="932">
        <f>+C67+C66</f>
        <v>1700000</v>
      </c>
      <c r="D65" s="994">
        <f>+D67+D66</f>
        <v>1350000</v>
      </c>
      <c r="E65" s="940">
        <f t="shared" si="75"/>
        <v>3050000</v>
      </c>
      <c r="F65" s="972">
        <f t="shared" si="71"/>
        <v>1.4782608695652174E-2</v>
      </c>
      <c r="G65" s="974">
        <f t="shared" si="72"/>
        <v>1.1739130434782608E-2</v>
      </c>
      <c r="H65" s="974">
        <f t="shared" si="73"/>
        <v>2.6521739130434784E-2</v>
      </c>
      <c r="I65" s="17"/>
      <c r="J65" s="17"/>
      <c r="K65" s="17">
        <v>300000</v>
      </c>
      <c r="L65" s="17"/>
      <c r="M65" s="17">
        <v>200000</v>
      </c>
      <c r="N65" s="33"/>
      <c r="O65" s="17">
        <v>400000</v>
      </c>
      <c r="P65" s="33">
        <f>D65/3</f>
        <v>450000</v>
      </c>
      <c r="Q65" s="17">
        <v>400000</v>
      </c>
      <c r="R65" s="33">
        <f>D65/3</f>
        <v>450000</v>
      </c>
      <c r="S65" s="17">
        <v>400000</v>
      </c>
      <c r="T65" s="33">
        <f>D65/3</f>
        <v>450000</v>
      </c>
      <c r="U65" s="17"/>
      <c r="V65" s="33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946">
        <f t="shared" si="76"/>
        <v>300000</v>
      </c>
      <c r="AH65" s="946">
        <f t="shared" si="77"/>
        <v>0</v>
      </c>
      <c r="AI65" s="19">
        <f t="shared" si="78"/>
        <v>600000</v>
      </c>
      <c r="AJ65" s="19">
        <f t="shared" si="79"/>
        <v>450000</v>
      </c>
      <c r="AK65" s="19">
        <f t="shared" si="80"/>
        <v>800000</v>
      </c>
      <c r="AL65" s="19">
        <f t="shared" si="81"/>
        <v>900000</v>
      </c>
      <c r="AM65" s="19">
        <f t="shared" si="82"/>
        <v>0</v>
      </c>
      <c r="AN65" s="19">
        <f t="shared" si="83"/>
        <v>0</v>
      </c>
      <c r="AO65" s="19">
        <f t="shared" si="84"/>
        <v>0</v>
      </c>
      <c r="AP65" s="19">
        <f t="shared" si="85"/>
        <v>0</v>
      </c>
      <c r="AQ65" s="19">
        <f t="shared" si="86"/>
        <v>0</v>
      </c>
      <c r="AR65" s="19">
        <f t="shared" si="87"/>
        <v>0</v>
      </c>
      <c r="AS65" s="19">
        <f t="shared" si="88"/>
        <v>1700000</v>
      </c>
      <c r="AT65" s="19">
        <f t="shared" si="89"/>
        <v>1350000</v>
      </c>
      <c r="AU65" s="19">
        <f t="shared" si="90"/>
        <v>3050000</v>
      </c>
    </row>
    <row r="66" spans="2:47" x14ac:dyDescent="0.2">
      <c r="B66" s="997" t="s">
        <v>216</v>
      </c>
      <c r="C66" s="487">
        <v>1600000</v>
      </c>
      <c r="D66" s="993">
        <v>1350000</v>
      </c>
      <c r="E66" s="941">
        <f t="shared" si="75"/>
        <v>2950000</v>
      </c>
      <c r="F66" s="972">
        <f t="shared" si="71"/>
        <v>1.391304347826087E-2</v>
      </c>
      <c r="G66" s="974">
        <f t="shared" si="72"/>
        <v>1.1739130434782608E-2</v>
      </c>
      <c r="H66" s="974">
        <f t="shared" si="73"/>
        <v>2.5652173913043478E-2</v>
      </c>
      <c r="I66" s="17"/>
      <c r="J66" s="17"/>
      <c r="K66" s="17"/>
      <c r="L66" s="17"/>
      <c r="M66" s="17"/>
      <c r="N66" s="33"/>
      <c r="O66" s="17"/>
      <c r="P66" s="33"/>
      <c r="Q66" s="17"/>
      <c r="R66" s="33"/>
      <c r="S66" s="17"/>
      <c r="T66" s="33"/>
      <c r="U66" s="17"/>
      <c r="V66" s="33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946">
        <f t="shared" si="76"/>
        <v>0</v>
      </c>
      <c r="AH66" s="946">
        <f t="shared" si="77"/>
        <v>0</v>
      </c>
      <c r="AI66" s="19">
        <f t="shared" si="78"/>
        <v>0</v>
      </c>
      <c r="AJ66" s="19">
        <f t="shared" si="79"/>
        <v>0</v>
      </c>
      <c r="AK66" s="19">
        <f t="shared" si="80"/>
        <v>0</v>
      </c>
      <c r="AL66" s="19">
        <f t="shared" si="81"/>
        <v>0</v>
      </c>
      <c r="AM66" s="19">
        <f t="shared" si="82"/>
        <v>0</v>
      </c>
      <c r="AN66" s="19">
        <f t="shared" si="83"/>
        <v>0</v>
      </c>
      <c r="AO66" s="19">
        <f t="shared" si="84"/>
        <v>0</v>
      </c>
      <c r="AP66" s="19">
        <f t="shared" si="85"/>
        <v>0</v>
      </c>
      <c r="AQ66" s="19">
        <f t="shared" si="86"/>
        <v>0</v>
      </c>
      <c r="AR66" s="19">
        <f t="shared" si="87"/>
        <v>0</v>
      </c>
      <c r="AS66" s="19">
        <f t="shared" si="88"/>
        <v>0</v>
      </c>
      <c r="AT66" s="19">
        <f t="shared" si="89"/>
        <v>0</v>
      </c>
      <c r="AU66" s="19">
        <f t="shared" si="90"/>
        <v>0</v>
      </c>
    </row>
    <row r="67" spans="2:47" x14ac:dyDescent="0.2">
      <c r="B67" s="997" t="s">
        <v>217</v>
      </c>
      <c r="C67" s="487">
        <v>100000</v>
      </c>
      <c r="D67" s="975">
        <v>0</v>
      </c>
      <c r="E67" s="941">
        <f t="shared" si="75"/>
        <v>100000</v>
      </c>
      <c r="F67" s="972">
        <f t="shared" si="71"/>
        <v>8.6956521739130438E-4</v>
      </c>
      <c r="G67" s="974">
        <f t="shared" si="72"/>
        <v>0</v>
      </c>
      <c r="H67" s="974">
        <f t="shared" si="73"/>
        <v>8.6956521739130438E-4</v>
      </c>
      <c r="I67" s="17"/>
      <c r="J67" s="17"/>
      <c r="K67" s="17"/>
      <c r="L67" s="17"/>
      <c r="M67" s="17"/>
      <c r="N67" s="33"/>
      <c r="O67" s="17"/>
      <c r="P67" s="33"/>
      <c r="Q67" s="17"/>
      <c r="R67" s="33"/>
      <c r="S67" s="17"/>
      <c r="T67" s="33"/>
      <c r="U67" s="17"/>
      <c r="V67" s="33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946">
        <f t="shared" si="76"/>
        <v>0</v>
      </c>
      <c r="AH67" s="946">
        <f t="shared" si="77"/>
        <v>0</v>
      </c>
      <c r="AI67" s="19">
        <f t="shared" si="78"/>
        <v>0</v>
      </c>
      <c r="AJ67" s="19">
        <f t="shared" si="79"/>
        <v>0</v>
      </c>
      <c r="AK67" s="19">
        <f t="shared" si="80"/>
        <v>0</v>
      </c>
      <c r="AL67" s="19">
        <f t="shared" si="81"/>
        <v>0</v>
      </c>
      <c r="AM67" s="19">
        <f t="shared" si="82"/>
        <v>0</v>
      </c>
      <c r="AN67" s="19">
        <f t="shared" si="83"/>
        <v>0</v>
      </c>
      <c r="AO67" s="19">
        <f t="shared" si="84"/>
        <v>0</v>
      </c>
      <c r="AP67" s="19">
        <f t="shared" si="85"/>
        <v>0</v>
      </c>
      <c r="AQ67" s="19">
        <f t="shared" si="86"/>
        <v>0</v>
      </c>
      <c r="AR67" s="19">
        <f t="shared" si="87"/>
        <v>0</v>
      </c>
      <c r="AS67" s="19">
        <f t="shared" si="88"/>
        <v>0</v>
      </c>
      <c r="AT67" s="19">
        <f t="shared" si="89"/>
        <v>0</v>
      </c>
      <c r="AU67" s="19">
        <f t="shared" si="90"/>
        <v>0</v>
      </c>
    </row>
    <row r="68" spans="2:47" x14ac:dyDescent="0.2">
      <c r="B68" s="998" t="s">
        <v>226</v>
      </c>
      <c r="C68" s="932">
        <f>+C69+C70</f>
        <v>2050000</v>
      </c>
      <c r="D68" s="980">
        <f>+D69+D70</f>
        <v>0</v>
      </c>
      <c r="E68" s="940">
        <f t="shared" si="75"/>
        <v>2050000</v>
      </c>
      <c r="F68" s="972">
        <f t="shared" si="71"/>
        <v>1.7826086956521738E-2</v>
      </c>
      <c r="G68" s="974">
        <f t="shared" si="72"/>
        <v>0</v>
      </c>
      <c r="H68" s="974">
        <f t="shared" si="73"/>
        <v>1.7826086956521738E-2</v>
      </c>
      <c r="I68" s="17"/>
      <c r="J68" s="17"/>
      <c r="K68" s="17"/>
      <c r="L68" s="17"/>
      <c r="M68" s="17"/>
      <c r="N68" s="33"/>
      <c r="O68" s="17"/>
      <c r="P68" s="33"/>
      <c r="R68" s="33"/>
      <c r="T68" s="33"/>
      <c r="U68" s="17">
        <f>$C$68/4</f>
        <v>512500</v>
      </c>
      <c r="V68" s="33"/>
      <c r="W68" s="17">
        <f>$C$68/4</f>
        <v>512500</v>
      </c>
      <c r="X68" s="17"/>
      <c r="Y68" s="17">
        <f>$C$68/4</f>
        <v>512500</v>
      </c>
      <c r="Z68" s="17"/>
      <c r="AA68" s="17">
        <f>$C$68/4</f>
        <v>512500</v>
      </c>
      <c r="AB68" s="17"/>
      <c r="AC68" s="17"/>
      <c r="AD68" s="17"/>
      <c r="AE68" s="17"/>
      <c r="AF68" s="17"/>
      <c r="AG68" s="946">
        <f t="shared" si="76"/>
        <v>0</v>
      </c>
      <c r="AH68" s="946">
        <f t="shared" si="77"/>
        <v>0</v>
      </c>
      <c r="AI68" s="19">
        <f t="shared" si="78"/>
        <v>0</v>
      </c>
      <c r="AJ68" s="19">
        <f t="shared" si="79"/>
        <v>0</v>
      </c>
      <c r="AK68" s="19">
        <f>Y68+AA68</f>
        <v>1025000</v>
      </c>
      <c r="AL68" s="19">
        <f t="shared" si="81"/>
        <v>0</v>
      </c>
      <c r="AM68" s="19">
        <f t="shared" si="82"/>
        <v>1025000</v>
      </c>
      <c r="AN68" s="19">
        <f t="shared" si="83"/>
        <v>0</v>
      </c>
      <c r="AO68" s="19">
        <v>0</v>
      </c>
      <c r="AP68" s="19">
        <f t="shared" si="85"/>
        <v>0</v>
      </c>
      <c r="AQ68" s="19">
        <f t="shared" si="86"/>
        <v>0</v>
      </c>
      <c r="AR68" s="19">
        <f t="shared" si="87"/>
        <v>0</v>
      </c>
      <c r="AS68" s="19">
        <f t="shared" si="88"/>
        <v>2050000</v>
      </c>
      <c r="AT68" s="19">
        <f t="shared" si="89"/>
        <v>0</v>
      </c>
      <c r="AU68" s="19">
        <f t="shared" si="90"/>
        <v>2050000</v>
      </c>
    </row>
    <row r="69" spans="2:47" x14ac:dyDescent="0.2">
      <c r="B69" s="999" t="s">
        <v>222</v>
      </c>
      <c r="C69" s="487">
        <v>1600000</v>
      </c>
      <c r="D69" s="975">
        <v>0</v>
      </c>
      <c r="E69" s="941">
        <f t="shared" si="75"/>
        <v>1600000</v>
      </c>
      <c r="F69" s="972">
        <f t="shared" si="71"/>
        <v>1.391304347826087E-2</v>
      </c>
      <c r="G69" s="974">
        <f t="shared" si="72"/>
        <v>0</v>
      </c>
      <c r="H69" s="974">
        <f t="shared" si="73"/>
        <v>1.391304347826087E-2</v>
      </c>
      <c r="I69" s="17"/>
      <c r="J69" s="17"/>
      <c r="K69" s="17"/>
      <c r="L69" s="17"/>
      <c r="M69" s="17"/>
      <c r="N69" s="33"/>
      <c r="O69" s="17"/>
      <c r="P69" s="33"/>
      <c r="Q69" s="17"/>
      <c r="R69" s="33"/>
      <c r="S69" s="17"/>
      <c r="T69" s="33"/>
      <c r="U69" s="17"/>
      <c r="V69" s="33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946">
        <f t="shared" si="76"/>
        <v>0</v>
      </c>
      <c r="AH69" s="946">
        <f t="shared" si="77"/>
        <v>0</v>
      </c>
      <c r="AI69" s="19">
        <f t="shared" si="78"/>
        <v>0</v>
      </c>
      <c r="AJ69" s="19">
        <f t="shared" si="79"/>
        <v>0</v>
      </c>
      <c r="AK69" s="19">
        <f t="shared" si="80"/>
        <v>0</v>
      </c>
      <c r="AL69" s="19">
        <f t="shared" si="81"/>
        <v>0</v>
      </c>
      <c r="AM69" s="19">
        <f t="shared" si="82"/>
        <v>0</v>
      </c>
      <c r="AN69" s="19">
        <f t="shared" si="83"/>
        <v>0</v>
      </c>
      <c r="AO69" s="19">
        <f t="shared" si="84"/>
        <v>0</v>
      </c>
      <c r="AP69" s="19">
        <f t="shared" si="85"/>
        <v>0</v>
      </c>
      <c r="AQ69" s="19">
        <f t="shared" si="86"/>
        <v>0</v>
      </c>
      <c r="AR69" s="19">
        <f t="shared" si="87"/>
        <v>0</v>
      </c>
      <c r="AS69" s="19">
        <f t="shared" si="88"/>
        <v>0</v>
      </c>
      <c r="AT69" s="19">
        <f t="shared" si="89"/>
        <v>0</v>
      </c>
      <c r="AU69" s="19">
        <f t="shared" si="90"/>
        <v>0</v>
      </c>
    </row>
    <row r="70" spans="2:47" x14ac:dyDescent="0.2">
      <c r="B70" s="999" t="s">
        <v>223</v>
      </c>
      <c r="C70" s="487">
        <v>450000</v>
      </c>
      <c r="D70" s="975">
        <v>0</v>
      </c>
      <c r="E70" s="941">
        <f t="shared" si="75"/>
        <v>450000</v>
      </c>
      <c r="F70" s="972">
        <f t="shared" si="71"/>
        <v>3.9130434782608699E-3</v>
      </c>
      <c r="G70" s="974">
        <f t="shared" si="72"/>
        <v>0</v>
      </c>
      <c r="H70" s="974">
        <f t="shared" si="73"/>
        <v>3.9130434782608699E-3</v>
      </c>
      <c r="I70" s="17"/>
      <c r="J70" s="17"/>
      <c r="K70" s="17"/>
      <c r="L70" s="17"/>
      <c r="M70" s="17"/>
      <c r="N70" s="33"/>
      <c r="O70" s="17"/>
      <c r="P70" s="33"/>
      <c r="Q70" s="17"/>
      <c r="R70" s="33"/>
      <c r="S70" s="17"/>
      <c r="T70" s="33"/>
      <c r="U70" s="17"/>
      <c r="V70" s="33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946">
        <f t="shared" si="76"/>
        <v>0</v>
      </c>
      <c r="AH70" s="946">
        <f t="shared" si="77"/>
        <v>0</v>
      </c>
      <c r="AI70" s="19">
        <f t="shared" si="78"/>
        <v>0</v>
      </c>
      <c r="AJ70" s="19">
        <f t="shared" si="79"/>
        <v>0</v>
      </c>
      <c r="AK70" s="19">
        <f t="shared" si="80"/>
        <v>0</v>
      </c>
      <c r="AL70" s="19">
        <f t="shared" si="81"/>
        <v>0</v>
      </c>
      <c r="AM70" s="19">
        <f t="shared" si="82"/>
        <v>0</v>
      </c>
      <c r="AN70" s="19">
        <f t="shared" si="83"/>
        <v>0</v>
      </c>
      <c r="AO70" s="19">
        <f t="shared" si="84"/>
        <v>0</v>
      </c>
      <c r="AP70" s="19">
        <f t="shared" si="85"/>
        <v>0</v>
      </c>
      <c r="AQ70" s="19">
        <f t="shared" si="86"/>
        <v>0</v>
      </c>
      <c r="AR70" s="19">
        <f t="shared" si="87"/>
        <v>0</v>
      </c>
      <c r="AS70" s="19">
        <f t="shared" si="88"/>
        <v>0</v>
      </c>
      <c r="AT70" s="19">
        <f t="shared" si="89"/>
        <v>0</v>
      </c>
      <c r="AU70" s="19">
        <f t="shared" si="90"/>
        <v>0</v>
      </c>
    </row>
    <row r="71" spans="2:47" x14ac:dyDescent="0.2">
      <c r="B71" s="998" t="s">
        <v>227</v>
      </c>
      <c r="C71" s="932">
        <f>+C72+C73</f>
        <v>2050000</v>
      </c>
      <c r="D71" s="980">
        <f>+D72+D73</f>
        <v>0</v>
      </c>
      <c r="E71" s="940">
        <f t="shared" si="75"/>
        <v>2050000</v>
      </c>
      <c r="F71" s="972">
        <f t="shared" si="71"/>
        <v>1.7826086956521738E-2</v>
      </c>
      <c r="G71" s="974">
        <f t="shared" si="72"/>
        <v>0</v>
      </c>
      <c r="H71" s="974">
        <f t="shared" si="73"/>
        <v>1.7826086956521738E-2</v>
      </c>
      <c r="I71" s="17"/>
      <c r="J71" s="17"/>
      <c r="K71" s="17"/>
      <c r="L71" s="17"/>
      <c r="M71" s="17"/>
      <c r="N71" s="33"/>
      <c r="O71" s="17"/>
      <c r="P71" s="33"/>
      <c r="R71" s="33"/>
      <c r="S71" s="17">
        <f>$C$71/4</f>
        <v>512500</v>
      </c>
      <c r="T71" s="33"/>
      <c r="U71" s="17">
        <f>$C$71/4</f>
        <v>512500</v>
      </c>
      <c r="V71" s="33"/>
      <c r="W71" s="17">
        <f>$C$71/4</f>
        <v>512500</v>
      </c>
      <c r="X71" s="17"/>
      <c r="Y71" s="17">
        <f>$C$71/4</f>
        <v>512500</v>
      </c>
      <c r="Z71" s="17"/>
      <c r="AA71" s="17"/>
      <c r="AB71" s="17"/>
      <c r="AC71" s="17"/>
      <c r="AD71" s="17"/>
      <c r="AE71" s="17"/>
      <c r="AF71" s="17"/>
      <c r="AG71" s="946">
        <f t="shared" si="76"/>
        <v>0</v>
      </c>
      <c r="AH71" s="946">
        <f t="shared" si="77"/>
        <v>0</v>
      </c>
      <c r="AI71" s="19">
        <f t="shared" si="78"/>
        <v>0</v>
      </c>
      <c r="AJ71" s="19">
        <f t="shared" si="79"/>
        <v>0</v>
      </c>
      <c r="AK71" s="19">
        <f>Y71+S71</f>
        <v>1025000</v>
      </c>
      <c r="AL71" s="19">
        <f t="shared" si="81"/>
        <v>0</v>
      </c>
      <c r="AM71" s="19">
        <f t="shared" si="82"/>
        <v>1025000</v>
      </c>
      <c r="AN71" s="19">
        <f t="shared" si="83"/>
        <v>0</v>
      </c>
      <c r="AO71" s="19">
        <v>0</v>
      </c>
      <c r="AP71" s="19">
        <f t="shared" si="85"/>
        <v>0</v>
      </c>
      <c r="AQ71" s="19">
        <f t="shared" si="86"/>
        <v>0</v>
      </c>
      <c r="AR71" s="19">
        <f t="shared" si="87"/>
        <v>0</v>
      </c>
      <c r="AS71" s="19">
        <f t="shared" si="88"/>
        <v>2050000</v>
      </c>
      <c r="AT71" s="19">
        <f t="shared" si="89"/>
        <v>0</v>
      </c>
      <c r="AU71" s="19">
        <f t="shared" si="90"/>
        <v>2050000</v>
      </c>
    </row>
    <row r="72" spans="2:47" x14ac:dyDescent="0.2">
      <c r="B72" s="999" t="s">
        <v>224</v>
      </c>
      <c r="C72" s="487">
        <v>1600000</v>
      </c>
      <c r="D72" s="975">
        <v>0</v>
      </c>
      <c r="E72" s="941">
        <f t="shared" si="75"/>
        <v>1600000</v>
      </c>
      <c r="F72" s="972">
        <f t="shared" si="71"/>
        <v>1.391304347826087E-2</v>
      </c>
      <c r="G72" s="974">
        <f t="shared" si="72"/>
        <v>0</v>
      </c>
      <c r="H72" s="974">
        <f t="shared" si="73"/>
        <v>1.391304347826087E-2</v>
      </c>
      <c r="I72" s="17"/>
      <c r="J72" s="17"/>
      <c r="K72" s="17"/>
      <c r="L72" s="17"/>
      <c r="M72" s="17"/>
      <c r="N72" s="33"/>
      <c r="O72" s="17"/>
      <c r="P72" s="33"/>
      <c r="Q72" s="17"/>
      <c r="R72" s="33"/>
      <c r="S72" s="17"/>
      <c r="T72" s="33"/>
      <c r="U72" s="17"/>
      <c r="V72" s="33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946">
        <f t="shared" si="76"/>
        <v>0</v>
      </c>
      <c r="AH72" s="946">
        <f t="shared" si="77"/>
        <v>0</v>
      </c>
      <c r="AI72" s="19">
        <f t="shared" si="78"/>
        <v>0</v>
      </c>
      <c r="AJ72" s="19">
        <f t="shared" si="79"/>
        <v>0</v>
      </c>
      <c r="AK72" s="19">
        <f t="shared" si="80"/>
        <v>0</v>
      </c>
      <c r="AL72" s="19">
        <f t="shared" si="81"/>
        <v>0</v>
      </c>
      <c r="AM72" s="19">
        <f t="shared" si="82"/>
        <v>0</v>
      </c>
      <c r="AN72" s="19">
        <f t="shared" si="83"/>
        <v>0</v>
      </c>
      <c r="AO72" s="19">
        <f t="shared" si="84"/>
        <v>0</v>
      </c>
      <c r="AP72" s="19">
        <f t="shared" si="85"/>
        <v>0</v>
      </c>
      <c r="AQ72" s="19">
        <f t="shared" si="86"/>
        <v>0</v>
      </c>
      <c r="AR72" s="19">
        <f t="shared" si="87"/>
        <v>0</v>
      </c>
      <c r="AS72" s="19">
        <f t="shared" si="88"/>
        <v>0</v>
      </c>
      <c r="AT72" s="19">
        <f t="shared" si="89"/>
        <v>0</v>
      </c>
      <c r="AU72" s="19">
        <f t="shared" si="90"/>
        <v>0</v>
      </c>
    </row>
    <row r="73" spans="2:47" x14ac:dyDescent="0.2">
      <c r="B73" s="999" t="s">
        <v>225</v>
      </c>
      <c r="C73" s="487">
        <v>450000</v>
      </c>
      <c r="D73" s="975">
        <v>0</v>
      </c>
      <c r="E73" s="941">
        <f t="shared" si="75"/>
        <v>450000</v>
      </c>
      <c r="F73" s="972">
        <f t="shared" si="71"/>
        <v>3.9130434782608699E-3</v>
      </c>
      <c r="G73" s="974">
        <f t="shared" si="72"/>
        <v>0</v>
      </c>
      <c r="H73" s="974">
        <f t="shared" si="73"/>
        <v>3.9130434782608699E-3</v>
      </c>
      <c r="I73" s="17"/>
      <c r="J73" s="17"/>
      <c r="K73" s="17"/>
      <c r="L73" s="17"/>
      <c r="M73" s="17"/>
      <c r="N73" s="33"/>
      <c r="O73" s="17"/>
      <c r="P73" s="33"/>
      <c r="Q73" s="17"/>
      <c r="R73" s="33"/>
      <c r="S73" s="17"/>
      <c r="T73" s="33"/>
      <c r="U73" s="17"/>
      <c r="V73" s="33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946">
        <f t="shared" si="76"/>
        <v>0</v>
      </c>
      <c r="AH73" s="946">
        <f t="shared" si="77"/>
        <v>0</v>
      </c>
      <c r="AI73" s="19">
        <f t="shared" si="78"/>
        <v>0</v>
      </c>
      <c r="AJ73" s="19">
        <f t="shared" si="79"/>
        <v>0</v>
      </c>
      <c r="AK73" s="19">
        <f t="shared" si="80"/>
        <v>0</v>
      </c>
      <c r="AL73" s="19">
        <f t="shared" si="81"/>
        <v>0</v>
      </c>
      <c r="AM73" s="19">
        <f t="shared" si="82"/>
        <v>0</v>
      </c>
      <c r="AN73" s="19">
        <f t="shared" si="83"/>
        <v>0</v>
      </c>
      <c r="AO73" s="19">
        <f t="shared" si="84"/>
        <v>0</v>
      </c>
      <c r="AP73" s="19">
        <f t="shared" si="85"/>
        <v>0</v>
      </c>
      <c r="AQ73" s="19">
        <f t="shared" si="86"/>
        <v>0</v>
      </c>
      <c r="AR73" s="19">
        <f t="shared" si="87"/>
        <v>0</v>
      </c>
      <c r="AS73" s="19">
        <f t="shared" si="88"/>
        <v>0</v>
      </c>
      <c r="AT73" s="19">
        <f t="shared" si="89"/>
        <v>0</v>
      </c>
      <c r="AU73" s="19">
        <f t="shared" si="90"/>
        <v>0</v>
      </c>
    </row>
    <row r="74" spans="2:47" s="6" customFormat="1" ht="15" customHeight="1" x14ac:dyDescent="0.2">
      <c r="B74" s="962" t="s">
        <v>44</v>
      </c>
      <c r="C74" s="963">
        <f>C75+C76+C77+C78</f>
        <v>3700000</v>
      </c>
      <c r="D74" s="963">
        <f>D75+D76+D77+D78</f>
        <v>4200000</v>
      </c>
      <c r="E74" s="995">
        <f>E75+E76+E77+E78</f>
        <v>7900000</v>
      </c>
      <c r="F74" s="931">
        <f t="shared" si="71"/>
        <v>3.2173913043478261E-2</v>
      </c>
      <c r="G74" s="931">
        <f t="shared" si="72"/>
        <v>3.6521739130434785E-2</v>
      </c>
      <c r="H74" s="931">
        <f t="shared" si="73"/>
        <v>6.8695652173913047E-2</v>
      </c>
      <c r="I74" s="950">
        <f>I75+I76+I77+I78</f>
        <v>0</v>
      </c>
      <c r="J74" s="950">
        <f t="shared" ref="J74:AU74" si="91">J75+J76+J77+J78</f>
        <v>0</v>
      </c>
      <c r="K74" s="950">
        <f t="shared" si="91"/>
        <v>0</v>
      </c>
      <c r="L74" s="950">
        <f t="shared" si="91"/>
        <v>0</v>
      </c>
      <c r="M74" s="950">
        <f t="shared" si="91"/>
        <v>0</v>
      </c>
      <c r="N74" s="1040">
        <f t="shared" si="91"/>
        <v>700000</v>
      </c>
      <c r="O74" s="950">
        <f t="shared" si="91"/>
        <v>700000</v>
      </c>
      <c r="P74" s="1040">
        <f t="shared" si="91"/>
        <v>935000</v>
      </c>
      <c r="Q74" s="950">
        <f t="shared" si="91"/>
        <v>1000000</v>
      </c>
      <c r="R74" s="1040">
        <f t="shared" si="91"/>
        <v>1200000</v>
      </c>
      <c r="S74" s="950">
        <f t="shared" si="91"/>
        <v>1000000</v>
      </c>
      <c r="T74" s="1040">
        <f t="shared" si="91"/>
        <v>1200000</v>
      </c>
      <c r="U74" s="950">
        <f t="shared" si="91"/>
        <v>1000000</v>
      </c>
      <c r="V74" s="1040">
        <f t="shared" si="91"/>
        <v>165000</v>
      </c>
      <c r="W74" s="950">
        <f t="shared" si="91"/>
        <v>0</v>
      </c>
      <c r="X74" s="950">
        <f t="shared" si="91"/>
        <v>0</v>
      </c>
      <c r="Y74" s="950">
        <f t="shared" si="91"/>
        <v>0</v>
      </c>
      <c r="Z74" s="950">
        <f t="shared" si="91"/>
        <v>0</v>
      </c>
      <c r="AA74" s="950">
        <f t="shared" si="91"/>
        <v>0</v>
      </c>
      <c r="AB74" s="950">
        <f t="shared" si="91"/>
        <v>0</v>
      </c>
      <c r="AC74" s="950">
        <f t="shared" si="91"/>
        <v>0</v>
      </c>
      <c r="AD74" s="950">
        <f t="shared" si="91"/>
        <v>0</v>
      </c>
      <c r="AE74" s="950">
        <f t="shared" si="91"/>
        <v>0</v>
      </c>
      <c r="AF74" s="950">
        <f t="shared" si="91"/>
        <v>0</v>
      </c>
      <c r="AG74" s="950">
        <f t="shared" si="91"/>
        <v>0</v>
      </c>
      <c r="AH74" s="950">
        <f t="shared" si="91"/>
        <v>0</v>
      </c>
      <c r="AI74" s="950">
        <f t="shared" si="91"/>
        <v>700000</v>
      </c>
      <c r="AJ74" s="950">
        <f t="shared" si="91"/>
        <v>1635000</v>
      </c>
      <c r="AK74" s="950">
        <f t="shared" si="91"/>
        <v>2000000</v>
      </c>
      <c r="AL74" s="950">
        <f t="shared" si="91"/>
        <v>2400000</v>
      </c>
      <c r="AM74" s="950">
        <f t="shared" si="91"/>
        <v>1000000</v>
      </c>
      <c r="AN74" s="950">
        <f t="shared" si="91"/>
        <v>165000</v>
      </c>
      <c r="AO74" s="950">
        <f t="shared" si="91"/>
        <v>0</v>
      </c>
      <c r="AP74" s="950">
        <f t="shared" si="91"/>
        <v>0</v>
      </c>
      <c r="AQ74" s="950">
        <f t="shared" si="91"/>
        <v>0</v>
      </c>
      <c r="AR74" s="950">
        <f t="shared" si="91"/>
        <v>0</v>
      </c>
      <c r="AS74" s="950">
        <f t="shared" si="91"/>
        <v>3700000</v>
      </c>
      <c r="AT74" s="950">
        <f t="shared" si="91"/>
        <v>4200000</v>
      </c>
      <c r="AU74" s="950">
        <f t="shared" si="91"/>
        <v>7900000</v>
      </c>
    </row>
    <row r="75" spans="2:47" s="6" customFormat="1" ht="15" customHeight="1" x14ac:dyDescent="0.2">
      <c r="B75" s="998" t="s">
        <v>214</v>
      </c>
      <c r="C75" s="978">
        <v>2500000</v>
      </c>
      <c r="D75" s="981">
        <v>2200000</v>
      </c>
      <c r="E75" s="1000">
        <f>SUM(C75:D75)</f>
        <v>4700000</v>
      </c>
      <c r="F75" s="972">
        <f t="shared" si="71"/>
        <v>2.1739130434782608E-2</v>
      </c>
      <c r="G75" s="974">
        <f t="shared" si="72"/>
        <v>1.9130434782608695E-2</v>
      </c>
      <c r="H75" s="974">
        <f t="shared" si="73"/>
        <v>4.0869565217391303E-2</v>
      </c>
      <c r="I75" s="17"/>
      <c r="J75" s="17"/>
      <c r="K75" s="17"/>
      <c r="L75" s="17"/>
      <c r="M75" s="946">
        <v>0</v>
      </c>
      <c r="N75" s="33">
        <v>200000</v>
      </c>
      <c r="O75" s="17"/>
      <c r="P75" s="33"/>
      <c r="Q75" s="17">
        <v>500000</v>
      </c>
      <c r="R75" s="33">
        <f>D75/2-100000</f>
        <v>1000000</v>
      </c>
      <c r="S75" s="17">
        <v>1000000</v>
      </c>
      <c r="T75" s="33">
        <f>D75/2-100000</f>
        <v>1000000</v>
      </c>
      <c r="U75" s="17">
        <v>1000000</v>
      </c>
      <c r="V75" s="33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>
        <f>I75+K75</f>
        <v>0</v>
      </c>
      <c r="AH75" s="17">
        <f>J75+L75</f>
        <v>0</v>
      </c>
      <c r="AI75" s="17">
        <f>M75+O75</f>
        <v>0</v>
      </c>
      <c r="AJ75" s="17">
        <f>N75+P75</f>
        <v>200000</v>
      </c>
      <c r="AK75" s="17">
        <f>Q75+S75</f>
        <v>1500000</v>
      </c>
      <c r="AL75" s="17">
        <f>R75+T75</f>
        <v>2000000</v>
      </c>
      <c r="AM75" s="17">
        <f>U75+W75</f>
        <v>1000000</v>
      </c>
      <c r="AN75" s="17">
        <f>V75+X75</f>
        <v>0</v>
      </c>
      <c r="AO75" s="17">
        <f>Y75+AA75</f>
        <v>0</v>
      </c>
      <c r="AP75" s="17">
        <f>Z75+AB75</f>
        <v>0</v>
      </c>
      <c r="AQ75" s="17">
        <f>AC75+AE75</f>
        <v>0</v>
      </c>
      <c r="AR75" s="17">
        <f>AD75+AF75</f>
        <v>0</v>
      </c>
      <c r="AS75" s="17">
        <f>AG75+AI75+AK75+AM75+AO75+AQ75</f>
        <v>2500000</v>
      </c>
      <c r="AT75" s="17">
        <f>AH75+AJ75+AL75+AN75+AP75+AR75</f>
        <v>2200000</v>
      </c>
      <c r="AU75" s="17">
        <f>AT75+AS75</f>
        <v>4700000</v>
      </c>
    </row>
    <row r="76" spans="2:47" s="6" customFormat="1" ht="15" customHeight="1" x14ac:dyDescent="0.2">
      <c r="B76" s="998" t="s">
        <v>207</v>
      </c>
      <c r="C76" s="978">
        <v>1000000</v>
      </c>
      <c r="D76" s="981">
        <v>1000000</v>
      </c>
      <c r="E76" s="1000">
        <f>SUM(C76:D76)</f>
        <v>2000000</v>
      </c>
      <c r="F76" s="972">
        <f t="shared" si="71"/>
        <v>8.6956521739130436E-3</v>
      </c>
      <c r="G76" s="974">
        <f t="shared" si="72"/>
        <v>8.6956521739130436E-3</v>
      </c>
      <c r="H76" s="974">
        <f t="shared" si="73"/>
        <v>1.7391304347826087E-2</v>
      </c>
      <c r="I76" s="17"/>
      <c r="J76" s="17"/>
      <c r="K76" s="17"/>
      <c r="L76" s="17"/>
      <c r="M76" s="17"/>
      <c r="N76" s="33">
        <v>500000</v>
      </c>
      <c r="O76" s="17">
        <v>500000</v>
      </c>
      <c r="P76" s="33">
        <v>500000</v>
      </c>
      <c r="Q76" s="17">
        <v>500000</v>
      </c>
      <c r="R76" s="33"/>
      <c r="S76" s="17"/>
      <c r="T76" s="33"/>
      <c r="U76" s="17"/>
      <c r="V76" s="33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>
        <f t="shared" ref="AG76:AG81" si="92">I76+K76</f>
        <v>0</v>
      </c>
      <c r="AH76" s="17">
        <f t="shared" ref="AH76:AH81" si="93">J76+L76</f>
        <v>0</v>
      </c>
      <c r="AI76" s="17">
        <f t="shared" ref="AI76:AI81" si="94">M76+O76</f>
        <v>500000</v>
      </c>
      <c r="AJ76" s="17">
        <f t="shared" ref="AJ76:AJ81" si="95">N76+P76</f>
        <v>1000000</v>
      </c>
      <c r="AK76" s="17">
        <f t="shared" ref="AK76:AK81" si="96">Q76+S76</f>
        <v>500000</v>
      </c>
      <c r="AL76" s="17">
        <f t="shared" ref="AL76:AL81" si="97">R76+T76</f>
        <v>0</v>
      </c>
      <c r="AM76" s="17">
        <f t="shared" ref="AM76:AM81" si="98">U76+W76</f>
        <v>0</v>
      </c>
      <c r="AN76" s="17">
        <f t="shared" ref="AN76:AN81" si="99">V76+X76</f>
        <v>0</v>
      </c>
      <c r="AO76" s="17">
        <f t="shared" ref="AO76:AO81" si="100">Y76+AA76</f>
        <v>0</v>
      </c>
      <c r="AP76" s="17">
        <f t="shared" ref="AP76:AP81" si="101">Z76+AB76</f>
        <v>0</v>
      </c>
      <c r="AQ76" s="17">
        <f t="shared" ref="AQ76:AQ81" si="102">AC76+AE76</f>
        <v>0</v>
      </c>
      <c r="AR76" s="17">
        <f t="shared" ref="AR76:AR81" si="103">AD76+AF76</f>
        <v>0</v>
      </c>
      <c r="AS76" s="17">
        <f t="shared" ref="AS76:AS81" si="104">AG76+AI76+AK76+AM76+AO76+AQ76</f>
        <v>1000000</v>
      </c>
      <c r="AT76" s="17">
        <f t="shared" ref="AT76:AT81" si="105">AH76+AJ76+AL76+AN76+AP76+AR76</f>
        <v>1000000</v>
      </c>
      <c r="AU76" s="17">
        <f t="shared" ref="AU76:AU81" si="106">AT76+AS76</f>
        <v>2000000</v>
      </c>
    </row>
    <row r="77" spans="2:47" s="6" customFormat="1" ht="15" customHeight="1" x14ac:dyDescent="0.2">
      <c r="B77" s="998" t="s">
        <v>208</v>
      </c>
      <c r="C77" s="978">
        <v>0</v>
      </c>
      <c r="D77" s="981">
        <v>1000000</v>
      </c>
      <c r="E77" s="1000">
        <f>SUM(C77:D77)</f>
        <v>1000000</v>
      </c>
      <c r="F77" s="972">
        <f t="shared" si="71"/>
        <v>0</v>
      </c>
      <c r="G77" s="974">
        <f t="shared" si="72"/>
        <v>8.6956521739130436E-3</v>
      </c>
      <c r="H77" s="974">
        <f t="shared" si="73"/>
        <v>8.6956521739130436E-3</v>
      </c>
      <c r="I77" s="17"/>
      <c r="J77" s="17"/>
      <c r="K77" s="17"/>
      <c r="L77" s="17"/>
      <c r="M77" s="17"/>
      <c r="N77" s="33"/>
      <c r="O77" s="17"/>
      <c r="P77" s="33">
        <v>435000</v>
      </c>
      <c r="Q77" s="17"/>
      <c r="R77" s="33">
        <v>200000</v>
      </c>
      <c r="S77" s="17"/>
      <c r="T77" s="33">
        <v>200000</v>
      </c>
      <c r="U77" s="17"/>
      <c r="V77" s="33">
        <v>165000</v>
      </c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>
        <f t="shared" si="92"/>
        <v>0</v>
      </c>
      <c r="AH77" s="17">
        <f t="shared" si="93"/>
        <v>0</v>
      </c>
      <c r="AI77" s="17">
        <f t="shared" si="94"/>
        <v>0</v>
      </c>
      <c r="AJ77" s="17">
        <f t="shared" si="95"/>
        <v>435000</v>
      </c>
      <c r="AK77" s="17">
        <f t="shared" si="96"/>
        <v>0</v>
      </c>
      <c r="AL77" s="17">
        <f t="shared" si="97"/>
        <v>400000</v>
      </c>
      <c r="AM77" s="17">
        <f t="shared" si="98"/>
        <v>0</v>
      </c>
      <c r="AN77" s="17">
        <f t="shared" si="99"/>
        <v>165000</v>
      </c>
      <c r="AO77" s="17">
        <f t="shared" si="100"/>
        <v>0</v>
      </c>
      <c r="AP77" s="17">
        <f t="shared" si="101"/>
        <v>0</v>
      </c>
      <c r="AQ77" s="17">
        <f t="shared" si="102"/>
        <v>0</v>
      </c>
      <c r="AR77" s="17">
        <f t="shared" si="103"/>
        <v>0</v>
      </c>
      <c r="AS77" s="17">
        <f t="shared" si="104"/>
        <v>0</v>
      </c>
      <c r="AT77" s="17">
        <f t="shared" si="105"/>
        <v>1000000</v>
      </c>
      <c r="AU77" s="17">
        <f t="shared" si="106"/>
        <v>1000000</v>
      </c>
    </row>
    <row r="78" spans="2:47" s="6" customFormat="1" ht="15" customHeight="1" x14ac:dyDescent="0.2">
      <c r="B78" s="998" t="s">
        <v>266</v>
      </c>
      <c r="C78" s="978">
        <v>200000</v>
      </c>
      <c r="D78" s="981">
        <v>0</v>
      </c>
      <c r="E78" s="1000">
        <f>SUM(C78:D78)</f>
        <v>200000</v>
      </c>
      <c r="F78" s="972">
        <f t="shared" si="71"/>
        <v>1.7391304347826088E-3</v>
      </c>
      <c r="G78" s="974">
        <f t="shared" si="72"/>
        <v>0</v>
      </c>
      <c r="H78" s="974">
        <f t="shared" si="73"/>
        <v>1.7391304347826088E-3</v>
      </c>
      <c r="I78" s="17"/>
      <c r="J78" s="17"/>
      <c r="K78" s="17"/>
      <c r="L78" s="17"/>
      <c r="M78" s="17"/>
      <c r="N78" s="33"/>
      <c r="O78" s="17">
        <v>200000</v>
      </c>
      <c r="P78" s="33"/>
      <c r="Q78" s="17"/>
      <c r="R78" s="33"/>
      <c r="S78" s="17"/>
      <c r="T78" s="33"/>
      <c r="U78" s="17"/>
      <c r="V78" s="33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>
        <f t="shared" si="92"/>
        <v>0</v>
      </c>
      <c r="AH78" s="17">
        <f t="shared" si="93"/>
        <v>0</v>
      </c>
      <c r="AI78" s="17">
        <f t="shared" si="94"/>
        <v>200000</v>
      </c>
      <c r="AJ78" s="17">
        <f t="shared" si="95"/>
        <v>0</v>
      </c>
      <c r="AK78" s="17">
        <f t="shared" si="96"/>
        <v>0</v>
      </c>
      <c r="AL78" s="17">
        <f t="shared" si="97"/>
        <v>0</v>
      </c>
      <c r="AM78" s="17">
        <f t="shared" si="98"/>
        <v>0</v>
      </c>
      <c r="AN78" s="17">
        <f t="shared" si="99"/>
        <v>0</v>
      </c>
      <c r="AO78" s="17">
        <f t="shared" si="100"/>
        <v>0</v>
      </c>
      <c r="AP78" s="17">
        <f t="shared" si="101"/>
        <v>0</v>
      </c>
      <c r="AQ78" s="17">
        <f t="shared" si="102"/>
        <v>0</v>
      </c>
      <c r="AR78" s="17">
        <f t="shared" si="103"/>
        <v>0</v>
      </c>
      <c r="AS78" s="17">
        <f t="shared" si="104"/>
        <v>200000</v>
      </c>
      <c r="AT78" s="17">
        <f t="shared" si="105"/>
        <v>0</v>
      </c>
      <c r="AU78" s="17">
        <f t="shared" si="106"/>
        <v>200000</v>
      </c>
    </row>
    <row r="79" spans="2:47" s="6" customFormat="1" x14ac:dyDescent="0.2">
      <c r="B79" s="962" t="s">
        <v>218</v>
      </c>
      <c r="C79" s="951">
        <f>SUM(C80:C81)</f>
        <v>5150000</v>
      </c>
      <c r="D79" s="950">
        <f>SUM(D80:D81)</f>
        <v>1000000</v>
      </c>
      <c r="E79" s="990">
        <f>SUM(E80:E81)</f>
        <v>6150000</v>
      </c>
      <c r="F79" s="931">
        <f t="shared" si="71"/>
        <v>4.4782608695652176E-2</v>
      </c>
      <c r="G79" s="931">
        <f t="shared" si="72"/>
        <v>8.6956521739130436E-3</v>
      </c>
      <c r="H79" s="931">
        <f t="shared" si="73"/>
        <v>5.3478260869565218E-2</v>
      </c>
      <c r="I79" s="951">
        <f>I80+I81</f>
        <v>0</v>
      </c>
      <c r="J79" s="951">
        <f t="shared" ref="J79:AU79" si="107">J80+J81</f>
        <v>0</v>
      </c>
      <c r="K79" s="951">
        <f t="shared" si="107"/>
        <v>0</v>
      </c>
      <c r="L79" s="951">
        <f t="shared" si="107"/>
        <v>0</v>
      </c>
      <c r="M79" s="951">
        <f t="shared" si="107"/>
        <v>575000</v>
      </c>
      <c r="N79" s="1041">
        <f t="shared" si="107"/>
        <v>100000</v>
      </c>
      <c r="O79" s="951">
        <f t="shared" si="107"/>
        <v>475000</v>
      </c>
      <c r="P79" s="1041">
        <f t="shared" si="107"/>
        <v>100000</v>
      </c>
      <c r="Q79" s="951">
        <f t="shared" si="107"/>
        <v>475000</v>
      </c>
      <c r="R79" s="1041">
        <f t="shared" si="107"/>
        <v>100000</v>
      </c>
      <c r="S79" s="951">
        <f t="shared" si="107"/>
        <v>475000</v>
      </c>
      <c r="T79" s="1041">
        <f t="shared" si="107"/>
        <v>100000</v>
      </c>
      <c r="U79" s="951">
        <f t="shared" si="107"/>
        <v>625000</v>
      </c>
      <c r="V79" s="1041">
        <f t="shared" si="107"/>
        <v>100000</v>
      </c>
      <c r="W79" s="951">
        <f t="shared" si="107"/>
        <v>475000</v>
      </c>
      <c r="X79" s="951">
        <f t="shared" si="107"/>
        <v>100000</v>
      </c>
      <c r="Y79" s="951">
        <f t="shared" si="107"/>
        <v>475000</v>
      </c>
      <c r="Z79" s="951">
        <f t="shared" si="107"/>
        <v>100000</v>
      </c>
      <c r="AA79" s="951">
        <f t="shared" si="107"/>
        <v>475000</v>
      </c>
      <c r="AB79" s="951">
        <f t="shared" si="107"/>
        <v>100000</v>
      </c>
      <c r="AC79" s="951">
        <f t="shared" si="107"/>
        <v>475000</v>
      </c>
      <c r="AD79" s="951">
        <f t="shared" si="107"/>
        <v>100000</v>
      </c>
      <c r="AE79" s="951">
        <f t="shared" si="107"/>
        <v>625000</v>
      </c>
      <c r="AF79" s="951">
        <f t="shared" si="107"/>
        <v>100000</v>
      </c>
      <c r="AG79" s="951">
        <f t="shared" si="107"/>
        <v>0</v>
      </c>
      <c r="AH79" s="951">
        <f t="shared" si="107"/>
        <v>0</v>
      </c>
      <c r="AI79" s="951">
        <f t="shared" si="107"/>
        <v>1050000</v>
      </c>
      <c r="AJ79" s="951">
        <f t="shared" si="107"/>
        <v>200000</v>
      </c>
      <c r="AK79" s="951">
        <f t="shared" si="107"/>
        <v>950000</v>
      </c>
      <c r="AL79" s="951">
        <f t="shared" si="107"/>
        <v>200000</v>
      </c>
      <c r="AM79" s="951">
        <f t="shared" si="107"/>
        <v>1100000</v>
      </c>
      <c r="AN79" s="951">
        <f t="shared" si="107"/>
        <v>200000</v>
      </c>
      <c r="AO79" s="951">
        <f t="shared" si="107"/>
        <v>950000</v>
      </c>
      <c r="AP79" s="951">
        <f t="shared" si="107"/>
        <v>200000</v>
      </c>
      <c r="AQ79" s="951">
        <f t="shared" si="107"/>
        <v>1100000</v>
      </c>
      <c r="AR79" s="951">
        <f t="shared" si="107"/>
        <v>200000</v>
      </c>
      <c r="AS79" s="951">
        <f t="shared" si="107"/>
        <v>5150000</v>
      </c>
      <c r="AT79" s="951">
        <f t="shared" si="107"/>
        <v>1000000</v>
      </c>
      <c r="AU79" s="951">
        <f t="shared" si="107"/>
        <v>6150000</v>
      </c>
    </row>
    <row r="80" spans="2:47" x14ac:dyDescent="0.2">
      <c r="B80" s="427" t="s">
        <v>258</v>
      </c>
      <c r="C80" s="1001">
        <v>400000</v>
      </c>
      <c r="D80" s="1002">
        <v>0</v>
      </c>
      <c r="E80" s="1000">
        <f>SUM(C80:D80)</f>
        <v>400000</v>
      </c>
      <c r="F80" s="974">
        <f t="shared" si="71"/>
        <v>3.4782608695652175E-3</v>
      </c>
      <c r="G80" s="974">
        <f t="shared" si="72"/>
        <v>0</v>
      </c>
      <c r="H80" s="974">
        <f t="shared" si="73"/>
        <v>3.4782608695652175E-3</v>
      </c>
      <c r="I80" s="17"/>
      <c r="J80" s="17"/>
      <c r="K80" s="17"/>
      <c r="L80" s="17"/>
      <c r="M80" s="17">
        <f>C80/4</f>
        <v>100000</v>
      </c>
      <c r="N80" s="33"/>
      <c r="O80" s="17"/>
      <c r="P80" s="33"/>
      <c r="Q80" s="17"/>
      <c r="R80" s="33"/>
      <c r="S80" s="17"/>
      <c r="T80" s="33"/>
      <c r="U80" s="17">
        <f>C80*0.375</f>
        <v>150000</v>
      </c>
      <c r="V80" s="33"/>
      <c r="W80" s="17"/>
      <c r="X80" s="17"/>
      <c r="Y80" s="17"/>
      <c r="Z80" s="17"/>
      <c r="AA80" s="17"/>
      <c r="AB80" s="17"/>
      <c r="AC80" s="17"/>
      <c r="AD80" s="17"/>
      <c r="AE80" s="17">
        <f>C80*0.375</f>
        <v>150000</v>
      </c>
      <c r="AF80" s="17"/>
      <c r="AG80" s="17">
        <f>I80+K80</f>
        <v>0</v>
      </c>
      <c r="AH80" s="17">
        <f>J80+L80</f>
        <v>0</v>
      </c>
      <c r="AI80" s="17">
        <f>M80+O80</f>
        <v>100000</v>
      </c>
      <c r="AJ80" s="17">
        <f>N80+P80</f>
        <v>0</v>
      </c>
      <c r="AK80" s="17">
        <f>Q80+S80</f>
        <v>0</v>
      </c>
      <c r="AL80" s="17">
        <f>R80+T80</f>
        <v>0</v>
      </c>
      <c r="AM80" s="17">
        <f>U80+W80</f>
        <v>150000</v>
      </c>
      <c r="AN80" s="17">
        <f>V80+X80</f>
        <v>0</v>
      </c>
      <c r="AO80" s="17">
        <f>Y80+AA80</f>
        <v>0</v>
      </c>
      <c r="AP80" s="17">
        <f>Z80+AB80</f>
        <v>0</v>
      </c>
      <c r="AQ80" s="17">
        <f>AC80+AE80</f>
        <v>150000</v>
      </c>
      <c r="AR80" s="17">
        <f>AD80+AF80</f>
        <v>0</v>
      </c>
      <c r="AS80" s="17">
        <f>AG80+AI80+AK80+AM80+AO80+AQ80</f>
        <v>400000</v>
      </c>
      <c r="AT80" s="17">
        <f>AH80+AJ80+AL80+AN80+AP80+AR80</f>
        <v>0</v>
      </c>
      <c r="AU80" s="17">
        <f>AT80+AS80</f>
        <v>400000</v>
      </c>
    </row>
    <row r="81" spans="2:93" x14ac:dyDescent="0.2">
      <c r="B81" s="427" t="s">
        <v>259</v>
      </c>
      <c r="C81" s="1001">
        <v>4750000</v>
      </c>
      <c r="D81" s="1002">
        <v>1000000</v>
      </c>
      <c r="E81" s="1000">
        <f>SUM(C81:D81)</f>
        <v>5750000</v>
      </c>
      <c r="F81" s="974">
        <f t="shared" si="71"/>
        <v>4.1304347826086954E-2</v>
      </c>
      <c r="G81" s="974">
        <f t="shared" si="72"/>
        <v>8.6956521739130436E-3</v>
      </c>
      <c r="H81" s="974">
        <f t="shared" si="73"/>
        <v>0.05</v>
      </c>
      <c r="I81" s="17"/>
      <c r="J81" s="17"/>
      <c r="K81" s="17"/>
      <c r="L81" s="17"/>
      <c r="M81" s="17">
        <f>$C$81/10</f>
        <v>475000</v>
      </c>
      <c r="N81" s="33">
        <f>$D$81/10</f>
        <v>100000</v>
      </c>
      <c r="O81" s="17">
        <f>$C$81/10</f>
        <v>475000</v>
      </c>
      <c r="P81" s="33">
        <f>$D$81/10</f>
        <v>100000</v>
      </c>
      <c r="Q81" s="17">
        <f>$C$81/10</f>
        <v>475000</v>
      </c>
      <c r="R81" s="33">
        <f>$D$81/10</f>
        <v>100000</v>
      </c>
      <c r="S81" s="17">
        <f>$C$81/10</f>
        <v>475000</v>
      </c>
      <c r="T81" s="33">
        <f>$D$81/10</f>
        <v>100000</v>
      </c>
      <c r="U81" s="17">
        <f>$C$81/10</f>
        <v>475000</v>
      </c>
      <c r="V81" s="33">
        <f>$D$81/10</f>
        <v>100000</v>
      </c>
      <c r="W81" s="17">
        <f>$C$81/10</f>
        <v>475000</v>
      </c>
      <c r="X81" s="17">
        <f>$D$81/10</f>
        <v>100000</v>
      </c>
      <c r="Y81" s="17">
        <f>$C$81/10</f>
        <v>475000</v>
      </c>
      <c r="Z81" s="17">
        <f>$D$81/10</f>
        <v>100000</v>
      </c>
      <c r="AA81" s="17">
        <f>$C$81/10</f>
        <v>475000</v>
      </c>
      <c r="AB81" s="17">
        <f>$D$81/10</f>
        <v>100000</v>
      </c>
      <c r="AC81" s="17">
        <f>$C$81/10</f>
        <v>475000</v>
      </c>
      <c r="AD81" s="17">
        <f>$D$81/10</f>
        <v>100000</v>
      </c>
      <c r="AE81" s="17">
        <f>$C$81/10</f>
        <v>475000</v>
      </c>
      <c r="AF81" s="17">
        <f>$D$81/10</f>
        <v>100000</v>
      </c>
      <c r="AG81" s="17">
        <f t="shared" si="92"/>
        <v>0</v>
      </c>
      <c r="AH81" s="17">
        <f t="shared" si="93"/>
        <v>0</v>
      </c>
      <c r="AI81" s="17">
        <f t="shared" si="94"/>
        <v>950000</v>
      </c>
      <c r="AJ81" s="17">
        <f t="shared" si="95"/>
        <v>200000</v>
      </c>
      <c r="AK81" s="17">
        <f t="shared" si="96"/>
        <v>950000</v>
      </c>
      <c r="AL81" s="17">
        <f t="shared" si="97"/>
        <v>200000</v>
      </c>
      <c r="AM81" s="17">
        <f t="shared" si="98"/>
        <v>950000</v>
      </c>
      <c r="AN81" s="17">
        <f t="shared" si="99"/>
        <v>200000</v>
      </c>
      <c r="AO81" s="17">
        <f t="shared" si="100"/>
        <v>950000</v>
      </c>
      <c r="AP81" s="17">
        <f t="shared" si="101"/>
        <v>200000</v>
      </c>
      <c r="AQ81" s="17">
        <f t="shared" si="102"/>
        <v>950000</v>
      </c>
      <c r="AR81" s="17">
        <f t="shared" si="103"/>
        <v>200000</v>
      </c>
      <c r="AS81" s="17">
        <f t="shared" si="104"/>
        <v>4750000</v>
      </c>
      <c r="AT81" s="17">
        <f t="shared" si="105"/>
        <v>1000000</v>
      </c>
      <c r="AU81" s="17">
        <f t="shared" si="106"/>
        <v>5750000</v>
      </c>
    </row>
    <row r="82" spans="2:93" x14ac:dyDescent="0.2">
      <c r="B82" s="1003" t="s">
        <v>1</v>
      </c>
      <c r="C82" s="1004">
        <f>C79+C74+C43+C12</f>
        <v>57500000</v>
      </c>
      <c r="D82" s="1004">
        <f>D79+D74+D43+D12</f>
        <v>57500000</v>
      </c>
      <c r="E82" s="951">
        <f>E79+E74+E43+E12</f>
        <v>115000000</v>
      </c>
      <c r="F82" s="931">
        <f>F79+F43+F12+F74</f>
        <v>0.5</v>
      </c>
      <c r="G82" s="931">
        <f>G79+G43+G12+G74</f>
        <v>0.5</v>
      </c>
      <c r="H82" s="931">
        <f>H79+H43+H12+H74</f>
        <v>1</v>
      </c>
      <c r="I82" s="952">
        <f>I79+I74+I43+I12</f>
        <v>0</v>
      </c>
      <c r="J82" s="952">
        <f>J79+J74+J43+J12</f>
        <v>0</v>
      </c>
      <c r="K82" s="952">
        <f>K79+K74+K43+K12</f>
        <v>3150000</v>
      </c>
      <c r="L82" s="952">
        <f>L79+L74+L43+L12</f>
        <v>0</v>
      </c>
      <c r="M82" s="952">
        <f>M79+M74+M61+M43+M12</f>
        <v>5875000</v>
      </c>
      <c r="N82" s="1042">
        <f>N79+N74+N61+N43+N12</f>
        <v>800000</v>
      </c>
      <c r="O82" s="952">
        <f>O79+O74+O61+O43+O12</f>
        <v>2575000</v>
      </c>
      <c r="P82" s="1042">
        <f t="shared" ref="P82:AU82" si="108">P79+P74+P43+P12</f>
        <v>7085000</v>
      </c>
      <c r="Q82" s="952">
        <f t="shared" si="108"/>
        <v>7783333.3333333321</v>
      </c>
      <c r="R82" s="1042">
        <f t="shared" si="108"/>
        <v>8630000</v>
      </c>
      <c r="S82" s="952">
        <f t="shared" si="108"/>
        <v>9496905</v>
      </c>
      <c r="T82" s="1042">
        <f t="shared" si="108"/>
        <v>11432500</v>
      </c>
      <c r="U82" s="952">
        <f t="shared" si="108"/>
        <v>12569801.666666666</v>
      </c>
      <c r="V82" s="1042">
        <f t="shared" si="108"/>
        <v>13173333.333333334</v>
      </c>
      <c r="W82" s="952">
        <f t="shared" si="108"/>
        <v>6837460</v>
      </c>
      <c r="X82" s="952">
        <f t="shared" si="108"/>
        <v>8983333.333333334</v>
      </c>
      <c r="Y82" s="952">
        <f t="shared" si="108"/>
        <v>4050000</v>
      </c>
      <c r="Z82" s="952">
        <f t="shared" si="108"/>
        <v>1333333.3333333335</v>
      </c>
      <c r="AA82" s="952">
        <f t="shared" si="108"/>
        <v>2912500</v>
      </c>
      <c r="AB82" s="952">
        <f t="shared" si="108"/>
        <v>970833.33333333337</v>
      </c>
      <c r="AC82" s="952">
        <f t="shared" si="108"/>
        <v>1350000</v>
      </c>
      <c r="AD82" s="952">
        <f t="shared" si="108"/>
        <v>633333.33333333337</v>
      </c>
      <c r="AE82" s="952">
        <f t="shared" si="108"/>
        <v>1500000</v>
      </c>
      <c r="AF82" s="952">
        <f t="shared" si="108"/>
        <v>633333.33333333337</v>
      </c>
      <c r="AG82" s="952">
        <f t="shared" si="108"/>
        <v>3150000</v>
      </c>
      <c r="AH82" s="952">
        <f t="shared" si="108"/>
        <v>0</v>
      </c>
      <c r="AI82" s="952">
        <f t="shared" si="108"/>
        <v>7850000</v>
      </c>
      <c r="AJ82" s="952">
        <f t="shared" si="108"/>
        <v>7885000</v>
      </c>
      <c r="AK82" s="952">
        <f t="shared" si="108"/>
        <v>18817738.333333332</v>
      </c>
      <c r="AL82" s="952">
        <f t="shared" si="108"/>
        <v>20062500</v>
      </c>
      <c r="AM82" s="952">
        <f t="shared" si="108"/>
        <v>19407261.666666664</v>
      </c>
      <c r="AN82" s="952">
        <f t="shared" si="108"/>
        <v>22156666.666666668</v>
      </c>
      <c r="AO82" s="952">
        <f t="shared" si="108"/>
        <v>5425000</v>
      </c>
      <c r="AP82" s="952">
        <f t="shared" si="108"/>
        <v>6129166.666666667</v>
      </c>
      <c r="AQ82" s="952">
        <f t="shared" si="108"/>
        <v>2850000</v>
      </c>
      <c r="AR82" s="952">
        <f t="shared" si="108"/>
        <v>1266666.6666666667</v>
      </c>
      <c r="AS82" s="952">
        <f t="shared" si="108"/>
        <v>57500000</v>
      </c>
      <c r="AT82" s="952">
        <f t="shared" si="108"/>
        <v>57500000</v>
      </c>
      <c r="AU82" s="952">
        <f t="shared" si="108"/>
        <v>115000000</v>
      </c>
    </row>
    <row r="83" spans="2:93" x14ac:dyDescent="0.2">
      <c r="B83" s="188" t="s">
        <v>215</v>
      </c>
      <c r="C83" s="1005"/>
      <c r="D83" s="430"/>
      <c r="E83" s="430"/>
      <c r="F83" s="1006"/>
      <c r="G83" s="1007" t="s">
        <v>240</v>
      </c>
      <c r="H83" s="1006"/>
      <c r="I83" s="1060"/>
      <c r="J83" s="1060"/>
      <c r="K83" s="1060"/>
      <c r="L83" s="1008"/>
      <c r="M83" s="1060"/>
      <c r="N83" s="1060"/>
      <c r="O83" s="1060"/>
      <c r="P83" s="33"/>
      <c r="Q83" s="1060"/>
      <c r="R83" s="1060"/>
      <c r="S83" s="1060"/>
      <c r="T83" s="33"/>
      <c r="U83" s="1060"/>
      <c r="V83" s="1060"/>
      <c r="W83" s="1060"/>
      <c r="X83" s="1008"/>
      <c r="Y83" s="1060"/>
      <c r="Z83" s="1060"/>
      <c r="AA83" s="1060"/>
      <c r="AB83" s="1008"/>
      <c r="AC83" s="1060"/>
      <c r="AD83" s="1060"/>
      <c r="AE83" s="1060"/>
      <c r="AF83" s="1008"/>
      <c r="AG83" s="953">
        <f>AG82/$C$82</f>
        <v>5.4782608695652171E-2</v>
      </c>
      <c r="AH83" s="953">
        <f>AH82/$D$82</f>
        <v>0</v>
      </c>
      <c r="AI83" s="953">
        <f>AI82/$C$82</f>
        <v>0.13652173913043478</v>
      </c>
      <c r="AJ83" s="953">
        <f>AJ82/$D$82</f>
        <v>0.1371304347826087</v>
      </c>
      <c r="AK83" s="953">
        <f>AK82/$C$82</f>
        <v>0.32726501449275358</v>
      </c>
      <c r="AL83" s="953">
        <f>AL82/$D$82</f>
        <v>0.34891304347826085</v>
      </c>
      <c r="AM83" s="953">
        <f>AM82/$C$82</f>
        <v>0.33751759420289851</v>
      </c>
      <c r="AN83" s="953">
        <f>AN82/$D$82</f>
        <v>0.38533333333333336</v>
      </c>
      <c r="AO83" s="953">
        <f>AO82/$C$82</f>
        <v>9.4347826086956521E-2</v>
      </c>
      <c r="AP83" s="953">
        <f>AP82/$D$82</f>
        <v>0.10659420289855073</v>
      </c>
      <c r="AQ83" s="953">
        <f>AQ82/$C$82</f>
        <v>4.9565217391304345E-2</v>
      </c>
      <c r="AR83" s="953">
        <f>AR82/$D$82</f>
        <v>2.2028985507246378E-2</v>
      </c>
      <c r="AS83" s="1009">
        <f>AS82/$C$82</f>
        <v>1</v>
      </c>
      <c r="AT83" s="1009">
        <f>AT82/$D$82</f>
        <v>1</v>
      </c>
      <c r="AU83" s="1010"/>
    </row>
    <row r="84" spans="2:93" x14ac:dyDescent="0.2">
      <c r="B84" s="2"/>
      <c r="C84" s="2"/>
      <c r="D84" s="2"/>
      <c r="E84" s="2"/>
      <c r="F84" s="247"/>
      <c r="M84" s="3"/>
      <c r="N84" s="1043"/>
      <c r="O84" s="3"/>
      <c r="P84" s="1043"/>
      <c r="AG84" s="1065">
        <v>2012</v>
      </c>
      <c r="AH84" s="1065"/>
      <c r="AI84" s="1065">
        <v>2013</v>
      </c>
      <c r="AJ84" s="1065"/>
      <c r="AK84" s="1065">
        <v>2014</v>
      </c>
      <c r="AL84" s="1065"/>
      <c r="AM84" s="1065">
        <v>2015</v>
      </c>
      <c r="AN84" s="1065"/>
      <c r="AO84" s="1065">
        <v>2016</v>
      </c>
      <c r="AP84" s="1065"/>
      <c r="AQ84" s="1065">
        <v>2017</v>
      </c>
      <c r="AR84" s="1065"/>
      <c r="AS84" s="1066" t="s">
        <v>106</v>
      </c>
      <c r="AT84" s="1066"/>
      <c r="AU84" s="1066"/>
    </row>
    <row r="85" spans="2:93" ht="15.75" x14ac:dyDescent="0.2">
      <c r="B85" s="2"/>
      <c r="C85" s="934">
        <f>C82/E82</f>
        <v>0.5</v>
      </c>
      <c r="D85" s="934">
        <f>D82/E82</f>
        <v>0.5</v>
      </c>
      <c r="E85" s="16">
        <v>57500000</v>
      </c>
      <c r="U85" s="945"/>
      <c r="AG85" s="959" t="s">
        <v>264</v>
      </c>
      <c r="AH85" s="959" t="s">
        <v>3</v>
      </c>
      <c r="AI85" s="959" t="s">
        <v>264</v>
      </c>
      <c r="AJ85" s="959" t="s">
        <v>3</v>
      </c>
      <c r="AK85" s="959" t="s">
        <v>264</v>
      </c>
      <c r="AL85" s="959" t="s">
        <v>3</v>
      </c>
      <c r="AM85" s="959" t="s">
        <v>264</v>
      </c>
      <c r="AN85" s="959" t="s">
        <v>3</v>
      </c>
      <c r="AO85" s="959" t="s">
        <v>264</v>
      </c>
      <c r="AP85" s="959" t="s">
        <v>3</v>
      </c>
      <c r="AQ85" s="959" t="s">
        <v>264</v>
      </c>
      <c r="AR85" s="959" t="s">
        <v>3</v>
      </c>
      <c r="AS85" s="959" t="s">
        <v>264</v>
      </c>
      <c r="AT85" s="959" t="s">
        <v>3</v>
      </c>
      <c r="AU85" s="959" t="s">
        <v>0</v>
      </c>
    </row>
    <row r="86" spans="2:93" x14ac:dyDescent="0.2">
      <c r="B86" s="2"/>
      <c r="C86" s="241"/>
      <c r="D86" s="933">
        <f>SUM(C85:D85)</f>
        <v>1</v>
      </c>
      <c r="E86" s="2">
        <f>E85*2</f>
        <v>115000000</v>
      </c>
    </row>
    <row r="87" spans="2:93" ht="12" thickBot="1" x14ac:dyDescent="0.25">
      <c r="B87" s="5">
        <f>E82*0.05</f>
        <v>5750000</v>
      </c>
      <c r="C87" s="2"/>
      <c r="D87" s="2"/>
      <c r="E87" s="935">
        <f>C82+D82</f>
        <v>115000000</v>
      </c>
      <c r="I87" s="118">
        <f>+C79/2</f>
        <v>2575000</v>
      </c>
      <c r="J87" s="118">
        <f>+D79/2</f>
        <v>500000</v>
      </c>
      <c r="K87" s="118">
        <f>+E79/2</f>
        <v>3075000</v>
      </c>
    </row>
    <row r="88" spans="2:93" x14ac:dyDescent="0.2">
      <c r="C88" s="936" t="s">
        <v>239</v>
      </c>
      <c r="D88" s="936"/>
      <c r="E88" s="936">
        <f>+E87-E86</f>
        <v>0</v>
      </c>
      <c r="AJ88" s="1035">
        <f>AI83</f>
        <v>0.13652173913043478</v>
      </c>
      <c r="AL88" s="1035">
        <f>AL83</f>
        <v>0.34891304347826085</v>
      </c>
      <c r="AV88" s="1064"/>
      <c r="AW88" s="1064"/>
    </row>
    <row r="89" spans="2:93" x14ac:dyDescent="0.2">
      <c r="E89" s="135">
        <f>E88/2</f>
        <v>0</v>
      </c>
      <c r="AL89" s="1035">
        <f>AL88+AJ88</f>
        <v>0.48543478260869566</v>
      </c>
    </row>
    <row r="91" spans="2:93" ht="12.75" x14ac:dyDescent="0.2">
      <c r="C91" s="6">
        <f>E86/2</f>
        <v>57500000</v>
      </c>
      <c r="D91" s="6">
        <f>E86/2</f>
        <v>57500000</v>
      </c>
      <c r="AV91" s="1063"/>
      <c r="AW91" s="1063"/>
      <c r="AX91" s="1061">
        <v>116032.26515428571</v>
      </c>
      <c r="AY91" s="1062"/>
      <c r="AZ91" s="1063"/>
      <c r="BA91" s="1063"/>
      <c r="BB91" s="1061">
        <v>116032.26515428571</v>
      </c>
      <c r="BC91" s="1062"/>
      <c r="BD91" s="1063"/>
      <c r="BE91" s="1063"/>
      <c r="BF91" s="1061">
        <v>116032.26515428571</v>
      </c>
      <c r="BG91" s="1062"/>
      <c r="BH91" s="1063"/>
      <c r="BI91" s="1063"/>
      <c r="BJ91" s="1061">
        <v>116032.26515428571</v>
      </c>
      <c r="BK91" s="1062"/>
      <c r="BL91" s="1063"/>
      <c r="BM91" s="1063"/>
      <c r="BN91" s="1061">
        <v>116032.26515428571</v>
      </c>
      <c r="BO91" s="1062"/>
      <c r="BP91" s="1063"/>
      <c r="BQ91" s="1063"/>
      <c r="BR91" s="942" t="e">
        <f>#REF!+AV91</f>
        <v>#REF!</v>
      </c>
      <c r="BS91" s="942" t="e">
        <f>#REF!+AW91</f>
        <v>#REF!</v>
      </c>
      <c r="BT91" s="942">
        <f>AX91+AZ91</f>
        <v>116032.26515428571</v>
      </c>
      <c r="BU91" s="942">
        <f>AY91+BA91</f>
        <v>0</v>
      </c>
      <c r="BV91" s="942">
        <f>BB91+BD91</f>
        <v>116032.26515428571</v>
      </c>
      <c r="BW91" s="942">
        <f>BC91+BE91</f>
        <v>0</v>
      </c>
      <c r="BX91" s="942">
        <f>BF91+BH91</f>
        <v>116032.26515428571</v>
      </c>
      <c r="BY91" s="942">
        <f>BG91+BI91</f>
        <v>0</v>
      </c>
      <c r="BZ91" s="942">
        <f>BJ91+BL91</f>
        <v>116032.26515428571</v>
      </c>
      <c r="CA91" s="942">
        <f>BK91+BM91</f>
        <v>0</v>
      </c>
      <c r="CB91" s="942">
        <f>BN91+BP91</f>
        <v>116032.26515428571</v>
      </c>
      <c r="CC91" s="942">
        <f>BO91+BQ91</f>
        <v>0</v>
      </c>
      <c r="CD91" s="942" t="e">
        <f>BR91+BT91+BV91+BX91+BZ91+CB91</f>
        <v>#REF!</v>
      </c>
      <c r="CE91" s="942" t="e">
        <f>BS91+BU91+BW91+BY91+CA91+CC91</f>
        <v>#REF!</v>
      </c>
      <c r="CF91" s="942" t="e">
        <f>CE91+CD91</f>
        <v>#REF!</v>
      </c>
      <c r="CG91" s="943"/>
      <c r="CH91"/>
      <c r="CI91"/>
      <c r="CJ91"/>
      <c r="CK91"/>
      <c r="CL91"/>
      <c r="CM91"/>
      <c r="CN91"/>
      <c r="CO91"/>
    </row>
    <row r="93" spans="2:93" x14ac:dyDescent="0.2">
      <c r="C93" s="135">
        <f>C82-C91</f>
        <v>0</v>
      </c>
      <c r="D93" s="135">
        <f>D82-D91</f>
        <v>0</v>
      </c>
    </row>
    <row r="94" spans="2:93" x14ac:dyDescent="0.2">
      <c r="C94" s="135">
        <f>C91/2</f>
        <v>28750000</v>
      </c>
    </row>
  </sheetData>
  <mergeCells count="56">
    <mergeCell ref="AX91:BA91"/>
    <mergeCell ref="AI84:AJ84"/>
    <mergeCell ref="AK84:AL84"/>
    <mergeCell ref="AM84:AN84"/>
    <mergeCell ref="AO84:AP84"/>
    <mergeCell ref="BF91:BI91"/>
    <mergeCell ref="U83:W83"/>
    <mergeCell ref="Y9:AB9"/>
    <mergeCell ref="Y10:Z10"/>
    <mergeCell ref="AA10:AB10"/>
    <mergeCell ref="BB91:BE91"/>
    <mergeCell ref="Y83:AA83"/>
    <mergeCell ref="AV88:AW88"/>
    <mergeCell ref="AQ9:AR9"/>
    <mergeCell ref="AM9:AN9"/>
    <mergeCell ref="AO9:AP9"/>
    <mergeCell ref="M10:N10"/>
    <mergeCell ref="Q83:S83"/>
    <mergeCell ref="U9:X9"/>
    <mergeCell ref="U10:V10"/>
    <mergeCell ref="W10:X10"/>
    <mergeCell ref="O10:P10"/>
    <mergeCell ref="M83:O83"/>
    <mergeCell ref="Q9:T9"/>
    <mergeCell ref="Q10:R10"/>
    <mergeCell ref="S10:T10"/>
    <mergeCell ref="I10:J10"/>
    <mergeCell ref="K10:L10"/>
    <mergeCell ref="BN91:BQ91"/>
    <mergeCell ref="BJ91:BM91"/>
    <mergeCell ref="C4:E4"/>
    <mergeCell ref="AC9:AF9"/>
    <mergeCell ref="AC10:AD10"/>
    <mergeCell ref="AE10:AF10"/>
    <mergeCell ref="AS9:AU9"/>
    <mergeCell ref="AG9:AH9"/>
    <mergeCell ref="AI9:AJ9"/>
    <mergeCell ref="AK9:AL9"/>
    <mergeCell ref="I83:K83"/>
    <mergeCell ref="AV91:AW91"/>
    <mergeCell ref="AC83:AE83"/>
    <mergeCell ref="AQ84:AR84"/>
    <mergeCell ref="AS84:AU84"/>
    <mergeCell ref="AG84:AH84"/>
    <mergeCell ref="E6:H6"/>
    <mergeCell ref="M9:P9"/>
    <mergeCell ref="I9:L9"/>
    <mergeCell ref="B8:H8"/>
    <mergeCell ref="I6:K6"/>
    <mergeCell ref="B9:B10"/>
    <mergeCell ref="C9:C10"/>
    <mergeCell ref="C6:D6"/>
    <mergeCell ref="I8:P8"/>
    <mergeCell ref="D9:D10"/>
    <mergeCell ref="E9:E10"/>
    <mergeCell ref="F9:H9"/>
  </mergeCells>
  <printOptions horizontalCentered="1" verticalCentered="1"/>
  <pageMargins left="0.19685039370078741" right="0.19685039370078741" top="0.78740157480314965" bottom="0.78740157480314965" header="0" footer="0"/>
  <pageSetup paperSize="257" scale="74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36"/>
  <sheetViews>
    <sheetView topLeftCell="A55" workbookViewId="0">
      <selection activeCell="F99" sqref="F99"/>
    </sheetView>
  </sheetViews>
  <sheetFormatPr defaultRowHeight="11.25" x14ac:dyDescent="0.2"/>
  <cols>
    <col min="1" max="1" width="1.85546875" style="2" customWidth="1"/>
    <col min="2" max="2" width="52.7109375" style="2" bestFit="1" customWidth="1"/>
    <col min="3" max="3" width="9.5703125" style="2" bestFit="1" customWidth="1"/>
    <col min="4" max="4" width="8.42578125" style="2" customWidth="1"/>
    <col min="5" max="5" width="14.140625" style="2" bestFit="1" customWidth="1"/>
    <col min="6" max="6" width="6.5703125" style="247" bestFit="1" customWidth="1"/>
    <col min="7" max="7" width="9.5703125" style="3" bestFit="1" customWidth="1"/>
    <col min="8" max="8" width="7.85546875" style="3" bestFit="1" customWidth="1"/>
    <col min="9" max="9" width="8.140625" style="3" customWidth="1"/>
    <col min="10" max="10" width="7.28515625" style="3" customWidth="1"/>
    <col min="11" max="27" width="5.7109375" style="3" customWidth="1"/>
    <col min="28" max="29" width="9.5703125" style="2" bestFit="1" customWidth="1"/>
    <col min="30" max="16384" width="9.140625" style="2"/>
  </cols>
  <sheetData>
    <row r="1" spans="2:31" ht="42" customHeight="1" thickBot="1" x14ac:dyDescent="0.25">
      <c r="B1" s="1098" t="s">
        <v>81</v>
      </c>
      <c r="C1" s="1099"/>
      <c r="D1" s="1099"/>
      <c r="E1" s="1099"/>
      <c r="F1" s="1099"/>
      <c r="G1" s="75"/>
      <c r="H1" s="1095" t="s">
        <v>14</v>
      </c>
      <c r="I1" s="1096"/>
      <c r="J1" s="1096"/>
      <c r="K1" s="1096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7"/>
      <c r="AC1" s="6">
        <f t="shared" ref="AC1:AC15" si="0">SUM(H1:AA1)</f>
        <v>0</v>
      </c>
    </row>
    <row r="2" spans="2:31" s="6" customFormat="1" ht="20.100000000000001" customHeight="1" thickBot="1" x14ac:dyDescent="0.25">
      <c r="B2" s="1086" t="s">
        <v>13</v>
      </c>
      <c r="C2" s="1100" t="s">
        <v>17</v>
      </c>
      <c r="D2" s="1088" t="s">
        <v>3</v>
      </c>
      <c r="E2" s="1090" t="s">
        <v>12</v>
      </c>
      <c r="F2" s="1102" t="s">
        <v>2</v>
      </c>
      <c r="G2" s="220"/>
      <c r="H2" s="1092" t="s">
        <v>76</v>
      </c>
      <c r="I2" s="1093"/>
      <c r="J2" s="1093"/>
      <c r="K2" s="1094"/>
      <c r="L2" s="1092" t="s">
        <v>77</v>
      </c>
      <c r="M2" s="1093"/>
      <c r="N2" s="1093"/>
      <c r="O2" s="1094"/>
      <c r="P2" s="261" t="s">
        <v>71</v>
      </c>
      <c r="Q2" s="262"/>
      <c r="R2" s="262"/>
      <c r="S2" s="263"/>
      <c r="T2" s="1092" t="s">
        <v>78</v>
      </c>
      <c r="U2" s="1093"/>
      <c r="V2" s="1093"/>
      <c r="W2" s="1094"/>
      <c r="X2" s="1092" t="s">
        <v>79</v>
      </c>
      <c r="Y2" s="1093"/>
      <c r="Z2" s="1093"/>
      <c r="AA2" s="1094"/>
      <c r="AB2" s="1086" t="s">
        <v>0</v>
      </c>
      <c r="AC2" s="6">
        <f t="shared" si="0"/>
        <v>0</v>
      </c>
    </row>
    <row r="3" spans="2:31" s="6" customFormat="1" ht="20.100000000000001" customHeight="1" thickBot="1" x14ac:dyDescent="0.25">
      <c r="B3" s="1087"/>
      <c r="C3" s="1101"/>
      <c r="D3" s="1089"/>
      <c r="E3" s="1091"/>
      <c r="F3" s="1103"/>
      <c r="G3" s="220"/>
      <c r="H3" s="39" t="s">
        <v>11</v>
      </c>
      <c r="I3" s="39" t="s">
        <v>10</v>
      </c>
      <c r="J3" s="39" t="s">
        <v>9</v>
      </c>
      <c r="K3" s="39" t="s">
        <v>8</v>
      </c>
      <c r="L3" s="39" t="s">
        <v>11</v>
      </c>
      <c r="M3" s="39" t="s">
        <v>10</v>
      </c>
      <c r="N3" s="39" t="s">
        <v>9</v>
      </c>
      <c r="O3" s="39" t="s">
        <v>8</v>
      </c>
      <c r="P3" s="39" t="s">
        <v>11</v>
      </c>
      <c r="Q3" s="39" t="s">
        <v>10</v>
      </c>
      <c r="R3" s="39" t="s">
        <v>9</v>
      </c>
      <c r="S3" s="39" t="s">
        <v>8</v>
      </c>
      <c r="T3" s="39" t="s">
        <v>11</v>
      </c>
      <c r="U3" s="39" t="s">
        <v>10</v>
      </c>
      <c r="V3" s="39" t="s">
        <v>9</v>
      </c>
      <c r="W3" s="39" t="s">
        <v>8</v>
      </c>
      <c r="X3" s="39" t="s">
        <v>11</v>
      </c>
      <c r="Y3" s="39" t="s">
        <v>10</v>
      </c>
      <c r="Z3" s="39" t="s">
        <v>9</v>
      </c>
      <c r="AA3" s="39" t="s">
        <v>8</v>
      </c>
      <c r="AB3" s="1087"/>
      <c r="AC3" s="6">
        <f t="shared" si="0"/>
        <v>0</v>
      </c>
    </row>
    <row r="4" spans="2:31" s="6" customFormat="1" ht="24.95" customHeight="1" thickBot="1" x14ac:dyDescent="0.25">
      <c r="B4" s="53" t="s">
        <v>72</v>
      </c>
      <c r="C4" s="64">
        <f>SUM(C5:C9)</f>
        <v>13720</v>
      </c>
      <c r="D4" s="64">
        <f>SUM(D5:D9)</f>
        <v>5000</v>
      </c>
      <c r="E4" s="64">
        <f>SUM(E5:E9)</f>
        <v>18720</v>
      </c>
      <c r="F4" s="248">
        <f>SUM(F5:F9)</f>
        <v>10.031455472019633</v>
      </c>
      <c r="G4" s="177">
        <f t="shared" ref="G4:G19" si="1">D4+C4</f>
        <v>18720</v>
      </c>
      <c r="H4" s="1061">
        <f>SUM(H5:K9)</f>
        <v>4820</v>
      </c>
      <c r="I4" s="1063"/>
      <c r="J4" s="1063"/>
      <c r="K4" s="1110"/>
      <c r="L4" s="1062">
        <f>SUM(L5:O9)</f>
        <v>5650</v>
      </c>
      <c r="M4" s="1063"/>
      <c r="N4" s="1063"/>
      <c r="O4" s="1110"/>
      <c r="P4" s="264">
        <f>SUM(P5:S9)</f>
        <v>3749.7777777777778</v>
      </c>
      <c r="Q4" s="265"/>
      <c r="R4" s="265"/>
      <c r="S4" s="266"/>
      <c r="T4" s="1062">
        <f>SUM(T5:W9)</f>
        <v>3650</v>
      </c>
      <c r="U4" s="1063"/>
      <c r="V4" s="1063"/>
      <c r="W4" s="1110"/>
      <c r="X4" s="1062">
        <f>SUM(X5:AA9)</f>
        <v>2350</v>
      </c>
      <c r="Y4" s="1063"/>
      <c r="Z4" s="1063"/>
      <c r="AA4" s="1110"/>
      <c r="AB4" s="211">
        <f t="shared" ref="AB4:AB9" si="2">SUM(H4:AA4)</f>
        <v>20219.777777777777</v>
      </c>
      <c r="AC4" s="6">
        <f t="shared" si="0"/>
        <v>20219.777777777777</v>
      </c>
    </row>
    <row r="5" spans="2:31" s="6" customFormat="1" ht="12" thickBot="1" x14ac:dyDescent="0.25">
      <c r="B5" s="86" t="s">
        <v>73</v>
      </c>
      <c r="C5" s="61">
        <v>3500</v>
      </c>
      <c r="D5" s="68"/>
      <c r="E5" s="146">
        <f>D5+C5</f>
        <v>3500</v>
      </c>
      <c r="F5" s="249">
        <f>E5/$D$123*100</f>
        <v>1.8755392175250383</v>
      </c>
      <c r="G5" s="177">
        <f t="shared" si="1"/>
        <v>3500</v>
      </c>
      <c r="H5" s="26"/>
      <c r="I5" s="7"/>
      <c r="J5" s="18"/>
      <c r="K5" s="45">
        <v>700</v>
      </c>
      <c r="L5" s="26"/>
      <c r="M5" s="18"/>
      <c r="N5" s="44">
        <v>2800</v>
      </c>
      <c r="O5" s="22"/>
      <c r="P5" s="28"/>
      <c r="Q5" s="44"/>
      <c r="R5" s="17"/>
      <c r="S5" s="22"/>
      <c r="T5" s="46"/>
      <c r="U5" s="17"/>
      <c r="V5" s="17"/>
      <c r="W5" s="22"/>
      <c r="X5" s="46"/>
      <c r="Y5" s="17"/>
      <c r="Z5" s="7"/>
      <c r="AA5" s="23"/>
      <c r="AB5" s="190">
        <f t="shared" si="2"/>
        <v>3500</v>
      </c>
      <c r="AC5" s="6">
        <f t="shared" si="0"/>
        <v>3500</v>
      </c>
    </row>
    <row r="6" spans="2:31" ht="12" thickBot="1" x14ac:dyDescent="0.25">
      <c r="B6" s="159" t="s">
        <v>75</v>
      </c>
      <c r="C6" s="62">
        <v>5100</v>
      </c>
      <c r="D6" s="70">
        <v>0</v>
      </c>
      <c r="E6" s="146">
        <f>D6+C6</f>
        <v>5100</v>
      </c>
      <c r="F6" s="249">
        <f>E6/$D$123*100</f>
        <v>2.732928574107913</v>
      </c>
      <c r="G6" s="177">
        <f t="shared" si="1"/>
        <v>5100</v>
      </c>
      <c r="H6" s="28"/>
      <c r="I6" s="17"/>
      <c r="J6" s="254"/>
      <c r="K6" s="33">
        <v>300</v>
      </c>
      <c r="L6" s="33">
        <v>300</v>
      </c>
      <c r="M6" s="33">
        <v>300</v>
      </c>
      <c r="N6" s="33">
        <v>300</v>
      </c>
      <c r="O6" s="47">
        <v>300</v>
      </c>
      <c r="P6" s="35">
        <v>300</v>
      </c>
      <c r="Q6" s="33">
        <v>300</v>
      </c>
      <c r="R6" s="33">
        <v>300</v>
      </c>
      <c r="S6" s="34">
        <v>300</v>
      </c>
      <c r="T6" s="35">
        <v>300</v>
      </c>
      <c r="U6" s="33">
        <v>300</v>
      </c>
      <c r="V6" s="33">
        <v>300</v>
      </c>
      <c r="W6" s="34">
        <v>300</v>
      </c>
      <c r="X6" s="35">
        <v>300</v>
      </c>
      <c r="Y6" s="33">
        <v>300</v>
      </c>
      <c r="Z6" s="33">
        <v>300</v>
      </c>
      <c r="AA6" s="47">
        <v>300</v>
      </c>
      <c r="AB6" s="212">
        <f t="shared" si="2"/>
        <v>5100</v>
      </c>
      <c r="AC6" s="6">
        <f t="shared" si="0"/>
        <v>5100</v>
      </c>
    </row>
    <row r="7" spans="2:31" ht="12" thickBot="1" x14ac:dyDescent="0.25">
      <c r="B7" s="159" t="s">
        <v>74</v>
      </c>
      <c r="C7" s="62">
        <v>1750</v>
      </c>
      <c r="D7" s="70">
        <v>5000</v>
      </c>
      <c r="E7" s="146">
        <f>D7+C7</f>
        <v>6750</v>
      </c>
      <c r="F7" s="249">
        <f>E7/$D$123*100</f>
        <v>3.6171113480840025</v>
      </c>
      <c r="G7" s="177">
        <f t="shared" si="1"/>
        <v>6750</v>
      </c>
      <c r="H7" s="28"/>
      <c r="I7" s="17"/>
      <c r="J7" s="18"/>
      <c r="K7" s="17">
        <v>450</v>
      </c>
      <c r="L7" s="17">
        <v>450</v>
      </c>
      <c r="M7" s="17">
        <v>400</v>
      </c>
      <c r="N7" s="17">
        <v>400</v>
      </c>
      <c r="O7" s="17">
        <v>400</v>
      </c>
      <c r="P7" s="17">
        <v>750</v>
      </c>
      <c r="Q7" s="17">
        <v>400</v>
      </c>
      <c r="R7" s="17">
        <v>400</v>
      </c>
      <c r="S7" s="17">
        <v>400</v>
      </c>
      <c r="T7" s="17">
        <v>1250</v>
      </c>
      <c r="U7" s="17">
        <v>400</v>
      </c>
      <c r="V7" s="17">
        <v>400</v>
      </c>
      <c r="W7" s="17">
        <v>400</v>
      </c>
      <c r="X7" s="17">
        <v>600</v>
      </c>
      <c r="Y7" s="17">
        <v>400</v>
      </c>
      <c r="Z7" s="17">
        <v>150</v>
      </c>
      <c r="AA7" s="17"/>
      <c r="AB7" s="212">
        <f t="shared" si="2"/>
        <v>7650</v>
      </c>
      <c r="AC7" s="6">
        <f t="shared" si="0"/>
        <v>7650</v>
      </c>
      <c r="AD7" s="2">
        <f>(AC7-G7)/13</f>
        <v>69.230769230769226</v>
      </c>
    </row>
    <row r="8" spans="2:31" ht="12" thickBot="1" x14ac:dyDescent="0.25">
      <c r="B8" s="55" t="s">
        <v>26</v>
      </c>
      <c r="C8" s="62">
        <f>2107+1263</f>
        <v>3370</v>
      </c>
      <c r="D8" s="70"/>
      <c r="E8" s="146">
        <f>D8+C8</f>
        <v>3370</v>
      </c>
      <c r="F8" s="249">
        <f>E8/$D$123*100</f>
        <v>1.8058763323026799</v>
      </c>
      <c r="G8" s="177">
        <f>D8+C8</f>
        <v>3370</v>
      </c>
      <c r="H8" s="28"/>
      <c r="I8" s="17"/>
      <c r="J8" s="33">
        <f>E8</f>
        <v>3370</v>
      </c>
      <c r="K8" s="17"/>
      <c r="L8" s="17"/>
      <c r="M8" s="17"/>
      <c r="N8" s="17"/>
      <c r="O8" s="36"/>
      <c r="P8" s="28">
        <f>5398/9</f>
        <v>599.77777777777783</v>
      </c>
      <c r="Q8" s="17"/>
      <c r="R8" s="17"/>
      <c r="S8" s="22"/>
      <c r="T8" s="28"/>
      <c r="U8" s="17"/>
      <c r="V8" s="17"/>
      <c r="W8" s="22"/>
      <c r="X8" s="28"/>
      <c r="Y8" s="17"/>
      <c r="Z8" s="17"/>
      <c r="AA8" s="36"/>
      <c r="AB8" s="212">
        <f t="shared" si="2"/>
        <v>3969.7777777777778</v>
      </c>
      <c r="AC8" s="6">
        <f t="shared" si="0"/>
        <v>3969.7777777777778</v>
      </c>
    </row>
    <row r="9" spans="2:31" ht="12" thickBot="1" x14ac:dyDescent="0.25">
      <c r="B9" s="55" t="s">
        <v>18</v>
      </c>
      <c r="C9" s="62"/>
      <c r="D9" s="70"/>
      <c r="E9" s="146">
        <f>D9+C9</f>
        <v>0</v>
      </c>
      <c r="F9" s="249">
        <f>E9/$D$123*100</f>
        <v>0</v>
      </c>
      <c r="G9" s="177">
        <f t="shared" si="1"/>
        <v>0</v>
      </c>
      <c r="H9" s="28"/>
      <c r="I9" s="17"/>
      <c r="J9" s="17"/>
      <c r="K9" s="17"/>
      <c r="L9" s="17"/>
      <c r="M9" s="17"/>
      <c r="N9" s="17"/>
      <c r="O9" s="36"/>
      <c r="P9" s="28"/>
      <c r="Q9" s="17"/>
      <c r="R9" s="17"/>
      <c r="S9" s="22"/>
      <c r="T9" s="28"/>
      <c r="U9" s="17"/>
      <c r="V9" s="17"/>
      <c r="W9" s="22"/>
      <c r="X9" s="28"/>
      <c r="Y9" s="17"/>
      <c r="Z9" s="17"/>
      <c r="AA9" s="36"/>
      <c r="AB9" s="212">
        <f t="shared" si="2"/>
        <v>0</v>
      </c>
      <c r="AC9" s="6">
        <f t="shared" si="0"/>
        <v>0</v>
      </c>
    </row>
    <row r="10" spans="2:31" s="6" customFormat="1" ht="24.95" customHeight="1" thickBot="1" x14ac:dyDescent="0.25">
      <c r="B10" s="38" t="s">
        <v>15</v>
      </c>
      <c r="C10" s="37">
        <f>C11+C21+C57+C61</f>
        <v>33810.76743</v>
      </c>
      <c r="D10" s="37">
        <f>D11+D21+D57+D61</f>
        <v>101691</v>
      </c>
      <c r="E10" s="37">
        <f>E11+E21+E57+E61</f>
        <v>135501.76743000001</v>
      </c>
      <c r="F10" s="250">
        <f>F11+F21+F57+F61</f>
        <v>72.611108245406271</v>
      </c>
      <c r="G10" s="177">
        <f t="shared" si="1"/>
        <v>135501.76743000001</v>
      </c>
      <c r="H10" s="1085">
        <f>H11+H21+H57+H61</f>
        <v>24026</v>
      </c>
      <c r="I10" s="1077"/>
      <c r="J10" s="1077"/>
      <c r="K10" s="1078"/>
      <c r="L10" s="1076">
        <f>L11+L21+L57+L61</f>
        <v>65559.888888888891</v>
      </c>
      <c r="M10" s="1077"/>
      <c r="N10" s="1077"/>
      <c r="O10" s="1078"/>
      <c r="P10" s="267">
        <f>P11+P21+P57+P61</f>
        <v>29492.888888888891</v>
      </c>
      <c r="Q10" s="268"/>
      <c r="R10" s="268"/>
      <c r="S10" s="269"/>
      <c r="T10" s="1076">
        <f>T11+T21+T57+T61</f>
        <v>4623.2222222222226</v>
      </c>
      <c r="U10" s="1077"/>
      <c r="V10" s="1077"/>
      <c r="W10" s="1078"/>
      <c r="X10" s="1076">
        <f>X11+X21+X57+X61</f>
        <v>0</v>
      </c>
      <c r="Y10" s="1077"/>
      <c r="Z10" s="1077"/>
      <c r="AA10" s="1078"/>
      <c r="AB10" s="213">
        <f>AB11+AB21+AB57+AB61</f>
        <v>123702</v>
      </c>
      <c r="AC10" s="6">
        <f t="shared" si="0"/>
        <v>123702</v>
      </c>
      <c r="AD10" s="84"/>
      <c r="AE10" s="84"/>
    </row>
    <row r="11" spans="2:31" s="6" customFormat="1" ht="24.95" customHeight="1" thickBot="1" x14ac:dyDescent="0.25">
      <c r="B11" s="38" t="s">
        <v>32</v>
      </c>
      <c r="C11" s="37">
        <f>C12+C16+C20</f>
        <v>25228</v>
      </c>
      <c r="D11" s="37">
        <f>D12+D16+D20</f>
        <v>43817</v>
      </c>
      <c r="E11" s="37">
        <f>E12+E16+E20</f>
        <v>69045</v>
      </c>
      <c r="F11" s="37">
        <f>F12+F16+F20</f>
        <v>36.999030078290367</v>
      </c>
      <c r="G11" s="37">
        <f>G12+G16+G20</f>
        <v>69045</v>
      </c>
      <c r="H11" s="1085">
        <f>SUM(H12:K20)</f>
        <v>11100</v>
      </c>
      <c r="I11" s="1077"/>
      <c r="J11" s="1077"/>
      <c r="K11" s="1078"/>
      <c r="L11" s="1076">
        <f>SUM(L12:O20)</f>
        <v>34828.888888888891</v>
      </c>
      <c r="M11" s="1077"/>
      <c r="N11" s="1077"/>
      <c r="O11" s="1078"/>
      <c r="P11" s="267">
        <f>SUM(P12:S20)</f>
        <v>18492.888888888891</v>
      </c>
      <c r="Q11" s="268"/>
      <c r="R11" s="268"/>
      <c r="S11" s="269"/>
      <c r="T11" s="1076">
        <f>SUM(T12:W20)</f>
        <v>4623.2222222222226</v>
      </c>
      <c r="U11" s="1077"/>
      <c r="V11" s="1077"/>
      <c r="W11" s="1078"/>
      <c r="X11" s="1076">
        <f>SUM(X12:AA20)</f>
        <v>0</v>
      </c>
      <c r="Y11" s="1077"/>
      <c r="Z11" s="1077"/>
      <c r="AA11" s="1078"/>
      <c r="AB11" s="214">
        <f>H11+L11+P11+T11</f>
        <v>69045</v>
      </c>
      <c r="AC11" s="6">
        <f t="shared" si="0"/>
        <v>69045</v>
      </c>
      <c r="AD11" s="84"/>
      <c r="AE11" s="84"/>
    </row>
    <row r="12" spans="2:31" s="8" customFormat="1" ht="15" customHeight="1" thickBot="1" x14ac:dyDescent="0.25">
      <c r="B12" s="52" t="s">
        <v>36</v>
      </c>
      <c r="C12" s="60">
        <f>SUM(C13:C15)</f>
        <v>750</v>
      </c>
      <c r="D12" s="69">
        <v>19336</v>
      </c>
      <c r="E12" s="146">
        <f t="shared" ref="E12:E20" si="3">D12+C12</f>
        <v>20086</v>
      </c>
      <c r="F12" s="249">
        <f t="shared" ref="F12:F20" si="4">E12/$D$123*100</f>
        <v>10.763451635202264</v>
      </c>
      <c r="G12" s="177">
        <f t="shared" si="1"/>
        <v>20086</v>
      </c>
      <c r="H12" s="29"/>
      <c r="I12" s="19"/>
      <c r="J12" s="20"/>
      <c r="K12" s="24">
        <v>3000</v>
      </c>
      <c r="L12" s="29">
        <v>5000</v>
      </c>
      <c r="M12" s="19">
        <v>5000</v>
      </c>
      <c r="N12" s="19">
        <v>4000</v>
      </c>
      <c r="O12" s="36">
        <v>2336</v>
      </c>
      <c r="P12" s="28"/>
      <c r="Q12" s="19"/>
      <c r="R12" s="19"/>
      <c r="S12" s="24"/>
      <c r="T12" s="29"/>
      <c r="U12" s="19"/>
      <c r="V12" s="19"/>
      <c r="W12" s="24"/>
      <c r="X12" s="29"/>
      <c r="Y12" s="19"/>
      <c r="Z12" s="19"/>
      <c r="AA12" s="24"/>
      <c r="AB12" s="168">
        <f t="shared" ref="AB12:AB19" si="5">SUM(H12:AA12)</f>
        <v>19336</v>
      </c>
      <c r="AC12" s="6">
        <f t="shared" si="0"/>
        <v>19336</v>
      </c>
    </row>
    <row r="13" spans="2:31" ht="12" thickBot="1" x14ac:dyDescent="0.25">
      <c r="B13" s="49" t="s">
        <v>4</v>
      </c>
      <c r="C13" s="58"/>
      <c r="D13" s="67"/>
      <c r="E13" s="146">
        <f t="shared" si="3"/>
        <v>0</v>
      </c>
      <c r="F13" s="249">
        <f t="shared" si="4"/>
        <v>0</v>
      </c>
      <c r="G13" s="177">
        <f t="shared" si="1"/>
        <v>0</v>
      </c>
      <c r="H13" s="28"/>
      <c r="I13" s="17"/>
      <c r="J13" s="17"/>
      <c r="K13" s="22"/>
      <c r="L13" s="28"/>
      <c r="M13" s="17"/>
      <c r="N13" s="17"/>
      <c r="O13" s="36"/>
      <c r="P13" s="28"/>
      <c r="Q13" s="17"/>
      <c r="R13" s="17"/>
      <c r="S13" s="22"/>
      <c r="T13" s="28"/>
      <c r="U13" s="17"/>
      <c r="V13" s="17"/>
      <c r="W13" s="22"/>
      <c r="X13" s="28"/>
      <c r="Y13" s="17"/>
      <c r="Z13" s="17"/>
      <c r="AA13" s="22"/>
      <c r="AB13" s="168">
        <f t="shared" si="5"/>
        <v>0</v>
      </c>
      <c r="AC13" s="6">
        <f t="shared" si="0"/>
        <v>0</v>
      </c>
    </row>
    <row r="14" spans="2:31" ht="12" thickBot="1" x14ac:dyDescent="0.25">
      <c r="B14" s="49" t="s">
        <v>6</v>
      </c>
      <c r="C14" s="59">
        <v>750</v>
      </c>
      <c r="D14" s="67"/>
      <c r="E14" s="146">
        <f t="shared" si="3"/>
        <v>750</v>
      </c>
      <c r="F14" s="249">
        <f t="shared" si="4"/>
        <v>0.40190126089822253</v>
      </c>
      <c r="G14" s="177">
        <f t="shared" si="1"/>
        <v>750</v>
      </c>
      <c r="H14" s="28"/>
      <c r="I14" s="33">
        <v>750</v>
      </c>
      <c r="J14" s="17"/>
      <c r="K14" s="22"/>
      <c r="L14" s="28"/>
      <c r="M14" s="17"/>
      <c r="N14" s="17"/>
      <c r="O14" s="36"/>
      <c r="P14" s="28"/>
      <c r="Q14" s="17"/>
      <c r="R14" s="17"/>
      <c r="S14" s="22"/>
      <c r="T14" s="28"/>
      <c r="U14" s="17"/>
      <c r="V14" s="17"/>
      <c r="W14" s="22"/>
      <c r="X14" s="28"/>
      <c r="Y14" s="17"/>
      <c r="Z14" s="17"/>
      <c r="AA14" s="22"/>
      <c r="AB14" s="168">
        <f t="shared" si="5"/>
        <v>750</v>
      </c>
      <c r="AC14" s="6">
        <f t="shared" si="0"/>
        <v>750</v>
      </c>
    </row>
    <row r="15" spans="2:31" ht="12" thickBot="1" x14ac:dyDescent="0.25">
      <c r="B15" s="50" t="s">
        <v>5</v>
      </c>
      <c r="C15" s="59"/>
      <c r="D15" s="67">
        <v>19336</v>
      </c>
      <c r="E15" s="146">
        <f t="shared" si="3"/>
        <v>19336</v>
      </c>
      <c r="F15" s="249">
        <f t="shared" si="4"/>
        <v>10.361550374304041</v>
      </c>
      <c r="G15" s="177">
        <f t="shared" si="1"/>
        <v>19336</v>
      </c>
      <c r="H15" s="28"/>
      <c r="I15" s="17"/>
      <c r="J15" s="17"/>
      <c r="K15" s="22"/>
      <c r="L15" s="28"/>
      <c r="M15" s="17"/>
      <c r="N15" s="17"/>
      <c r="O15" s="36"/>
      <c r="P15" s="28"/>
      <c r="Q15" s="17"/>
      <c r="R15" s="17"/>
      <c r="S15" s="22"/>
      <c r="T15" s="28"/>
      <c r="U15" s="17"/>
      <c r="V15" s="17"/>
      <c r="W15" s="22"/>
      <c r="X15" s="28"/>
      <c r="Y15" s="17"/>
      <c r="Z15" s="17"/>
      <c r="AA15" s="22"/>
      <c r="AB15" s="168">
        <f t="shared" si="5"/>
        <v>0</v>
      </c>
      <c r="AC15" s="6">
        <f t="shared" si="0"/>
        <v>0</v>
      </c>
    </row>
    <row r="16" spans="2:31" s="8" customFormat="1" ht="15" customHeight="1" thickBot="1" x14ac:dyDescent="0.25">
      <c r="B16" s="52" t="s">
        <v>82</v>
      </c>
      <c r="C16" s="60">
        <v>7350</v>
      </c>
      <c r="D16" s="69"/>
      <c r="E16" s="146">
        <f t="shared" si="3"/>
        <v>7350</v>
      </c>
      <c r="F16" s="249">
        <f t="shared" si="4"/>
        <v>3.9386323568025809</v>
      </c>
      <c r="G16" s="177">
        <f t="shared" si="1"/>
        <v>7350</v>
      </c>
      <c r="H16" s="215">
        <v>2000</v>
      </c>
      <c r="I16" s="163">
        <v>2000</v>
      </c>
      <c r="J16" s="163">
        <v>2000</v>
      </c>
      <c r="K16" s="179">
        <v>1350</v>
      </c>
      <c r="L16" s="164"/>
      <c r="M16" s="180"/>
      <c r="N16" s="180"/>
      <c r="O16" s="181"/>
      <c r="P16" s="182"/>
      <c r="Q16" s="180"/>
      <c r="R16" s="180"/>
      <c r="S16" s="183"/>
      <c r="T16" s="182"/>
      <c r="U16" s="180"/>
      <c r="V16" s="180"/>
      <c r="W16" s="183"/>
      <c r="X16" s="182"/>
      <c r="Y16" s="180"/>
      <c r="Z16" s="180"/>
      <c r="AA16" s="183"/>
      <c r="AB16" s="168">
        <f t="shared" si="5"/>
        <v>7350</v>
      </c>
      <c r="AC16" s="6">
        <f t="shared" ref="AC16:AC44" si="6">SUM(H16:AA16)</f>
        <v>7350</v>
      </c>
    </row>
    <row r="17" spans="2:32" s="135" customFormat="1" ht="12" thickBot="1" x14ac:dyDescent="0.25">
      <c r="B17" s="169" t="s">
        <v>4</v>
      </c>
      <c r="C17" s="170"/>
      <c r="D17" s="171"/>
      <c r="E17" s="146">
        <f t="shared" si="3"/>
        <v>0</v>
      </c>
      <c r="F17" s="249">
        <f t="shared" si="4"/>
        <v>0</v>
      </c>
      <c r="G17" s="177">
        <f t="shared" si="1"/>
        <v>0</v>
      </c>
      <c r="H17" s="164"/>
      <c r="I17" s="165"/>
      <c r="J17" s="165"/>
      <c r="K17" s="167"/>
      <c r="L17" s="164"/>
      <c r="M17" s="165"/>
      <c r="N17" s="165"/>
      <c r="O17" s="166"/>
      <c r="P17" s="164"/>
      <c r="Q17" s="165"/>
      <c r="R17" s="165"/>
      <c r="S17" s="167"/>
      <c r="T17" s="164"/>
      <c r="U17" s="165"/>
      <c r="V17" s="165"/>
      <c r="W17" s="167"/>
      <c r="X17" s="164"/>
      <c r="Y17" s="165"/>
      <c r="Z17" s="165"/>
      <c r="AA17" s="167"/>
      <c r="AB17" s="168">
        <f t="shared" si="5"/>
        <v>0</v>
      </c>
      <c r="AC17" s="6">
        <f t="shared" si="6"/>
        <v>0</v>
      </c>
    </row>
    <row r="18" spans="2:32" s="135" customFormat="1" ht="12" thickBot="1" x14ac:dyDescent="0.25">
      <c r="B18" s="499" t="s">
        <v>6</v>
      </c>
      <c r="C18" s="175"/>
      <c r="D18" s="171"/>
      <c r="E18" s="146">
        <f t="shared" si="3"/>
        <v>0</v>
      </c>
      <c r="F18" s="249">
        <f t="shared" si="4"/>
        <v>0</v>
      </c>
      <c r="G18" s="177">
        <f t="shared" si="1"/>
        <v>0</v>
      </c>
      <c r="H18" s="164"/>
      <c r="I18" s="165"/>
      <c r="J18" s="165"/>
      <c r="K18" s="167"/>
      <c r="L18" s="164"/>
      <c r="M18" s="165"/>
      <c r="N18" s="165"/>
      <c r="O18" s="166"/>
      <c r="P18" s="164"/>
      <c r="Q18" s="165"/>
      <c r="R18" s="165"/>
      <c r="S18" s="167"/>
      <c r="T18" s="164"/>
      <c r="U18" s="165"/>
      <c r="V18" s="165"/>
      <c r="W18" s="167"/>
      <c r="X18" s="164"/>
      <c r="Y18" s="165"/>
      <c r="Z18" s="165"/>
      <c r="AA18" s="167"/>
      <c r="AB18" s="168">
        <f t="shared" si="5"/>
        <v>0</v>
      </c>
      <c r="AC18" s="6">
        <f t="shared" si="6"/>
        <v>0</v>
      </c>
    </row>
    <row r="19" spans="2:32" s="135" customFormat="1" ht="12" thickBot="1" x14ac:dyDescent="0.25">
      <c r="B19" s="174" t="s">
        <v>5</v>
      </c>
      <c r="C19" s="175"/>
      <c r="D19" s="171"/>
      <c r="E19" s="146">
        <f t="shared" si="3"/>
        <v>0</v>
      </c>
      <c r="F19" s="249">
        <f t="shared" si="4"/>
        <v>0</v>
      </c>
      <c r="G19" s="177">
        <f t="shared" si="1"/>
        <v>0</v>
      </c>
      <c r="H19" s="164"/>
      <c r="I19" s="165"/>
      <c r="J19" s="165"/>
      <c r="K19" s="167"/>
      <c r="L19" s="164"/>
      <c r="M19" s="165"/>
      <c r="N19" s="165"/>
      <c r="O19" s="166"/>
      <c r="P19" s="164"/>
      <c r="Q19" s="165"/>
      <c r="R19" s="165"/>
      <c r="S19" s="167"/>
      <c r="T19" s="164"/>
      <c r="U19" s="165"/>
      <c r="V19" s="165"/>
      <c r="W19" s="167"/>
      <c r="X19" s="164"/>
      <c r="Y19" s="165"/>
      <c r="Z19" s="165"/>
      <c r="AA19" s="167"/>
      <c r="AB19" s="168">
        <f t="shared" si="5"/>
        <v>0</v>
      </c>
      <c r="AC19" s="6">
        <f t="shared" si="6"/>
        <v>0</v>
      </c>
    </row>
    <row r="20" spans="2:32" ht="12" thickBot="1" x14ac:dyDescent="0.25">
      <c r="B20" s="85" t="s">
        <v>43</v>
      </c>
      <c r="C20" s="56">
        <f>900+10848-475+641-2227-5340+1200+22691-6950-400-3000-700+450-510</f>
        <v>17128</v>
      </c>
      <c r="D20" s="65">
        <f>15000+14131-28262+3248+700+19664</f>
        <v>24481</v>
      </c>
      <c r="E20" s="146">
        <f t="shared" si="3"/>
        <v>41609</v>
      </c>
      <c r="F20" s="249">
        <f t="shared" si="4"/>
        <v>22.296946086285523</v>
      </c>
      <c r="G20" s="177">
        <f t="shared" ref="G20:G50" si="7">D20+C20</f>
        <v>41609</v>
      </c>
      <c r="H20" s="40"/>
      <c r="I20" s="41"/>
      <c r="J20" s="41"/>
      <c r="K20" s="42"/>
      <c r="L20" s="40">
        <f t="shared" ref="L20:T20" si="8">$E$20/9</f>
        <v>4623.2222222222226</v>
      </c>
      <c r="M20" s="40">
        <f t="shared" si="8"/>
        <v>4623.2222222222226</v>
      </c>
      <c r="N20" s="40">
        <f t="shared" si="8"/>
        <v>4623.2222222222226</v>
      </c>
      <c r="O20" s="40">
        <f t="shared" si="8"/>
        <v>4623.2222222222226</v>
      </c>
      <c r="P20" s="40">
        <f t="shared" si="8"/>
        <v>4623.2222222222226</v>
      </c>
      <c r="Q20" s="40">
        <f t="shared" si="8"/>
        <v>4623.2222222222226</v>
      </c>
      <c r="R20" s="40">
        <f t="shared" si="8"/>
        <v>4623.2222222222226</v>
      </c>
      <c r="S20" s="40">
        <f t="shared" si="8"/>
        <v>4623.2222222222226</v>
      </c>
      <c r="T20" s="40">
        <f t="shared" si="8"/>
        <v>4623.2222222222226</v>
      </c>
      <c r="U20" s="17"/>
      <c r="V20" s="17"/>
      <c r="W20" s="22"/>
      <c r="X20" s="28"/>
      <c r="Y20" s="17"/>
      <c r="Z20" s="17"/>
      <c r="AA20" s="22"/>
      <c r="AB20" s="168">
        <f>E20</f>
        <v>41609</v>
      </c>
      <c r="AC20" s="6">
        <f t="shared" si="6"/>
        <v>41609</v>
      </c>
    </row>
    <row r="21" spans="2:32" s="6" customFormat="1" ht="24.95" customHeight="1" thickBot="1" x14ac:dyDescent="0.25">
      <c r="B21" s="38" t="s">
        <v>33</v>
      </c>
      <c r="C21" s="37">
        <f>SUM(C23:C56)</f>
        <v>6731.7674299999999</v>
      </c>
      <c r="D21" s="37">
        <f>SUM(D23:D56)</f>
        <v>8957</v>
      </c>
      <c r="E21" s="37">
        <f>SUM(E23:E56)</f>
        <v>15688.76743</v>
      </c>
      <c r="F21" s="250">
        <f>SUM(F23:F56)</f>
        <v>8.4071138827412888</v>
      </c>
      <c r="G21" s="177">
        <f t="shared" si="7"/>
        <v>15688.76743</v>
      </c>
      <c r="H21" s="1085">
        <f>SUM(H23:K56)</f>
        <v>11075</v>
      </c>
      <c r="I21" s="1077"/>
      <c r="J21" s="1077"/>
      <c r="K21" s="1078"/>
      <c r="L21" s="1076">
        <f>SUM(L23:O56)</f>
        <v>4614</v>
      </c>
      <c r="M21" s="1077"/>
      <c r="N21" s="1077"/>
      <c r="O21" s="1078"/>
      <c r="P21" s="267">
        <f>SUM(P23:S56)</f>
        <v>0</v>
      </c>
      <c r="Q21" s="268"/>
      <c r="R21" s="268"/>
      <c r="S21" s="269"/>
      <c r="T21" s="1076">
        <f>SUM(T23:W56)</f>
        <v>0</v>
      </c>
      <c r="U21" s="1077"/>
      <c r="V21" s="1077"/>
      <c r="W21" s="1078"/>
      <c r="X21" s="1076">
        <f>SUM(X23:AA56)</f>
        <v>0</v>
      </c>
      <c r="Y21" s="1077"/>
      <c r="Z21" s="1077"/>
      <c r="AA21" s="1078"/>
      <c r="AB21" s="214">
        <f>H21+L21+P21+T21</f>
        <v>15689</v>
      </c>
      <c r="AC21" s="6">
        <f t="shared" si="6"/>
        <v>15689</v>
      </c>
      <c r="AD21" s="84"/>
      <c r="AE21" s="84"/>
      <c r="AF21" s="6">
        <f>C21+D21</f>
        <v>15688.76743</v>
      </c>
    </row>
    <row r="22" spans="2:32" s="6" customFormat="1" ht="15" customHeight="1" x14ac:dyDescent="0.2">
      <c r="B22" s="48" t="s">
        <v>39</v>
      </c>
      <c r="C22" s="57">
        <f>C31+C34+C37+C41+C45+C49+C53+C56+C27+C23</f>
        <v>6731.7674299999999</v>
      </c>
      <c r="D22" s="57">
        <f>D31+D34+D37+D41+D45+D49+D53+D56+D27+D23</f>
        <v>8957</v>
      </c>
      <c r="E22" s="57">
        <f>E31+E34+E37+E41+E45+E49+E53+E56+E27+E23</f>
        <v>15688.76743</v>
      </c>
      <c r="F22" s="57">
        <f>F31+F34+F37+F41+F45+F49+F53+F56+F27+F23</f>
        <v>8.4071138827412888</v>
      </c>
      <c r="G22" s="177">
        <f t="shared" si="7"/>
        <v>15688.76743</v>
      </c>
      <c r="H22" s="1079">
        <f>SUM(H23:K56)</f>
        <v>11075</v>
      </c>
      <c r="I22" s="1080"/>
      <c r="J22" s="1080"/>
      <c r="K22" s="1081"/>
      <c r="L22" s="1079">
        <f>SUM(L23:O56)</f>
        <v>4614</v>
      </c>
      <c r="M22" s="1080"/>
      <c r="N22" s="1080"/>
      <c r="O22" s="1081"/>
      <c r="P22" s="270">
        <f>SUM(P31:S56)</f>
        <v>0</v>
      </c>
      <c r="Q22" s="271"/>
      <c r="R22" s="271"/>
      <c r="S22" s="272"/>
      <c r="T22" s="1079">
        <f>SUM(T31:W56)</f>
        <v>0</v>
      </c>
      <c r="U22" s="1080"/>
      <c r="V22" s="1080"/>
      <c r="W22" s="1081"/>
      <c r="X22" s="1079">
        <f>SUM(X31:AA56)</f>
        <v>0</v>
      </c>
      <c r="Y22" s="1080"/>
      <c r="Z22" s="1080"/>
      <c r="AA22" s="1081"/>
      <c r="AB22" s="216"/>
      <c r="AC22" s="6">
        <f t="shared" si="6"/>
        <v>15689</v>
      </c>
    </row>
    <row r="23" spans="2:32" s="135" customFormat="1" ht="12" thickBot="1" x14ac:dyDescent="0.25">
      <c r="B23" s="160" t="s">
        <v>118</v>
      </c>
      <c r="C23" s="161">
        <v>3162</v>
      </c>
      <c r="D23" s="162">
        <f>SUM(D24:D26)</f>
        <v>0</v>
      </c>
      <c r="E23" s="146">
        <f>D23+C23</f>
        <v>3162</v>
      </c>
      <c r="F23" s="249">
        <f t="shared" ref="F23:F30" si="9">E23/$D$123*100</f>
        <v>1.694415715946906</v>
      </c>
      <c r="G23" s="177">
        <f t="shared" si="7"/>
        <v>3162</v>
      </c>
      <c r="H23" s="215">
        <v>2000</v>
      </c>
      <c r="I23" s="163">
        <v>1162</v>
      </c>
      <c r="J23" s="165"/>
      <c r="K23" s="167"/>
      <c r="L23" s="164"/>
      <c r="M23" s="165"/>
      <c r="N23" s="165"/>
      <c r="O23" s="166"/>
      <c r="P23" s="164"/>
      <c r="Q23" s="165"/>
      <c r="R23" s="165"/>
      <c r="S23" s="167"/>
      <c r="T23" s="164"/>
      <c r="U23" s="165"/>
      <c r="V23" s="165"/>
      <c r="W23" s="167"/>
      <c r="X23" s="164"/>
      <c r="Y23" s="165"/>
      <c r="Z23" s="165"/>
      <c r="AA23" s="167"/>
      <c r="AB23" s="168">
        <f t="shared" ref="AB23:AB56" si="10">SUM(H23:AA23)</f>
        <v>3162</v>
      </c>
      <c r="AC23" s="6">
        <f t="shared" si="6"/>
        <v>3162</v>
      </c>
    </row>
    <row r="24" spans="2:32" s="135" customFormat="1" ht="12" thickBot="1" x14ac:dyDescent="0.25">
      <c r="B24" s="169" t="s">
        <v>4</v>
      </c>
      <c r="C24" s="170"/>
      <c r="D24" s="171"/>
      <c r="E24" s="146">
        <f>D24+C24</f>
        <v>0</v>
      </c>
      <c r="F24" s="249">
        <f t="shared" si="9"/>
        <v>0</v>
      </c>
      <c r="G24" s="177">
        <f t="shared" si="7"/>
        <v>0</v>
      </c>
      <c r="H24" s="164"/>
      <c r="I24" s="165"/>
      <c r="J24" s="165"/>
      <c r="K24" s="167"/>
      <c r="L24" s="164"/>
      <c r="M24" s="165"/>
      <c r="N24" s="165"/>
      <c r="O24" s="166"/>
      <c r="P24" s="164"/>
      <c r="Q24" s="165"/>
      <c r="R24" s="165"/>
      <c r="S24" s="167"/>
      <c r="T24" s="164"/>
      <c r="U24" s="165"/>
      <c r="V24" s="165"/>
      <c r="W24" s="167"/>
      <c r="X24" s="164"/>
      <c r="Y24" s="165"/>
      <c r="Z24" s="165"/>
      <c r="AA24" s="167"/>
      <c r="AB24" s="168">
        <f t="shared" si="10"/>
        <v>0</v>
      </c>
      <c r="AC24" s="6">
        <f t="shared" si="6"/>
        <v>0</v>
      </c>
    </row>
    <row r="25" spans="2:32" s="135" customFormat="1" ht="12" thickBot="1" x14ac:dyDescent="0.25">
      <c r="B25" s="169" t="s">
        <v>6</v>
      </c>
      <c r="C25" s="170"/>
      <c r="D25" s="171"/>
      <c r="E25" s="146">
        <f>D25+C25</f>
        <v>0</v>
      </c>
      <c r="F25" s="249">
        <f t="shared" si="9"/>
        <v>0</v>
      </c>
      <c r="G25" s="177">
        <f t="shared" si="7"/>
        <v>0</v>
      </c>
      <c r="H25" s="164"/>
      <c r="I25" s="165"/>
      <c r="J25" s="165"/>
      <c r="K25" s="167"/>
      <c r="L25" s="164"/>
      <c r="M25" s="165"/>
      <c r="N25" s="165"/>
      <c r="O25" s="166"/>
      <c r="P25" s="164"/>
      <c r="Q25" s="165"/>
      <c r="R25" s="165"/>
      <c r="S25" s="167"/>
      <c r="T25" s="164"/>
      <c r="U25" s="165"/>
      <c r="V25" s="165"/>
      <c r="W25" s="167"/>
      <c r="X25" s="164"/>
      <c r="Y25" s="165"/>
      <c r="Z25" s="165"/>
      <c r="AA25" s="167"/>
      <c r="AB25" s="168">
        <f t="shared" si="10"/>
        <v>0</v>
      </c>
      <c r="AC25" s="6">
        <f t="shared" si="6"/>
        <v>0</v>
      </c>
    </row>
    <row r="26" spans="2:32" s="135" customFormat="1" x14ac:dyDescent="0.2">
      <c r="B26" s="174" t="s">
        <v>5</v>
      </c>
      <c r="C26" s="175"/>
      <c r="D26" s="171"/>
      <c r="E26" s="176"/>
      <c r="F26" s="249">
        <f t="shared" si="9"/>
        <v>0</v>
      </c>
      <c r="G26" s="177">
        <f t="shared" si="7"/>
        <v>0</v>
      </c>
      <c r="H26" s="164"/>
      <c r="I26" s="165"/>
      <c r="J26" s="165"/>
      <c r="K26" s="167"/>
      <c r="L26" s="164"/>
      <c r="M26" s="165"/>
      <c r="N26" s="165"/>
      <c r="O26" s="166"/>
      <c r="P26" s="164"/>
      <c r="Q26" s="165"/>
      <c r="R26" s="165"/>
      <c r="S26" s="167"/>
      <c r="T26" s="164"/>
      <c r="U26" s="165"/>
      <c r="V26" s="165"/>
      <c r="W26" s="167"/>
      <c r="X26" s="164"/>
      <c r="Y26" s="165"/>
      <c r="Z26" s="165"/>
      <c r="AA26" s="167"/>
      <c r="AB26" s="168">
        <f t="shared" si="10"/>
        <v>0</v>
      </c>
      <c r="AC26" s="6">
        <f t="shared" si="6"/>
        <v>0</v>
      </c>
    </row>
    <row r="27" spans="2:32" s="135" customFormat="1" x14ac:dyDescent="0.2">
      <c r="B27" s="160" t="s">
        <v>119</v>
      </c>
      <c r="C27" s="161">
        <f>E27</f>
        <v>3569.7674300000003</v>
      </c>
      <c r="D27" s="162">
        <f>SUM(D28:D30)</f>
        <v>0</v>
      </c>
      <c r="E27" s="221">
        <f>3569767.43/1000</f>
        <v>3569.7674300000003</v>
      </c>
      <c r="F27" s="249">
        <f t="shared" si="9"/>
        <v>1.9129253749738766</v>
      </c>
      <c r="G27" s="177">
        <f>D27+C27</f>
        <v>3569.7674300000003</v>
      </c>
      <c r="H27" s="215">
        <v>2000</v>
      </c>
      <c r="I27" s="163">
        <v>1570</v>
      </c>
      <c r="J27" s="165"/>
      <c r="K27" s="167"/>
      <c r="L27" s="164"/>
      <c r="M27" s="165"/>
      <c r="N27" s="165"/>
      <c r="O27" s="166"/>
      <c r="P27" s="164"/>
      <c r="Q27" s="165"/>
      <c r="R27" s="165"/>
      <c r="S27" s="167"/>
      <c r="T27" s="164"/>
      <c r="U27" s="165"/>
      <c r="V27" s="165"/>
      <c r="W27" s="167"/>
      <c r="X27" s="164"/>
      <c r="Y27" s="165"/>
      <c r="Z27" s="165"/>
      <c r="AA27" s="167"/>
      <c r="AB27" s="168">
        <f t="shared" si="10"/>
        <v>3570</v>
      </c>
      <c r="AC27" s="6">
        <f t="shared" si="6"/>
        <v>3570</v>
      </c>
    </row>
    <row r="28" spans="2:32" s="135" customFormat="1" x14ac:dyDescent="0.2">
      <c r="B28" s="169" t="s">
        <v>4</v>
      </c>
      <c r="C28" s="170"/>
      <c r="D28" s="171"/>
      <c r="E28" s="172"/>
      <c r="F28" s="249">
        <f t="shared" si="9"/>
        <v>0</v>
      </c>
      <c r="G28" s="177">
        <f>D28+C28</f>
        <v>0</v>
      </c>
      <c r="H28" s="164"/>
      <c r="I28" s="165"/>
      <c r="J28" s="165"/>
      <c r="K28" s="167"/>
      <c r="L28" s="164"/>
      <c r="M28" s="165"/>
      <c r="N28" s="165"/>
      <c r="O28" s="166"/>
      <c r="P28" s="164"/>
      <c r="Q28" s="165"/>
      <c r="R28" s="165"/>
      <c r="S28" s="167"/>
      <c r="T28" s="164"/>
      <c r="U28" s="165"/>
      <c r="V28" s="165"/>
      <c r="W28" s="167"/>
      <c r="X28" s="164"/>
      <c r="Y28" s="165"/>
      <c r="Z28" s="165"/>
      <c r="AA28" s="167"/>
      <c r="AB28" s="168">
        <f t="shared" si="10"/>
        <v>0</v>
      </c>
      <c r="AC28" s="6">
        <f t="shared" si="6"/>
        <v>0</v>
      </c>
    </row>
    <row r="29" spans="2:32" s="135" customFormat="1" x14ac:dyDescent="0.2">
      <c r="B29" s="169" t="s">
        <v>6</v>
      </c>
      <c r="C29" s="170"/>
      <c r="D29" s="171"/>
      <c r="E29" s="172"/>
      <c r="F29" s="249">
        <f t="shared" si="9"/>
        <v>0</v>
      </c>
      <c r="G29" s="177">
        <f>D29+C29</f>
        <v>0</v>
      </c>
      <c r="H29" s="164"/>
      <c r="I29" s="165"/>
      <c r="J29" s="165"/>
      <c r="K29" s="167"/>
      <c r="L29" s="164"/>
      <c r="M29" s="165"/>
      <c r="N29" s="165"/>
      <c r="O29" s="166"/>
      <c r="P29" s="164"/>
      <c r="Q29" s="165"/>
      <c r="R29" s="165"/>
      <c r="S29" s="167"/>
      <c r="T29" s="164"/>
      <c r="U29" s="165"/>
      <c r="V29" s="165"/>
      <c r="W29" s="167"/>
      <c r="X29" s="164"/>
      <c r="Y29" s="165"/>
      <c r="Z29" s="165"/>
      <c r="AA29" s="167"/>
      <c r="AB29" s="168">
        <f t="shared" si="10"/>
        <v>0</v>
      </c>
      <c r="AC29" s="6">
        <f t="shared" si="6"/>
        <v>0</v>
      </c>
    </row>
    <row r="30" spans="2:32" s="135" customFormat="1" x14ac:dyDescent="0.2">
      <c r="B30" s="174" t="s">
        <v>5</v>
      </c>
      <c r="C30" s="175"/>
      <c r="D30" s="171"/>
      <c r="E30" s="176"/>
      <c r="F30" s="249">
        <f t="shared" si="9"/>
        <v>0</v>
      </c>
      <c r="G30" s="177">
        <f>D30+C30</f>
        <v>0</v>
      </c>
      <c r="H30" s="164"/>
      <c r="I30" s="165"/>
      <c r="J30" s="165"/>
      <c r="K30" s="167"/>
      <c r="L30" s="164"/>
      <c r="M30" s="165"/>
      <c r="N30" s="165"/>
      <c r="O30" s="166"/>
      <c r="P30" s="164"/>
      <c r="Q30" s="165"/>
      <c r="R30" s="165"/>
      <c r="S30" s="167"/>
      <c r="T30" s="164"/>
      <c r="U30" s="165"/>
      <c r="V30" s="165"/>
      <c r="W30" s="167"/>
      <c r="X30" s="164"/>
      <c r="Y30" s="165"/>
      <c r="Z30" s="165"/>
      <c r="AA30" s="167"/>
      <c r="AB30" s="168">
        <f t="shared" si="10"/>
        <v>0</v>
      </c>
      <c r="AC30" s="6">
        <f t="shared" si="6"/>
        <v>0</v>
      </c>
    </row>
    <row r="31" spans="2:32" x14ac:dyDescent="0.2">
      <c r="B31" s="87" t="s">
        <v>120</v>
      </c>
      <c r="C31" s="57"/>
      <c r="D31" s="66">
        <v>2340</v>
      </c>
      <c r="E31" s="71">
        <v>2340</v>
      </c>
      <c r="F31" s="249">
        <f t="shared" ref="F31:F56" si="11">E31/$D$123*100</f>
        <v>1.2539319340024544</v>
      </c>
      <c r="G31" s="177">
        <f t="shared" si="7"/>
        <v>2340</v>
      </c>
      <c r="H31" s="28"/>
      <c r="I31" s="2"/>
      <c r="J31" s="18"/>
      <c r="K31" s="17">
        <v>1404</v>
      </c>
      <c r="L31" s="22">
        <v>936</v>
      </c>
      <c r="M31" s="17"/>
      <c r="N31" s="17"/>
      <c r="O31" s="36"/>
      <c r="P31" s="28"/>
      <c r="Q31" s="17"/>
      <c r="R31" s="17"/>
      <c r="S31" s="22"/>
      <c r="T31" s="28"/>
      <c r="U31" s="17"/>
      <c r="V31" s="17"/>
      <c r="W31" s="22"/>
      <c r="X31" s="28"/>
      <c r="Y31" s="17"/>
      <c r="Z31" s="17"/>
      <c r="AA31" s="22"/>
      <c r="AB31" s="168">
        <f t="shared" si="10"/>
        <v>2340</v>
      </c>
      <c r="AC31" s="6">
        <f t="shared" si="6"/>
        <v>2340</v>
      </c>
    </row>
    <row r="32" spans="2:32" x14ac:dyDescent="0.2">
      <c r="B32" s="49" t="s">
        <v>16</v>
      </c>
      <c r="C32" s="57">
        <f t="shared" ref="C32:C56" si="12">0.37*E32</f>
        <v>0</v>
      </c>
      <c r="D32" s="67"/>
      <c r="E32" s="72"/>
      <c r="F32" s="249">
        <f t="shared" si="11"/>
        <v>0</v>
      </c>
      <c r="G32" s="177">
        <f t="shared" si="7"/>
        <v>0</v>
      </c>
      <c r="H32" s="28"/>
      <c r="I32" s="17"/>
      <c r="J32" s="17"/>
      <c r="K32" s="22"/>
      <c r="L32" s="28"/>
      <c r="M32" s="17"/>
      <c r="N32" s="17"/>
      <c r="O32" s="36"/>
      <c r="P32" s="28"/>
      <c r="Q32" s="17"/>
      <c r="R32" s="17"/>
      <c r="S32" s="22"/>
      <c r="T32" s="28"/>
      <c r="U32" s="17"/>
      <c r="V32" s="17"/>
      <c r="W32" s="22"/>
      <c r="X32" s="28"/>
      <c r="Y32" s="17"/>
      <c r="Z32" s="17"/>
      <c r="AA32" s="22"/>
      <c r="AB32" s="168">
        <f t="shared" si="10"/>
        <v>0</v>
      </c>
      <c r="AC32" s="6">
        <f t="shared" si="6"/>
        <v>0</v>
      </c>
    </row>
    <row r="33" spans="2:29" x14ac:dyDescent="0.2">
      <c r="B33" s="50" t="s">
        <v>5</v>
      </c>
      <c r="C33" s="57">
        <f t="shared" si="12"/>
        <v>0</v>
      </c>
      <c r="D33" s="66">
        <f t="shared" ref="D33:D56" si="13">0.63*E33</f>
        <v>0</v>
      </c>
      <c r="E33" s="72"/>
      <c r="F33" s="249">
        <f t="shared" si="11"/>
        <v>0</v>
      </c>
      <c r="G33" s="177">
        <f t="shared" si="7"/>
        <v>0</v>
      </c>
      <c r="H33" s="28"/>
      <c r="I33" s="17"/>
      <c r="J33" s="17"/>
      <c r="K33" s="22"/>
      <c r="L33" s="28"/>
      <c r="M33" s="17"/>
      <c r="N33" s="17"/>
      <c r="O33" s="36"/>
      <c r="P33" s="28"/>
      <c r="Q33" s="17"/>
      <c r="R33" s="17"/>
      <c r="S33" s="22"/>
      <c r="T33" s="28"/>
      <c r="U33" s="17"/>
      <c r="V33" s="17"/>
      <c r="W33" s="22"/>
      <c r="X33" s="28"/>
      <c r="Y33" s="17"/>
      <c r="Z33" s="17"/>
      <c r="AA33" s="22"/>
      <c r="AB33" s="168">
        <f t="shared" si="10"/>
        <v>0</v>
      </c>
      <c r="AC33" s="6">
        <f t="shared" si="6"/>
        <v>0</v>
      </c>
    </row>
    <row r="34" spans="2:29" x14ac:dyDescent="0.2">
      <c r="B34" s="87" t="s">
        <v>121</v>
      </c>
      <c r="C34" s="57"/>
      <c r="D34" s="66">
        <v>2081</v>
      </c>
      <c r="E34" s="71">
        <v>2081</v>
      </c>
      <c r="F34" s="249">
        <f t="shared" si="11"/>
        <v>1.1151420319056016</v>
      </c>
      <c r="G34" s="177">
        <f t="shared" si="7"/>
        <v>2081</v>
      </c>
      <c r="H34" s="28"/>
      <c r="I34" s="2"/>
      <c r="J34" s="18"/>
      <c r="K34" s="17">
        <v>600</v>
      </c>
      <c r="L34" s="22">
        <v>832</v>
      </c>
      <c r="M34" s="28">
        <v>649</v>
      </c>
      <c r="N34" s="7"/>
      <c r="O34" s="36"/>
      <c r="P34" s="28"/>
      <c r="Q34" s="17"/>
      <c r="R34" s="17"/>
      <c r="S34" s="22"/>
      <c r="T34" s="28"/>
      <c r="U34" s="17"/>
      <c r="V34" s="17"/>
      <c r="W34" s="22"/>
      <c r="X34" s="28"/>
      <c r="Y34" s="17"/>
      <c r="Z34" s="17"/>
      <c r="AA34" s="22"/>
      <c r="AB34" s="168">
        <f t="shared" si="10"/>
        <v>2081</v>
      </c>
      <c r="AC34" s="6">
        <f t="shared" si="6"/>
        <v>2081</v>
      </c>
    </row>
    <row r="35" spans="2:29" x14ac:dyDescent="0.2">
      <c r="B35" s="49" t="s">
        <v>16</v>
      </c>
      <c r="C35" s="57">
        <f t="shared" si="12"/>
        <v>0</v>
      </c>
      <c r="D35" s="66">
        <f t="shared" si="13"/>
        <v>0</v>
      </c>
      <c r="E35" s="72"/>
      <c r="F35" s="249">
        <f t="shared" si="11"/>
        <v>0</v>
      </c>
      <c r="G35" s="177">
        <f t="shared" si="7"/>
        <v>0</v>
      </c>
      <c r="H35" s="28"/>
      <c r="I35" s="17"/>
      <c r="J35" s="17"/>
      <c r="K35" s="22"/>
      <c r="L35" s="28"/>
      <c r="M35" s="17"/>
      <c r="N35" s="17"/>
      <c r="O35" s="36"/>
      <c r="P35" s="28"/>
      <c r="Q35" s="17"/>
      <c r="R35" s="17"/>
      <c r="S35" s="22"/>
      <c r="T35" s="28"/>
      <c r="U35" s="17"/>
      <c r="V35" s="17"/>
      <c r="W35" s="22"/>
      <c r="X35" s="28"/>
      <c r="Y35" s="17"/>
      <c r="Z35" s="17"/>
      <c r="AA35" s="22"/>
      <c r="AB35" s="168">
        <f t="shared" si="10"/>
        <v>0</v>
      </c>
      <c r="AC35" s="6">
        <f t="shared" si="6"/>
        <v>0</v>
      </c>
    </row>
    <row r="36" spans="2:29" x14ac:dyDescent="0.2">
      <c r="B36" s="50" t="s">
        <v>5</v>
      </c>
      <c r="C36" s="57">
        <f t="shared" si="12"/>
        <v>0</v>
      </c>
      <c r="D36" s="66">
        <f t="shared" si="13"/>
        <v>0</v>
      </c>
      <c r="E36" s="72"/>
      <c r="F36" s="249">
        <f t="shared" si="11"/>
        <v>0</v>
      </c>
      <c r="G36" s="177">
        <f t="shared" si="7"/>
        <v>0</v>
      </c>
      <c r="H36" s="28"/>
      <c r="I36" s="17"/>
      <c r="J36" s="17"/>
      <c r="K36" s="22"/>
      <c r="L36" s="28"/>
      <c r="M36" s="17"/>
      <c r="N36" s="17"/>
      <c r="O36" s="36"/>
      <c r="P36" s="28"/>
      <c r="Q36" s="17"/>
      <c r="R36" s="17"/>
      <c r="S36" s="22"/>
      <c r="T36" s="28"/>
      <c r="U36" s="17"/>
      <c r="V36" s="17"/>
      <c r="W36" s="22"/>
      <c r="X36" s="28"/>
      <c r="Y36" s="17"/>
      <c r="Z36" s="17"/>
      <c r="AA36" s="22"/>
      <c r="AB36" s="168">
        <f t="shared" si="10"/>
        <v>0</v>
      </c>
      <c r="AC36" s="6">
        <f t="shared" si="6"/>
        <v>0</v>
      </c>
    </row>
    <row r="37" spans="2:29" x14ac:dyDescent="0.2">
      <c r="B37" s="87" t="s">
        <v>122</v>
      </c>
      <c r="C37" s="57"/>
      <c r="D37" s="66">
        <v>1599</v>
      </c>
      <c r="E37" s="71">
        <v>1599</v>
      </c>
      <c r="F37" s="249">
        <f t="shared" si="11"/>
        <v>0.8568534882350104</v>
      </c>
      <c r="G37" s="177">
        <f t="shared" si="7"/>
        <v>1599</v>
      </c>
      <c r="H37" s="28"/>
      <c r="I37" s="2"/>
      <c r="J37" s="18"/>
      <c r="K37" s="17">
        <v>800</v>
      </c>
      <c r="L37" s="22">
        <v>799</v>
      </c>
      <c r="M37" s="17"/>
      <c r="N37" s="17"/>
      <c r="O37" s="36"/>
      <c r="P37" s="28"/>
      <c r="Q37" s="17"/>
      <c r="R37" s="17"/>
      <c r="S37" s="22"/>
      <c r="T37" s="28"/>
      <c r="U37" s="17"/>
      <c r="V37" s="17"/>
      <c r="W37" s="22"/>
      <c r="X37" s="28"/>
      <c r="Y37" s="17"/>
      <c r="Z37" s="17"/>
      <c r="AA37" s="22"/>
      <c r="AB37" s="168">
        <f t="shared" si="10"/>
        <v>1599</v>
      </c>
      <c r="AC37" s="6">
        <f t="shared" si="6"/>
        <v>1599</v>
      </c>
    </row>
    <row r="38" spans="2:29" x14ac:dyDescent="0.2">
      <c r="B38" s="49" t="s">
        <v>4</v>
      </c>
      <c r="C38" s="57">
        <f t="shared" si="12"/>
        <v>0</v>
      </c>
      <c r="D38" s="66">
        <f t="shared" si="13"/>
        <v>0</v>
      </c>
      <c r="E38" s="72"/>
      <c r="F38" s="249">
        <f t="shared" si="11"/>
        <v>0</v>
      </c>
      <c r="G38" s="177">
        <f t="shared" si="7"/>
        <v>0</v>
      </c>
      <c r="H38" s="28"/>
      <c r="I38" s="17"/>
      <c r="J38" s="17"/>
      <c r="K38" s="22"/>
      <c r="L38" s="28"/>
      <c r="M38" s="17"/>
      <c r="N38" s="17"/>
      <c r="O38" s="36"/>
      <c r="P38" s="28"/>
      <c r="Q38" s="17"/>
      <c r="R38" s="17"/>
      <c r="S38" s="22"/>
      <c r="T38" s="28"/>
      <c r="U38" s="17"/>
      <c r="V38" s="17"/>
      <c r="W38" s="22"/>
      <c r="X38" s="28"/>
      <c r="Y38" s="17"/>
      <c r="Z38" s="17"/>
      <c r="AA38" s="22"/>
      <c r="AB38" s="168">
        <f t="shared" si="10"/>
        <v>0</v>
      </c>
      <c r="AC38" s="6">
        <f t="shared" si="6"/>
        <v>0</v>
      </c>
    </row>
    <row r="39" spans="2:29" x14ac:dyDescent="0.2">
      <c r="B39" s="49" t="s">
        <v>6</v>
      </c>
      <c r="C39" s="57">
        <f t="shared" si="12"/>
        <v>0</v>
      </c>
      <c r="D39" s="66">
        <f t="shared" si="13"/>
        <v>0</v>
      </c>
      <c r="E39" s="72"/>
      <c r="F39" s="249">
        <f t="shared" si="11"/>
        <v>0</v>
      </c>
      <c r="G39" s="177">
        <f t="shared" si="7"/>
        <v>0</v>
      </c>
      <c r="H39" s="28"/>
      <c r="I39" s="17"/>
      <c r="J39" s="17"/>
      <c r="K39" s="22"/>
      <c r="L39" s="28"/>
      <c r="M39" s="17"/>
      <c r="N39" s="17"/>
      <c r="O39" s="36"/>
      <c r="P39" s="28"/>
      <c r="Q39" s="17"/>
      <c r="R39" s="17"/>
      <c r="S39" s="22"/>
      <c r="T39" s="28"/>
      <c r="U39" s="17"/>
      <c r="V39" s="17"/>
      <c r="W39" s="22"/>
      <c r="X39" s="28"/>
      <c r="Y39" s="17"/>
      <c r="Z39" s="17"/>
      <c r="AA39" s="22"/>
      <c r="AB39" s="168">
        <f t="shared" si="10"/>
        <v>0</v>
      </c>
      <c r="AC39" s="6">
        <f t="shared" si="6"/>
        <v>0</v>
      </c>
    </row>
    <row r="40" spans="2:29" x14ac:dyDescent="0.2">
      <c r="B40" s="50" t="s">
        <v>5</v>
      </c>
      <c r="C40" s="57">
        <f t="shared" si="12"/>
        <v>0</v>
      </c>
      <c r="D40" s="66">
        <f t="shared" si="13"/>
        <v>0</v>
      </c>
      <c r="E40" s="73"/>
      <c r="F40" s="249">
        <f t="shared" si="11"/>
        <v>0</v>
      </c>
      <c r="G40" s="177">
        <f t="shared" si="7"/>
        <v>0</v>
      </c>
      <c r="H40" s="28"/>
      <c r="I40" s="17"/>
      <c r="J40" s="17"/>
      <c r="K40" s="22"/>
      <c r="L40" s="28"/>
      <c r="M40" s="17"/>
      <c r="N40" s="17"/>
      <c r="O40" s="36"/>
      <c r="P40" s="28"/>
      <c r="Q40" s="17"/>
      <c r="R40" s="17"/>
      <c r="S40" s="22"/>
      <c r="T40" s="28"/>
      <c r="U40" s="17"/>
      <c r="V40" s="17"/>
      <c r="W40" s="22"/>
      <c r="X40" s="28"/>
      <c r="Y40" s="17"/>
      <c r="Z40" s="17"/>
      <c r="AA40" s="22"/>
      <c r="AB40" s="168">
        <f t="shared" si="10"/>
        <v>0</v>
      </c>
      <c r="AC40" s="6">
        <f t="shared" si="6"/>
        <v>0</v>
      </c>
    </row>
    <row r="41" spans="2:29" x14ac:dyDescent="0.2">
      <c r="B41" s="87" t="s">
        <v>123</v>
      </c>
      <c r="C41" s="57"/>
      <c r="D41" s="66">
        <v>1192</v>
      </c>
      <c r="E41" s="71">
        <v>1192</v>
      </c>
      <c r="F41" s="249">
        <f t="shared" si="11"/>
        <v>0.63875507065424164</v>
      </c>
      <c r="G41" s="177">
        <f t="shared" si="7"/>
        <v>1192</v>
      </c>
      <c r="H41" s="28"/>
      <c r="I41" s="2"/>
      <c r="J41" s="18"/>
      <c r="K41" s="17">
        <v>600</v>
      </c>
      <c r="L41" s="22">
        <v>592</v>
      </c>
      <c r="M41" s="17"/>
      <c r="N41" s="17"/>
      <c r="O41" s="36"/>
      <c r="P41" s="28"/>
      <c r="Q41" s="17"/>
      <c r="R41" s="17"/>
      <c r="S41" s="22"/>
      <c r="T41" s="28"/>
      <c r="U41" s="17"/>
      <c r="V41" s="17"/>
      <c r="W41" s="22"/>
      <c r="X41" s="28"/>
      <c r="Y41" s="17"/>
      <c r="Z41" s="17"/>
      <c r="AA41" s="22"/>
      <c r="AB41" s="168">
        <f t="shared" si="10"/>
        <v>1192</v>
      </c>
      <c r="AC41" s="6">
        <f t="shared" si="6"/>
        <v>1192</v>
      </c>
    </row>
    <row r="42" spans="2:29" x14ac:dyDescent="0.2">
      <c r="B42" s="49" t="s">
        <v>4</v>
      </c>
      <c r="C42" s="57">
        <f t="shared" si="12"/>
        <v>0</v>
      </c>
      <c r="D42" s="66">
        <f t="shared" si="13"/>
        <v>0</v>
      </c>
      <c r="E42" s="72"/>
      <c r="F42" s="249">
        <f t="shared" si="11"/>
        <v>0</v>
      </c>
      <c r="G42" s="177">
        <f t="shared" si="7"/>
        <v>0</v>
      </c>
      <c r="H42" s="28"/>
      <c r="I42" s="17"/>
      <c r="J42" s="17"/>
      <c r="K42" s="22"/>
      <c r="L42" s="28"/>
      <c r="M42" s="17"/>
      <c r="N42" s="17"/>
      <c r="O42" s="36"/>
      <c r="P42" s="28"/>
      <c r="Q42" s="17"/>
      <c r="R42" s="17"/>
      <c r="S42" s="22"/>
      <c r="T42" s="28"/>
      <c r="U42" s="17"/>
      <c r="V42" s="17"/>
      <c r="W42" s="22"/>
      <c r="X42" s="28"/>
      <c r="Y42" s="17"/>
      <c r="Z42" s="17"/>
      <c r="AA42" s="22"/>
      <c r="AB42" s="168">
        <f t="shared" si="10"/>
        <v>0</v>
      </c>
      <c r="AC42" s="6">
        <f t="shared" si="6"/>
        <v>0</v>
      </c>
    </row>
    <row r="43" spans="2:29" x14ac:dyDescent="0.2">
      <c r="B43" s="49" t="s">
        <v>6</v>
      </c>
      <c r="C43" s="57">
        <f t="shared" si="12"/>
        <v>0</v>
      </c>
      <c r="D43" s="66">
        <f t="shared" si="13"/>
        <v>0</v>
      </c>
      <c r="E43" s="72"/>
      <c r="F43" s="249">
        <f t="shared" si="11"/>
        <v>0</v>
      </c>
      <c r="G43" s="177">
        <f t="shared" si="7"/>
        <v>0</v>
      </c>
      <c r="H43" s="28"/>
      <c r="I43" s="17"/>
      <c r="J43" s="17"/>
      <c r="K43" s="22"/>
      <c r="L43" s="28"/>
      <c r="M43" s="17"/>
      <c r="N43" s="17"/>
      <c r="O43" s="36"/>
      <c r="P43" s="28"/>
      <c r="Q43" s="17"/>
      <c r="R43" s="17"/>
      <c r="S43" s="22"/>
      <c r="T43" s="28"/>
      <c r="U43" s="17"/>
      <c r="V43" s="17"/>
      <c r="W43" s="22"/>
      <c r="X43" s="28"/>
      <c r="Y43" s="17"/>
      <c r="Z43" s="17"/>
      <c r="AA43" s="22"/>
      <c r="AB43" s="168">
        <f t="shared" si="10"/>
        <v>0</v>
      </c>
      <c r="AC43" s="6">
        <f t="shared" si="6"/>
        <v>0</v>
      </c>
    </row>
    <row r="44" spans="2:29" x14ac:dyDescent="0.2">
      <c r="B44" s="50" t="s">
        <v>5</v>
      </c>
      <c r="C44" s="57">
        <f t="shared" si="12"/>
        <v>0</v>
      </c>
      <c r="D44" s="66">
        <f t="shared" si="13"/>
        <v>0</v>
      </c>
      <c r="E44" s="73"/>
      <c r="F44" s="249">
        <f t="shared" si="11"/>
        <v>0</v>
      </c>
      <c r="G44" s="177">
        <f t="shared" si="7"/>
        <v>0</v>
      </c>
      <c r="H44" s="28"/>
      <c r="I44" s="17"/>
      <c r="J44" s="17"/>
      <c r="K44" s="22"/>
      <c r="L44" s="28"/>
      <c r="M44" s="17"/>
      <c r="N44" s="17"/>
      <c r="O44" s="36"/>
      <c r="P44" s="28"/>
      <c r="Q44" s="17"/>
      <c r="R44" s="17"/>
      <c r="S44" s="22"/>
      <c r="T44" s="28"/>
      <c r="U44" s="17"/>
      <c r="V44" s="17"/>
      <c r="W44" s="22"/>
      <c r="X44" s="28"/>
      <c r="Y44" s="17"/>
      <c r="Z44" s="17"/>
      <c r="AA44" s="22"/>
      <c r="AB44" s="168">
        <f t="shared" si="10"/>
        <v>0</v>
      </c>
      <c r="AC44" s="6">
        <f t="shared" si="6"/>
        <v>0</v>
      </c>
    </row>
    <row r="45" spans="2:29" x14ac:dyDescent="0.2">
      <c r="B45" s="87" t="s">
        <v>124</v>
      </c>
      <c r="C45" s="57"/>
      <c r="D45" s="66">
        <v>264</v>
      </c>
      <c r="E45" s="71">
        <v>264</v>
      </c>
      <c r="F45" s="249">
        <f t="shared" si="11"/>
        <v>0.14146924383617435</v>
      </c>
      <c r="G45" s="177">
        <f t="shared" si="7"/>
        <v>264</v>
      </c>
      <c r="H45" s="28"/>
      <c r="I45" s="2"/>
      <c r="J45" s="2"/>
      <c r="K45" s="18"/>
      <c r="L45" s="17">
        <v>264</v>
      </c>
      <c r="M45" s="17"/>
      <c r="N45" s="17"/>
      <c r="O45" s="36"/>
      <c r="P45" s="28"/>
      <c r="Q45" s="17"/>
      <c r="R45" s="17"/>
      <c r="S45" s="22"/>
      <c r="T45" s="28"/>
      <c r="U45" s="17"/>
      <c r="V45" s="17"/>
      <c r="W45" s="22"/>
      <c r="X45" s="28"/>
      <c r="Y45" s="17"/>
      <c r="Z45" s="17"/>
      <c r="AA45" s="22"/>
      <c r="AB45" s="168">
        <f t="shared" si="10"/>
        <v>264</v>
      </c>
      <c r="AC45" s="6">
        <f t="shared" ref="AC45:AC85" si="14">SUM(H45:AA45)</f>
        <v>264</v>
      </c>
    </row>
    <row r="46" spans="2:29" x14ac:dyDescent="0.2">
      <c r="B46" s="49" t="s">
        <v>4</v>
      </c>
      <c r="C46" s="57">
        <f t="shared" si="12"/>
        <v>0</v>
      </c>
      <c r="D46" s="66">
        <f t="shared" si="13"/>
        <v>0</v>
      </c>
      <c r="E46" s="72"/>
      <c r="F46" s="249">
        <f t="shared" si="11"/>
        <v>0</v>
      </c>
      <c r="G46" s="177">
        <f t="shared" si="7"/>
        <v>0</v>
      </c>
      <c r="H46" s="28"/>
      <c r="I46" s="17"/>
      <c r="J46" s="17"/>
      <c r="K46" s="22"/>
      <c r="L46" s="28"/>
      <c r="M46" s="17"/>
      <c r="N46" s="17"/>
      <c r="O46" s="36"/>
      <c r="P46" s="28"/>
      <c r="Q46" s="17"/>
      <c r="R46" s="17"/>
      <c r="S46" s="22"/>
      <c r="T46" s="28"/>
      <c r="U46" s="17"/>
      <c r="V46" s="17"/>
      <c r="W46" s="22"/>
      <c r="X46" s="28"/>
      <c r="Y46" s="17"/>
      <c r="Z46" s="17"/>
      <c r="AA46" s="22"/>
      <c r="AB46" s="168">
        <f t="shared" si="10"/>
        <v>0</v>
      </c>
      <c r="AC46" s="6">
        <f t="shared" si="14"/>
        <v>0</v>
      </c>
    </row>
    <row r="47" spans="2:29" x14ac:dyDescent="0.2">
      <c r="B47" s="49" t="s">
        <v>6</v>
      </c>
      <c r="C47" s="57">
        <f t="shared" si="12"/>
        <v>0</v>
      </c>
      <c r="D47" s="66">
        <f t="shared" si="13"/>
        <v>0</v>
      </c>
      <c r="E47" s="72"/>
      <c r="F47" s="249">
        <f t="shared" si="11"/>
        <v>0</v>
      </c>
      <c r="G47" s="177">
        <f t="shared" si="7"/>
        <v>0</v>
      </c>
      <c r="H47" s="28"/>
      <c r="I47" s="17"/>
      <c r="J47" s="17"/>
      <c r="K47" s="22"/>
      <c r="L47" s="28"/>
      <c r="M47" s="17"/>
      <c r="N47" s="17"/>
      <c r="O47" s="36"/>
      <c r="P47" s="28"/>
      <c r="Q47" s="17"/>
      <c r="R47" s="17"/>
      <c r="S47" s="22"/>
      <c r="T47" s="28"/>
      <c r="U47" s="17"/>
      <c r="V47" s="17"/>
      <c r="W47" s="22"/>
      <c r="X47" s="28"/>
      <c r="Y47" s="17"/>
      <c r="Z47" s="17"/>
      <c r="AA47" s="22"/>
      <c r="AB47" s="168">
        <f t="shared" si="10"/>
        <v>0</v>
      </c>
      <c r="AC47" s="6">
        <f t="shared" si="14"/>
        <v>0</v>
      </c>
    </row>
    <row r="48" spans="2:29" x14ac:dyDescent="0.2">
      <c r="B48" s="50" t="s">
        <v>5</v>
      </c>
      <c r="C48" s="57">
        <f t="shared" si="12"/>
        <v>0</v>
      </c>
      <c r="D48" s="66">
        <f t="shared" si="13"/>
        <v>0</v>
      </c>
      <c r="E48" s="73"/>
      <c r="F48" s="249">
        <f t="shared" si="11"/>
        <v>0</v>
      </c>
      <c r="G48" s="177">
        <f t="shared" si="7"/>
        <v>0</v>
      </c>
      <c r="H48" s="28"/>
      <c r="I48" s="17"/>
      <c r="J48" s="17"/>
      <c r="K48" s="22"/>
      <c r="L48" s="28"/>
      <c r="M48" s="17"/>
      <c r="N48" s="17"/>
      <c r="O48" s="36"/>
      <c r="P48" s="28"/>
      <c r="Q48" s="17"/>
      <c r="R48" s="17"/>
      <c r="S48" s="22"/>
      <c r="T48" s="28"/>
      <c r="U48" s="17"/>
      <c r="V48" s="17"/>
      <c r="W48" s="22"/>
      <c r="X48" s="28"/>
      <c r="Y48" s="17"/>
      <c r="Z48" s="17"/>
      <c r="AA48" s="22"/>
      <c r="AB48" s="168">
        <f t="shared" si="10"/>
        <v>0</v>
      </c>
      <c r="AC48" s="6">
        <f t="shared" si="14"/>
        <v>0</v>
      </c>
    </row>
    <row r="49" spans="2:32" x14ac:dyDescent="0.2">
      <c r="B49" s="160" t="s">
        <v>125</v>
      </c>
      <c r="C49" s="57"/>
      <c r="D49" s="66">
        <v>439</v>
      </c>
      <c r="E49" s="71">
        <v>439</v>
      </c>
      <c r="F49" s="249">
        <f t="shared" si="11"/>
        <v>0.23524620471242624</v>
      </c>
      <c r="G49" s="177">
        <f t="shared" si="7"/>
        <v>439</v>
      </c>
      <c r="H49" s="28"/>
      <c r="I49" s="2"/>
      <c r="J49" s="18"/>
      <c r="K49" s="17">
        <v>439</v>
      </c>
      <c r="L49" s="28"/>
      <c r="M49" s="17"/>
      <c r="N49" s="17"/>
      <c r="O49" s="36"/>
      <c r="P49" s="28"/>
      <c r="Q49" s="17"/>
      <c r="R49" s="17"/>
      <c r="S49" s="22"/>
      <c r="T49" s="28"/>
      <c r="U49" s="17"/>
      <c r="V49" s="17"/>
      <c r="W49" s="22"/>
      <c r="X49" s="28"/>
      <c r="Y49" s="17"/>
      <c r="Z49" s="17"/>
      <c r="AA49" s="22"/>
      <c r="AB49" s="168">
        <f t="shared" si="10"/>
        <v>439</v>
      </c>
      <c r="AC49" s="6">
        <f t="shared" si="14"/>
        <v>439</v>
      </c>
    </row>
    <row r="50" spans="2:32" x14ac:dyDescent="0.2">
      <c r="B50" s="49" t="s">
        <v>4</v>
      </c>
      <c r="C50" s="57">
        <f t="shared" si="12"/>
        <v>0</v>
      </c>
      <c r="D50" s="66">
        <f t="shared" si="13"/>
        <v>0</v>
      </c>
      <c r="E50" s="72"/>
      <c r="F50" s="249">
        <f t="shared" si="11"/>
        <v>0</v>
      </c>
      <c r="G50" s="177">
        <f t="shared" si="7"/>
        <v>0</v>
      </c>
      <c r="H50" s="28"/>
      <c r="I50" s="17"/>
      <c r="J50" s="17"/>
      <c r="K50" s="22"/>
      <c r="L50" s="28"/>
      <c r="M50" s="17"/>
      <c r="N50" s="17"/>
      <c r="O50" s="36"/>
      <c r="P50" s="28"/>
      <c r="Q50" s="17"/>
      <c r="R50" s="17"/>
      <c r="S50" s="22"/>
      <c r="T50" s="28"/>
      <c r="U50" s="17"/>
      <c r="V50" s="17"/>
      <c r="W50" s="22"/>
      <c r="X50" s="28"/>
      <c r="Y50" s="17"/>
      <c r="Z50" s="17"/>
      <c r="AA50" s="22"/>
      <c r="AB50" s="168">
        <f t="shared" si="10"/>
        <v>0</v>
      </c>
      <c r="AC50" s="6">
        <f t="shared" si="14"/>
        <v>0</v>
      </c>
    </row>
    <row r="51" spans="2:32" x14ac:dyDescent="0.2">
      <c r="B51" s="49" t="s">
        <v>6</v>
      </c>
      <c r="C51" s="57">
        <f t="shared" si="12"/>
        <v>0</v>
      </c>
      <c r="D51" s="66">
        <f t="shared" si="13"/>
        <v>0</v>
      </c>
      <c r="E51" s="72"/>
      <c r="F51" s="249">
        <f t="shared" si="11"/>
        <v>0</v>
      </c>
      <c r="G51" s="177">
        <f t="shared" ref="G51:G60" si="15">D51+C51</f>
        <v>0</v>
      </c>
      <c r="H51" s="28"/>
      <c r="I51" s="17"/>
      <c r="J51" s="17"/>
      <c r="K51" s="22"/>
      <c r="L51" s="28"/>
      <c r="M51" s="17"/>
      <c r="N51" s="17"/>
      <c r="O51" s="36"/>
      <c r="P51" s="28"/>
      <c r="Q51" s="17"/>
      <c r="R51" s="17"/>
      <c r="S51" s="22"/>
      <c r="T51" s="28"/>
      <c r="U51" s="17"/>
      <c r="V51" s="17"/>
      <c r="W51" s="22"/>
      <c r="X51" s="28"/>
      <c r="Y51" s="17"/>
      <c r="Z51" s="17"/>
      <c r="AA51" s="22"/>
      <c r="AB51" s="168">
        <f t="shared" si="10"/>
        <v>0</v>
      </c>
      <c r="AC51" s="6">
        <f t="shared" si="14"/>
        <v>0</v>
      </c>
    </row>
    <row r="52" spans="2:32" x14ac:dyDescent="0.2">
      <c r="B52" s="50" t="s">
        <v>5</v>
      </c>
      <c r="C52" s="57">
        <f t="shared" si="12"/>
        <v>0</v>
      </c>
      <c r="D52" s="66">
        <f t="shared" si="13"/>
        <v>0</v>
      </c>
      <c r="E52" s="73"/>
      <c r="F52" s="249">
        <f t="shared" si="11"/>
        <v>0</v>
      </c>
      <c r="G52" s="177">
        <f t="shared" si="15"/>
        <v>0</v>
      </c>
      <c r="H52" s="28"/>
      <c r="I52" s="17"/>
      <c r="J52" s="17"/>
      <c r="K52" s="22"/>
      <c r="L52" s="28"/>
      <c r="M52" s="17"/>
      <c r="N52" s="17"/>
      <c r="O52" s="36"/>
      <c r="P52" s="28"/>
      <c r="Q52" s="17"/>
      <c r="R52" s="17"/>
      <c r="S52" s="22"/>
      <c r="T52" s="28"/>
      <c r="U52" s="17"/>
      <c r="V52" s="17"/>
      <c r="W52" s="22"/>
      <c r="X52" s="28"/>
      <c r="Y52" s="17"/>
      <c r="Z52" s="17"/>
      <c r="AA52" s="22"/>
      <c r="AB52" s="168">
        <f t="shared" si="10"/>
        <v>0</v>
      </c>
      <c r="AC52" s="6">
        <f t="shared" si="14"/>
        <v>0</v>
      </c>
    </row>
    <row r="53" spans="2:32" x14ac:dyDescent="0.2">
      <c r="B53" s="160" t="s">
        <v>126</v>
      </c>
      <c r="C53" s="57"/>
      <c r="D53" s="66">
        <v>1042</v>
      </c>
      <c r="E53" s="71">
        <v>1042</v>
      </c>
      <c r="F53" s="249">
        <f t="shared" si="11"/>
        <v>0.55837481847459713</v>
      </c>
      <c r="G53" s="177">
        <f t="shared" si="15"/>
        <v>1042</v>
      </c>
      <c r="H53" s="28"/>
      <c r="I53" s="2"/>
      <c r="J53" s="18"/>
      <c r="K53" s="17">
        <v>500</v>
      </c>
      <c r="L53" s="22">
        <v>542</v>
      </c>
      <c r="M53" s="17"/>
      <c r="N53" s="17"/>
      <c r="O53" s="36"/>
      <c r="P53" s="28"/>
      <c r="Q53" s="17"/>
      <c r="R53" s="17"/>
      <c r="S53" s="23"/>
      <c r="T53" s="28"/>
      <c r="U53" s="17"/>
      <c r="V53" s="17"/>
      <c r="W53" s="22"/>
      <c r="X53" s="28"/>
      <c r="Y53" s="17"/>
      <c r="Z53" s="17"/>
      <c r="AA53" s="22"/>
      <c r="AB53" s="168">
        <f t="shared" si="10"/>
        <v>1042</v>
      </c>
      <c r="AC53" s="6">
        <f t="shared" si="14"/>
        <v>1042</v>
      </c>
    </row>
    <row r="54" spans="2:32" x14ac:dyDescent="0.2">
      <c r="B54" s="49" t="s">
        <v>4</v>
      </c>
      <c r="C54" s="57">
        <f t="shared" si="12"/>
        <v>0</v>
      </c>
      <c r="D54" s="66">
        <f t="shared" si="13"/>
        <v>0</v>
      </c>
      <c r="E54" s="72"/>
      <c r="F54" s="249">
        <f t="shared" si="11"/>
        <v>0</v>
      </c>
      <c r="G54" s="177">
        <f t="shared" si="15"/>
        <v>0</v>
      </c>
      <c r="H54" s="28"/>
      <c r="I54" s="17"/>
      <c r="J54" s="17"/>
      <c r="K54" s="22"/>
      <c r="L54" s="28"/>
      <c r="M54" s="17"/>
      <c r="N54" s="17"/>
      <c r="O54" s="36"/>
      <c r="P54" s="28"/>
      <c r="Q54" s="17"/>
      <c r="R54" s="17"/>
      <c r="S54" s="22"/>
      <c r="T54" s="28"/>
      <c r="U54" s="17"/>
      <c r="V54" s="17"/>
      <c r="W54" s="22"/>
      <c r="X54" s="28"/>
      <c r="Y54" s="17"/>
      <c r="Z54" s="17"/>
      <c r="AA54" s="22"/>
      <c r="AB54" s="168">
        <f t="shared" si="10"/>
        <v>0</v>
      </c>
      <c r="AC54" s="6">
        <f t="shared" si="14"/>
        <v>0</v>
      </c>
    </row>
    <row r="55" spans="2:32" x14ac:dyDescent="0.2">
      <c r="B55" s="49" t="s">
        <v>6</v>
      </c>
      <c r="C55" s="57">
        <f t="shared" si="12"/>
        <v>0</v>
      </c>
      <c r="D55" s="66">
        <f t="shared" si="13"/>
        <v>0</v>
      </c>
      <c r="E55" s="72"/>
      <c r="F55" s="249">
        <f t="shared" si="11"/>
        <v>0</v>
      </c>
      <c r="G55" s="177">
        <f t="shared" si="15"/>
        <v>0</v>
      </c>
      <c r="H55" s="28"/>
      <c r="I55" s="17"/>
      <c r="J55" s="17"/>
      <c r="K55" s="22"/>
      <c r="L55" s="28"/>
      <c r="M55" s="17"/>
      <c r="N55" s="17"/>
      <c r="O55" s="36"/>
      <c r="P55" s="28"/>
      <c r="Q55" s="17"/>
      <c r="R55" s="17"/>
      <c r="S55" s="22"/>
      <c r="T55" s="28"/>
      <c r="U55" s="17"/>
      <c r="V55" s="17"/>
      <c r="W55" s="22"/>
      <c r="X55" s="28"/>
      <c r="Y55" s="17"/>
      <c r="Z55" s="17"/>
      <c r="AA55" s="22"/>
      <c r="AB55" s="168">
        <f t="shared" si="10"/>
        <v>0</v>
      </c>
      <c r="AC55" s="6">
        <f t="shared" si="14"/>
        <v>0</v>
      </c>
    </row>
    <row r="56" spans="2:32" ht="12" thickBot="1" x14ac:dyDescent="0.25">
      <c r="B56" s="50" t="s">
        <v>5</v>
      </c>
      <c r="C56" s="57">
        <f t="shared" si="12"/>
        <v>0</v>
      </c>
      <c r="D56" s="66">
        <f t="shared" si="13"/>
        <v>0</v>
      </c>
      <c r="E56" s="73"/>
      <c r="F56" s="249">
        <f t="shared" si="11"/>
        <v>0</v>
      </c>
      <c r="G56" s="177">
        <f t="shared" si="15"/>
        <v>0</v>
      </c>
      <c r="H56" s="28"/>
      <c r="I56" s="17"/>
      <c r="J56" s="17"/>
      <c r="K56" s="22"/>
      <c r="L56" s="28"/>
      <c r="M56" s="17"/>
      <c r="N56" s="17"/>
      <c r="O56" s="36"/>
      <c r="P56" s="28"/>
      <c r="Q56" s="17"/>
      <c r="R56" s="17"/>
      <c r="S56" s="22"/>
      <c r="T56" s="28"/>
      <c r="U56" s="17"/>
      <c r="V56" s="17"/>
      <c r="W56" s="22"/>
      <c r="X56" s="28"/>
      <c r="Y56" s="17"/>
      <c r="Z56" s="17"/>
      <c r="AA56" s="22"/>
      <c r="AB56" s="168">
        <f t="shared" si="10"/>
        <v>0</v>
      </c>
      <c r="AC56" s="6">
        <f t="shared" si="14"/>
        <v>0</v>
      </c>
    </row>
    <row r="57" spans="2:32" s="6" customFormat="1" ht="24.95" customHeight="1" thickBot="1" x14ac:dyDescent="0.25">
      <c r="B57" s="38" t="s">
        <v>34</v>
      </c>
      <c r="C57" s="37">
        <f>SUM(C58:C60)</f>
        <v>0</v>
      </c>
      <c r="D57" s="37">
        <f>SUM(D58:D60)</f>
        <v>3917</v>
      </c>
      <c r="E57" s="37">
        <f>SUM(E58:E60)</f>
        <v>3917</v>
      </c>
      <c r="F57" s="250">
        <f>SUM(F58:F60)</f>
        <v>2.0989963185844505</v>
      </c>
      <c r="G57" s="177">
        <f t="shared" si="15"/>
        <v>3917</v>
      </c>
      <c r="H57" s="1085">
        <f>SUM(H58:K60)</f>
        <v>0</v>
      </c>
      <c r="I57" s="1077"/>
      <c r="J57" s="1077"/>
      <c r="K57" s="1078"/>
      <c r="L57" s="1076">
        <f>SUM(L58:O60)</f>
        <v>3917</v>
      </c>
      <c r="M57" s="1077"/>
      <c r="N57" s="1077"/>
      <c r="O57" s="1078"/>
      <c r="P57" s="267">
        <f>SUM(P58:S60)</f>
        <v>0</v>
      </c>
      <c r="Q57" s="268"/>
      <c r="R57" s="268"/>
      <c r="S57" s="269"/>
      <c r="T57" s="1076">
        <f>SUM(T58:W60)</f>
        <v>0</v>
      </c>
      <c r="U57" s="1077"/>
      <c r="V57" s="1077"/>
      <c r="W57" s="1078"/>
      <c r="X57" s="1076">
        <f>SUM(X58:AA60)</f>
        <v>0</v>
      </c>
      <c r="Y57" s="1077"/>
      <c r="Z57" s="1077"/>
      <c r="AA57" s="1078"/>
      <c r="AB57" s="214">
        <f>H57+L57+P57+T57</f>
        <v>3917</v>
      </c>
      <c r="AC57" s="6">
        <f t="shared" si="14"/>
        <v>3917</v>
      </c>
      <c r="AD57" s="84"/>
      <c r="AE57" s="84"/>
      <c r="AF57" s="6">
        <f>C57+D57</f>
        <v>3917</v>
      </c>
    </row>
    <row r="58" spans="2:32" x14ac:dyDescent="0.2">
      <c r="B58" s="51" t="s">
        <v>40</v>
      </c>
      <c r="C58" s="57"/>
      <c r="D58" s="66">
        <v>3917</v>
      </c>
      <c r="E58" s="71">
        <v>3917</v>
      </c>
      <c r="F58" s="249">
        <f>E58/$D$123*100</f>
        <v>2.0989963185844505</v>
      </c>
      <c r="G58" s="177">
        <f t="shared" si="15"/>
        <v>3917</v>
      </c>
      <c r="H58" s="28"/>
      <c r="I58" s="28"/>
      <c r="J58" s="28"/>
      <c r="K58" s="18"/>
      <c r="L58" s="17">
        <v>917</v>
      </c>
      <c r="M58" s="22">
        <v>2000</v>
      </c>
      <c r="N58" s="28">
        <v>1000</v>
      </c>
      <c r="O58" s="36"/>
      <c r="P58" s="28"/>
      <c r="Q58" s="17"/>
      <c r="R58" s="17"/>
      <c r="S58" s="22"/>
      <c r="T58" s="28"/>
      <c r="U58" s="17"/>
      <c r="V58" s="17"/>
      <c r="W58" s="22"/>
      <c r="X58" s="28"/>
      <c r="Y58" s="17"/>
      <c r="Z58" s="17"/>
      <c r="AA58" s="22"/>
      <c r="AB58" s="168">
        <f>SUM(H58:AA58)</f>
        <v>3917</v>
      </c>
      <c r="AC58" s="6">
        <f t="shared" si="14"/>
        <v>3917</v>
      </c>
    </row>
    <row r="59" spans="2:32" ht="12" thickBot="1" x14ac:dyDescent="0.25">
      <c r="B59" s="49" t="s">
        <v>4</v>
      </c>
      <c r="C59" s="58"/>
      <c r="D59" s="67"/>
      <c r="E59" s="146">
        <f>D59+C59</f>
        <v>0</v>
      </c>
      <c r="F59" s="249">
        <f>E59/$D$123*100</f>
        <v>0</v>
      </c>
      <c r="G59" s="177">
        <f t="shared" si="15"/>
        <v>0</v>
      </c>
      <c r="H59" s="28"/>
      <c r="I59" s="17"/>
      <c r="J59" s="17"/>
      <c r="K59" s="22"/>
      <c r="L59" s="28"/>
      <c r="M59" s="17"/>
      <c r="N59" s="17"/>
      <c r="O59" s="36"/>
      <c r="P59" s="28"/>
      <c r="Q59" s="17"/>
      <c r="R59" s="17"/>
      <c r="S59" s="22"/>
      <c r="T59" s="28"/>
      <c r="U59" s="17"/>
      <c r="V59" s="17"/>
      <c r="W59" s="22"/>
      <c r="X59" s="28"/>
      <c r="Y59" s="17"/>
      <c r="Z59" s="17"/>
      <c r="AA59" s="22"/>
      <c r="AB59" s="168">
        <f>SUM(H59:AA59)</f>
        <v>0</v>
      </c>
      <c r="AC59" s="6">
        <f t="shared" si="14"/>
        <v>0</v>
      </c>
    </row>
    <row r="60" spans="2:32" ht="12" thickBot="1" x14ac:dyDescent="0.25">
      <c r="B60" s="50" t="s">
        <v>5</v>
      </c>
      <c r="C60" s="59"/>
      <c r="D60" s="67"/>
      <c r="E60" s="146">
        <f>D60+C60</f>
        <v>0</v>
      </c>
      <c r="F60" s="249">
        <f>E60/$D$123*100</f>
        <v>0</v>
      </c>
      <c r="G60" s="177">
        <f t="shared" si="15"/>
        <v>0</v>
      </c>
      <c r="H60" s="28"/>
      <c r="I60" s="17"/>
      <c r="J60" s="17"/>
      <c r="K60" s="22"/>
      <c r="L60" s="28"/>
      <c r="M60" s="17"/>
      <c r="N60" s="17"/>
      <c r="O60" s="36"/>
      <c r="P60" s="28"/>
      <c r="Q60" s="17"/>
      <c r="R60" s="17"/>
      <c r="S60" s="22"/>
      <c r="T60" s="28"/>
      <c r="U60" s="17"/>
      <c r="V60" s="17"/>
      <c r="W60" s="22"/>
      <c r="X60" s="28"/>
      <c r="Y60" s="17"/>
      <c r="Z60" s="17"/>
      <c r="AA60" s="22"/>
      <c r="AB60" s="168">
        <f>SUM(H60:AA60)</f>
        <v>0</v>
      </c>
      <c r="AC60" s="6">
        <f t="shared" si="14"/>
        <v>0</v>
      </c>
    </row>
    <row r="61" spans="2:32" s="6" customFormat="1" ht="24.95" customHeight="1" thickBot="1" x14ac:dyDescent="0.25">
      <c r="B61" s="38" t="s">
        <v>35</v>
      </c>
      <c r="C61" s="37">
        <f>C63+C67</f>
        <v>1851</v>
      </c>
      <c r="D61" s="37">
        <f>D63+D67</f>
        <v>45000</v>
      </c>
      <c r="E61" s="37">
        <f>E63+E67</f>
        <v>46851</v>
      </c>
      <c r="F61" s="37">
        <f>F63+F67</f>
        <v>25.105967965790164</v>
      </c>
      <c r="G61" s="37">
        <f>G63+G67</f>
        <v>46851</v>
      </c>
      <c r="H61" s="1082">
        <f>SUM(H63:K70)</f>
        <v>1851</v>
      </c>
      <c r="I61" s="1083"/>
      <c r="J61" s="1083"/>
      <c r="K61" s="1084"/>
      <c r="L61" s="1082">
        <f>SUM(L63:O70)</f>
        <v>22200</v>
      </c>
      <c r="M61" s="1083"/>
      <c r="N61" s="1083"/>
      <c r="O61" s="1084"/>
      <c r="P61" s="267">
        <f>SUM(P63:S70)</f>
        <v>11000</v>
      </c>
      <c r="Q61" s="268"/>
      <c r="R61" s="268"/>
      <c r="S61" s="269"/>
      <c r="T61" s="1082">
        <f>SUM(T63:W70)</f>
        <v>0</v>
      </c>
      <c r="U61" s="1083"/>
      <c r="V61" s="1083"/>
      <c r="W61" s="1084"/>
      <c r="X61" s="1082">
        <f>SUM(X63:AA70)</f>
        <v>0</v>
      </c>
      <c r="Y61" s="1083"/>
      <c r="Z61" s="1083"/>
      <c r="AA61" s="1084"/>
      <c r="AB61" s="214">
        <f>H61+L61+P61+T61</f>
        <v>35051</v>
      </c>
      <c r="AC61" s="6">
        <f t="shared" si="14"/>
        <v>35051</v>
      </c>
      <c r="AD61" s="84"/>
      <c r="AE61" s="84"/>
      <c r="AF61" s="6">
        <f>C61+D61</f>
        <v>46851</v>
      </c>
    </row>
    <row r="62" spans="2:32" s="6" customFormat="1" ht="24.95" customHeight="1" x14ac:dyDescent="0.2">
      <c r="B62" s="88" t="s">
        <v>141</v>
      </c>
      <c r="C62" s="537"/>
      <c r="D62" s="537"/>
      <c r="E62" s="537"/>
      <c r="F62" s="242"/>
      <c r="G62" s="537"/>
      <c r="H62" s="538"/>
      <c r="I62" s="539"/>
      <c r="J62" s="539"/>
      <c r="K62" s="540"/>
      <c r="L62" s="539"/>
      <c r="M62" s="539"/>
      <c r="N62" s="539"/>
      <c r="O62" s="539"/>
      <c r="P62" s="541"/>
      <c r="Q62" s="294"/>
      <c r="R62" s="294"/>
      <c r="S62" s="542"/>
      <c r="T62" s="538"/>
      <c r="U62" s="539"/>
      <c r="V62" s="539"/>
      <c r="W62" s="540"/>
      <c r="X62" s="538"/>
      <c r="Y62" s="539"/>
      <c r="Z62" s="539"/>
      <c r="AA62" s="540"/>
      <c r="AB62" s="543"/>
      <c r="AD62" s="84"/>
      <c r="AE62" s="84"/>
    </row>
    <row r="63" spans="2:32" x14ac:dyDescent="0.2">
      <c r="B63" s="51" t="s">
        <v>41</v>
      </c>
      <c r="C63" s="57">
        <f>SUM(C64:C66)</f>
        <v>1351</v>
      </c>
      <c r="D63" s="66">
        <f>SUM(D64:D66)</f>
        <v>25000</v>
      </c>
      <c r="E63" s="72">
        <f t="shared" ref="E63:E70" si="16">D63+C63</f>
        <v>26351</v>
      </c>
      <c r="F63" s="249">
        <f t="shared" ref="F63:F70" si="17">E63/$D$123*100</f>
        <v>14.120666834572082</v>
      </c>
      <c r="G63" s="177">
        <f t="shared" ref="G63:G70" si="18">D63+C63</f>
        <v>26351</v>
      </c>
      <c r="H63" s="28"/>
      <c r="I63" s="17"/>
      <c r="J63" s="17"/>
      <c r="K63" s="22"/>
      <c r="L63" s="18"/>
      <c r="M63" s="22">
        <v>4000</v>
      </c>
      <c r="N63" s="28">
        <v>6000</v>
      </c>
      <c r="O63" s="36">
        <v>5000</v>
      </c>
      <c r="P63" s="28">
        <v>3000</v>
      </c>
      <c r="Q63" s="7"/>
      <c r="R63" s="7"/>
      <c r="S63" s="23"/>
      <c r="T63" s="26"/>
      <c r="U63" s="17"/>
      <c r="V63" s="17"/>
      <c r="W63" s="22"/>
      <c r="X63" s="28"/>
      <c r="Y63" s="17"/>
      <c r="Z63" s="17"/>
      <c r="AA63" s="22"/>
      <c r="AB63" s="168">
        <f t="shared" ref="AB63:AB88" si="19">SUM(H63:AA63)</f>
        <v>18000</v>
      </c>
      <c r="AC63" s="6">
        <f t="shared" si="14"/>
        <v>18000</v>
      </c>
    </row>
    <row r="64" spans="2:32" s="135" customFormat="1" ht="12" thickBot="1" x14ac:dyDescent="0.25">
      <c r="B64" s="169" t="s">
        <v>4</v>
      </c>
      <c r="C64" s="170">
        <v>1351</v>
      </c>
      <c r="D64" s="171"/>
      <c r="E64" s="146">
        <f t="shared" si="16"/>
        <v>1351</v>
      </c>
      <c r="F64" s="249">
        <f t="shared" si="17"/>
        <v>0.72395813796466479</v>
      </c>
      <c r="G64" s="177">
        <f t="shared" si="18"/>
        <v>1351</v>
      </c>
      <c r="H64" s="164"/>
      <c r="I64" s="163"/>
      <c r="J64" s="167">
        <v>1351</v>
      </c>
      <c r="L64" s="164"/>
      <c r="M64" s="165"/>
      <c r="N64" s="165"/>
      <c r="O64" s="166"/>
      <c r="P64" s="164"/>
      <c r="Q64" s="165"/>
      <c r="R64" s="165"/>
      <c r="S64" s="167"/>
      <c r="T64" s="164"/>
      <c r="U64" s="165"/>
      <c r="V64" s="165"/>
      <c r="W64" s="167"/>
      <c r="X64" s="164"/>
      <c r="Y64" s="165"/>
      <c r="Z64" s="165"/>
      <c r="AA64" s="167"/>
      <c r="AB64" s="168">
        <f t="shared" si="19"/>
        <v>1351</v>
      </c>
      <c r="AC64" s="6">
        <f t="shared" si="14"/>
        <v>1351</v>
      </c>
    </row>
    <row r="65" spans="2:33" ht="12" thickBot="1" x14ac:dyDescent="0.25">
      <c r="B65" s="49" t="s">
        <v>6</v>
      </c>
      <c r="C65" s="57">
        <v>0</v>
      </c>
      <c r="D65" s="66"/>
      <c r="E65" s="146">
        <f t="shared" si="16"/>
        <v>0</v>
      </c>
      <c r="F65" s="249">
        <f t="shared" si="17"/>
        <v>0</v>
      </c>
      <c r="G65" s="177">
        <f t="shared" si="18"/>
        <v>0</v>
      </c>
      <c r="H65" s="28"/>
      <c r="I65" s="17"/>
      <c r="J65" s="22"/>
      <c r="K65" s="28"/>
      <c r="L65" s="28"/>
      <c r="M65" s="17"/>
      <c r="N65" s="17"/>
      <c r="O65" s="36"/>
      <c r="P65" s="28"/>
      <c r="Q65" s="17"/>
      <c r="R65" s="17"/>
      <c r="S65" s="22"/>
      <c r="T65" s="28"/>
      <c r="U65" s="17"/>
      <c r="V65" s="17"/>
      <c r="W65" s="22"/>
      <c r="X65" s="28"/>
      <c r="Y65" s="17"/>
      <c r="Z65" s="17"/>
      <c r="AA65" s="22"/>
      <c r="AB65" s="168">
        <f t="shared" si="19"/>
        <v>0</v>
      </c>
      <c r="AC65" s="6">
        <f t="shared" si="14"/>
        <v>0</v>
      </c>
    </row>
    <row r="66" spans="2:33" ht="12" thickBot="1" x14ac:dyDescent="0.25">
      <c r="B66" s="50" t="s">
        <v>5</v>
      </c>
      <c r="C66" s="57">
        <v>0</v>
      </c>
      <c r="D66" s="66">
        <v>25000</v>
      </c>
      <c r="E66" s="146">
        <f t="shared" si="16"/>
        <v>25000</v>
      </c>
      <c r="F66" s="249">
        <f t="shared" si="17"/>
        <v>13.396708696607417</v>
      </c>
      <c r="G66" s="177">
        <f t="shared" si="18"/>
        <v>25000</v>
      </c>
      <c r="H66" s="28"/>
      <c r="I66" s="17"/>
      <c r="J66" s="22"/>
      <c r="K66" s="28"/>
      <c r="L66" s="28"/>
      <c r="M66" s="17"/>
      <c r="N66" s="17"/>
      <c r="O66" s="17"/>
      <c r="P66" s="17"/>
      <c r="Q66" s="21"/>
      <c r="R66" s="17"/>
      <c r="S66" s="22"/>
      <c r="T66" s="28"/>
      <c r="U66" s="17"/>
      <c r="V66" s="17"/>
      <c r="W66" s="22"/>
      <c r="X66" s="28"/>
      <c r="Y66" s="17"/>
      <c r="Z66" s="17"/>
      <c r="AA66" s="22"/>
      <c r="AB66" s="168">
        <f t="shared" si="19"/>
        <v>0</v>
      </c>
      <c r="AC66" s="6">
        <f t="shared" si="14"/>
        <v>0</v>
      </c>
    </row>
    <row r="67" spans="2:33" x14ac:dyDescent="0.2">
      <c r="B67" s="51" t="s">
        <v>42</v>
      </c>
      <c r="C67" s="57">
        <f>SUM(C68:C70)</f>
        <v>500</v>
      </c>
      <c r="D67" s="66">
        <f>SUM(D68:D70)</f>
        <v>20000</v>
      </c>
      <c r="E67" s="72">
        <f t="shared" si="16"/>
        <v>20500</v>
      </c>
      <c r="F67" s="249">
        <f t="shared" si="17"/>
        <v>10.985301131218081</v>
      </c>
      <c r="G67" s="177">
        <f t="shared" si="18"/>
        <v>20500</v>
      </c>
      <c r="H67" s="28"/>
      <c r="I67" s="17"/>
      <c r="J67" s="22"/>
      <c r="K67" s="28"/>
      <c r="L67" s="28"/>
      <c r="M67" s="32"/>
      <c r="N67" s="17">
        <v>2000</v>
      </c>
      <c r="O67" s="36">
        <v>5000</v>
      </c>
      <c r="P67" s="28">
        <v>6000</v>
      </c>
      <c r="Q67" s="17">
        <v>2000</v>
      </c>
      <c r="R67" s="7"/>
      <c r="S67" s="22"/>
      <c r="T67" s="28"/>
      <c r="U67" s="17"/>
      <c r="V67" s="17"/>
      <c r="W67" s="22"/>
      <c r="X67" s="28"/>
      <c r="Y67" s="17"/>
      <c r="Z67" s="17"/>
      <c r="AA67" s="22"/>
      <c r="AB67" s="168">
        <f t="shared" si="19"/>
        <v>15000</v>
      </c>
      <c r="AC67" s="6">
        <f t="shared" si="14"/>
        <v>15000</v>
      </c>
    </row>
    <row r="68" spans="2:33" s="135" customFormat="1" ht="12" thickBot="1" x14ac:dyDescent="0.25">
      <c r="B68" s="169" t="s">
        <v>4</v>
      </c>
      <c r="C68" s="170">
        <v>500</v>
      </c>
      <c r="D68" s="171">
        <v>0</v>
      </c>
      <c r="E68" s="146">
        <f t="shared" si="16"/>
        <v>500</v>
      </c>
      <c r="F68" s="249">
        <f t="shared" si="17"/>
        <v>0.26793417393214836</v>
      </c>
      <c r="G68" s="177">
        <f t="shared" si="18"/>
        <v>500</v>
      </c>
      <c r="H68" s="164"/>
      <c r="I68" s="191"/>
      <c r="J68" s="167">
        <v>500</v>
      </c>
      <c r="K68" s="28"/>
      <c r="L68" s="164"/>
      <c r="M68" s="165"/>
      <c r="N68" s="165"/>
      <c r="O68" s="165"/>
      <c r="P68" s="165"/>
      <c r="Q68" s="173"/>
      <c r="R68" s="165"/>
      <c r="S68" s="167"/>
      <c r="T68" s="164"/>
      <c r="U68" s="165"/>
      <c r="V68" s="165"/>
      <c r="W68" s="167"/>
      <c r="X68" s="164"/>
      <c r="Y68" s="165"/>
      <c r="Z68" s="165"/>
      <c r="AA68" s="167"/>
      <c r="AB68" s="168">
        <f t="shared" si="19"/>
        <v>500</v>
      </c>
      <c r="AC68" s="6">
        <f t="shared" si="14"/>
        <v>500</v>
      </c>
    </row>
    <row r="69" spans="2:33" ht="12" thickBot="1" x14ac:dyDescent="0.25">
      <c r="B69" s="49" t="s">
        <v>6</v>
      </c>
      <c r="C69" s="57">
        <v>0</v>
      </c>
      <c r="D69" s="66">
        <v>0</v>
      </c>
      <c r="E69" s="146">
        <f t="shared" si="16"/>
        <v>0</v>
      </c>
      <c r="F69" s="249">
        <f t="shared" si="17"/>
        <v>0</v>
      </c>
      <c r="G69" s="177">
        <f t="shared" si="18"/>
        <v>0</v>
      </c>
      <c r="H69" s="28"/>
      <c r="I69" s="17"/>
      <c r="J69" s="17"/>
      <c r="K69" s="34"/>
      <c r="L69" s="26">
        <v>200</v>
      </c>
      <c r="M69" s="17"/>
      <c r="N69" s="17"/>
      <c r="O69" s="36"/>
      <c r="P69" s="26"/>
      <c r="Q69" s="7"/>
      <c r="R69" s="7"/>
      <c r="S69" s="23"/>
      <c r="T69" s="26"/>
      <c r="U69" s="17"/>
      <c r="V69" s="17"/>
      <c r="W69" s="22"/>
      <c r="X69" s="28"/>
      <c r="Y69" s="17"/>
      <c r="Z69" s="17"/>
      <c r="AA69" s="22"/>
      <c r="AB69" s="168">
        <f t="shared" si="19"/>
        <v>200</v>
      </c>
      <c r="AC69" s="6">
        <f t="shared" si="14"/>
        <v>200</v>
      </c>
    </row>
    <row r="70" spans="2:33" ht="12" thickBot="1" x14ac:dyDescent="0.25">
      <c r="B70" s="50" t="s">
        <v>5</v>
      </c>
      <c r="C70" s="147">
        <v>0</v>
      </c>
      <c r="D70" s="66">
        <v>20000</v>
      </c>
      <c r="E70" s="146">
        <f t="shared" si="16"/>
        <v>20000</v>
      </c>
      <c r="F70" s="249">
        <f t="shared" si="17"/>
        <v>10.717366957285934</v>
      </c>
      <c r="G70" s="177">
        <f t="shared" si="18"/>
        <v>20000</v>
      </c>
      <c r="H70" s="28"/>
      <c r="I70" s="17"/>
      <c r="J70" s="17"/>
      <c r="K70" s="22"/>
      <c r="L70" s="26"/>
      <c r="M70" s="26"/>
      <c r="N70" s="26"/>
      <c r="O70" s="26"/>
      <c r="P70" s="26"/>
      <c r="Q70" s="26"/>
      <c r="R70" s="26"/>
      <c r="S70" s="26"/>
      <c r="T70" s="26"/>
      <c r="U70" s="17"/>
      <c r="V70" s="17"/>
      <c r="W70" s="22"/>
      <c r="X70" s="28"/>
      <c r="Y70" s="17"/>
      <c r="Z70" s="17"/>
      <c r="AA70" s="22"/>
      <c r="AB70" s="168">
        <f t="shared" si="19"/>
        <v>0</v>
      </c>
      <c r="AC70" s="6">
        <f t="shared" si="14"/>
        <v>0</v>
      </c>
    </row>
    <row r="71" spans="2:33" s="135" customFormat="1" x14ac:dyDescent="0.2">
      <c r="B71" s="51" t="s">
        <v>37</v>
      </c>
      <c r="C71" s="161">
        <v>1000</v>
      </c>
      <c r="D71" s="162">
        <v>4000</v>
      </c>
      <c r="E71" s="71">
        <v>5000</v>
      </c>
      <c r="F71" s="249">
        <f t="shared" ref="F71:F79" si="20">E71/$D$123*100</f>
        <v>2.6793417393214836</v>
      </c>
      <c r="H71" s="178"/>
      <c r="I71" s="118"/>
      <c r="J71" s="118"/>
      <c r="K71" s="549"/>
      <c r="L71" s="165">
        <v>1000</v>
      </c>
      <c r="M71" s="167">
        <v>2500</v>
      </c>
      <c r="N71" s="164">
        <v>1500</v>
      </c>
      <c r="O71" s="246"/>
      <c r="P71" s="178"/>
      <c r="Q71" s="188"/>
      <c r="R71" s="165"/>
      <c r="S71" s="167"/>
      <c r="T71" s="164"/>
      <c r="U71" s="165"/>
      <c r="V71" s="165"/>
      <c r="W71" s="167"/>
      <c r="X71" s="164"/>
      <c r="Y71" s="165"/>
      <c r="Z71" s="165"/>
      <c r="AA71" s="167"/>
      <c r="AB71" s="164"/>
      <c r="AC71" s="165"/>
      <c r="AD71" s="165"/>
      <c r="AE71" s="166"/>
      <c r="AF71" s="168">
        <f t="shared" ref="AF71:AF78" si="21">SUM(H71:AE71)</f>
        <v>5000</v>
      </c>
      <c r="AG71" s="6">
        <f t="shared" ref="AG71:AG78" si="22">SUM(H71:AE71)</f>
        <v>5000</v>
      </c>
    </row>
    <row r="72" spans="2:33" s="135" customFormat="1" x14ac:dyDescent="0.2">
      <c r="B72" s="169" t="s">
        <v>4</v>
      </c>
      <c r="C72" s="170"/>
      <c r="D72" s="171"/>
      <c r="E72" s="172"/>
      <c r="F72" s="249">
        <f t="shared" si="20"/>
        <v>0</v>
      </c>
      <c r="H72" s="164"/>
      <c r="I72" s="165"/>
      <c r="J72" s="165"/>
      <c r="K72" s="167"/>
      <c r="L72" s="164"/>
      <c r="M72" s="165"/>
      <c r="N72" s="165"/>
      <c r="O72" s="166"/>
      <c r="P72" s="164"/>
      <c r="Q72" s="165"/>
      <c r="R72" s="165"/>
      <c r="S72" s="167"/>
      <c r="T72" s="164"/>
      <c r="U72" s="165"/>
      <c r="V72" s="165"/>
      <c r="W72" s="167"/>
      <c r="X72" s="164"/>
      <c r="Y72" s="165"/>
      <c r="Z72" s="165"/>
      <c r="AA72" s="167"/>
      <c r="AB72" s="164"/>
      <c r="AC72" s="165"/>
      <c r="AD72" s="165"/>
      <c r="AE72" s="166"/>
      <c r="AF72" s="168">
        <f t="shared" si="21"/>
        <v>0</v>
      </c>
      <c r="AG72" s="6">
        <f t="shared" si="22"/>
        <v>0</v>
      </c>
    </row>
    <row r="73" spans="2:33" s="135" customFormat="1" x14ac:dyDescent="0.2">
      <c r="B73" s="169" t="s">
        <v>6</v>
      </c>
      <c r="C73" s="175"/>
      <c r="D73" s="171"/>
      <c r="E73" s="172"/>
      <c r="F73" s="249">
        <f t="shared" si="20"/>
        <v>0</v>
      </c>
      <c r="H73" s="164"/>
      <c r="I73" s="165"/>
      <c r="J73" s="165"/>
      <c r="K73" s="167"/>
      <c r="L73" s="164"/>
      <c r="M73" s="165"/>
      <c r="N73" s="165"/>
      <c r="O73" s="166"/>
      <c r="P73" s="164"/>
      <c r="Q73" s="165"/>
      <c r="R73" s="165"/>
      <c r="S73" s="167"/>
      <c r="T73" s="164"/>
      <c r="U73" s="165"/>
      <c r="V73" s="165"/>
      <c r="W73" s="167"/>
      <c r="X73" s="164"/>
      <c r="Y73" s="165"/>
      <c r="Z73" s="165"/>
      <c r="AA73" s="167"/>
      <c r="AB73" s="164"/>
      <c r="AC73" s="165"/>
      <c r="AD73" s="165"/>
      <c r="AE73" s="166"/>
      <c r="AF73" s="168">
        <f t="shared" si="21"/>
        <v>0</v>
      </c>
      <c r="AG73" s="6">
        <f t="shared" si="22"/>
        <v>0</v>
      </c>
    </row>
    <row r="74" spans="2:33" s="135" customFormat="1" x14ac:dyDescent="0.2">
      <c r="B74" s="174" t="s">
        <v>5</v>
      </c>
      <c r="C74" s="175"/>
      <c r="D74" s="171"/>
      <c r="E74" s="176"/>
      <c r="F74" s="249">
        <f t="shared" si="20"/>
        <v>0</v>
      </c>
      <c r="H74" s="164"/>
      <c r="I74" s="165"/>
      <c r="J74" s="165"/>
      <c r="K74" s="167"/>
      <c r="L74" s="164"/>
      <c r="M74" s="165"/>
      <c r="N74" s="165"/>
      <c r="O74" s="166"/>
      <c r="P74" s="164"/>
      <c r="Q74" s="165"/>
      <c r="R74" s="165"/>
      <c r="S74" s="167"/>
      <c r="T74" s="164"/>
      <c r="U74" s="165"/>
      <c r="V74" s="165"/>
      <c r="W74" s="167"/>
      <c r="X74" s="164"/>
      <c r="Y74" s="165"/>
      <c r="Z74" s="165"/>
      <c r="AA74" s="167"/>
      <c r="AB74" s="164"/>
      <c r="AC74" s="165"/>
      <c r="AD74" s="165"/>
      <c r="AE74" s="166"/>
      <c r="AF74" s="168">
        <f t="shared" si="21"/>
        <v>0</v>
      </c>
      <c r="AG74" s="6">
        <f t="shared" si="22"/>
        <v>0</v>
      </c>
    </row>
    <row r="75" spans="2:33" s="243" customFormat="1" ht="15" customHeight="1" x14ac:dyDescent="0.2">
      <c r="B75" s="550" t="s">
        <v>38</v>
      </c>
      <c r="C75" s="551">
        <v>1300</v>
      </c>
      <c r="D75" s="552">
        <v>4200</v>
      </c>
      <c r="E75" s="71">
        <v>5500</v>
      </c>
      <c r="F75" s="249">
        <f t="shared" si="20"/>
        <v>2.9472759132536321</v>
      </c>
      <c r="H75" s="553"/>
      <c r="I75" s="554"/>
      <c r="J75" s="554"/>
      <c r="K75" s="554"/>
      <c r="L75" s="554"/>
      <c r="M75" s="555"/>
      <c r="N75" s="556">
        <v>2500</v>
      </c>
      <c r="O75" s="557">
        <v>2500</v>
      </c>
      <c r="P75" s="553">
        <v>500</v>
      </c>
      <c r="Q75" s="165"/>
      <c r="R75" s="165"/>
      <c r="S75" s="167"/>
      <c r="T75" s="164"/>
      <c r="U75" s="165"/>
      <c r="V75" s="165"/>
      <c r="W75" s="167"/>
      <c r="X75" s="164"/>
      <c r="Y75" s="556"/>
      <c r="Z75" s="556"/>
      <c r="AA75" s="558"/>
      <c r="AB75" s="553"/>
      <c r="AC75" s="556"/>
      <c r="AD75" s="556"/>
      <c r="AE75" s="557"/>
      <c r="AF75" s="168">
        <f t="shared" si="21"/>
        <v>5500</v>
      </c>
      <c r="AG75" s="6">
        <f t="shared" si="22"/>
        <v>5500</v>
      </c>
    </row>
    <row r="76" spans="2:33" s="135" customFormat="1" x14ac:dyDescent="0.2">
      <c r="B76" s="169" t="s">
        <v>4</v>
      </c>
      <c r="C76" s="170"/>
      <c r="D76" s="171"/>
      <c r="E76" s="172"/>
      <c r="F76" s="249">
        <f t="shared" si="20"/>
        <v>0</v>
      </c>
      <c r="H76" s="164"/>
      <c r="I76" s="165"/>
      <c r="J76" s="165"/>
      <c r="K76" s="167"/>
      <c r="L76" s="164"/>
      <c r="M76" s="165"/>
      <c r="N76" s="165"/>
      <c r="O76" s="166"/>
      <c r="P76" s="164"/>
      <c r="Q76" s="165"/>
      <c r="R76" s="165"/>
      <c r="S76" s="167"/>
      <c r="T76" s="164"/>
      <c r="U76" s="165"/>
      <c r="V76" s="165"/>
      <c r="W76" s="167"/>
      <c r="X76" s="164"/>
      <c r="Y76" s="165"/>
      <c r="Z76" s="165"/>
      <c r="AA76" s="167"/>
      <c r="AB76" s="164"/>
      <c r="AC76" s="165"/>
      <c r="AD76" s="165"/>
      <c r="AE76" s="166"/>
      <c r="AF76" s="168">
        <f t="shared" si="21"/>
        <v>0</v>
      </c>
      <c r="AG76" s="6">
        <f t="shared" si="22"/>
        <v>0</v>
      </c>
    </row>
    <row r="77" spans="2:33" s="135" customFormat="1" x14ac:dyDescent="0.2">
      <c r="B77" s="169" t="s">
        <v>6</v>
      </c>
      <c r="C77" s="175"/>
      <c r="D77" s="171"/>
      <c r="E77" s="559"/>
      <c r="F77" s="249">
        <f t="shared" si="20"/>
        <v>0</v>
      </c>
      <c r="H77" s="164"/>
      <c r="I77" s="165"/>
      <c r="J77" s="165"/>
      <c r="K77" s="167"/>
      <c r="L77" s="164"/>
      <c r="M77" s="165"/>
      <c r="N77" s="165"/>
      <c r="O77" s="166"/>
      <c r="P77" s="164"/>
      <c r="Q77" s="165"/>
      <c r="R77" s="165"/>
      <c r="S77" s="167"/>
      <c r="T77" s="164"/>
      <c r="U77" s="165"/>
      <c r="V77" s="165"/>
      <c r="W77" s="167"/>
      <c r="X77" s="164"/>
      <c r="Y77" s="165"/>
      <c r="Z77" s="165"/>
      <c r="AA77" s="167"/>
      <c r="AB77" s="164"/>
      <c r="AC77" s="165"/>
      <c r="AD77" s="165"/>
      <c r="AE77" s="166"/>
      <c r="AF77" s="168">
        <f t="shared" si="21"/>
        <v>0</v>
      </c>
      <c r="AG77" s="6">
        <f t="shared" si="22"/>
        <v>0</v>
      </c>
    </row>
    <row r="78" spans="2:33" s="135" customFormat="1" x14ac:dyDescent="0.2">
      <c r="B78" s="174" t="s">
        <v>5</v>
      </c>
      <c r="C78" s="175"/>
      <c r="D78" s="171"/>
      <c r="E78" s="559"/>
      <c r="F78" s="249">
        <f t="shared" si="20"/>
        <v>0</v>
      </c>
      <c r="H78" s="164"/>
      <c r="I78" s="165"/>
      <c r="J78" s="165"/>
      <c r="K78" s="167"/>
      <c r="L78" s="164"/>
      <c r="M78" s="165"/>
      <c r="N78" s="165"/>
      <c r="O78" s="166"/>
      <c r="P78" s="164"/>
      <c r="Q78" s="165"/>
      <c r="R78" s="165"/>
      <c r="S78" s="167"/>
      <c r="T78" s="164"/>
      <c r="U78" s="165"/>
      <c r="V78" s="165"/>
      <c r="W78" s="167"/>
      <c r="X78" s="164"/>
      <c r="Y78" s="165"/>
      <c r="Z78" s="165"/>
      <c r="AA78" s="167"/>
      <c r="AB78" s="164"/>
      <c r="AC78" s="165"/>
      <c r="AD78" s="165"/>
      <c r="AE78" s="166"/>
      <c r="AF78" s="168">
        <f t="shared" si="21"/>
        <v>0</v>
      </c>
      <c r="AG78" s="6">
        <f t="shared" si="22"/>
        <v>0</v>
      </c>
    </row>
    <row r="79" spans="2:33" ht="12" thickBot="1" x14ac:dyDescent="0.25">
      <c r="B79" s="544"/>
      <c r="C79" s="545"/>
      <c r="D79" s="546"/>
      <c r="E79" s="496"/>
      <c r="F79" s="249">
        <f t="shared" si="20"/>
        <v>0</v>
      </c>
      <c r="G79" s="177"/>
      <c r="H79" s="40"/>
      <c r="I79" s="41"/>
      <c r="J79" s="41"/>
      <c r="K79" s="42"/>
      <c r="L79" s="547"/>
      <c r="M79" s="548"/>
      <c r="N79" s="548"/>
      <c r="O79" s="296"/>
      <c r="P79" s="503"/>
      <c r="Q79" s="15"/>
      <c r="R79" s="15"/>
      <c r="S79" s="15"/>
      <c r="T79" s="547"/>
      <c r="U79" s="41"/>
      <c r="V79" s="41"/>
      <c r="W79" s="42"/>
      <c r="X79" s="40"/>
      <c r="Y79" s="41"/>
      <c r="Z79" s="41"/>
      <c r="AA79" s="42"/>
      <c r="AB79" s="168"/>
      <c r="AC79" s="6"/>
    </row>
    <row r="80" spans="2:33" s="6" customFormat="1" ht="24.95" customHeight="1" thickBot="1" x14ac:dyDescent="0.25">
      <c r="B80" s="54" t="s">
        <v>80</v>
      </c>
      <c r="C80" s="63">
        <f>SUM(C81:C87)</f>
        <v>4500</v>
      </c>
      <c r="D80" s="63">
        <f>SUM(D81:D87)</f>
        <v>5000</v>
      </c>
      <c r="E80" s="63">
        <f>SUM(E81:E87)</f>
        <v>9500</v>
      </c>
      <c r="F80" s="250">
        <f>SUM(F81:F87)</f>
        <v>5.0907493047108181</v>
      </c>
      <c r="G80" s="177">
        <f t="shared" ref="G80:G87" si="23">D80+C80</f>
        <v>9500</v>
      </c>
      <c r="H80" s="1072">
        <f>SUM(H81:K87)</f>
        <v>950</v>
      </c>
      <c r="I80" s="1073"/>
      <c r="J80" s="1073"/>
      <c r="K80" s="1074"/>
      <c r="L80" s="1072">
        <f>SUM(L81:O87)</f>
        <v>1900</v>
      </c>
      <c r="M80" s="1073"/>
      <c r="N80" s="1073"/>
      <c r="O80" s="1111"/>
      <c r="P80" s="273">
        <f>SUM(P81:S87)</f>
        <v>1900</v>
      </c>
      <c r="Q80" s="274"/>
      <c r="R80" s="274"/>
      <c r="S80" s="275"/>
      <c r="T80" s="1072">
        <f>SUM(T81:W87)</f>
        <v>1900</v>
      </c>
      <c r="U80" s="1073"/>
      <c r="V80" s="1073"/>
      <c r="W80" s="1074"/>
      <c r="X80" s="1072">
        <f>SUM(X81:AA87)</f>
        <v>1900</v>
      </c>
      <c r="Y80" s="1073"/>
      <c r="Z80" s="1073"/>
      <c r="AA80" s="1074"/>
      <c r="AB80" s="211">
        <f t="shared" si="19"/>
        <v>8550</v>
      </c>
      <c r="AC80" s="6">
        <f t="shared" si="14"/>
        <v>8550</v>
      </c>
    </row>
    <row r="81" spans="2:29" ht="12" thickBot="1" x14ac:dyDescent="0.25">
      <c r="B81" s="55" t="s">
        <v>22</v>
      </c>
      <c r="C81" s="62">
        <v>4500</v>
      </c>
      <c r="D81" s="70">
        <v>5000</v>
      </c>
      <c r="E81" s="146">
        <f t="shared" ref="E81:E86" si="24">D81+C81</f>
        <v>9500</v>
      </c>
      <c r="F81" s="249">
        <f t="shared" ref="F81:F87" si="25">E81/$D$123*100</f>
        <v>5.0907493047108181</v>
      </c>
      <c r="G81" s="177">
        <f t="shared" si="23"/>
        <v>9500</v>
      </c>
      <c r="H81" s="217"/>
      <c r="I81" s="11"/>
      <c r="J81" s="11">
        <f>9500/20</f>
        <v>475</v>
      </c>
      <c r="K81" s="11">
        <f t="shared" ref="K81:AA81" si="26">9500/20</f>
        <v>475</v>
      </c>
      <c r="L81" s="11">
        <f t="shared" si="26"/>
        <v>475</v>
      </c>
      <c r="M81" s="11">
        <f t="shared" si="26"/>
        <v>475</v>
      </c>
      <c r="N81" s="11">
        <f t="shared" si="26"/>
        <v>475</v>
      </c>
      <c r="O81" s="12">
        <f t="shared" si="26"/>
        <v>475</v>
      </c>
      <c r="P81" s="28">
        <f t="shared" si="26"/>
        <v>475</v>
      </c>
      <c r="Q81" s="17">
        <f t="shared" si="26"/>
        <v>475</v>
      </c>
      <c r="R81" s="17">
        <f t="shared" si="26"/>
        <v>475</v>
      </c>
      <c r="S81" s="22">
        <f t="shared" si="26"/>
        <v>475</v>
      </c>
      <c r="T81" s="28">
        <f t="shared" si="26"/>
        <v>475</v>
      </c>
      <c r="U81" s="17">
        <f t="shared" si="26"/>
        <v>475</v>
      </c>
      <c r="V81" s="17">
        <f t="shared" si="26"/>
        <v>475</v>
      </c>
      <c r="W81" s="22">
        <f t="shared" si="26"/>
        <v>475</v>
      </c>
      <c r="X81" s="28">
        <f t="shared" si="26"/>
        <v>475</v>
      </c>
      <c r="Y81" s="17">
        <f t="shared" si="26"/>
        <v>475</v>
      </c>
      <c r="Z81" s="17">
        <f t="shared" si="26"/>
        <v>475</v>
      </c>
      <c r="AA81" s="22">
        <f t="shared" si="26"/>
        <v>475</v>
      </c>
      <c r="AB81" s="168">
        <f t="shared" si="19"/>
        <v>8550</v>
      </c>
      <c r="AC81" s="6">
        <f t="shared" si="14"/>
        <v>8550</v>
      </c>
    </row>
    <row r="82" spans="2:29" ht="12" thickBot="1" x14ac:dyDescent="0.25">
      <c r="B82" s="55" t="s">
        <v>19</v>
      </c>
      <c r="C82" s="62"/>
      <c r="D82" s="70"/>
      <c r="E82" s="146">
        <f t="shared" si="24"/>
        <v>0</v>
      </c>
      <c r="F82" s="249">
        <f t="shared" si="25"/>
        <v>0</v>
      </c>
      <c r="G82" s="177">
        <f t="shared" si="23"/>
        <v>0</v>
      </c>
      <c r="H82" s="30"/>
      <c r="I82" s="9"/>
      <c r="J82" s="9"/>
      <c r="K82" s="25"/>
      <c r="L82" s="30"/>
      <c r="M82" s="9"/>
      <c r="N82" s="9"/>
      <c r="O82" s="13"/>
      <c r="P82" s="28"/>
      <c r="Q82" s="17"/>
      <c r="R82" s="17"/>
      <c r="S82" s="22"/>
      <c r="T82" s="28"/>
      <c r="U82" s="17"/>
      <c r="V82" s="17"/>
      <c r="W82" s="22"/>
      <c r="X82" s="28"/>
      <c r="Y82" s="17"/>
      <c r="Z82" s="17"/>
      <c r="AA82" s="22"/>
      <c r="AB82" s="168">
        <f t="shared" si="19"/>
        <v>0</v>
      </c>
      <c r="AC82" s="6">
        <f t="shared" si="14"/>
        <v>0</v>
      </c>
    </row>
    <row r="83" spans="2:29" ht="12" thickBot="1" x14ac:dyDescent="0.25">
      <c r="B83" s="55" t="s">
        <v>20</v>
      </c>
      <c r="C83" s="62"/>
      <c r="D83" s="70"/>
      <c r="E83" s="146">
        <f t="shared" si="24"/>
        <v>0</v>
      </c>
      <c r="F83" s="249">
        <f t="shared" si="25"/>
        <v>0</v>
      </c>
      <c r="G83" s="177">
        <f t="shared" si="23"/>
        <v>0</v>
      </c>
      <c r="H83" s="30"/>
      <c r="I83" s="9"/>
      <c r="J83" s="9"/>
      <c r="K83" s="25"/>
      <c r="L83" s="30"/>
      <c r="M83" s="9"/>
      <c r="N83" s="9"/>
      <c r="O83" s="13"/>
      <c r="P83" s="28"/>
      <c r="Q83" s="17"/>
      <c r="R83" s="17"/>
      <c r="S83" s="22"/>
      <c r="T83" s="28"/>
      <c r="U83" s="17"/>
      <c r="V83" s="17"/>
      <c r="W83" s="22"/>
      <c r="X83" s="28"/>
      <c r="Y83" s="17"/>
      <c r="Z83" s="17"/>
      <c r="AA83" s="22"/>
      <c r="AB83" s="168">
        <f t="shared" si="19"/>
        <v>0</v>
      </c>
      <c r="AC83" s="6">
        <f t="shared" si="14"/>
        <v>0</v>
      </c>
    </row>
    <row r="84" spans="2:29" ht="12" thickBot="1" x14ac:dyDescent="0.25">
      <c r="B84" s="55" t="s">
        <v>21</v>
      </c>
      <c r="C84" s="62"/>
      <c r="D84" s="70"/>
      <c r="E84" s="146">
        <f t="shared" si="24"/>
        <v>0</v>
      </c>
      <c r="F84" s="249">
        <f t="shared" si="25"/>
        <v>0</v>
      </c>
      <c r="G84" s="177">
        <f t="shared" si="23"/>
        <v>0</v>
      </c>
      <c r="H84" s="31"/>
      <c r="I84" s="10"/>
      <c r="J84" s="10"/>
      <c r="K84" s="27"/>
      <c r="L84" s="31"/>
      <c r="M84" s="10"/>
      <c r="N84" s="10"/>
      <c r="O84" s="14"/>
      <c r="P84" s="28"/>
      <c r="Q84" s="17"/>
      <c r="R84" s="17"/>
      <c r="S84" s="22"/>
      <c r="T84" s="28"/>
      <c r="U84" s="17"/>
      <c r="V84" s="17"/>
      <c r="W84" s="22"/>
      <c r="X84" s="28"/>
      <c r="Y84" s="17"/>
      <c r="Z84" s="17"/>
      <c r="AA84" s="22"/>
      <c r="AB84" s="168">
        <f t="shared" si="19"/>
        <v>0</v>
      </c>
      <c r="AC84" s="6">
        <f t="shared" si="14"/>
        <v>0</v>
      </c>
    </row>
    <row r="85" spans="2:29" ht="12" thickBot="1" x14ac:dyDescent="0.25">
      <c r="B85" s="55" t="s">
        <v>23</v>
      </c>
      <c r="C85" s="62"/>
      <c r="D85" s="70"/>
      <c r="E85" s="146">
        <f t="shared" si="24"/>
        <v>0</v>
      </c>
      <c r="F85" s="249">
        <f t="shared" si="25"/>
        <v>0</v>
      </c>
      <c r="G85" s="177">
        <f t="shared" si="23"/>
        <v>0</v>
      </c>
      <c r="H85" s="30"/>
      <c r="I85" s="9"/>
      <c r="J85" s="9"/>
      <c r="K85" s="25"/>
      <c r="L85" s="30"/>
      <c r="M85" s="9"/>
      <c r="N85" s="9"/>
      <c r="O85" s="13"/>
      <c r="P85" s="28"/>
      <c r="Q85" s="17"/>
      <c r="R85" s="17"/>
      <c r="S85" s="22"/>
      <c r="T85" s="28"/>
      <c r="U85" s="17"/>
      <c r="V85" s="17"/>
      <c r="W85" s="22"/>
      <c r="X85" s="28"/>
      <c r="Y85" s="17"/>
      <c r="Z85" s="17"/>
      <c r="AA85" s="22"/>
      <c r="AB85" s="168">
        <f t="shared" si="19"/>
        <v>0</v>
      </c>
      <c r="AC85" s="6">
        <f t="shared" si="14"/>
        <v>0</v>
      </c>
    </row>
    <row r="86" spans="2:29" ht="12" thickBot="1" x14ac:dyDescent="0.25">
      <c r="B86" s="55" t="s">
        <v>24</v>
      </c>
      <c r="C86" s="62"/>
      <c r="D86" s="70"/>
      <c r="E86" s="146">
        <f t="shared" si="24"/>
        <v>0</v>
      </c>
      <c r="F86" s="249">
        <f t="shared" si="25"/>
        <v>0</v>
      </c>
      <c r="G86" s="177">
        <f t="shared" si="23"/>
        <v>0</v>
      </c>
      <c r="H86" s="30"/>
      <c r="I86" s="9"/>
      <c r="J86" s="9"/>
      <c r="K86" s="25"/>
      <c r="L86" s="30"/>
      <c r="M86" s="9"/>
      <c r="N86" s="9"/>
      <c r="O86" s="13"/>
      <c r="P86" s="28"/>
      <c r="Q86" s="17"/>
      <c r="R86" s="17"/>
      <c r="S86" s="22"/>
      <c r="T86" s="28"/>
      <c r="U86" s="17"/>
      <c r="V86" s="17"/>
      <c r="W86" s="22"/>
      <c r="X86" s="28"/>
      <c r="Y86" s="17"/>
      <c r="Z86" s="17"/>
      <c r="AA86" s="22"/>
      <c r="AB86" s="168">
        <f t="shared" si="19"/>
        <v>0</v>
      </c>
      <c r="AC86" s="6">
        <f t="shared" ref="AC86:AC117" si="27">SUM(H86:AA86)</f>
        <v>0</v>
      </c>
    </row>
    <row r="87" spans="2:29" ht="12" thickBot="1" x14ac:dyDescent="0.25">
      <c r="B87" s="55" t="s">
        <v>25</v>
      </c>
      <c r="C87" s="62"/>
      <c r="D87" s="70"/>
      <c r="E87" s="146">
        <f>D87+C87</f>
        <v>0</v>
      </c>
      <c r="F87" s="249">
        <f t="shared" si="25"/>
        <v>0</v>
      </c>
      <c r="G87" s="177">
        <f t="shared" si="23"/>
        <v>0</v>
      </c>
      <c r="H87" s="31"/>
      <c r="I87" s="10"/>
      <c r="J87" s="10"/>
      <c r="K87" s="27"/>
      <c r="L87" s="31"/>
      <c r="M87" s="10"/>
      <c r="N87" s="10"/>
      <c r="O87" s="14"/>
      <c r="P87" s="28"/>
      <c r="Q87" s="17"/>
      <c r="R87" s="17"/>
      <c r="S87" s="22"/>
      <c r="T87" s="28"/>
      <c r="U87" s="17"/>
      <c r="V87" s="17"/>
      <c r="W87" s="22"/>
      <c r="X87" s="28"/>
      <c r="Y87" s="17"/>
      <c r="Z87" s="17"/>
      <c r="AA87" s="22"/>
      <c r="AB87" s="168">
        <f t="shared" si="19"/>
        <v>0</v>
      </c>
      <c r="AC87" s="6">
        <f t="shared" si="27"/>
        <v>0</v>
      </c>
    </row>
    <row r="88" spans="2:29" s="6" customFormat="1" ht="24.95" customHeight="1" thickBot="1" x14ac:dyDescent="0.25">
      <c r="B88" s="88" t="s">
        <v>44</v>
      </c>
      <c r="C88" s="148">
        <f>C89+C111</f>
        <v>10160</v>
      </c>
      <c r="D88" s="89">
        <f>D89+D111</f>
        <v>17680</v>
      </c>
      <c r="E88" s="89">
        <v>27840</v>
      </c>
      <c r="F88" s="251">
        <f>F89+F111</f>
        <v>14.91857480454202</v>
      </c>
      <c r="G88" s="177">
        <f t="shared" ref="G88:G101" si="28">D88+C88</f>
        <v>27840</v>
      </c>
      <c r="H88" s="1107">
        <f>H89+H111</f>
        <v>2100</v>
      </c>
      <c r="I88" s="1108"/>
      <c r="J88" s="1108"/>
      <c r="K88" s="1109"/>
      <c r="L88" s="1107">
        <f>L89+L111</f>
        <v>15242</v>
      </c>
      <c r="M88" s="1108"/>
      <c r="N88" s="1108"/>
      <c r="O88" s="1109"/>
      <c r="P88" s="276">
        <f>P89+P111</f>
        <v>9314</v>
      </c>
      <c r="Q88" s="277"/>
      <c r="R88" s="277"/>
      <c r="S88" s="278"/>
      <c r="T88" s="1107">
        <f>T89+T111</f>
        <v>892</v>
      </c>
      <c r="U88" s="1108"/>
      <c r="V88" s="1108"/>
      <c r="W88" s="1109"/>
      <c r="X88" s="1107">
        <f>X89+X111</f>
        <v>291.5</v>
      </c>
      <c r="Y88" s="1108"/>
      <c r="Z88" s="1108"/>
      <c r="AA88" s="1109"/>
      <c r="AB88" s="218">
        <f t="shared" si="19"/>
        <v>27839.5</v>
      </c>
      <c r="AC88" s="6">
        <f t="shared" si="27"/>
        <v>27839.5</v>
      </c>
    </row>
    <row r="89" spans="2:29" s="6" customFormat="1" ht="15" customHeight="1" thickBot="1" x14ac:dyDescent="0.25">
      <c r="B89" s="82" t="s">
        <v>45</v>
      </c>
      <c r="C89" s="90">
        <f>C90+C97+C102+C104</f>
        <v>7110</v>
      </c>
      <c r="D89" s="81">
        <f>D90+D97+D102+D104</f>
        <v>8750</v>
      </c>
      <c r="E89" s="91">
        <f>E90+E97+E102+E104</f>
        <v>15860</v>
      </c>
      <c r="F89" s="249">
        <f>E89/$D$123*100</f>
        <v>8.4988719971277451</v>
      </c>
      <c r="G89" s="177">
        <f t="shared" si="28"/>
        <v>15860</v>
      </c>
      <c r="H89" s="1069">
        <f>H90+H97+H102+H104</f>
        <v>0</v>
      </c>
      <c r="I89" s="1070"/>
      <c r="J89" s="1070"/>
      <c r="K89" s="1071"/>
      <c r="L89" s="1069">
        <f>L90+L97+L102+L104</f>
        <v>5962</v>
      </c>
      <c r="M89" s="1070"/>
      <c r="N89" s="1070"/>
      <c r="O89" s="1071"/>
      <c r="P89" s="279">
        <f>P90+P97+P102+P104</f>
        <v>9314</v>
      </c>
      <c r="Q89" s="90"/>
      <c r="R89" s="90"/>
      <c r="S89" s="280"/>
      <c r="T89" s="1069">
        <f>T90+T97+T102+T104</f>
        <v>292</v>
      </c>
      <c r="U89" s="1070"/>
      <c r="V89" s="1070"/>
      <c r="W89" s="1071"/>
      <c r="X89" s="1069">
        <f>X90+X97+X102+X104</f>
        <v>291.5</v>
      </c>
      <c r="Y89" s="1070"/>
      <c r="Z89" s="1070"/>
      <c r="AA89" s="1071"/>
      <c r="AB89" s="83">
        <f>AB90+AB97+AB102+AB104</f>
        <v>15859.5</v>
      </c>
      <c r="AC89" s="6">
        <f t="shared" si="27"/>
        <v>15859.5</v>
      </c>
    </row>
    <row r="90" spans="2:29" s="6" customFormat="1" ht="15" customHeight="1" thickBot="1" x14ac:dyDescent="0.25">
      <c r="B90" s="82" t="s">
        <v>30</v>
      </c>
      <c r="C90" s="92">
        <f>SUM(C91:C96)</f>
        <v>0</v>
      </c>
      <c r="D90" s="93">
        <f>SUM(D91:D96)</f>
        <v>8250</v>
      </c>
      <c r="E90" s="91">
        <f>SUM(E91:E96)</f>
        <v>8250</v>
      </c>
      <c r="F90" s="250">
        <f>SUM(F91:F96)</f>
        <v>4.4209138698804482</v>
      </c>
      <c r="G90" s="177">
        <f t="shared" si="28"/>
        <v>8250</v>
      </c>
      <c r="H90" s="1072">
        <f>SUM(H91:K96)</f>
        <v>0</v>
      </c>
      <c r="I90" s="1073"/>
      <c r="J90" s="1073"/>
      <c r="K90" s="1074"/>
      <c r="L90" s="1075">
        <f>SUM(L91:O96)</f>
        <v>0</v>
      </c>
      <c r="M90" s="1073"/>
      <c r="N90" s="1073"/>
      <c r="O90" s="1074"/>
      <c r="P90" s="281">
        <f>SUM(P91:S96)</f>
        <v>8250</v>
      </c>
      <c r="Q90" s="282"/>
      <c r="R90" s="282"/>
      <c r="S90" s="283"/>
      <c r="T90" s="1075">
        <f>SUM(T91:W96)</f>
        <v>0</v>
      </c>
      <c r="U90" s="1073"/>
      <c r="V90" s="1073"/>
      <c r="W90" s="1074"/>
      <c r="X90" s="1075">
        <f>SUM(X91:AA96)</f>
        <v>0</v>
      </c>
      <c r="Y90" s="1073"/>
      <c r="Z90" s="1073"/>
      <c r="AA90" s="1074"/>
      <c r="AB90" s="83">
        <f>SUM(AB91:AB96)</f>
        <v>8250</v>
      </c>
      <c r="AC90" s="6">
        <f t="shared" si="27"/>
        <v>8250</v>
      </c>
    </row>
    <row r="91" spans="2:29" s="6" customFormat="1" ht="12.75" customHeight="1" thickBot="1" x14ac:dyDescent="0.25">
      <c r="B91" s="94" t="s">
        <v>46</v>
      </c>
      <c r="C91" s="149"/>
      <c r="D91" s="95">
        <v>2500</v>
      </c>
      <c r="E91" s="146">
        <f t="shared" ref="E91:E96" si="29">D91+C91</f>
        <v>2500</v>
      </c>
      <c r="F91" s="249">
        <f t="shared" ref="F91:F96" si="30">E91/$D$123*100</f>
        <v>1.3396708696607418</v>
      </c>
      <c r="G91" s="177">
        <f t="shared" si="28"/>
        <v>2500</v>
      </c>
      <c r="H91" s="96"/>
      <c r="I91" s="97"/>
      <c r="J91" s="97"/>
      <c r="K91" s="98"/>
      <c r="L91" s="99"/>
      <c r="M91" s="100"/>
      <c r="N91" s="101"/>
      <c r="O91" s="102"/>
      <c r="P91" s="192">
        <v>800</v>
      </c>
      <c r="Q91" s="193">
        <v>800</v>
      </c>
      <c r="R91" s="194">
        <v>900</v>
      </c>
      <c r="S91" s="195"/>
      <c r="T91" s="96"/>
      <c r="U91" s="103"/>
      <c r="V91" s="103"/>
      <c r="W91" s="104"/>
      <c r="X91" s="96"/>
      <c r="Y91" s="103"/>
      <c r="Z91" s="103"/>
      <c r="AA91" s="104"/>
      <c r="AB91" s="168">
        <f t="shared" ref="AB91:AB96" si="31">SUM(H91:AA91)</f>
        <v>2500</v>
      </c>
      <c r="AC91" s="6">
        <f t="shared" si="27"/>
        <v>2500</v>
      </c>
    </row>
    <row r="92" spans="2:29" s="6" customFormat="1" ht="12.75" customHeight="1" thickBot="1" x14ac:dyDescent="0.25">
      <c r="B92" s="94" t="s">
        <v>47</v>
      </c>
      <c r="C92" s="149"/>
      <c r="D92" s="95">
        <v>900</v>
      </c>
      <c r="E92" s="146">
        <f t="shared" si="29"/>
        <v>900</v>
      </c>
      <c r="F92" s="249">
        <f t="shared" si="30"/>
        <v>0.48228151307786704</v>
      </c>
      <c r="G92" s="177">
        <f t="shared" si="28"/>
        <v>900</v>
      </c>
      <c r="H92" s="105"/>
      <c r="I92" s="106"/>
      <c r="J92" s="106"/>
      <c r="K92" s="107"/>
      <c r="L92" s="108"/>
      <c r="M92" s="109"/>
      <c r="N92" s="110"/>
      <c r="O92" s="111"/>
      <c r="P92" s="196">
        <v>300</v>
      </c>
      <c r="Q92" s="154">
        <v>300</v>
      </c>
      <c r="R92" s="197">
        <v>300</v>
      </c>
      <c r="S92" s="198"/>
      <c r="T92" s="105"/>
      <c r="U92" s="112"/>
      <c r="V92" s="112"/>
      <c r="W92" s="113"/>
      <c r="X92" s="105"/>
      <c r="Y92" s="112"/>
      <c r="Z92" s="112"/>
      <c r="AA92" s="113"/>
      <c r="AB92" s="168">
        <f t="shared" si="31"/>
        <v>900</v>
      </c>
      <c r="AC92" s="6">
        <f t="shared" si="27"/>
        <v>900</v>
      </c>
    </row>
    <row r="93" spans="2:29" s="6" customFormat="1" ht="12.75" customHeight="1" thickBot="1" x14ac:dyDescent="0.25">
      <c r="B93" s="94" t="s">
        <v>48</v>
      </c>
      <c r="C93" s="149"/>
      <c r="D93" s="95">
        <v>1750</v>
      </c>
      <c r="E93" s="146">
        <f t="shared" si="29"/>
        <v>1750</v>
      </c>
      <c r="F93" s="249">
        <f t="shared" si="30"/>
        <v>0.93776960876251914</v>
      </c>
      <c r="G93" s="177">
        <f t="shared" si="28"/>
        <v>1750</v>
      </c>
      <c r="H93" s="105"/>
      <c r="I93" s="112"/>
      <c r="J93" s="114"/>
      <c r="K93" s="115"/>
      <c r="L93" s="105"/>
      <c r="M93" s="116"/>
      <c r="N93" s="110"/>
      <c r="O93" s="111"/>
      <c r="P93" s="196">
        <v>1000</v>
      </c>
      <c r="Q93" s="154">
        <v>250</v>
      </c>
      <c r="R93" s="197">
        <v>250</v>
      </c>
      <c r="S93" s="198">
        <v>250</v>
      </c>
      <c r="T93" s="105"/>
      <c r="U93" s="112"/>
      <c r="V93" s="112"/>
      <c r="W93" s="113"/>
      <c r="X93" s="117"/>
      <c r="Y93" s="112"/>
      <c r="Z93" s="112"/>
      <c r="AA93" s="113"/>
      <c r="AB93" s="168">
        <f t="shared" si="31"/>
        <v>1750</v>
      </c>
      <c r="AC93" s="6">
        <f t="shared" si="27"/>
        <v>1750</v>
      </c>
    </row>
    <row r="94" spans="2:29" s="6" customFormat="1" ht="12.75" customHeight="1" thickBot="1" x14ac:dyDescent="0.25">
      <c r="B94" s="94" t="s">
        <v>49</v>
      </c>
      <c r="C94" s="149"/>
      <c r="D94" s="95">
        <v>1500</v>
      </c>
      <c r="E94" s="146">
        <f t="shared" si="29"/>
        <v>1500</v>
      </c>
      <c r="F94" s="249">
        <f t="shared" si="30"/>
        <v>0.80380252179644507</v>
      </c>
      <c r="G94" s="177">
        <f t="shared" si="28"/>
        <v>1500</v>
      </c>
      <c r="H94" s="105"/>
      <c r="I94" s="112"/>
      <c r="J94" s="114"/>
      <c r="K94" s="115"/>
      <c r="L94" s="105"/>
      <c r="M94" s="116"/>
      <c r="N94" s="110"/>
      <c r="O94" s="111"/>
      <c r="P94" s="196">
        <v>300</v>
      </c>
      <c r="Q94" s="154">
        <v>400</v>
      </c>
      <c r="R94" s="197">
        <v>400</v>
      </c>
      <c r="S94" s="198">
        <v>400</v>
      </c>
      <c r="T94" s="105"/>
      <c r="U94" s="112"/>
      <c r="V94" s="112"/>
      <c r="W94" s="113"/>
      <c r="X94" s="117"/>
      <c r="Y94" s="112"/>
      <c r="Z94" s="112"/>
      <c r="AA94" s="113"/>
      <c r="AB94" s="168">
        <f t="shared" si="31"/>
        <v>1500</v>
      </c>
      <c r="AC94" s="6">
        <f t="shared" si="27"/>
        <v>1500</v>
      </c>
    </row>
    <row r="95" spans="2:29" s="6" customFormat="1" ht="12.75" customHeight="1" thickBot="1" x14ac:dyDescent="0.25">
      <c r="B95" s="119" t="s">
        <v>50</v>
      </c>
      <c r="C95" s="149"/>
      <c r="D95" s="95">
        <v>1100</v>
      </c>
      <c r="E95" s="146">
        <f t="shared" si="29"/>
        <v>1100</v>
      </c>
      <c r="F95" s="249">
        <f t="shared" si="30"/>
        <v>0.58945518265072638</v>
      </c>
      <c r="G95" s="177">
        <f t="shared" si="28"/>
        <v>1100</v>
      </c>
      <c r="H95" s="105"/>
      <c r="I95" s="112"/>
      <c r="J95" s="114"/>
      <c r="K95" s="115"/>
      <c r="L95" s="108"/>
      <c r="M95" s="116"/>
      <c r="N95" s="110"/>
      <c r="O95" s="111"/>
      <c r="P95" s="196">
        <v>300</v>
      </c>
      <c r="Q95" s="154">
        <v>400</v>
      </c>
      <c r="R95" s="197">
        <v>400</v>
      </c>
      <c r="S95" s="198"/>
      <c r="T95" s="105"/>
      <c r="U95" s="112"/>
      <c r="V95" s="112"/>
      <c r="W95" s="113"/>
      <c r="X95" s="117"/>
      <c r="Y95" s="112"/>
      <c r="Z95" s="112"/>
      <c r="AA95" s="113"/>
      <c r="AB95" s="168">
        <f t="shared" si="31"/>
        <v>1100</v>
      </c>
      <c r="AC95" s="6">
        <f t="shared" si="27"/>
        <v>1100</v>
      </c>
    </row>
    <row r="96" spans="2:29" s="6" customFormat="1" ht="12.75" customHeight="1" thickBot="1" x14ac:dyDescent="0.25">
      <c r="B96" s="119" t="s">
        <v>51</v>
      </c>
      <c r="C96" s="149"/>
      <c r="D96" s="95">
        <v>500</v>
      </c>
      <c r="E96" s="146">
        <f t="shared" si="29"/>
        <v>500</v>
      </c>
      <c r="F96" s="249">
        <f t="shared" si="30"/>
        <v>0.26793417393214836</v>
      </c>
      <c r="G96" s="177">
        <f t="shared" si="28"/>
        <v>500</v>
      </c>
      <c r="H96" s="120"/>
      <c r="I96" s="121"/>
      <c r="J96" s="122"/>
      <c r="K96" s="123"/>
      <c r="L96" s="124"/>
      <c r="M96" s="125"/>
      <c r="N96" s="126"/>
      <c r="O96" s="127"/>
      <c r="P96" s="199">
        <v>150</v>
      </c>
      <c r="Q96" s="200">
        <v>175</v>
      </c>
      <c r="R96" s="201">
        <v>175</v>
      </c>
      <c r="S96" s="202"/>
      <c r="T96" s="120"/>
      <c r="U96" s="121"/>
      <c r="V96" s="121"/>
      <c r="W96" s="128"/>
      <c r="X96" s="120"/>
      <c r="Y96" s="121"/>
      <c r="Z96" s="121"/>
      <c r="AA96" s="128"/>
      <c r="AB96" s="168">
        <f t="shared" si="31"/>
        <v>500</v>
      </c>
      <c r="AC96" s="6">
        <f t="shared" si="27"/>
        <v>500</v>
      </c>
    </row>
    <row r="97" spans="2:30" s="6" customFormat="1" ht="15" customHeight="1" thickBot="1" x14ac:dyDescent="0.25">
      <c r="B97" s="78" t="s">
        <v>31</v>
      </c>
      <c r="C97" s="150">
        <f>SUM(C98:C101)</f>
        <v>6600</v>
      </c>
      <c r="D97" s="93">
        <f>SUM(D98:D101)</f>
        <v>0</v>
      </c>
      <c r="E97" s="79">
        <f>SUM(E98:E101)</f>
        <v>6600</v>
      </c>
      <c r="F97" s="250">
        <f>SUM(F98:F101)</f>
        <v>3.5367310959043579</v>
      </c>
      <c r="G97" s="177">
        <f t="shared" si="28"/>
        <v>6600</v>
      </c>
      <c r="H97" s="1072">
        <f>SUM(H98:K101)</f>
        <v>0</v>
      </c>
      <c r="I97" s="1073"/>
      <c r="J97" s="1073"/>
      <c r="K97" s="1074"/>
      <c r="L97" s="1075">
        <f>SUM(L98:O101)</f>
        <v>5700</v>
      </c>
      <c r="M97" s="1073"/>
      <c r="N97" s="1073"/>
      <c r="O97" s="1074"/>
      <c r="P97" s="264">
        <f>SUM(P98:S101)</f>
        <v>570</v>
      </c>
      <c r="Q97" s="265"/>
      <c r="R97" s="265"/>
      <c r="S97" s="266"/>
      <c r="T97" s="1075">
        <f>SUM(T98:W101)</f>
        <v>165</v>
      </c>
      <c r="U97" s="1073"/>
      <c r="V97" s="1073"/>
      <c r="W97" s="1074"/>
      <c r="X97" s="1075">
        <f>SUM(X98:AA101)</f>
        <v>165</v>
      </c>
      <c r="Y97" s="1073"/>
      <c r="Z97" s="1073"/>
      <c r="AA97" s="1074"/>
      <c r="AB97" s="79">
        <f>SUM(AB98:AB101)</f>
        <v>6600</v>
      </c>
      <c r="AC97" s="6">
        <f t="shared" si="27"/>
        <v>6600</v>
      </c>
    </row>
    <row r="98" spans="2:30" s="6" customFormat="1" ht="12.75" customHeight="1" thickBot="1" x14ac:dyDescent="0.25">
      <c r="B98" s="94" t="s">
        <v>52</v>
      </c>
      <c r="C98" s="149">
        <v>200</v>
      </c>
      <c r="D98" s="95"/>
      <c r="E98" s="146">
        <f>D98+C98</f>
        <v>200</v>
      </c>
      <c r="F98" s="249">
        <f>E98/$D$123*100</f>
        <v>0.10717366957285934</v>
      </c>
      <c r="G98" s="177">
        <f t="shared" si="28"/>
        <v>200</v>
      </c>
      <c r="H98" s="96"/>
      <c r="I98" s="103"/>
      <c r="J98" s="103"/>
      <c r="K98" s="100"/>
      <c r="L98" s="96"/>
      <c r="M98" s="129"/>
      <c r="N98" s="129"/>
      <c r="O98" s="130"/>
      <c r="P98" s="203">
        <v>100</v>
      </c>
      <c r="Q98" s="193">
        <v>100</v>
      </c>
      <c r="R98" s="103"/>
      <c r="S98" s="104"/>
      <c r="T98" s="96"/>
      <c r="U98" s="97"/>
      <c r="V98" s="103"/>
      <c r="W98" s="104"/>
      <c r="X98" s="96"/>
      <c r="Y98" s="103"/>
      <c r="Z98" s="103"/>
      <c r="AA98" s="104"/>
      <c r="AB98" s="168">
        <f>SUM(H98:AA98)</f>
        <v>200</v>
      </c>
      <c r="AC98" s="6">
        <f t="shared" si="27"/>
        <v>200</v>
      </c>
    </row>
    <row r="99" spans="2:30" s="6" customFormat="1" ht="12.75" customHeight="1" thickBot="1" x14ac:dyDescent="0.25">
      <c r="B99" s="94" t="s">
        <v>53</v>
      </c>
      <c r="C99" s="149">
        <v>5400</v>
      </c>
      <c r="D99" s="95"/>
      <c r="E99" s="146">
        <f>D99+C99</f>
        <v>5400</v>
      </c>
      <c r="F99" s="249">
        <f>E99/$D$123*100</f>
        <v>2.8936890784672022</v>
      </c>
      <c r="G99" s="177">
        <f t="shared" si="28"/>
        <v>5400</v>
      </c>
      <c r="H99" s="105"/>
      <c r="I99" s="112"/>
      <c r="J99" s="112"/>
      <c r="K99" s="116"/>
      <c r="L99" s="131"/>
      <c r="M99" s="154">
        <v>2000</v>
      </c>
      <c r="N99" s="154">
        <v>2400</v>
      </c>
      <c r="O99" s="155">
        <v>1000</v>
      </c>
      <c r="P99" s="156"/>
      <c r="Q99" s="204"/>
      <c r="R99" s="112"/>
      <c r="S99" s="113"/>
      <c r="T99" s="105"/>
      <c r="U99" s="106"/>
      <c r="V99" s="112"/>
      <c r="W99" s="113"/>
      <c r="X99" s="105"/>
      <c r="Y99" s="112"/>
      <c r="Z99" s="112"/>
      <c r="AA99" s="113"/>
      <c r="AB99" s="168">
        <f>SUM(H99:AA99)</f>
        <v>5400</v>
      </c>
      <c r="AC99" s="6">
        <f t="shared" si="27"/>
        <v>5400</v>
      </c>
    </row>
    <row r="100" spans="2:30" s="6" customFormat="1" ht="12.75" customHeight="1" thickBot="1" x14ac:dyDescent="0.25">
      <c r="B100" s="94" t="s">
        <v>54</v>
      </c>
      <c r="C100" s="149">
        <v>500</v>
      </c>
      <c r="D100" s="95"/>
      <c r="E100" s="146">
        <f>D100+C100</f>
        <v>500</v>
      </c>
      <c r="F100" s="249">
        <f>E100/$D$123*100</f>
        <v>0.26793417393214836</v>
      </c>
      <c r="G100" s="177">
        <f t="shared" si="28"/>
        <v>500</v>
      </c>
      <c r="H100" s="105"/>
      <c r="I100" s="112"/>
      <c r="J100" s="112"/>
      <c r="K100" s="116"/>
      <c r="L100" s="105"/>
      <c r="M100" s="132"/>
      <c r="N100" s="154">
        <v>150</v>
      </c>
      <c r="O100" s="155">
        <v>150</v>
      </c>
      <c r="P100" s="156">
        <v>200</v>
      </c>
      <c r="Q100" s="204"/>
      <c r="R100" s="112"/>
      <c r="S100" s="113"/>
      <c r="T100" s="105"/>
      <c r="U100" s="106"/>
      <c r="V100" s="112"/>
      <c r="W100" s="113"/>
      <c r="X100" s="105"/>
      <c r="Y100" s="112"/>
      <c r="Z100" s="112"/>
      <c r="AA100" s="113"/>
      <c r="AB100" s="168">
        <f>SUM(H100:AA100)</f>
        <v>500</v>
      </c>
      <c r="AC100" s="6">
        <f t="shared" si="27"/>
        <v>500</v>
      </c>
    </row>
    <row r="101" spans="2:30" s="6" customFormat="1" ht="12.75" customHeight="1" thickBot="1" x14ac:dyDescent="0.25">
      <c r="B101" s="94" t="s">
        <v>55</v>
      </c>
      <c r="C101" s="149">
        <v>500</v>
      </c>
      <c r="D101" s="95"/>
      <c r="E101" s="146">
        <f>D101+C101</f>
        <v>500</v>
      </c>
      <c r="F101" s="249">
        <f>E101/$D$123*100</f>
        <v>0.26793417393214836</v>
      </c>
      <c r="G101" s="177">
        <f t="shared" si="28"/>
        <v>500</v>
      </c>
      <c r="H101" s="105"/>
      <c r="I101" s="112"/>
      <c r="J101" s="112"/>
      <c r="K101" s="116"/>
      <c r="L101" s="105"/>
      <c r="M101" s="114"/>
      <c r="N101" s="112"/>
      <c r="O101" s="133"/>
      <c r="P101" s="156">
        <v>80</v>
      </c>
      <c r="Q101" s="154">
        <v>90</v>
      </c>
      <c r="R101" s="112"/>
      <c r="S101" s="133"/>
      <c r="T101" s="156">
        <v>80</v>
      </c>
      <c r="U101" s="154">
        <v>85</v>
      </c>
      <c r="V101" s="112"/>
      <c r="W101" s="133"/>
      <c r="X101" s="156">
        <v>80</v>
      </c>
      <c r="Y101" s="154">
        <v>85</v>
      </c>
      <c r="Z101" s="154"/>
      <c r="AA101" s="155"/>
      <c r="AB101" s="168">
        <f>SUM(H101:AA101)</f>
        <v>500</v>
      </c>
      <c r="AC101" s="6">
        <f t="shared" si="27"/>
        <v>500</v>
      </c>
    </row>
    <row r="102" spans="2:30" s="6" customFormat="1" ht="12" thickBot="1" x14ac:dyDescent="0.25">
      <c r="B102" s="78" t="s">
        <v>56</v>
      </c>
      <c r="C102" s="151">
        <f>C103</f>
        <v>0</v>
      </c>
      <c r="D102" s="134">
        <f>D103</f>
        <v>500</v>
      </c>
      <c r="E102" s="146">
        <f t="shared" ref="E102:E110" si="32">D102+C102</f>
        <v>500</v>
      </c>
      <c r="F102" s="249">
        <f>F103</f>
        <v>0.26793417393214836</v>
      </c>
      <c r="G102" s="177">
        <f t="shared" ref="G102:G118" si="33">D102+C102</f>
        <v>500</v>
      </c>
      <c r="H102" s="1072">
        <f>SUM(H103:K103)</f>
        <v>0</v>
      </c>
      <c r="I102" s="1073"/>
      <c r="J102" s="1073"/>
      <c r="K102" s="1074"/>
      <c r="L102" s="1075">
        <f>SUM(L103:O103)</f>
        <v>150</v>
      </c>
      <c r="M102" s="1073"/>
      <c r="N102" s="1073"/>
      <c r="O102" s="1074"/>
      <c r="P102" s="284">
        <f>SUM(P103:S103)</f>
        <v>350</v>
      </c>
      <c r="Q102" s="285"/>
      <c r="R102" s="285"/>
      <c r="S102" s="286"/>
      <c r="T102" s="1075">
        <f>SUM(T103:W103)</f>
        <v>0</v>
      </c>
      <c r="U102" s="1073"/>
      <c r="V102" s="1073"/>
      <c r="W102" s="1074"/>
      <c r="X102" s="1075">
        <f>SUM(X103:AA103)</f>
        <v>0</v>
      </c>
      <c r="Y102" s="1073"/>
      <c r="Z102" s="1073"/>
      <c r="AA102" s="1074"/>
      <c r="AB102" s="79">
        <f>AB103</f>
        <v>500</v>
      </c>
      <c r="AC102" s="6">
        <f t="shared" si="27"/>
        <v>500</v>
      </c>
    </row>
    <row r="103" spans="2:30" s="135" customFormat="1" ht="12" thickBot="1" x14ac:dyDescent="0.25">
      <c r="B103" s="94" t="s">
        <v>57</v>
      </c>
      <c r="C103" s="149"/>
      <c r="D103" s="95">
        <v>500</v>
      </c>
      <c r="E103" s="146">
        <f t="shared" si="32"/>
        <v>500</v>
      </c>
      <c r="F103" s="249">
        <f>E103/$D$123*100</f>
        <v>0.26793417393214836</v>
      </c>
      <c r="G103" s="177">
        <f t="shared" si="33"/>
        <v>500</v>
      </c>
      <c r="H103" s="120"/>
      <c r="I103" s="121"/>
      <c r="J103" s="121"/>
      <c r="K103" s="136"/>
      <c r="L103" s="120"/>
      <c r="M103" s="121"/>
      <c r="N103" s="137"/>
      <c r="O103" s="205">
        <v>150</v>
      </c>
      <c r="P103" s="206">
        <v>150</v>
      </c>
      <c r="Q103" s="200">
        <v>200</v>
      </c>
      <c r="R103" s="121"/>
      <c r="S103" s="128"/>
      <c r="T103" s="120"/>
      <c r="U103" s="121"/>
      <c r="V103" s="121"/>
      <c r="W103" s="128"/>
      <c r="X103" s="120"/>
      <c r="Y103" s="121"/>
      <c r="Z103" s="121"/>
      <c r="AA103" s="128"/>
      <c r="AB103" s="168">
        <f>SUM(H103:AA103)</f>
        <v>500</v>
      </c>
      <c r="AC103" s="6">
        <f t="shared" si="27"/>
        <v>500</v>
      </c>
    </row>
    <row r="104" spans="2:30" s="6" customFormat="1" ht="12.75" customHeight="1" thickBot="1" x14ac:dyDescent="0.25">
      <c r="B104" s="138" t="s">
        <v>58</v>
      </c>
      <c r="C104" s="150">
        <f>SUM(C105:C110)</f>
        <v>510</v>
      </c>
      <c r="D104" s="93">
        <f>SUM(D105:D110)</f>
        <v>0</v>
      </c>
      <c r="E104" s="83">
        <f>SUM(E105:E110)</f>
        <v>510</v>
      </c>
      <c r="F104" s="250">
        <f>SUM(F105:F110)</f>
        <v>0.27329285741079135</v>
      </c>
      <c r="G104" s="177">
        <f t="shared" si="33"/>
        <v>510</v>
      </c>
      <c r="H104" s="1072">
        <f>SUM(H105:K110)</f>
        <v>0</v>
      </c>
      <c r="I104" s="1073"/>
      <c r="J104" s="1073"/>
      <c r="K104" s="1074"/>
      <c r="L104" s="1104">
        <f>SUM(L105:O110)</f>
        <v>112</v>
      </c>
      <c r="M104" s="1105"/>
      <c r="N104" s="1105"/>
      <c r="O104" s="1106"/>
      <c r="P104" s="287">
        <f>SUM(P105:S110)</f>
        <v>144</v>
      </c>
      <c r="Q104" s="288"/>
      <c r="R104" s="288"/>
      <c r="S104" s="289"/>
      <c r="T104" s="1104">
        <f>SUM(T105:W110)</f>
        <v>127</v>
      </c>
      <c r="U104" s="1105"/>
      <c r="V104" s="1105"/>
      <c r="W104" s="1106"/>
      <c r="X104" s="1104">
        <f>SUM(X105:AA110)</f>
        <v>126.5</v>
      </c>
      <c r="Y104" s="1105"/>
      <c r="Z104" s="1105"/>
      <c r="AA104" s="1106"/>
      <c r="AB104" s="83">
        <f>SUM(AB105:AB110)</f>
        <v>509.5</v>
      </c>
      <c r="AC104" s="6">
        <f t="shared" si="27"/>
        <v>509.5</v>
      </c>
    </row>
    <row r="105" spans="2:30" s="135" customFormat="1" ht="12" thickBot="1" x14ac:dyDescent="0.25">
      <c r="B105" s="94" t="s">
        <v>59</v>
      </c>
      <c r="C105" s="149">
        <v>100</v>
      </c>
      <c r="D105" s="95"/>
      <c r="E105" s="146">
        <f t="shared" si="32"/>
        <v>100</v>
      </c>
      <c r="F105" s="249">
        <f t="shared" ref="F105:F110" si="34">E105/$D$123*100</f>
        <v>5.3586834786429671E-2</v>
      </c>
      <c r="G105" s="177">
        <f t="shared" si="33"/>
        <v>100</v>
      </c>
      <c r="H105" s="96"/>
      <c r="I105" s="103"/>
      <c r="J105" s="103"/>
      <c r="K105" s="100"/>
      <c r="L105" s="222"/>
      <c r="M105" s="223">
        <v>12</v>
      </c>
      <c r="N105" s="223">
        <v>13</v>
      </c>
      <c r="O105" s="224"/>
      <c r="P105" s="225"/>
      <c r="Q105" s="223">
        <v>13</v>
      </c>
      <c r="R105" s="223">
        <v>13</v>
      </c>
      <c r="S105" s="224"/>
      <c r="T105" s="225"/>
      <c r="U105" s="223">
        <v>12</v>
      </c>
      <c r="V105" s="223">
        <v>12</v>
      </c>
      <c r="W105" s="224"/>
      <c r="X105" s="225"/>
      <c r="Y105" s="223">
        <v>12.5</v>
      </c>
      <c r="Z105" s="223">
        <v>12</v>
      </c>
      <c r="AA105" s="224"/>
      <c r="AB105" s="168">
        <f t="shared" ref="AB105:AB110" si="35">SUM(H105:AA105)</f>
        <v>99.5</v>
      </c>
      <c r="AC105" s="6">
        <f t="shared" si="27"/>
        <v>99.5</v>
      </c>
      <c r="AD105" s="135">
        <f>13*8</f>
        <v>104</v>
      </c>
    </row>
    <row r="106" spans="2:30" s="135" customFormat="1" ht="12" thickBot="1" x14ac:dyDescent="0.25">
      <c r="B106" s="94" t="s">
        <v>60</v>
      </c>
      <c r="C106" s="149">
        <v>50</v>
      </c>
      <c r="D106" s="95"/>
      <c r="E106" s="146">
        <f t="shared" si="32"/>
        <v>50</v>
      </c>
      <c r="F106" s="249">
        <f t="shared" si="34"/>
        <v>2.6793417393214836E-2</v>
      </c>
      <c r="G106" s="177">
        <f t="shared" si="33"/>
        <v>50</v>
      </c>
      <c r="H106" s="105"/>
      <c r="I106" s="112"/>
      <c r="J106" s="112"/>
      <c r="K106" s="116"/>
      <c r="L106" s="226"/>
      <c r="M106" s="227"/>
      <c r="N106" s="228">
        <v>13</v>
      </c>
      <c r="O106" s="229"/>
      <c r="P106" s="230"/>
      <c r="Q106" s="227"/>
      <c r="R106" s="228">
        <v>12</v>
      </c>
      <c r="S106" s="231"/>
      <c r="T106" s="230"/>
      <c r="U106" s="227"/>
      <c r="V106" s="228">
        <v>13</v>
      </c>
      <c r="W106" s="232"/>
      <c r="X106" s="230"/>
      <c r="Y106" s="227"/>
      <c r="Z106" s="228">
        <v>12</v>
      </c>
      <c r="AA106" s="232"/>
      <c r="AB106" s="168">
        <f t="shared" si="35"/>
        <v>50</v>
      </c>
      <c r="AC106" s="6">
        <f t="shared" si="27"/>
        <v>50</v>
      </c>
    </row>
    <row r="107" spans="2:30" s="135" customFormat="1" ht="12" thickBot="1" x14ac:dyDescent="0.25">
      <c r="B107" s="94" t="s">
        <v>61</v>
      </c>
      <c r="C107" s="149">
        <v>80</v>
      </c>
      <c r="D107" s="95"/>
      <c r="E107" s="146">
        <f t="shared" si="32"/>
        <v>80</v>
      </c>
      <c r="F107" s="249">
        <f t="shared" si="34"/>
        <v>4.2869467829143734E-2</v>
      </c>
      <c r="G107" s="177">
        <f t="shared" si="33"/>
        <v>80</v>
      </c>
      <c r="H107" s="105"/>
      <c r="I107" s="112"/>
      <c r="J107" s="112"/>
      <c r="K107" s="116"/>
      <c r="L107" s="153"/>
      <c r="M107" s="227"/>
      <c r="N107" s="228">
        <v>13</v>
      </c>
      <c r="O107" s="233"/>
      <c r="P107" s="230"/>
      <c r="Q107" s="227"/>
      <c r="R107" s="228">
        <v>13</v>
      </c>
      <c r="S107" s="231">
        <v>15</v>
      </c>
      <c r="T107" s="230"/>
      <c r="U107" s="227"/>
      <c r="V107" s="228">
        <v>13</v>
      </c>
      <c r="W107" s="231">
        <v>13</v>
      </c>
      <c r="X107" s="230"/>
      <c r="Y107" s="227"/>
      <c r="Z107" s="228">
        <v>13</v>
      </c>
      <c r="AA107" s="231"/>
      <c r="AB107" s="168">
        <f t="shared" si="35"/>
        <v>80</v>
      </c>
      <c r="AC107" s="6">
        <f t="shared" si="27"/>
        <v>80</v>
      </c>
    </row>
    <row r="108" spans="2:30" s="135" customFormat="1" ht="12" thickBot="1" x14ac:dyDescent="0.25">
      <c r="B108" s="94" t="s">
        <v>62</v>
      </c>
      <c r="C108" s="149">
        <v>100</v>
      </c>
      <c r="D108" s="95"/>
      <c r="E108" s="146">
        <f t="shared" si="32"/>
        <v>100</v>
      </c>
      <c r="F108" s="249">
        <f t="shared" si="34"/>
        <v>5.3586834786429671E-2</v>
      </c>
      <c r="G108" s="177">
        <f t="shared" si="33"/>
        <v>100</v>
      </c>
      <c r="H108" s="105"/>
      <c r="I108" s="112"/>
      <c r="J108" s="112"/>
      <c r="K108" s="116"/>
      <c r="L108" s="234"/>
      <c r="M108" s="228">
        <v>13</v>
      </c>
      <c r="N108" s="207">
        <v>10</v>
      </c>
      <c r="O108" s="231"/>
      <c r="P108" s="234"/>
      <c r="Q108" s="228">
        <v>12</v>
      </c>
      <c r="R108" s="207">
        <v>13</v>
      </c>
      <c r="S108" s="231"/>
      <c r="T108" s="234"/>
      <c r="U108" s="228">
        <v>13</v>
      </c>
      <c r="V108" s="207"/>
      <c r="W108" s="231">
        <v>13</v>
      </c>
      <c r="X108" s="234"/>
      <c r="Y108" s="228">
        <v>13</v>
      </c>
      <c r="Z108" s="207"/>
      <c r="AA108" s="231">
        <v>13</v>
      </c>
      <c r="AB108" s="168">
        <f t="shared" si="35"/>
        <v>100</v>
      </c>
      <c r="AC108" s="6">
        <f t="shared" si="27"/>
        <v>100</v>
      </c>
    </row>
    <row r="109" spans="2:30" s="135" customFormat="1" ht="12" thickBot="1" x14ac:dyDescent="0.25">
      <c r="B109" s="94" t="s">
        <v>63</v>
      </c>
      <c r="C109" s="149">
        <v>80</v>
      </c>
      <c r="D109" s="95"/>
      <c r="E109" s="146">
        <f t="shared" si="32"/>
        <v>80</v>
      </c>
      <c r="F109" s="249">
        <f t="shared" si="34"/>
        <v>4.2869467829143734E-2</v>
      </c>
      <c r="G109" s="177">
        <f t="shared" si="33"/>
        <v>80</v>
      </c>
      <c r="H109" s="105"/>
      <c r="I109" s="112"/>
      <c r="J109" s="112"/>
      <c r="K109" s="109"/>
      <c r="L109" s="153"/>
      <c r="M109" s="227"/>
      <c r="N109" s="228">
        <v>13</v>
      </c>
      <c r="O109" s="231"/>
      <c r="P109" s="234"/>
      <c r="Q109" s="228">
        <v>13</v>
      </c>
      <c r="R109" s="228">
        <v>15</v>
      </c>
      <c r="S109" s="231"/>
      <c r="T109" s="153"/>
      <c r="U109" s="227"/>
      <c r="V109" s="228">
        <v>13</v>
      </c>
      <c r="W109" s="231"/>
      <c r="X109" s="234"/>
      <c r="Y109" s="228">
        <v>13</v>
      </c>
      <c r="Z109" s="228">
        <v>13</v>
      </c>
      <c r="AA109" s="231"/>
      <c r="AB109" s="168">
        <f t="shared" si="35"/>
        <v>80</v>
      </c>
      <c r="AC109" s="6">
        <f t="shared" si="27"/>
        <v>80</v>
      </c>
    </row>
    <row r="110" spans="2:30" s="135" customFormat="1" ht="12" thickBot="1" x14ac:dyDescent="0.25">
      <c r="B110" s="94" t="s">
        <v>64</v>
      </c>
      <c r="C110" s="149">
        <v>100</v>
      </c>
      <c r="D110" s="95"/>
      <c r="E110" s="146">
        <f t="shared" si="32"/>
        <v>100</v>
      </c>
      <c r="F110" s="249">
        <f t="shared" si="34"/>
        <v>5.3586834786429671E-2</v>
      </c>
      <c r="G110" s="177">
        <f t="shared" si="33"/>
        <v>100</v>
      </c>
      <c r="H110" s="120"/>
      <c r="I110" s="121"/>
      <c r="J110" s="121"/>
      <c r="K110" s="136"/>
      <c r="L110" s="235"/>
      <c r="M110" s="236">
        <v>13</v>
      </c>
      <c r="N110" s="236"/>
      <c r="O110" s="237">
        <v>12</v>
      </c>
      <c r="P110" s="235"/>
      <c r="Q110" s="236">
        <v>13</v>
      </c>
      <c r="R110" s="236"/>
      <c r="S110" s="237">
        <v>12</v>
      </c>
      <c r="T110" s="235"/>
      <c r="U110" s="236">
        <v>12</v>
      </c>
      <c r="V110" s="236"/>
      <c r="W110" s="237">
        <v>13</v>
      </c>
      <c r="X110" s="235"/>
      <c r="Y110" s="236">
        <v>12</v>
      </c>
      <c r="Z110" s="236"/>
      <c r="AA110" s="237">
        <v>13</v>
      </c>
      <c r="AB110" s="168">
        <f t="shared" si="35"/>
        <v>100</v>
      </c>
      <c r="AC110" s="6">
        <f t="shared" si="27"/>
        <v>100</v>
      </c>
    </row>
    <row r="111" spans="2:30" s="6" customFormat="1" ht="15" customHeight="1" thickBot="1" x14ac:dyDescent="0.25">
      <c r="B111" s="78" t="s">
        <v>65</v>
      </c>
      <c r="C111" s="150">
        <f>SUM(C112:C118)</f>
        <v>3050</v>
      </c>
      <c r="D111" s="150">
        <f>SUM(D112:D118)</f>
        <v>8930</v>
      </c>
      <c r="E111" s="150">
        <f>SUM(E112:E118)</f>
        <v>11980</v>
      </c>
      <c r="F111" s="250">
        <f>SUM(F112:F118)</f>
        <v>6.419702807414275</v>
      </c>
      <c r="G111" s="177">
        <f t="shared" si="33"/>
        <v>11980</v>
      </c>
      <c r="H111" s="1072">
        <f>SUM(H112:K118)</f>
        <v>2100</v>
      </c>
      <c r="I111" s="1073"/>
      <c r="J111" s="1073"/>
      <c r="K111" s="1074"/>
      <c r="L111" s="1075">
        <f>SUM(L112:O118)</f>
        <v>9280</v>
      </c>
      <c r="M111" s="1073"/>
      <c r="N111" s="1073"/>
      <c r="O111" s="1074"/>
      <c r="P111" s="264">
        <f>SUM(P112:S118)</f>
        <v>0</v>
      </c>
      <c r="Q111" s="265"/>
      <c r="R111" s="265"/>
      <c r="S111" s="266"/>
      <c r="T111" s="1075">
        <f>SUM(T112:W118)</f>
        <v>600</v>
      </c>
      <c r="U111" s="1073"/>
      <c r="V111" s="1073"/>
      <c r="W111" s="1074"/>
      <c r="X111" s="1075">
        <f>SUM(X113:AA118)</f>
        <v>0</v>
      </c>
      <c r="Y111" s="1073"/>
      <c r="Z111" s="1073"/>
      <c r="AA111" s="1074"/>
      <c r="AB111" s="79">
        <f>SUM(AB112:AB118)</f>
        <v>11980</v>
      </c>
      <c r="AC111" s="6">
        <f t="shared" si="27"/>
        <v>11980</v>
      </c>
    </row>
    <row r="112" spans="2:30" s="6" customFormat="1" ht="12" thickBot="1" x14ac:dyDescent="0.25">
      <c r="B112" s="184" t="s">
        <v>83</v>
      </c>
      <c r="C112" s="185">
        <v>1000</v>
      </c>
      <c r="D112" s="186"/>
      <c r="E112" s="146">
        <f t="shared" ref="E112:E117" si="36">D112+C112</f>
        <v>1000</v>
      </c>
      <c r="F112" s="249">
        <f t="shared" ref="F112:F118" si="37">E112/$D$123*100</f>
        <v>0.53586834786429671</v>
      </c>
      <c r="G112" s="187">
        <f t="shared" si="33"/>
        <v>1000</v>
      </c>
      <c r="H112" s="178"/>
      <c r="I112" s="165"/>
      <c r="J112" s="163">
        <v>1000</v>
      </c>
      <c r="K112" s="45"/>
      <c r="L112" s="46"/>
      <c r="M112" s="188"/>
      <c r="N112" s="44"/>
      <c r="O112" s="45"/>
      <c r="P112" s="178"/>
      <c r="Q112" s="188"/>
      <c r="R112" s="188"/>
      <c r="S112" s="189"/>
      <c r="T112" s="178"/>
      <c r="U112" s="188"/>
      <c r="V112" s="188"/>
      <c r="W112" s="189"/>
      <c r="X112" s="178"/>
      <c r="Y112" s="188"/>
      <c r="Z112" s="188"/>
      <c r="AA112" s="189"/>
      <c r="AB112" s="190">
        <f t="shared" ref="AB112:AB120" si="38">SUM(H112:AA112)</f>
        <v>1000</v>
      </c>
      <c r="AC112" s="6">
        <f t="shared" si="27"/>
        <v>1000</v>
      </c>
    </row>
    <row r="113" spans="2:29" s="6" customFormat="1" ht="12" thickBot="1" x14ac:dyDescent="0.25">
      <c r="B113" s="94" t="s">
        <v>66</v>
      </c>
      <c r="C113" s="149">
        <v>400</v>
      </c>
      <c r="D113" s="95"/>
      <c r="E113" s="146">
        <f t="shared" si="36"/>
        <v>400</v>
      </c>
      <c r="F113" s="249">
        <f t="shared" si="37"/>
        <v>0.21434733914571868</v>
      </c>
      <c r="G113" s="177">
        <f t="shared" si="33"/>
        <v>400</v>
      </c>
      <c r="H113" s="139"/>
      <c r="I113" s="140"/>
      <c r="J113" s="140"/>
      <c r="K113" s="141"/>
      <c r="L113" s="142"/>
      <c r="M113" s="208">
        <v>400</v>
      </c>
      <c r="N113" s="208"/>
      <c r="O113" s="209"/>
      <c r="P113" s="210"/>
      <c r="Q113" s="208"/>
      <c r="R113" s="208"/>
      <c r="S113" s="141"/>
      <c r="T113" s="139"/>
      <c r="U113" s="140"/>
      <c r="V113" s="140"/>
      <c r="W113" s="141"/>
      <c r="X113" s="139"/>
      <c r="Y113" s="140"/>
      <c r="Z113" s="140"/>
      <c r="AA113" s="141"/>
      <c r="AB113" s="168">
        <f t="shared" si="38"/>
        <v>400</v>
      </c>
      <c r="AC113" s="6">
        <f t="shared" si="27"/>
        <v>400</v>
      </c>
    </row>
    <row r="114" spans="2:29" s="6" customFormat="1" ht="12" thickBot="1" x14ac:dyDescent="0.25">
      <c r="B114" s="94" t="s">
        <v>67</v>
      </c>
      <c r="C114" s="149">
        <v>300</v>
      </c>
      <c r="D114" s="95">
        <v>0</v>
      </c>
      <c r="E114" s="146">
        <f t="shared" si="36"/>
        <v>300</v>
      </c>
      <c r="F114" s="249">
        <f t="shared" si="37"/>
        <v>0.16076050435928901</v>
      </c>
      <c r="G114" s="177">
        <f t="shared" si="33"/>
        <v>300</v>
      </c>
      <c r="H114" s="105"/>
      <c r="I114" s="106"/>
      <c r="J114" s="255"/>
      <c r="K114" s="113"/>
      <c r="L114" s="156">
        <v>150</v>
      </c>
      <c r="M114" s="154">
        <v>150</v>
      </c>
      <c r="N114" s="154"/>
      <c r="O114" s="155"/>
      <c r="P114" s="156"/>
      <c r="Q114" s="154"/>
      <c r="R114" s="154"/>
      <c r="S114" s="113"/>
      <c r="T114" s="105"/>
      <c r="U114" s="112"/>
      <c r="V114" s="112"/>
      <c r="W114" s="113"/>
      <c r="X114" s="105"/>
      <c r="Y114" s="112"/>
      <c r="Z114" s="112"/>
      <c r="AA114" s="113"/>
      <c r="AB114" s="168">
        <f t="shared" si="38"/>
        <v>300</v>
      </c>
      <c r="AC114" s="6">
        <f t="shared" si="27"/>
        <v>300</v>
      </c>
    </row>
    <row r="115" spans="2:29" s="6" customFormat="1" ht="12" thickBot="1" x14ac:dyDescent="0.25">
      <c r="B115" s="94" t="s">
        <v>68</v>
      </c>
      <c r="C115" s="149">
        <v>600</v>
      </c>
      <c r="D115" s="95">
        <v>6600</v>
      </c>
      <c r="E115" s="146">
        <f t="shared" si="36"/>
        <v>7200</v>
      </c>
      <c r="F115" s="249">
        <f t="shared" si="37"/>
        <v>3.8582521046229363</v>
      </c>
      <c r="G115" s="177">
        <f t="shared" si="33"/>
        <v>7200</v>
      </c>
      <c r="H115" s="105"/>
      <c r="I115" s="106"/>
      <c r="J115" s="106"/>
      <c r="K115" s="113"/>
      <c r="L115" s="131"/>
      <c r="M115" s="154">
        <v>6600</v>
      </c>
      <c r="N115" s="154"/>
      <c r="O115" s="155"/>
      <c r="P115" s="156"/>
      <c r="Q115" s="154"/>
      <c r="R115" s="154"/>
      <c r="S115" s="155"/>
      <c r="T115" s="156">
        <v>600</v>
      </c>
      <c r="U115" s="112"/>
      <c r="V115" s="112"/>
      <c r="W115" s="113"/>
      <c r="X115" s="105"/>
      <c r="Y115" s="112"/>
      <c r="Z115" s="112"/>
      <c r="AA115" s="113"/>
      <c r="AB115" s="168">
        <f t="shared" si="38"/>
        <v>7200</v>
      </c>
      <c r="AC115" s="6">
        <f t="shared" si="27"/>
        <v>7200</v>
      </c>
    </row>
    <row r="116" spans="2:29" s="6" customFormat="1" ht="12" thickBot="1" x14ac:dyDescent="0.25">
      <c r="B116" s="94" t="s">
        <v>69</v>
      </c>
      <c r="C116" s="149">
        <v>750</v>
      </c>
      <c r="D116" s="95">
        <v>1250</v>
      </c>
      <c r="E116" s="146">
        <f t="shared" si="36"/>
        <v>2000</v>
      </c>
      <c r="F116" s="249">
        <f t="shared" si="37"/>
        <v>1.0717366957285934</v>
      </c>
      <c r="G116" s="177">
        <f t="shared" si="33"/>
        <v>2000</v>
      </c>
      <c r="H116" s="105"/>
      <c r="I116" s="112"/>
      <c r="J116" s="157"/>
      <c r="K116" s="154">
        <v>500</v>
      </c>
      <c r="L116" s="156">
        <v>1500</v>
      </c>
      <c r="M116" s="112"/>
      <c r="N116" s="112"/>
      <c r="O116" s="113"/>
      <c r="P116" s="105"/>
      <c r="Q116" s="112"/>
      <c r="R116" s="112"/>
      <c r="S116" s="113"/>
      <c r="T116" s="105"/>
      <c r="U116" s="112"/>
      <c r="V116" s="112"/>
      <c r="W116" s="113"/>
      <c r="X116" s="105"/>
      <c r="Y116" s="112"/>
      <c r="Z116" s="112"/>
      <c r="AA116" s="113"/>
      <c r="AB116" s="168">
        <f t="shared" si="38"/>
        <v>2000</v>
      </c>
      <c r="AC116" s="6">
        <f t="shared" si="27"/>
        <v>2000</v>
      </c>
    </row>
    <row r="117" spans="2:29" s="6" customFormat="1" ht="12" thickBot="1" x14ac:dyDescent="0.25">
      <c r="B117" s="94" t="s">
        <v>70</v>
      </c>
      <c r="C117" s="149"/>
      <c r="D117" s="95">
        <v>880</v>
      </c>
      <c r="E117" s="146">
        <f t="shared" si="36"/>
        <v>880</v>
      </c>
      <c r="F117" s="249">
        <f t="shared" si="37"/>
        <v>0.47156414612058112</v>
      </c>
      <c r="G117" s="177">
        <f t="shared" si="33"/>
        <v>880</v>
      </c>
      <c r="H117" s="105"/>
      <c r="I117" s="112"/>
      <c r="J117" s="157"/>
      <c r="K117" s="154">
        <v>400</v>
      </c>
      <c r="L117" s="156">
        <v>480</v>
      </c>
      <c r="M117" s="112"/>
      <c r="N117" s="106"/>
      <c r="O117" s="107"/>
      <c r="P117" s="105"/>
      <c r="Q117" s="112"/>
      <c r="R117" s="112"/>
      <c r="S117" s="113"/>
      <c r="T117" s="105"/>
      <c r="U117" s="112"/>
      <c r="V117" s="112"/>
      <c r="W117" s="113"/>
      <c r="X117" s="105"/>
      <c r="Y117" s="112"/>
      <c r="Z117" s="112"/>
      <c r="AA117" s="113"/>
      <c r="AB117" s="168">
        <f t="shared" si="38"/>
        <v>880</v>
      </c>
      <c r="AC117" s="6">
        <f t="shared" si="27"/>
        <v>880</v>
      </c>
    </row>
    <row r="118" spans="2:29" s="6" customFormat="1" ht="12" thickBot="1" x14ac:dyDescent="0.25">
      <c r="B118" s="144" t="s">
        <v>116</v>
      </c>
      <c r="C118" s="152"/>
      <c r="D118" s="145">
        <v>200</v>
      </c>
      <c r="E118" s="146">
        <f>D118+C118</f>
        <v>200</v>
      </c>
      <c r="F118" s="249">
        <f t="shared" si="37"/>
        <v>0.10717366957285934</v>
      </c>
      <c r="G118" s="177">
        <f t="shared" si="33"/>
        <v>200</v>
      </c>
      <c r="H118" s="120"/>
      <c r="I118" s="121"/>
      <c r="J118" s="158"/>
      <c r="K118" s="200">
        <v>200</v>
      </c>
      <c r="L118" s="206"/>
      <c r="M118" s="121"/>
      <c r="N118" s="121"/>
      <c r="O118" s="128"/>
      <c r="P118" s="120"/>
      <c r="Q118" s="121"/>
      <c r="R118" s="121"/>
      <c r="S118" s="128"/>
      <c r="T118" s="120"/>
      <c r="U118" s="121"/>
      <c r="V118" s="121"/>
      <c r="W118" s="128"/>
      <c r="X118" s="120"/>
      <c r="Y118" s="121"/>
      <c r="Z118" s="121"/>
      <c r="AA118" s="128"/>
      <c r="AB118" s="219">
        <f t="shared" si="38"/>
        <v>200</v>
      </c>
      <c r="AC118" s="6">
        <f t="shared" ref="AC118:AC136" si="39">SUM(H118:AA118)</f>
        <v>200</v>
      </c>
    </row>
    <row r="119" spans="2:29" ht="24.95" customHeight="1" thickBot="1" x14ac:dyDescent="0.25">
      <c r="B119" s="43" t="s">
        <v>1</v>
      </c>
      <c r="C119" s="80">
        <f>SUM(C4,C80,C10,C88)</f>
        <v>62190.76743</v>
      </c>
      <c r="D119" s="80">
        <f>SUM(D4,D80,D10,D88)</f>
        <v>129371</v>
      </c>
      <c r="E119" s="80">
        <f>SUM(E4,E80,E10,E88)</f>
        <v>191561.76743000001</v>
      </c>
      <c r="F119" s="252">
        <f>SUM(F4,F80,F10,F88)</f>
        <v>102.65188782667875</v>
      </c>
      <c r="G119" s="177">
        <f>D119+C119</f>
        <v>191561.76743000001</v>
      </c>
      <c r="H119" s="1061">
        <f>SUM(H4,H80,H88,H10)</f>
        <v>31896</v>
      </c>
      <c r="I119" s="1063"/>
      <c r="J119" s="1063"/>
      <c r="K119" s="1110"/>
      <c r="L119" s="1061">
        <f>SUM(L4,L80,L88,L10)</f>
        <v>88351.888888888891</v>
      </c>
      <c r="M119" s="1063"/>
      <c r="N119" s="1063"/>
      <c r="O119" s="1110"/>
      <c r="P119" s="290">
        <f>SUM(P4,P80,P88,P10)</f>
        <v>44456.666666666672</v>
      </c>
      <c r="Q119" s="291"/>
      <c r="R119" s="291"/>
      <c r="S119" s="292"/>
      <c r="T119" s="1061">
        <f>SUM(T4,T80,T88,T10)</f>
        <v>11065.222222222223</v>
      </c>
      <c r="U119" s="1063"/>
      <c r="V119" s="1063"/>
      <c r="W119" s="1110"/>
      <c r="X119" s="1061">
        <f>SUM(X4,X80,X88,X10)</f>
        <v>4541.5</v>
      </c>
      <c r="Y119" s="1063"/>
      <c r="Z119" s="1063"/>
      <c r="AA119" s="1110"/>
      <c r="AB119" s="211">
        <f t="shared" si="38"/>
        <v>180311.27777777778</v>
      </c>
      <c r="AC119" s="6">
        <f t="shared" si="39"/>
        <v>180311.27777777778</v>
      </c>
    </row>
    <row r="120" spans="2:29" ht="12.75" customHeight="1" thickBot="1" x14ac:dyDescent="0.25">
      <c r="B120" s="238" t="s">
        <v>29</v>
      </c>
      <c r="C120" s="239">
        <f>106.636*1000</f>
        <v>106636</v>
      </c>
      <c r="D120" s="74" t="e">
        <f>#REF!*C120</f>
        <v>#REF!</v>
      </c>
      <c r="E120" s="74"/>
      <c r="F120" s="253"/>
      <c r="G120" s="240"/>
      <c r="H120" s="1112"/>
      <c r="I120" s="1113"/>
      <c r="J120" s="1114"/>
      <c r="K120" s="1115"/>
      <c r="L120" s="1112"/>
      <c r="M120" s="1113"/>
      <c r="N120" s="1114"/>
      <c r="O120" s="1116"/>
      <c r="P120" s="1112"/>
      <c r="Q120" s="1113"/>
      <c r="R120" s="1114"/>
      <c r="S120" s="1115"/>
      <c r="T120" s="1112"/>
      <c r="U120" s="1113"/>
      <c r="V120" s="1114"/>
      <c r="W120" s="1115"/>
      <c r="X120" s="1112"/>
      <c r="Y120" s="1113"/>
      <c r="Z120" s="1114"/>
      <c r="AA120" s="1115"/>
      <c r="AB120" s="219">
        <f t="shared" si="38"/>
        <v>0</v>
      </c>
      <c r="AC120" s="6">
        <f t="shared" si="39"/>
        <v>0</v>
      </c>
    </row>
    <row r="121" spans="2:29" ht="12" thickBot="1" x14ac:dyDescent="0.25">
      <c r="C121" s="2">
        <f>D123*0.37</f>
        <v>69046.81</v>
      </c>
      <c r="D121" s="2">
        <f>D123*0.63</f>
        <v>117566.19</v>
      </c>
      <c r="E121" s="2">
        <f>D121+C121</f>
        <v>186613</v>
      </c>
      <c r="AC121" s="6">
        <f t="shared" si="39"/>
        <v>0</v>
      </c>
    </row>
    <row r="122" spans="2:29" ht="16.5" thickBot="1" x14ac:dyDescent="0.25">
      <c r="E122" s="16">
        <f>D119+C119</f>
        <v>191561.76743000001</v>
      </c>
      <c r="H122" s="76"/>
      <c r="I122" s="1" t="s">
        <v>27</v>
      </c>
      <c r="AB122" s="2">
        <f>AB119-E119</f>
        <v>-11250.489652222226</v>
      </c>
      <c r="AC122" s="6">
        <f t="shared" si="39"/>
        <v>0</v>
      </c>
    </row>
    <row r="123" spans="2:29" ht="12" thickBot="1" x14ac:dyDescent="0.25">
      <c r="C123" s="241"/>
      <c r="D123" s="2">
        <v>186613</v>
      </c>
      <c r="E123" s="2">
        <f>E121-E119</f>
        <v>-4948.7674300000072</v>
      </c>
      <c r="H123" s="77"/>
      <c r="I123" s="1" t="s">
        <v>28</v>
      </c>
      <c r="AC123" s="6">
        <f t="shared" si="39"/>
        <v>0</v>
      </c>
    </row>
    <row r="124" spans="2:29" x14ac:dyDescent="0.2">
      <c r="B124" s="5"/>
      <c r="C124" s="2">
        <f>C121-C119</f>
        <v>6856.0425699999978</v>
      </c>
      <c r="D124" s="2">
        <f>D121-D119</f>
        <v>-11804.809999999998</v>
      </c>
      <c r="AC124" s="6">
        <f t="shared" si="39"/>
        <v>0</v>
      </c>
    </row>
    <row r="125" spans="2:29" x14ac:dyDescent="0.2">
      <c r="B125" s="4"/>
      <c r="AC125" s="6">
        <f t="shared" si="39"/>
        <v>0</v>
      </c>
    </row>
    <row r="126" spans="2:29" x14ac:dyDescent="0.2">
      <c r="AC126" s="6">
        <f t="shared" si="39"/>
        <v>0</v>
      </c>
    </row>
    <row r="127" spans="2:29" x14ac:dyDescent="0.2">
      <c r="AC127" s="6">
        <f t="shared" si="39"/>
        <v>0</v>
      </c>
    </row>
    <row r="128" spans="2:29" x14ac:dyDescent="0.2">
      <c r="AC128" s="6">
        <f t="shared" si="39"/>
        <v>0</v>
      </c>
    </row>
    <row r="129" spans="29:29" x14ac:dyDescent="0.2">
      <c r="AC129" s="6">
        <f t="shared" si="39"/>
        <v>0</v>
      </c>
    </row>
    <row r="130" spans="29:29" x14ac:dyDescent="0.2">
      <c r="AC130" s="6">
        <f t="shared" si="39"/>
        <v>0</v>
      </c>
    </row>
    <row r="131" spans="29:29" x14ac:dyDescent="0.2">
      <c r="AC131" s="6">
        <f t="shared" si="39"/>
        <v>0</v>
      </c>
    </row>
    <row r="132" spans="29:29" x14ac:dyDescent="0.2">
      <c r="AC132" s="6">
        <f t="shared" si="39"/>
        <v>0</v>
      </c>
    </row>
    <row r="133" spans="29:29" x14ac:dyDescent="0.2">
      <c r="AC133" s="6">
        <f t="shared" si="39"/>
        <v>0</v>
      </c>
    </row>
    <row r="134" spans="29:29" x14ac:dyDescent="0.2">
      <c r="AC134" s="6">
        <f t="shared" si="39"/>
        <v>0</v>
      </c>
    </row>
    <row r="135" spans="29:29" x14ac:dyDescent="0.2">
      <c r="AC135" s="6">
        <f t="shared" si="39"/>
        <v>0</v>
      </c>
    </row>
    <row r="136" spans="29:29" x14ac:dyDescent="0.2">
      <c r="AC136" s="6">
        <f t="shared" si="39"/>
        <v>0</v>
      </c>
    </row>
  </sheetData>
  <mergeCells count="86">
    <mergeCell ref="T120:U120"/>
    <mergeCell ref="V120:W120"/>
    <mergeCell ref="X120:Y120"/>
    <mergeCell ref="Z120:AA120"/>
    <mergeCell ref="H119:K119"/>
    <mergeCell ref="H120:I120"/>
    <mergeCell ref="J120:K120"/>
    <mergeCell ref="L120:M120"/>
    <mergeCell ref="N120:O120"/>
    <mergeCell ref="P120:Q120"/>
    <mergeCell ref="R120:S120"/>
    <mergeCell ref="X119:AA119"/>
    <mergeCell ref="H4:K4"/>
    <mergeCell ref="L4:O4"/>
    <mergeCell ref="T4:W4"/>
    <mergeCell ref="X4:AA4"/>
    <mergeCell ref="L119:O119"/>
    <mergeCell ref="T119:W119"/>
    <mergeCell ref="T22:W22"/>
    <mergeCell ref="T57:W57"/>
    <mergeCell ref="X61:AA61"/>
    <mergeCell ref="L80:O80"/>
    <mergeCell ref="T10:W10"/>
    <mergeCell ref="X10:AA10"/>
    <mergeCell ref="H11:K11"/>
    <mergeCell ref="L11:O11"/>
    <mergeCell ref="T11:W11"/>
    <mergeCell ref="X11:AA11"/>
    <mergeCell ref="H80:K80"/>
    <mergeCell ref="H102:K102"/>
    <mergeCell ref="L102:O102"/>
    <mergeCell ref="T102:W102"/>
    <mergeCell ref="X102:AA102"/>
    <mergeCell ref="H88:K88"/>
    <mergeCell ref="L88:O88"/>
    <mergeCell ref="T80:W80"/>
    <mergeCell ref="X80:AA80"/>
    <mergeCell ref="H97:K97"/>
    <mergeCell ref="L97:O97"/>
    <mergeCell ref="T97:W97"/>
    <mergeCell ref="X90:AA90"/>
    <mergeCell ref="X97:AA97"/>
    <mergeCell ref="T88:W88"/>
    <mergeCell ref="X88:AA88"/>
    <mergeCell ref="X111:AA111"/>
    <mergeCell ref="H104:K104"/>
    <mergeCell ref="L104:O104"/>
    <mergeCell ref="T104:W104"/>
    <mergeCell ref="X104:AA104"/>
    <mergeCell ref="T111:W111"/>
    <mergeCell ref="H111:K111"/>
    <mergeCell ref="L111:O111"/>
    <mergeCell ref="B2:B3"/>
    <mergeCell ref="D2:D3"/>
    <mergeCell ref="E2:E3"/>
    <mergeCell ref="H2:K2"/>
    <mergeCell ref="H1:AB1"/>
    <mergeCell ref="AB2:AB3"/>
    <mergeCell ref="L2:O2"/>
    <mergeCell ref="T2:W2"/>
    <mergeCell ref="B1:F1"/>
    <mergeCell ref="C2:C3"/>
    <mergeCell ref="F2:F3"/>
    <mergeCell ref="X2:AA2"/>
    <mergeCell ref="H10:K10"/>
    <mergeCell ref="L10:O10"/>
    <mergeCell ref="H21:K21"/>
    <mergeCell ref="L21:O21"/>
    <mergeCell ref="T21:W21"/>
    <mergeCell ref="X21:AA21"/>
    <mergeCell ref="X22:AA22"/>
    <mergeCell ref="X57:AA57"/>
    <mergeCell ref="H61:K61"/>
    <mergeCell ref="L61:O61"/>
    <mergeCell ref="T61:W61"/>
    <mergeCell ref="H57:K57"/>
    <mergeCell ref="L57:O57"/>
    <mergeCell ref="L22:O22"/>
    <mergeCell ref="H22:K22"/>
    <mergeCell ref="H89:K89"/>
    <mergeCell ref="L89:O89"/>
    <mergeCell ref="T89:W89"/>
    <mergeCell ref="X89:AA89"/>
    <mergeCell ref="H90:K90"/>
    <mergeCell ref="L90:O90"/>
    <mergeCell ref="T90:W90"/>
  </mergeCells>
  <printOptions horizontalCentered="1" verticalCentered="1"/>
  <pageMargins left="0.19685039370078741" right="0.19685039370078741" top="0.78740157480314965" bottom="0.78740157480314965" header="0" footer="0"/>
  <pageSetup paperSize="257" scale="44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1"/>
  <sheetViews>
    <sheetView workbookViewId="0">
      <selection activeCell="E99" sqref="E99"/>
    </sheetView>
  </sheetViews>
  <sheetFormatPr defaultRowHeight="12.75" x14ac:dyDescent="0.2"/>
  <cols>
    <col min="1" max="1" width="1.85546875" style="2" customWidth="1"/>
    <col min="2" max="2" width="15.140625" style="2" customWidth="1"/>
    <col min="3" max="3" width="13.5703125" style="3" hidden="1" customWidth="1"/>
    <col min="4" max="4" width="22.7109375" style="299" customWidth="1"/>
    <col min="5" max="5" width="8.42578125" style="313" bestFit="1" customWidth="1"/>
    <col min="6" max="6" width="10" style="313" customWidth="1"/>
    <col min="7" max="7" width="7.5703125" style="313" bestFit="1" customWidth="1"/>
    <col min="8" max="8" width="8.42578125" style="314" bestFit="1" customWidth="1"/>
    <col min="9" max="9" width="4" style="299" bestFit="1" customWidth="1"/>
    <col min="10" max="10" width="5.28515625" style="299" bestFit="1" customWidth="1"/>
    <col min="11" max="11" width="4.85546875" style="299" bestFit="1" customWidth="1"/>
    <col min="12" max="12" width="5.85546875" style="299" customWidth="1"/>
    <col min="13" max="13" width="8.28515625" style="299" customWidth="1"/>
    <col min="14" max="14" width="4.85546875" style="299" bestFit="1" customWidth="1"/>
    <col min="15" max="15" width="5" style="299" bestFit="1" customWidth="1"/>
    <col min="16" max="18" width="4.28515625" style="299" bestFit="1" customWidth="1"/>
    <col min="19" max="19" width="5" style="299" bestFit="1" customWidth="1"/>
    <col min="20" max="21" width="4.28515625" style="299" bestFit="1" customWidth="1"/>
    <col min="22" max="22" width="4.85546875" style="299" bestFit="1" customWidth="1"/>
    <col min="23" max="23" width="5" style="299" bestFit="1" customWidth="1"/>
    <col min="24" max="26" width="4.28515625" style="299" bestFit="1" customWidth="1"/>
    <col min="27" max="27" width="5" style="299" bestFit="1" customWidth="1"/>
    <col min="28" max="30" width="4.28515625" style="299" bestFit="1" customWidth="1"/>
    <col min="31" max="34" width="4.28515625" style="299" customWidth="1"/>
    <col min="35" max="35" width="6" style="313" bestFit="1" customWidth="1"/>
    <col min="36" max="36" width="6.7109375" style="313" bestFit="1" customWidth="1"/>
    <col min="37" max="37" width="9.140625" style="313"/>
    <col min="38" max="16384" width="9.140625" style="2"/>
  </cols>
  <sheetData>
    <row r="1" spans="2:39" ht="16.5" customHeight="1" x14ac:dyDescent="0.2">
      <c r="B1" s="790" t="s">
        <v>81</v>
      </c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  <c r="P1" s="791"/>
      <c r="Q1" s="791"/>
      <c r="R1" s="791"/>
      <c r="S1" s="791"/>
      <c r="T1" s="791"/>
      <c r="U1" s="791"/>
      <c r="V1" s="791"/>
      <c r="W1" s="791"/>
      <c r="X1" s="791"/>
      <c r="Y1" s="791"/>
      <c r="Z1" s="791"/>
      <c r="AA1" s="791"/>
      <c r="AB1" s="791"/>
      <c r="AC1" s="791"/>
      <c r="AD1" s="791"/>
      <c r="AE1" s="791"/>
      <c r="AF1" s="791"/>
      <c r="AG1" s="791"/>
      <c r="AH1" s="791"/>
      <c r="AI1" s="791"/>
    </row>
    <row r="2" spans="2:39" ht="21" thickBot="1" x14ac:dyDescent="0.25">
      <c r="B2" s="724" t="s">
        <v>166</v>
      </c>
      <c r="C2" s="725"/>
      <c r="D2" s="725"/>
      <c r="E2" s="725"/>
      <c r="F2" s="725"/>
      <c r="G2" s="725"/>
      <c r="H2" s="725"/>
      <c r="I2" s="725"/>
      <c r="J2" s="725"/>
      <c r="K2" s="725"/>
      <c r="L2" s="725"/>
      <c r="M2" s="725"/>
      <c r="N2" s="725"/>
      <c r="O2" s="725"/>
      <c r="P2" s="725"/>
      <c r="Q2" s="725"/>
      <c r="R2" s="725"/>
      <c r="S2" s="725"/>
      <c r="T2" s="725"/>
      <c r="U2" s="725"/>
      <c r="V2" s="725"/>
      <c r="W2" s="725"/>
      <c r="X2" s="725"/>
      <c r="Y2" s="725"/>
      <c r="Z2" s="725"/>
      <c r="AA2" s="725"/>
      <c r="AB2" s="725"/>
      <c r="AC2" s="725"/>
      <c r="AD2" s="725"/>
      <c r="AE2" s="725"/>
      <c r="AF2" s="725"/>
      <c r="AG2" s="725"/>
      <c r="AH2" s="725"/>
      <c r="AI2" s="725"/>
      <c r="AJ2" s="315">
        <f>SUM(B2:X2)</f>
        <v>0</v>
      </c>
    </row>
    <row r="3" spans="2:39" s="6" customFormat="1" ht="20.100000000000001" customHeight="1" thickBot="1" x14ac:dyDescent="0.25">
      <c r="B3" s="1164"/>
      <c r="C3" s="1165"/>
      <c r="D3" s="1165"/>
      <c r="E3" s="1213" t="s">
        <v>92</v>
      </c>
      <c r="F3" s="794" t="s">
        <v>3</v>
      </c>
      <c r="G3" s="1166" t="s">
        <v>12</v>
      </c>
      <c r="H3" s="1215" t="s">
        <v>2</v>
      </c>
      <c r="I3" s="300"/>
      <c r="J3" s="300"/>
      <c r="K3" s="1206" t="s">
        <v>76</v>
      </c>
      <c r="L3" s="1207"/>
      <c r="M3" s="1207"/>
      <c r="N3" s="1208"/>
      <c r="O3" s="1206" t="s">
        <v>77</v>
      </c>
      <c r="P3" s="1207"/>
      <c r="Q3" s="1207"/>
      <c r="R3" s="1208"/>
      <c r="S3" s="1209" t="s">
        <v>71</v>
      </c>
      <c r="T3" s="1210"/>
      <c r="U3" s="1210"/>
      <c r="V3" s="1211"/>
      <c r="W3" s="1206" t="s">
        <v>78</v>
      </c>
      <c r="X3" s="1207"/>
      <c r="Y3" s="1207"/>
      <c r="Z3" s="1208"/>
      <c r="AA3" s="1206" t="s">
        <v>79</v>
      </c>
      <c r="AB3" s="1207"/>
      <c r="AC3" s="1207"/>
      <c r="AD3" s="1208"/>
      <c r="AE3" s="1206" t="s">
        <v>174</v>
      </c>
      <c r="AF3" s="1207"/>
      <c r="AG3" s="1207"/>
      <c r="AH3" s="1208"/>
      <c r="AI3" s="1204" t="s">
        <v>0</v>
      </c>
      <c r="AJ3" s="315">
        <f>SUM(K3:AH3)</f>
        <v>0</v>
      </c>
      <c r="AK3" s="315"/>
    </row>
    <row r="4" spans="2:39" s="6" customFormat="1" ht="20.100000000000001" customHeight="1" thickBot="1" x14ac:dyDescent="0.25">
      <c r="B4" s="1172" t="s">
        <v>13</v>
      </c>
      <c r="C4" s="1173"/>
      <c r="D4" s="1173"/>
      <c r="E4" s="1214"/>
      <c r="F4" s="795"/>
      <c r="G4" s="1167"/>
      <c r="H4" s="1216"/>
      <c r="I4" s="299"/>
      <c r="J4" s="299"/>
      <c r="K4" s="316" t="s">
        <v>11</v>
      </c>
      <c r="L4" s="316" t="s">
        <v>10</v>
      </c>
      <c r="M4" s="316" t="s">
        <v>9</v>
      </c>
      <c r="N4" s="316" t="s">
        <v>8</v>
      </c>
      <c r="O4" s="316" t="s">
        <v>11</v>
      </c>
      <c r="P4" s="316" t="s">
        <v>10</v>
      </c>
      <c r="Q4" s="316" t="s">
        <v>9</v>
      </c>
      <c r="R4" s="316" t="s">
        <v>8</v>
      </c>
      <c r="S4" s="316" t="s">
        <v>11</v>
      </c>
      <c r="T4" s="316" t="s">
        <v>10</v>
      </c>
      <c r="U4" s="316" t="s">
        <v>9</v>
      </c>
      <c r="V4" s="316" t="s">
        <v>8</v>
      </c>
      <c r="W4" s="316" t="s">
        <v>11</v>
      </c>
      <c r="X4" s="316" t="s">
        <v>10</v>
      </c>
      <c r="Y4" s="316" t="s">
        <v>9</v>
      </c>
      <c r="Z4" s="316" t="s">
        <v>8</v>
      </c>
      <c r="AA4" s="316" t="s">
        <v>11</v>
      </c>
      <c r="AB4" s="316" t="s">
        <v>10</v>
      </c>
      <c r="AC4" s="316" t="s">
        <v>9</v>
      </c>
      <c r="AD4" s="316" t="s">
        <v>8</v>
      </c>
      <c r="AE4" s="316" t="s">
        <v>11</v>
      </c>
      <c r="AF4" s="316" t="s">
        <v>10</v>
      </c>
      <c r="AG4" s="316" t="s">
        <v>9</v>
      </c>
      <c r="AH4" s="316" t="s">
        <v>8</v>
      </c>
      <c r="AI4" s="1205"/>
      <c r="AJ4" s="315">
        <f>SUM(K4:AH4)</f>
        <v>0</v>
      </c>
      <c r="AK4" s="315"/>
    </row>
    <row r="5" spans="2:39" s="6" customFormat="1" ht="24.95" customHeight="1" x14ac:dyDescent="0.2">
      <c r="B5" s="591" t="s">
        <v>171</v>
      </c>
      <c r="C5" s="584"/>
      <c r="D5" s="583"/>
      <c r="E5" s="592">
        <f>E37+E11+E17+E23+E29+E31</f>
        <v>4871</v>
      </c>
      <c r="F5" s="592">
        <f>F37+F11+F17+F23+F29+F31</f>
        <v>18368</v>
      </c>
      <c r="G5" s="592">
        <f>G37+G11+G17+G23+G29+G31</f>
        <v>23239</v>
      </c>
      <c r="H5" s="592">
        <f>H37+H11+H17+H23+H29+H31</f>
        <v>0</v>
      </c>
      <c r="I5" s="583"/>
      <c r="J5" s="583"/>
      <c r="K5" s="1201">
        <f>K32+K6+K12+K18+K24+K30</f>
        <v>4748</v>
      </c>
      <c r="L5" s="1202" t="e">
        <f>L37+L11+L17+L23+L29+#REF!+L31</f>
        <v>#REF!</v>
      </c>
      <c r="M5" s="1202" t="e">
        <f>M37+M11+M17+M23+M29+#REF!+M31</f>
        <v>#REF!</v>
      </c>
      <c r="N5" s="1203" t="e">
        <f>N37+N11+N17+N23+N29+#REF!+N31</f>
        <v>#REF!</v>
      </c>
      <c r="O5" s="1201">
        <f>O32+O6+O12+O18+O24+O30</f>
        <v>5898</v>
      </c>
      <c r="P5" s="1202" t="e">
        <f>#REF!+P11+P17+P23+P29+#REF!+P31</f>
        <v>#REF!</v>
      </c>
      <c r="Q5" s="1202" t="e">
        <f>P37+Q11+Q17+Q23+Q29+#REF!+Q31</f>
        <v>#REF!</v>
      </c>
      <c r="R5" s="1203" t="e">
        <f>R37+R11+R17+R23+R29+#REF!+R31</f>
        <v>#REF!</v>
      </c>
      <c r="S5" s="1201">
        <f>S32+S6+S12+S18+S24+S30</f>
        <v>10288</v>
      </c>
      <c r="T5" s="1202" t="e">
        <f>T37+T11+T17+T23+T29+#REF!+T31</f>
        <v>#REF!</v>
      </c>
      <c r="U5" s="1202" t="e">
        <f>U37+U11+U17+U23+U29+#REF!+U31</f>
        <v>#REF!</v>
      </c>
      <c r="V5" s="1203" t="e">
        <f>#REF!+V11+V17+V23+V29+#REF!+V31</f>
        <v>#REF!</v>
      </c>
      <c r="W5" s="1201">
        <f>W32+W6+W12+W18+W24+W30</f>
        <v>5985.5</v>
      </c>
      <c r="X5" s="1202" t="e">
        <f>X37+X11+X17+X23+X29+#REF!+X31</f>
        <v>#REF!</v>
      </c>
      <c r="Y5" s="1202" t="e">
        <f>Y37+Y11+Y17+Y23+Y29+#REF!+Y31</f>
        <v>#REF!</v>
      </c>
      <c r="Z5" s="1203" t="e">
        <f>#REF!+Z11+Z17+Z23+Z29+#REF!+Z31</f>
        <v>#REF!</v>
      </c>
      <c r="AA5" s="1201">
        <f>AA32+AA6+AA12+AA18+AA24+AA30</f>
        <v>3268.5</v>
      </c>
      <c r="AB5" s="1202" t="e">
        <f>AB37+AB11+AB17+AB23+AB29+#REF!+AB31</f>
        <v>#REF!</v>
      </c>
      <c r="AC5" s="1202" t="e">
        <f>AC37+AC11+AC17+AC23+AC29+#REF!+AC31</f>
        <v>#REF!</v>
      </c>
      <c r="AD5" s="1203" t="e">
        <f>AD37+AD11+AD17+AD23+AD29+#REF!+AD31</f>
        <v>#REF!</v>
      </c>
      <c r="AE5" s="1201">
        <f>AE32+AE6+AE12+AE18+AE24+AE30</f>
        <v>2047</v>
      </c>
      <c r="AF5" s="1202" t="e">
        <f>AF37+AF11+AF17+AF23+AF29+#REF!+AF31</f>
        <v>#REF!</v>
      </c>
      <c r="AG5" s="1202" t="e">
        <f>AG37+AG11+AG17+AG23+AG29+#REF!+AG31</f>
        <v>#REF!</v>
      </c>
      <c r="AH5" s="1203" t="e">
        <f>AH37+AH11+AH17+AH23+AH29+#REF!+AH31</f>
        <v>#REF!</v>
      </c>
      <c r="AI5" s="592">
        <f>AI32+AI6+AI12+AI18+AI24+AI30</f>
        <v>32235</v>
      </c>
      <c r="AJ5" s="315">
        <f>AI5-G5</f>
        <v>8996</v>
      </c>
      <c r="AK5" s="315"/>
      <c r="AL5" s="315"/>
      <c r="AM5" s="315"/>
    </row>
    <row r="6" spans="2:39" s="6" customFormat="1" ht="13.5" thickBot="1" x14ac:dyDescent="0.25">
      <c r="B6" s="752" t="s">
        <v>160</v>
      </c>
      <c r="C6" s="753"/>
      <c r="D6" s="753"/>
      <c r="E6" s="751"/>
      <c r="F6" s="751"/>
      <c r="G6" s="751"/>
      <c r="H6" s="751"/>
      <c r="I6" s="751"/>
      <c r="J6" s="751"/>
      <c r="K6" s="1162">
        <f>SUM(K7:N11)</f>
        <v>1000</v>
      </c>
      <c r="L6" s="1163"/>
      <c r="M6" s="1163"/>
      <c r="N6" s="1163"/>
      <c r="O6" s="1162">
        <f>SUM(O7:R11)</f>
        <v>1800</v>
      </c>
      <c r="P6" s="1163"/>
      <c r="Q6" s="1163"/>
      <c r="R6" s="1163"/>
      <c r="S6" s="1162">
        <f>SUM(S7:V11)</f>
        <v>1800</v>
      </c>
      <c r="T6" s="1163"/>
      <c r="U6" s="1163"/>
      <c r="V6" s="1163"/>
      <c r="W6" s="1162">
        <f>SUM(W7:Z11)</f>
        <v>1800</v>
      </c>
      <c r="X6" s="1163"/>
      <c r="Y6" s="1163"/>
      <c r="Z6" s="1163"/>
      <c r="AA6" s="1162">
        <f>SUM(AA7:AD11)</f>
        <v>1800</v>
      </c>
      <c r="AB6" s="1163"/>
      <c r="AC6" s="1163"/>
      <c r="AD6" s="1163"/>
      <c r="AE6" s="1162">
        <f>SUM(AE7:AH11)</f>
        <v>1800</v>
      </c>
      <c r="AF6" s="1163"/>
      <c r="AG6" s="1163"/>
      <c r="AH6" s="1163"/>
      <c r="AI6" s="359">
        <f t="shared" ref="AI6:AI66" si="0">SUM(K6:AH6)</f>
        <v>10000</v>
      </c>
      <c r="AJ6" s="315">
        <f t="shared" ref="AJ6:AJ69" si="1">AI6-G6</f>
        <v>10000</v>
      </c>
      <c r="AK6" s="315"/>
      <c r="AL6" s="315"/>
      <c r="AM6" s="315"/>
    </row>
    <row r="7" spans="2:39" s="6" customFormat="1" ht="13.5" customHeight="1" thickBot="1" x14ac:dyDescent="0.25">
      <c r="B7" s="1168" t="s">
        <v>88</v>
      </c>
      <c r="C7" s="1169"/>
      <c r="D7" s="1169"/>
      <c r="E7" s="369">
        <v>0</v>
      </c>
      <c r="F7" s="371"/>
      <c r="G7" s="373">
        <v>0</v>
      </c>
      <c r="H7" s="582"/>
      <c r="I7" s="379"/>
      <c r="J7" s="299"/>
      <c r="K7" s="566"/>
      <c r="L7" s="596"/>
      <c r="M7" s="244"/>
      <c r="O7" s="572"/>
      <c r="P7" s="593"/>
      <c r="Q7" s="594"/>
      <c r="R7" s="595"/>
      <c r="W7" s="597"/>
      <c r="Y7" s="593"/>
      <c r="Z7" s="597"/>
      <c r="AA7" s="598"/>
      <c r="AB7" s="561"/>
      <c r="AC7" s="599"/>
      <c r="AD7" s="600"/>
      <c r="AE7" s="728"/>
      <c r="AF7" s="728"/>
      <c r="AG7" s="728"/>
      <c r="AH7" s="728"/>
      <c r="AI7" s="359">
        <f t="shared" si="0"/>
        <v>0</v>
      </c>
      <c r="AJ7" s="315">
        <f t="shared" si="1"/>
        <v>0</v>
      </c>
      <c r="AK7" s="315"/>
      <c r="AL7" s="315"/>
      <c r="AM7" s="315"/>
    </row>
    <row r="8" spans="2:39" ht="13.5" thickBot="1" x14ac:dyDescent="0.25">
      <c r="B8" s="1170" t="s">
        <v>89</v>
      </c>
      <c r="C8" s="1171"/>
      <c r="D8" s="1171"/>
      <c r="E8" s="369">
        <v>0</v>
      </c>
      <c r="F8" s="371"/>
      <c r="G8" s="373">
        <v>0</v>
      </c>
      <c r="H8" s="1151"/>
      <c r="I8" s="379"/>
      <c r="K8" s="2"/>
      <c r="L8" s="447"/>
      <c r="M8" s="428"/>
      <c r="O8" s="321"/>
      <c r="P8" s="328"/>
      <c r="Q8" s="328"/>
      <c r="R8" s="326"/>
      <c r="S8" s="327"/>
      <c r="T8" s="328"/>
      <c r="U8" s="328"/>
      <c r="V8" s="326"/>
      <c r="W8" s="327"/>
      <c r="X8" s="328"/>
      <c r="Y8" s="328"/>
      <c r="Z8" s="326"/>
      <c r="AA8" s="327"/>
      <c r="AB8" s="328"/>
      <c r="AC8" s="328"/>
      <c r="AD8" s="326"/>
      <c r="AE8" s="732"/>
      <c r="AF8" s="732"/>
      <c r="AG8" s="732"/>
      <c r="AH8" s="732"/>
      <c r="AI8" s="359">
        <f t="shared" si="0"/>
        <v>0</v>
      </c>
      <c r="AJ8" s="315">
        <f t="shared" si="1"/>
        <v>0</v>
      </c>
      <c r="AK8" s="315"/>
      <c r="AL8" s="315"/>
      <c r="AM8" s="315"/>
    </row>
    <row r="9" spans="2:39" ht="13.5" thickBot="1" x14ac:dyDescent="0.25">
      <c r="B9" s="1168" t="s">
        <v>90</v>
      </c>
      <c r="C9" s="1169"/>
      <c r="D9" s="1169"/>
      <c r="E9" s="369">
        <v>0</v>
      </c>
      <c r="F9" s="371"/>
      <c r="G9" s="373">
        <v>0</v>
      </c>
      <c r="H9" s="1151"/>
      <c r="I9" s="379"/>
      <c r="K9" s="2"/>
      <c r="L9" s="322"/>
      <c r="M9" s="323"/>
      <c r="O9" s="321"/>
      <c r="P9" s="328"/>
      <c r="Q9" s="328"/>
      <c r="R9" s="326"/>
      <c r="S9" s="327"/>
      <c r="T9" s="328"/>
      <c r="U9" s="328"/>
      <c r="V9" s="326"/>
      <c r="W9" s="327"/>
      <c r="X9" s="328"/>
      <c r="Y9" s="328"/>
      <c r="Z9" s="326"/>
      <c r="AA9" s="327"/>
      <c r="AB9" s="328"/>
      <c r="AC9" s="328"/>
      <c r="AD9" s="326"/>
      <c r="AE9" s="732"/>
      <c r="AF9" s="732"/>
      <c r="AG9" s="732"/>
      <c r="AH9" s="732"/>
      <c r="AI9" s="359">
        <f t="shared" si="0"/>
        <v>0</v>
      </c>
      <c r="AJ9" s="315">
        <f t="shared" si="1"/>
        <v>0</v>
      </c>
      <c r="AK9" s="315"/>
      <c r="AL9" s="315"/>
      <c r="AM9" s="315"/>
    </row>
    <row r="10" spans="2:39" ht="13.5" thickBot="1" x14ac:dyDescent="0.25">
      <c r="B10" s="1168" t="s">
        <v>98</v>
      </c>
      <c r="C10" s="1169"/>
      <c r="D10" s="1169"/>
      <c r="E10" s="394">
        <v>1000</v>
      </c>
      <c r="F10" s="576">
        <v>9000</v>
      </c>
      <c r="G10" s="398">
        <f>10000</f>
        <v>10000</v>
      </c>
      <c r="H10" s="1151"/>
      <c r="I10" s="379"/>
      <c r="K10" s="327"/>
      <c r="L10" s="328"/>
      <c r="M10" s="328">
        <v>500</v>
      </c>
      <c r="N10" s="135">
        <v>500</v>
      </c>
      <c r="O10" s="453">
        <f>($G$10-1000)/20</f>
        <v>450</v>
      </c>
      <c r="P10" s="453">
        <f t="shared" ref="P10:AH10" si="2">($G$10-1000)/20</f>
        <v>450</v>
      </c>
      <c r="Q10" s="453">
        <f t="shared" si="2"/>
        <v>450</v>
      </c>
      <c r="R10" s="453">
        <f t="shared" si="2"/>
        <v>450</v>
      </c>
      <c r="S10" s="453">
        <f t="shared" si="2"/>
        <v>450</v>
      </c>
      <c r="T10" s="453">
        <f t="shared" si="2"/>
        <v>450</v>
      </c>
      <c r="U10" s="453">
        <f t="shared" si="2"/>
        <v>450</v>
      </c>
      <c r="V10" s="453">
        <f t="shared" si="2"/>
        <v>450</v>
      </c>
      <c r="W10" s="453">
        <f t="shared" si="2"/>
        <v>450</v>
      </c>
      <c r="X10" s="453">
        <f t="shared" si="2"/>
        <v>450</v>
      </c>
      <c r="Y10" s="453">
        <f t="shared" si="2"/>
        <v>450</v>
      </c>
      <c r="Z10" s="453">
        <f t="shared" si="2"/>
        <v>450</v>
      </c>
      <c r="AA10" s="453">
        <f t="shared" si="2"/>
        <v>450</v>
      </c>
      <c r="AB10" s="453">
        <f t="shared" si="2"/>
        <v>450</v>
      </c>
      <c r="AC10" s="453">
        <f t="shared" si="2"/>
        <v>450</v>
      </c>
      <c r="AD10" s="453">
        <f t="shared" si="2"/>
        <v>450</v>
      </c>
      <c r="AE10" s="453">
        <f t="shared" si="2"/>
        <v>450</v>
      </c>
      <c r="AF10" s="453">
        <f t="shared" si="2"/>
        <v>450</v>
      </c>
      <c r="AG10" s="453">
        <f t="shared" si="2"/>
        <v>450</v>
      </c>
      <c r="AH10" s="453">
        <f t="shared" si="2"/>
        <v>450</v>
      </c>
      <c r="AI10" s="359">
        <f t="shared" si="0"/>
        <v>10000</v>
      </c>
      <c r="AJ10" s="315">
        <f t="shared" si="1"/>
        <v>0</v>
      </c>
      <c r="AK10" s="315"/>
      <c r="AL10" s="315"/>
      <c r="AM10" s="315"/>
    </row>
    <row r="11" spans="2:39" ht="13.5" thickBot="1" x14ac:dyDescent="0.25">
      <c r="B11" s="1168" t="s">
        <v>91</v>
      </c>
      <c r="C11" s="1169"/>
      <c r="D11" s="1169"/>
      <c r="E11" s="384">
        <v>1000</v>
      </c>
      <c r="F11" s="587">
        <v>9000</v>
      </c>
      <c r="G11" s="417">
        <v>10000</v>
      </c>
      <c r="H11" s="1152"/>
      <c r="I11" s="379"/>
      <c r="K11" s="562"/>
      <c r="L11" s="486"/>
      <c r="M11" s="604"/>
      <c r="N11" s="475"/>
      <c r="O11" s="562"/>
      <c r="P11" s="486"/>
      <c r="Q11" s="486"/>
      <c r="R11" s="475"/>
      <c r="S11" s="562"/>
      <c r="T11" s="486"/>
      <c r="U11" s="486"/>
      <c r="V11" s="475"/>
      <c r="W11" s="562"/>
      <c r="X11" s="486"/>
      <c r="Y11" s="486"/>
      <c r="Z11" s="475"/>
      <c r="AA11" s="562"/>
      <c r="AB11" s="486"/>
      <c r="AC11" s="486"/>
      <c r="AD11" s="475"/>
      <c r="AE11" s="731"/>
      <c r="AF11" s="731"/>
      <c r="AG11" s="731"/>
      <c r="AH11" s="731"/>
      <c r="AI11" s="359">
        <f t="shared" si="0"/>
        <v>0</v>
      </c>
      <c r="AJ11" s="315">
        <f t="shared" si="1"/>
        <v>-10000</v>
      </c>
      <c r="AK11" s="315"/>
      <c r="AL11" s="315"/>
      <c r="AM11" s="315"/>
    </row>
    <row r="12" spans="2:39" ht="13.5" thickBot="1" x14ac:dyDescent="0.25">
      <c r="B12" s="752" t="s">
        <v>99</v>
      </c>
      <c r="C12" s="751"/>
      <c r="D12" s="751"/>
      <c r="E12" s="751"/>
      <c r="F12" s="751"/>
      <c r="G12" s="751"/>
      <c r="H12" s="751"/>
      <c r="I12" s="751"/>
      <c r="J12" s="751"/>
      <c r="K12" s="1162">
        <f>SUM(K13:N17)</f>
        <v>0</v>
      </c>
      <c r="L12" s="1163"/>
      <c r="M12" s="1163"/>
      <c r="N12" s="1163"/>
      <c r="O12" s="1162">
        <f>SUM(O13:R17)</f>
        <v>110</v>
      </c>
      <c r="P12" s="1163"/>
      <c r="Q12" s="1163"/>
      <c r="R12" s="1163"/>
      <c r="S12" s="1162">
        <f>SUM(S13:V17)</f>
        <v>0</v>
      </c>
      <c r="T12" s="1163"/>
      <c r="U12" s="1163"/>
      <c r="V12" s="1163"/>
      <c r="W12" s="1162">
        <f>SUM(W13:Z17)</f>
        <v>110</v>
      </c>
      <c r="X12" s="1163"/>
      <c r="Y12" s="1163"/>
      <c r="Z12" s="1163"/>
      <c r="AA12" s="1162">
        <f>SUM(AA13:AD17)</f>
        <v>218</v>
      </c>
      <c r="AB12" s="1163"/>
      <c r="AC12" s="1163"/>
      <c r="AD12" s="1163"/>
      <c r="AE12" s="1162">
        <f>SUM(AE13:AH17)</f>
        <v>0</v>
      </c>
      <c r="AF12" s="1163"/>
      <c r="AG12" s="1163"/>
      <c r="AH12" s="1163"/>
      <c r="AI12" s="359">
        <f t="shared" si="0"/>
        <v>438</v>
      </c>
      <c r="AJ12" s="315">
        <f t="shared" si="1"/>
        <v>438</v>
      </c>
      <c r="AK12" s="315"/>
      <c r="AL12" s="315"/>
      <c r="AM12" s="315"/>
    </row>
    <row r="13" spans="2:39" ht="13.5" thickBot="1" x14ac:dyDescent="0.25">
      <c r="B13" s="1168" t="s">
        <v>88</v>
      </c>
      <c r="C13" s="1169"/>
      <c r="D13" s="1169"/>
      <c r="E13" s="369">
        <v>0</v>
      </c>
      <c r="F13" s="371"/>
      <c r="G13" s="373">
        <v>0</v>
      </c>
      <c r="H13" s="1150" t="s">
        <v>109</v>
      </c>
      <c r="I13" s="379"/>
      <c r="K13" s="560"/>
      <c r="L13" s="561"/>
      <c r="M13" s="561"/>
      <c r="N13" s="600"/>
      <c r="O13" s="565"/>
      <c r="P13" s="565"/>
      <c r="S13" s="600"/>
      <c r="T13" s="599"/>
      <c r="U13" s="565"/>
      <c r="V13" s="565"/>
      <c r="W13" s="600"/>
      <c r="X13" s="599"/>
      <c r="Y13" s="565"/>
      <c r="Z13" s="565"/>
      <c r="AA13" s="600"/>
      <c r="AB13" s="565"/>
      <c r="AC13" s="565"/>
      <c r="AD13" s="600"/>
      <c r="AE13" s="733"/>
      <c r="AF13" s="733"/>
      <c r="AG13" s="733"/>
      <c r="AH13" s="733"/>
      <c r="AI13" s="359">
        <f t="shared" si="0"/>
        <v>0</v>
      </c>
      <c r="AJ13" s="315">
        <f t="shared" si="1"/>
        <v>0</v>
      </c>
      <c r="AK13" s="315"/>
      <c r="AL13" s="315"/>
      <c r="AM13" s="315"/>
    </row>
    <row r="14" spans="2:39" ht="13.5" thickBot="1" x14ac:dyDescent="0.25">
      <c r="B14" s="1168" t="s">
        <v>89</v>
      </c>
      <c r="C14" s="1169"/>
      <c r="D14" s="1169"/>
      <c r="E14" s="369">
        <v>0</v>
      </c>
      <c r="F14" s="371"/>
      <c r="G14" s="373">
        <v>0</v>
      </c>
      <c r="H14" s="1151"/>
      <c r="I14" s="379"/>
      <c r="K14" s="327"/>
      <c r="L14" s="328"/>
      <c r="M14" s="328"/>
      <c r="N14" s="330"/>
      <c r="O14" s="429"/>
      <c r="P14" s="428"/>
      <c r="S14" s="326"/>
      <c r="T14" s="322"/>
      <c r="U14" s="429"/>
      <c r="V14" s="428"/>
      <c r="W14" s="326"/>
      <c r="X14" s="328"/>
      <c r="Y14" s="429"/>
      <c r="Z14" s="428"/>
      <c r="AA14" s="326"/>
      <c r="AB14" s="429"/>
      <c r="AC14" s="428"/>
      <c r="AD14" s="326"/>
      <c r="AE14" s="734"/>
      <c r="AF14" s="734"/>
      <c r="AG14" s="734"/>
      <c r="AH14" s="734"/>
      <c r="AI14" s="359">
        <f t="shared" si="0"/>
        <v>0</v>
      </c>
      <c r="AJ14" s="315">
        <f t="shared" si="1"/>
        <v>0</v>
      </c>
      <c r="AK14" s="315"/>
      <c r="AL14" s="315"/>
      <c r="AM14" s="315"/>
    </row>
    <row r="15" spans="2:39" ht="13.5" thickBot="1" x14ac:dyDescent="0.25">
      <c r="B15" s="1168" t="s">
        <v>90</v>
      </c>
      <c r="C15" s="1169"/>
      <c r="D15" s="1169"/>
      <c r="E15" s="369">
        <v>0</v>
      </c>
      <c r="F15" s="371"/>
      <c r="G15" s="373">
        <v>0</v>
      </c>
      <c r="H15" s="1151"/>
      <c r="I15" s="379"/>
      <c r="K15" s="327"/>
      <c r="L15" s="328"/>
      <c r="M15" s="328"/>
      <c r="N15" s="330"/>
      <c r="O15" s="322"/>
      <c r="P15" s="459"/>
      <c r="S15" s="2"/>
      <c r="T15" s="322"/>
      <c r="U15" s="322"/>
      <c r="V15" s="459"/>
      <c r="W15" s="2"/>
      <c r="X15" s="328"/>
      <c r="Y15" s="322"/>
      <c r="Z15" s="459"/>
      <c r="AA15" s="2"/>
      <c r="AB15" s="322"/>
      <c r="AC15" s="459"/>
      <c r="AD15" s="2"/>
      <c r="AE15" s="497"/>
      <c r="AF15" s="497"/>
      <c r="AG15" s="497"/>
      <c r="AH15" s="497"/>
      <c r="AI15" s="359">
        <f t="shared" si="0"/>
        <v>0</v>
      </c>
      <c r="AJ15" s="315">
        <f t="shared" si="1"/>
        <v>0</v>
      </c>
      <c r="AK15" s="315"/>
      <c r="AL15" s="315"/>
      <c r="AM15" s="315"/>
    </row>
    <row r="16" spans="2:39" ht="13.5" thickBot="1" x14ac:dyDescent="0.25">
      <c r="B16" s="1168" t="s">
        <v>98</v>
      </c>
      <c r="C16" s="1169"/>
      <c r="D16" s="1169"/>
      <c r="E16" s="414">
        <v>0</v>
      </c>
      <c r="F16" s="415">
        <v>438</v>
      </c>
      <c r="G16" s="416">
        <v>438</v>
      </c>
      <c r="H16" s="1151"/>
      <c r="I16" s="379"/>
      <c r="K16" s="327"/>
      <c r="L16" s="328"/>
      <c r="M16" s="328"/>
      <c r="N16" s="330"/>
      <c r="O16" s="2"/>
      <c r="P16" s="2"/>
      <c r="Q16" s="455">
        <v>110</v>
      </c>
      <c r="R16" s="328"/>
      <c r="T16" s="322"/>
      <c r="U16" s="322"/>
      <c r="V16" s="328"/>
      <c r="W16" s="455">
        <v>110</v>
      </c>
      <c r="X16" s="328"/>
      <c r="Y16" s="322"/>
      <c r="Z16" s="328"/>
      <c r="AA16" s="455">
        <v>108</v>
      </c>
      <c r="AB16" s="322"/>
      <c r="AC16" s="328"/>
      <c r="AD16" s="877">
        <v>110</v>
      </c>
      <c r="AE16" s="336"/>
      <c r="AF16" s="336"/>
      <c r="AG16" s="336"/>
      <c r="AH16" s="336"/>
      <c r="AI16" s="359">
        <f t="shared" si="0"/>
        <v>438</v>
      </c>
      <c r="AJ16" s="315">
        <f t="shared" si="1"/>
        <v>0</v>
      </c>
      <c r="AK16" s="315"/>
      <c r="AL16" s="315"/>
      <c r="AM16" s="315"/>
    </row>
    <row r="17" spans="2:39" ht="13.5" thickBot="1" x14ac:dyDescent="0.25">
      <c r="B17" s="1168" t="s">
        <v>91</v>
      </c>
      <c r="C17" s="1169"/>
      <c r="D17" s="1169"/>
      <c r="E17" s="588"/>
      <c r="F17" s="589">
        <v>438</v>
      </c>
      <c r="G17" s="590">
        <v>438</v>
      </c>
      <c r="H17" s="1152"/>
      <c r="I17" s="379"/>
      <c r="K17" s="562"/>
      <c r="L17" s="486"/>
      <c r="M17" s="486"/>
      <c r="N17" s="475"/>
      <c r="O17" s="562"/>
      <c r="P17" s="486"/>
      <c r="Q17" s="385"/>
      <c r="R17" s="477"/>
      <c r="S17" s="605"/>
      <c r="T17" s="606"/>
      <c r="U17" s="606"/>
      <c r="V17" s="477"/>
      <c r="W17" s="562"/>
      <c r="X17" s="486"/>
      <c r="Y17" s="486"/>
      <c r="Z17" s="475"/>
      <c r="AA17" s="562"/>
      <c r="AB17" s="486"/>
      <c r="AC17" s="486"/>
      <c r="AD17" s="475"/>
      <c r="AE17" s="731"/>
      <c r="AF17" s="731"/>
      <c r="AG17" s="731"/>
      <c r="AH17" s="731"/>
      <c r="AI17" s="359">
        <f t="shared" si="0"/>
        <v>0</v>
      </c>
      <c r="AJ17" s="315">
        <f t="shared" si="1"/>
        <v>-438</v>
      </c>
      <c r="AK17" s="315"/>
      <c r="AL17" s="315"/>
      <c r="AM17" s="315"/>
    </row>
    <row r="18" spans="2:39" ht="13.5" thickBot="1" x14ac:dyDescent="0.25">
      <c r="B18" s="752" t="s">
        <v>100</v>
      </c>
      <c r="C18" s="753"/>
      <c r="D18" s="753"/>
      <c r="E18" s="753"/>
      <c r="F18" s="753"/>
      <c r="G18" s="753"/>
      <c r="H18" s="753"/>
      <c r="I18" s="753"/>
      <c r="J18" s="753"/>
      <c r="K18" s="1162">
        <f>SUM(K19:N23)</f>
        <v>3618</v>
      </c>
      <c r="L18" s="1163"/>
      <c r="M18" s="1163"/>
      <c r="N18" s="1163"/>
      <c r="O18" s="1162">
        <f>SUM(O19:R23)</f>
        <v>988</v>
      </c>
      <c r="P18" s="1163"/>
      <c r="Q18" s="1163"/>
      <c r="R18" s="1163"/>
      <c r="S18" s="1162">
        <f>SUM(S19:V23)</f>
        <v>988</v>
      </c>
      <c r="T18" s="1163"/>
      <c r="U18" s="1163"/>
      <c r="V18" s="1163"/>
      <c r="W18" s="1162">
        <f>SUM(W19:Z23)</f>
        <v>988</v>
      </c>
      <c r="X18" s="1163"/>
      <c r="Y18" s="1163"/>
      <c r="Z18" s="1163"/>
      <c r="AA18" s="1162">
        <f>SUM(AA19:AD23)</f>
        <v>988</v>
      </c>
      <c r="AB18" s="1163"/>
      <c r="AC18" s="1163"/>
      <c r="AD18" s="1163"/>
      <c r="AE18" s="1162">
        <f>SUM(AE19:AH23)</f>
        <v>247</v>
      </c>
      <c r="AF18" s="1163"/>
      <c r="AG18" s="1163"/>
      <c r="AH18" s="1163"/>
      <c r="AI18" s="359">
        <f t="shared" si="0"/>
        <v>7817</v>
      </c>
      <c r="AJ18" s="315">
        <f t="shared" si="1"/>
        <v>7817</v>
      </c>
      <c r="AK18" s="315"/>
      <c r="AL18" s="315"/>
      <c r="AM18" s="315"/>
    </row>
    <row r="19" spans="2:39" ht="13.5" thickBot="1" x14ac:dyDescent="0.25">
      <c r="B19" s="1168" t="s">
        <v>88</v>
      </c>
      <c r="C19" s="1169"/>
      <c r="D19" s="1169"/>
      <c r="E19" s="369">
        <v>0</v>
      </c>
      <c r="F19" s="383"/>
      <c r="G19" s="381">
        <v>0</v>
      </c>
      <c r="H19" s="1150" t="s">
        <v>109</v>
      </c>
      <c r="I19" s="379"/>
      <c r="K19" s="2"/>
      <c r="L19" s="596"/>
      <c r="M19" s="565"/>
      <c r="N19" s="595"/>
      <c r="O19" s="560"/>
      <c r="P19" s="561"/>
      <c r="Q19" s="561"/>
      <c r="R19" s="595"/>
      <c r="S19" s="560"/>
      <c r="T19" s="561"/>
      <c r="U19" s="561"/>
      <c r="V19" s="595"/>
      <c r="W19" s="560"/>
      <c r="X19" s="561"/>
      <c r="Y19" s="561"/>
      <c r="Z19" s="595"/>
      <c r="AA19" s="560"/>
      <c r="AB19" s="561"/>
      <c r="AC19" s="561"/>
      <c r="AD19" s="595"/>
      <c r="AE19" s="735"/>
      <c r="AF19" s="735"/>
      <c r="AG19" s="735"/>
      <c r="AH19" s="735"/>
      <c r="AI19" s="359">
        <f t="shared" si="0"/>
        <v>0</v>
      </c>
      <c r="AJ19" s="315">
        <f t="shared" si="1"/>
        <v>0</v>
      </c>
      <c r="AK19" s="315"/>
      <c r="AL19" s="315"/>
      <c r="AM19" s="315"/>
    </row>
    <row r="20" spans="2:39" ht="13.5" thickBot="1" x14ac:dyDescent="0.25">
      <c r="B20" s="1168" t="s">
        <v>89</v>
      </c>
      <c r="C20" s="1169"/>
      <c r="D20" s="1169"/>
      <c r="E20" s="369">
        <v>0</v>
      </c>
      <c r="F20" s="383"/>
      <c r="G20" s="381">
        <v>0</v>
      </c>
      <c r="H20" s="1151"/>
      <c r="I20" s="379"/>
      <c r="K20" s="447"/>
      <c r="L20" s="2"/>
      <c r="M20" s="428"/>
      <c r="N20" s="326"/>
      <c r="O20" s="327"/>
      <c r="P20" s="328"/>
      <c r="Q20" s="328"/>
      <c r="R20" s="326"/>
      <c r="S20" s="327"/>
      <c r="T20" s="328"/>
      <c r="U20" s="328"/>
      <c r="V20" s="326"/>
      <c r="W20" s="327"/>
      <c r="X20" s="328"/>
      <c r="Y20" s="328"/>
      <c r="Z20" s="326"/>
      <c r="AA20" s="327"/>
      <c r="AB20" s="328"/>
      <c r="AC20" s="328"/>
      <c r="AD20" s="326"/>
      <c r="AE20" s="732"/>
      <c r="AF20" s="732"/>
      <c r="AG20" s="732"/>
      <c r="AH20" s="732"/>
      <c r="AI20" s="359">
        <f t="shared" si="0"/>
        <v>0</v>
      </c>
      <c r="AJ20" s="315">
        <f t="shared" si="1"/>
        <v>0</v>
      </c>
      <c r="AK20" s="315"/>
      <c r="AL20" s="315"/>
      <c r="AM20" s="315"/>
    </row>
    <row r="21" spans="2:39" ht="13.5" thickBot="1" x14ac:dyDescent="0.25">
      <c r="B21" s="1168" t="s">
        <v>90</v>
      </c>
      <c r="C21" s="1169"/>
      <c r="D21" s="1169"/>
      <c r="E21" s="369">
        <v>0</v>
      </c>
      <c r="F21" s="383"/>
      <c r="G21" s="381">
        <v>0</v>
      </c>
      <c r="H21" s="1151"/>
      <c r="I21" s="379"/>
      <c r="K21" s="329"/>
      <c r="L21" s="322"/>
      <c r="M21" s="323"/>
      <c r="N21" s="326"/>
      <c r="O21" s="327"/>
      <c r="P21" s="328"/>
      <c r="Q21" s="328"/>
      <c r="R21" s="326"/>
      <c r="S21" s="327"/>
      <c r="T21" s="328"/>
      <c r="U21" s="328"/>
      <c r="V21" s="326"/>
      <c r="W21" s="327"/>
      <c r="X21" s="328"/>
      <c r="Y21" s="328"/>
      <c r="Z21" s="326"/>
      <c r="AA21" s="327"/>
      <c r="AB21" s="328"/>
      <c r="AC21" s="328"/>
      <c r="AD21" s="326"/>
      <c r="AE21" s="732"/>
      <c r="AF21" s="732"/>
      <c r="AG21" s="732"/>
      <c r="AH21" s="732"/>
      <c r="AI21" s="359">
        <f t="shared" si="0"/>
        <v>0</v>
      </c>
      <c r="AJ21" s="315">
        <f t="shared" si="1"/>
        <v>0</v>
      </c>
      <c r="AK21" s="315"/>
      <c r="AL21" s="315"/>
      <c r="AM21" s="315"/>
    </row>
    <row r="22" spans="2:39" ht="13.5" thickBot="1" x14ac:dyDescent="0.25">
      <c r="B22" s="1168" t="s">
        <v>98</v>
      </c>
      <c r="C22" s="1169"/>
      <c r="D22" s="1169"/>
      <c r="E22" s="414">
        <v>3371</v>
      </c>
      <c r="F22" s="415">
        <v>4450</v>
      </c>
      <c r="G22" s="416">
        <f>F22+E22</f>
        <v>7821</v>
      </c>
      <c r="H22" s="1151"/>
      <c r="I22" s="379"/>
      <c r="K22" s="327"/>
      <c r="L22" s="328">
        <v>3371</v>
      </c>
      <c r="M22" s="165"/>
      <c r="N22" s="453">
        <v>247</v>
      </c>
      <c r="O22" s="453">
        <v>247</v>
      </c>
      <c r="P22" s="453">
        <v>247</v>
      </c>
      <c r="Q22" s="453">
        <v>247</v>
      </c>
      <c r="R22" s="453">
        <v>247</v>
      </c>
      <c r="S22" s="453">
        <v>247</v>
      </c>
      <c r="T22" s="453">
        <v>247</v>
      </c>
      <c r="U22" s="453">
        <v>247</v>
      </c>
      <c r="V22" s="453">
        <v>247</v>
      </c>
      <c r="W22" s="453">
        <v>247</v>
      </c>
      <c r="X22" s="453">
        <v>247</v>
      </c>
      <c r="Y22" s="453">
        <v>247</v>
      </c>
      <c r="Z22" s="453">
        <v>247</v>
      </c>
      <c r="AA22" s="453">
        <v>247</v>
      </c>
      <c r="AB22" s="453">
        <v>247</v>
      </c>
      <c r="AC22" s="453">
        <v>247</v>
      </c>
      <c r="AD22" s="453">
        <v>247</v>
      </c>
      <c r="AE22" s="453">
        <v>247</v>
      </c>
      <c r="AF22" s="460"/>
      <c r="AG22" s="460"/>
      <c r="AH22" s="460"/>
      <c r="AI22" s="359">
        <f t="shared" si="0"/>
        <v>7817</v>
      </c>
      <c r="AJ22" s="315">
        <f t="shared" si="1"/>
        <v>-4</v>
      </c>
      <c r="AK22" s="315"/>
      <c r="AL22" s="315"/>
      <c r="AM22" s="315"/>
    </row>
    <row r="23" spans="2:39" ht="13.5" thickBot="1" x14ac:dyDescent="0.25">
      <c r="B23" s="1168" t="s">
        <v>91</v>
      </c>
      <c r="C23" s="1169"/>
      <c r="D23" s="1169"/>
      <c r="E23" s="588">
        <v>3371</v>
      </c>
      <c r="F23" s="589">
        <v>4450</v>
      </c>
      <c r="G23" s="416">
        <f>F23+E23</f>
        <v>7821</v>
      </c>
      <c r="H23" s="1152"/>
      <c r="I23" s="379"/>
      <c r="K23" s="562"/>
      <c r="L23" s="486"/>
      <c r="M23" s="486"/>
      <c r="N23" s="475"/>
      <c r="O23" s="562"/>
      <c r="P23" s="486"/>
      <c r="Q23" s="486"/>
      <c r="R23" s="475"/>
      <c r="S23" s="562"/>
      <c r="T23" s="486"/>
      <c r="U23" s="486"/>
      <c r="V23" s="475"/>
      <c r="W23" s="562"/>
      <c r="X23" s="486"/>
      <c r="Y23" s="486"/>
      <c r="Z23" s="475"/>
      <c r="AA23" s="562"/>
      <c r="AB23" s="486"/>
      <c r="AC23" s="486"/>
      <c r="AD23" s="475"/>
      <c r="AE23" s="731"/>
      <c r="AF23" s="731"/>
      <c r="AG23" s="731"/>
      <c r="AH23" s="731"/>
      <c r="AI23" s="359">
        <f t="shared" si="0"/>
        <v>0</v>
      </c>
      <c r="AJ23" s="315">
        <f t="shared" si="1"/>
        <v>-7821</v>
      </c>
      <c r="AK23" s="315"/>
      <c r="AL23" s="315"/>
      <c r="AM23" s="315"/>
    </row>
    <row r="24" spans="2:39" ht="13.5" thickBot="1" x14ac:dyDescent="0.25">
      <c r="B24" s="752" t="s">
        <v>161</v>
      </c>
      <c r="C24" s="753"/>
      <c r="D24" s="753"/>
      <c r="E24" s="753"/>
      <c r="F24" s="753"/>
      <c r="G24" s="753"/>
      <c r="H24" s="753"/>
      <c r="I24" s="753"/>
      <c r="J24" s="753"/>
      <c r="K24" s="1162">
        <f>SUM(K25:N29)</f>
        <v>0</v>
      </c>
      <c r="L24" s="1163"/>
      <c r="M24" s="1163"/>
      <c r="N24" s="1163"/>
      <c r="O24" s="1162">
        <f>SUM(O25:R29)</f>
        <v>0</v>
      </c>
      <c r="P24" s="1163"/>
      <c r="Q24" s="1163"/>
      <c r="R24" s="1163"/>
      <c r="S24" s="1162">
        <f>SUM(S25:V29)</f>
        <v>0</v>
      </c>
      <c r="T24" s="1163"/>
      <c r="U24" s="1163"/>
      <c r="V24" s="1163"/>
      <c r="W24" s="1162">
        <f>SUM(W25:Z29)</f>
        <v>87.5</v>
      </c>
      <c r="X24" s="1163"/>
      <c r="Y24" s="1163"/>
      <c r="Z24" s="1163"/>
      <c r="AA24" s="1162">
        <f>SUM(AA25:AD29)</f>
        <v>262.5</v>
      </c>
      <c r="AB24" s="1163"/>
      <c r="AC24" s="1163"/>
      <c r="AD24" s="1163"/>
      <c r="AE24" s="1162">
        <f>SUM(AE25:AH29)</f>
        <v>0</v>
      </c>
      <c r="AF24" s="1163"/>
      <c r="AG24" s="1163"/>
      <c r="AH24" s="1163"/>
      <c r="AI24" s="359">
        <f t="shared" si="0"/>
        <v>350</v>
      </c>
      <c r="AJ24" s="315">
        <f t="shared" si="1"/>
        <v>350</v>
      </c>
      <c r="AK24" s="315"/>
      <c r="AL24" s="315"/>
      <c r="AM24" s="315"/>
    </row>
    <row r="25" spans="2:39" ht="13.5" customHeight="1" thickBot="1" x14ac:dyDescent="0.25">
      <c r="B25" s="1122" t="s">
        <v>93</v>
      </c>
      <c r="C25" s="1122"/>
      <c r="D25" s="1122"/>
      <c r="E25" s="369">
        <v>0</v>
      </c>
      <c r="F25" s="371"/>
      <c r="G25" s="373">
        <v>0</v>
      </c>
      <c r="H25" s="1150" t="s">
        <v>109</v>
      </c>
      <c r="I25" s="379"/>
      <c r="K25" s="560"/>
      <c r="L25" s="561"/>
      <c r="M25" s="561"/>
      <c r="N25" s="595"/>
      <c r="O25" s="560"/>
      <c r="P25" s="561"/>
      <c r="Q25" s="561"/>
      <c r="R25" s="595"/>
      <c r="S25" s="560"/>
      <c r="T25" s="561"/>
      <c r="U25" s="565"/>
      <c r="V25" s="2"/>
      <c r="W25" s="560"/>
      <c r="X25" s="561"/>
      <c r="Y25" s="561"/>
      <c r="Z25" s="595"/>
      <c r="AA25" s="560"/>
      <c r="AB25" s="565"/>
      <c r="AC25" s="2"/>
      <c r="AD25" s="560"/>
      <c r="AE25" s="735"/>
      <c r="AF25" s="735"/>
      <c r="AG25" s="735"/>
      <c r="AH25" s="735"/>
      <c r="AI25" s="359">
        <f t="shared" si="0"/>
        <v>0</v>
      </c>
      <c r="AJ25" s="315">
        <f t="shared" si="1"/>
        <v>0</v>
      </c>
      <c r="AK25" s="315"/>
      <c r="AL25" s="315"/>
      <c r="AM25" s="315"/>
    </row>
    <row r="26" spans="2:39" ht="13.5" thickBot="1" x14ac:dyDescent="0.25">
      <c r="B26" s="1122" t="s">
        <v>94</v>
      </c>
      <c r="C26" s="1123"/>
      <c r="D26" s="1124"/>
      <c r="E26" s="369">
        <v>0</v>
      </c>
      <c r="F26" s="371"/>
      <c r="G26" s="373">
        <v>0</v>
      </c>
      <c r="H26" s="1151"/>
      <c r="I26" s="379"/>
      <c r="K26" s="327"/>
      <c r="L26" s="328"/>
      <c r="M26" s="328"/>
      <c r="N26" s="326"/>
      <c r="O26" s="327"/>
      <c r="P26" s="328"/>
      <c r="Q26" s="328"/>
      <c r="R26" s="326"/>
      <c r="S26" s="327"/>
      <c r="T26" s="328"/>
      <c r="U26" s="2"/>
      <c r="V26" s="428"/>
      <c r="W26" s="327"/>
      <c r="X26" s="328"/>
      <c r="Y26" s="328"/>
      <c r="Z26" s="326"/>
      <c r="AA26" s="327"/>
      <c r="AB26" s="2"/>
      <c r="AC26" s="428"/>
      <c r="AD26" s="327"/>
      <c r="AE26" s="732"/>
      <c r="AF26" s="732"/>
      <c r="AG26" s="732"/>
      <c r="AH26" s="732"/>
      <c r="AI26" s="359">
        <f t="shared" si="0"/>
        <v>0</v>
      </c>
      <c r="AJ26" s="315">
        <f t="shared" si="1"/>
        <v>0</v>
      </c>
      <c r="AK26" s="315"/>
      <c r="AL26" s="315"/>
      <c r="AM26" s="315"/>
    </row>
    <row r="27" spans="2:39" ht="13.5" thickBot="1" x14ac:dyDescent="0.25">
      <c r="B27" s="1122" t="s">
        <v>95</v>
      </c>
      <c r="C27" s="1123"/>
      <c r="D27" s="1124"/>
      <c r="E27" s="369">
        <v>0</v>
      </c>
      <c r="F27" s="371"/>
      <c r="G27" s="373">
        <v>0</v>
      </c>
      <c r="H27" s="1151"/>
      <c r="I27" s="379"/>
      <c r="K27" s="327"/>
      <c r="L27" s="328"/>
      <c r="M27" s="328"/>
      <c r="N27" s="326"/>
      <c r="O27" s="327"/>
      <c r="P27" s="328"/>
      <c r="Q27" s="328"/>
      <c r="R27" s="326"/>
      <c r="S27" s="327"/>
      <c r="T27" s="328"/>
      <c r="U27" s="328"/>
      <c r="V27" s="459"/>
      <c r="W27" s="327"/>
      <c r="X27" s="328"/>
      <c r="Y27" s="328"/>
      <c r="Z27" s="326"/>
      <c r="AA27" s="327"/>
      <c r="AB27" s="2"/>
      <c r="AC27" s="459"/>
      <c r="AD27" s="327"/>
      <c r="AE27" s="732"/>
      <c r="AF27" s="732"/>
      <c r="AG27" s="732"/>
      <c r="AH27" s="732"/>
      <c r="AI27" s="359">
        <f t="shared" si="0"/>
        <v>0</v>
      </c>
      <c r="AJ27" s="315">
        <f t="shared" si="1"/>
        <v>0</v>
      </c>
      <c r="AK27" s="315"/>
      <c r="AL27" s="315"/>
      <c r="AM27" s="315"/>
    </row>
    <row r="28" spans="2:39" ht="13.5" thickBot="1" x14ac:dyDescent="0.25">
      <c r="B28" s="1122" t="s">
        <v>96</v>
      </c>
      <c r="C28" s="1123"/>
      <c r="D28" s="1124"/>
      <c r="E28" s="414">
        <v>0</v>
      </c>
      <c r="F28" s="415">
        <v>350</v>
      </c>
      <c r="G28" s="416">
        <v>350</v>
      </c>
      <c r="H28" s="1151"/>
      <c r="I28" s="379"/>
      <c r="K28" s="327"/>
      <c r="L28" s="328"/>
      <c r="M28" s="328"/>
      <c r="N28" s="326"/>
      <c r="O28" s="327"/>
      <c r="P28" s="328"/>
      <c r="Q28" s="328"/>
      <c r="R28" s="326"/>
      <c r="S28" s="327"/>
      <c r="T28" s="328"/>
      <c r="U28" s="165"/>
      <c r="V28" s="330"/>
      <c r="W28" s="455">
        <f>50*1.75</f>
        <v>87.5</v>
      </c>
      <c r="X28" s="328"/>
      <c r="Y28" s="328"/>
      <c r="Z28" s="326"/>
      <c r="AA28" s="327"/>
      <c r="AB28" s="2"/>
      <c r="AC28" s="330"/>
      <c r="AD28" s="455">
        <f>150*1.75</f>
        <v>262.5</v>
      </c>
      <c r="AE28" s="732"/>
      <c r="AF28" s="732"/>
      <c r="AG28" s="732"/>
      <c r="AH28" s="732"/>
      <c r="AI28" s="359">
        <f t="shared" si="0"/>
        <v>350</v>
      </c>
      <c r="AJ28" s="315">
        <f t="shared" si="1"/>
        <v>0</v>
      </c>
      <c r="AK28" s="315"/>
      <c r="AL28" s="315"/>
      <c r="AM28" s="315"/>
    </row>
    <row r="29" spans="2:39" ht="13.5" thickBot="1" x14ac:dyDescent="0.25">
      <c r="B29" s="1120" t="s">
        <v>91</v>
      </c>
      <c r="C29" s="1120"/>
      <c r="D29" s="1121"/>
      <c r="E29" s="487">
        <v>0</v>
      </c>
      <c r="F29" s="488">
        <v>350</v>
      </c>
      <c r="G29" s="489">
        <v>350</v>
      </c>
      <c r="H29" s="1152"/>
      <c r="I29" s="379"/>
      <c r="K29" s="327"/>
      <c r="L29" s="328"/>
      <c r="M29" s="328"/>
      <c r="N29" s="326"/>
      <c r="O29" s="327"/>
      <c r="P29" s="328"/>
      <c r="Q29" s="328"/>
      <c r="R29" s="326"/>
      <c r="S29" s="327"/>
      <c r="T29" s="328"/>
      <c r="U29" s="328"/>
      <c r="V29" s="326"/>
      <c r="W29" s="327"/>
      <c r="X29" s="328"/>
      <c r="Y29" s="328"/>
      <c r="Z29" s="326"/>
      <c r="AA29" s="327"/>
      <c r="AB29" s="328"/>
      <c r="AC29" s="328"/>
      <c r="AD29" s="326"/>
      <c r="AE29" s="732"/>
      <c r="AF29" s="732"/>
      <c r="AG29" s="732"/>
      <c r="AH29" s="732"/>
      <c r="AI29" s="359">
        <f t="shared" si="0"/>
        <v>0</v>
      </c>
      <c r="AJ29" s="315">
        <f t="shared" si="1"/>
        <v>-350</v>
      </c>
      <c r="AK29" s="315"/>
      <c r="AL29" s="315"/>
      <c r="AM29" s="315"/>
    </row>
    <row r="30" spans="2:39" ht="13.5" thickBot="1" x14ac:dyDescent="0.25">
      <c r="B30" s="754" t="s">
        <v>172</v>
      </c>
      <c r="C30" s="755"/>
      <c r="D30" s="755"/>
      <c r="E30" s="755"/>
      <c r="F30" s="755"/>
      <c r="G30" s="755"/>
      <c r="H30" s="755"/>
      <c r="I30" s="755"/>
      <c r="J30" s="755"/>
      <c r="K30" s="1162">
        <f>SUM(K31:N37)</f>
        <v>130</v>
      </c>
      <c r="L30" s="1163"/>
      <c r="M30" s="1163"/>
      <c r="N30" s="1163"/>
      <c r="O30" s="1162">
        <f>SUM(O31:R37)</f>
        <v>2000</v>
      </c>
      <c r="P30" s="1163"/>
      <c r="Q30" s="1163"/>
      <c r="R30" s="1163"/>
      <c r="S30" s="1162">
        <f>SUM(S31:V37)</f>
        <v>5000</v>
      </c>
      <c r="T30" s="1163"/>
      <c r="U30" s="1163"/>
      <c r="V30" s="1163"/>
      <c r="W30" s="1162">
        <f>SUM(W31:Z37)</f>
        <v>2000</v>
      </c>
      <c r="X30" s="1163"/>
      <c r="Y30" s="1163"/>
      <c r="Z30" s="1163"/>
      <c r="AA30" s="1162">
        <f>SUM(AA31:AD37)</f>
        <v>0</v>
      </c>
      <c r="AB30" s="1163"/>
      <c r="AC30" s="1163"/>
      <c r="AD30" s="1163"/>
      <c r="AE30" s="1162">
        <f>SUM(AE31:AH37)</f>
        <v>0</v>
      </c>
      <c r="AF30" s="1163"/>
      <c r="AG30" s="1163"/>
      <c r="AH30" s="1163"/>
      <c r="AI30" s="359">
        <f t="shared" si="0"/>
        <v>9130</v>
      </c>
      <c r="AJ30" s="315">
        <f t="shared" si="1"/>
        <v>9130</v>
      </c>
      <c r="AK30" s="315"/>
      <c r="AL30" s="315"/>
      <c r="AM30" s="315"/>
    </row>
    <row r="31" spans="2:39" ht="13.5" thickBot="1" x14ac:dyDescent="0.25">
      <c r="B31" s="722" t="s">
        <v>173</v>
      </c>
      <c r="C31" s="584"/>
      <c r="D31" s="583"/>
      <c r="E31" s="607"/>
      <c r="F31" s="607">
        <v>130</v>
      </c>
      <c r="G31" s="607">
        <v>130</v>
      </c>
      <c r="H31" s="608"/>
      <c r="I31" s="585"/>
      <c r="J31" s="586"/>
      <c r="L31" s="2"/>
      <c r="M31" s="609">
        <f>G31</f>
        <v>130</v>
      </c>
      <c r="N31" s="609">
        <v>0</v>
      </c>
      <c r="O31" s="609">
        <f t="shared" ref="O31:Z31" si="3">I31</f>
        <v>0</v>
      </c>
      <c r="P31" s="609">
        <f t="shared" si="3"/>
        <v>0</v>
      </c>
      <c r="Q31" s="609">
        <f t="shared" si="3"/>
        <v>0</v>
      </c>
      <c r="R31" s="609">
        <f t="shared" si="3"/>
        <v>0</v>
      </c>
      <c r="S31" s="609"/>
      <c r="T31" s="609">
        <f t="shared" si="3"/>
        <v>0</v>
      </c>
      <c r="U31" s="609">
        <f t="shared" si="3"/>
        <v>0</v>
      </c>
      <c r="V31" s="609">
        <f t="shared" si="3"/>
        <v>0</v>
      </c>
      <c r="W31" s="609">
        <f t="shared" si="3"/>
        <v>0</v>
      </c>
      <c r="X31" s="609">
        <f t="shared" si="3"/>
        <v>0</v>
      </c>
      <c r="Y31" s="609">
        <f t="shared" si="3"/>
        <v>0</v>
      </c>
      <c r="Z31" s="609">
        <f t="shared" si="3"/>
        <v>0</v>
      </c>
      <c r="AA31" s="609">
        <f>U31</f>
        <v>0</v>
      </c>
      <c r="AB31" s="609">
        <f>V31</f>
        <v>0</v>
      </c>
      <c r="AC31" s="328"/>
      <c r="AD31" s="326"/>
      <c r="AE31" s="609"/>
      <c r="AF31" s="609"/>
      <c r="AG31" s="609"/>
      <c r="AH31" s="609"/>
      <c r="AI31" s="359">
        <f t="shared" si="0"/>
        <v>130</v>
      </c>
      <c r="AJ31" s="315">
        <f t="shared" si="1"/>
        <v>0</v>
      </c>
      <c r="AK31" s="315"/>
      <c r="AL31" s="315"/>
      <c r="AM31" s="315"/>
    </row>
    <row r="32" spans="2:39" s="6" customFormat="1" ht="13.5" thickBot="1" x14ac:dyDescent="0.25">
      <c r="B32" s="750" t="s">
        <v>205</v>
      </c>
      <c r="C32" s="751"/>
      <c r="D32" s="751"/>
      <c r="E32" s="751"/>
      <c r="F32" s="751"/>
      <c r="G32" s="751"/>
      <c r="H32" s="751"/>
      <c r="I32" s="751"/>
      <c r="J32" s="751"/>
      <c r="K32" s="1162">
        <f>SUM(K33:N37)</f>
        <v>0</v>
      </c>
      <c r="L32" s="1163"/>
      <c r="M32" s="1163"/>
      <c r="N32" s="1163"/>
      <c r="O32" s="1162">
        <f>SUM(O33:R37)</f>
        <v>1000</v>
      </c>
      <c r="P32" s="1163"/>
      <c r="Q32" s="1163"/>
      <c r="R32" s="1163"/>
      <c r="S32" s="1162">
        <f>SUM(S33:V37)</f>
        <v>2500</v>
      </c>
      <c r="T32" s="1163"/>
      <c r="U32" s="1163"/>
      <c r="V32" s="1163"/>
      <c r="W32" s="1162">
        <f>SUM(W33:Z37)</f>
        <v>1000</v>
      </c>
      <c r="X32" s="1163"/>
      <c r="Y32" s="1163"/>
      <c r="Z32" s="1163"/>
      <c r="AA32" s="1162">
        <f>SUM(AA33:AD37)</f>
        <v>0</v>
      </c>
      <c r="AB32" s="1163"/>
      <c r="AC32" s="1163"/>
      <c r="AD32" s="1163"/>
      <c r="AE32" s="1162">
        <f>SUM(AE33:AH37)</f>
        <v>0</v>
      </c>
      <c r="AF32" s="1163"/>
      <c r="AG32" s="1163"/>
      <c r="AH32" s="1163"/>
      <c r="AI32" s="359">
        <f t="shared" ref="AI32:AI37" si="4">SUM(K32:AH32)</f>
        <v>4500</v>
      </c>
      <c r="AJ32" s="315">
        <f t="shared" ref="AJ32:AJ37" si="5">AI32-G32</f>
        <v>4500</v>
      </c>
      <c r="AK32" s="315"/>
      <c r="AL32" s="315"/>
      <c r="AM32" s="315"/>
    </row>
    <row r="33" spans="2:39" s="6" customFormat="1" ht="13.5" customHeight="1" thickBot="1" x14ac:dyDescent="0.25">
      <c r="B33" s="1168" t="s">
        <v>88</v>
      </c>
      <c r="C33" s="1169"/>
      <c r="D33" s="1169"/>
      <c r="E33" s="369">
        <v>0</v>
      </c>
      <c r="F33" s="371"/>
      <c r="G33" s="373">
        <v>0</v>
      </c>
      <c r="H33" s="1150" t="s">
        <v>109</v>
      </c>
      <c r="I33" s="379"/>
      <c r="J33" s="299"/>
      <c r="L33" s="593"/>
      <c r="M33" s="575"/>
      <c r="N33" s="566"/>
      <c r="O33" s="596"/>
      <c r="P33" s="597"/>
      <c r="Q33" s="594"/>
      <c r="R33" s="595"/>
      <c r="T33" s="566"/>
      <c r="U33" s="596"/>
      <c r="V33" s="597"/>
      <c r="Y33" s="596"/>
      <c r="Z33" s="597"/>
      <c r="AA33" s="598"/>
      <c r="AB33" s="561"/>
      <c r="AC33" s="599"/>
      <c r="AD33" s="600"/>
      <c r="AE33" s="728"/>
      <c r="AF33" s="728"/>
      <c r="AG33" s="728"/>
      <c r="AH33" s="728"/>
      <c r="AI33" s="359">
        <f t="shared" si="4"/>
        <v>0</v>
      </c>
      <c r="AJ33" s="315">
        <f t="shared" si="5"/>
        <v>0</v>
      </c>
      <c r="AK33" s="315"/>
      <c r="AL33" s="315"/>
      <c r="AM33" s="315"/>
    </row>
    <row r="34" spans="2:39" s="6" customFormat="1" ht="13.5" thickBot="1" x14ac:dyDescent="0.25">
      <c r="B34" s="1168" t="s">
        <v>89</v>
      </c>
      <c r="C34" s="1169"/>
      <c r="D34" s="1169"/>
      <c r="E34" s="369">
        <v>0</v>
      </c>
      <c r="F34" s="371"/>
      <c r="G34" s="373">
        <v>0</v>
      </c>
      <c r="H34" s="1151"/>
      <c r="I34" s="379"/>
      <c r="J34" s="299"/>
      <c r="L34" s="580"/>
      <c r="M34" s="451"/>
      <c r="N34" s="432"/>
      <c r="O34" s="441"/>
      <c r="P34" s="44"/>
      <c r="Q34" s="298"/>
      <c r="R34" s="326"/>
      <c r="T34" s="432"/>
      <c r="U34" s="441"/>
      <c r="V34" s="44"/>
      <c r="Y34" s="441"/>
      <c r="Z34" s="44"/>
      <c r="AA34" s="329"/>
      <c r="AB34" s="328"/>
      <c r="AC34" s="322"/>
      <c r="AD34" s="330"/>
      <c r="AE34" s="729"/>
      <c r="AF34" s="729"/>
      <c r="AG34" s="729"/>
      <c r="AH34" s="729"/>
      <c r="AI34" s="359">
        <f t="shared" si="4"/>
        <v>0</v>
      </c>
      <c r="AJ34" s="315">
        <f t="shared" si="5"/>
        <v>0</v>
      </c>
      <c r="AK34" s="315"/>
      <c r="AL34" s="315"/>
      <c r="AM34" s="315"/>
    </row>
    <row r="35" spans="2:39" s="6" customFormat="1" ht="13.5" thickBot="1" x14ac:dyDescent="0.25">
      <c r="B35" s="1168" t="s">
        <v>90</v>
      </c>
      <c r="C35" s="1169"/>
      <c r="D35" s="1169"/>
      <c r="E35" s="369">
        <v>0</v>
      </c>
      <c r="F35" s="371"/>
      <c r="G35" s="373">
        <v>0</v>
      </c>
      <c r="H35" s="1151"/>
      <c r="I35" s="379"/>
      <c r="J35" s="299"/>
      <c r="K35" s="321"/>
      <c r="L35" s="328"/>
      <c r="M35" s="328"/>
      <c r="N35" s="321"/>
      <c r="O35" s="323"/>
      <c r="P35" s="325"/>
      <c r="Q35" s="469"/>
      <c r="R35" s="326"/>
      <c r="T35" s="321"/>
      <c r="U35" s="323"/>
      <c r="V35" s="325"/>
      <c r="Y35" s="323"/>
      <c r="Z35" s="325"/>
      <c r="AA35" s="329"/>
      <c r="AB35" s="328"/>
      <c r="AC35" s="322"/>
      <c r="AD35" s="330"/>
      <c r="AE35" s="730"/>
      <c r="AF35" s="730"/>
      <c r="AG35" s="730"/>
      <c r="AH35" s="730"/>
      <c r="AI35" s="359">
        <f t="shared" si="4"/>
        <v>0</v>
      </c>
      <c r="AJ35" s="315">
        <f t="shared" si="5"/>
        <v>0</v>
      </c>
      <c r="AK35" s="315"/>
      <c r="AL35" s="315"/>
      <c r="AM35" s="315"/>
    </row>
    <row r="36" spans="2:39" s="6" customFormat="1" ht="13.5" thickBot="1" x14ac:dyDescent="0.25">
      <c r="B36" s="1168" t="s">
        <v>98</v>
      </c>
      <c r="C36" s="1169"/>
      <c r="D36" s="1169"/>
      <c r="E36" s="369">
        <v>500</v>
      </c>
      <c r="F36" s="383">
        <v>4000</v>
      </c>
      <c r="G36" s="373">
        <v>4500</v>
      </c>
      <c r="H36" s="1151"/>
      <c r="I36" s="379"/>
      <c r="J36" s="299"/>
      <c r="K36" s="321"/>
      <c r="L36" s="328"/>
      <c r="M36" s="328"/>
      <c r="N36" s="321"/>
      <c r="O36" s="328"/>
      <c r="P36" s="456"/>
      <c r="Q36" s="452"/>
      <c r="R36" s="326"/>
      <c r="T36" s="321"/>
      <c r="U36" s="328"/>
      <c r="V36" s="456"/>
      <c r="Y36" s="328"/>
      <c r="Z36" s="456"/>
      <c r="AA36" s="329"/>
      <c r="AB36" s="328"/>
      <c r="AC36" s="322"/>
      <c r="AD36" s="330"/>
      <c r="AE36" s="792"/>
      <c r="AF36" s="792"/>
      <c r="AG36" s="792"/>
      <c r="AH36" s="792"/>
      <c r="AI36" s="359">
        <f t="shared" si="4"/>
        <v>0</v>
      </c>
      <c r="AJ36" s="315">
        <f t="shared" si="5"/>
        <v>-4500</v>
      </c>
      <c r="AK36" s="315"/>
      <c r="AL36" s="315"/>
      <c r="AM36" s="315"/>
    </row>
    <row r="37" spans="2:39" s="6" customFormat="1" ht="13.5" thickBot="1" x14ac:dyDescent="0.25">
      <c r="B37" s="1168" t="s">
        <v>91</v>
      </c>
      <c r="C37" s="1169"/>
      <c r="D37" s="1169"/>
      <c r="E37" s="384">
        <v>500</v>
      </c>
      <c r="F37" s="382">
        <v>4000</v>
      </c>
      <c r="G37" s="377">
        <v>4500</v>
      </c>
      <c r="H37" s="1152"/>
      <c r="I37" s="379"/>
      <c r="J37" s="299"/>
      <c r="K37" s="474"/>
      <c r="L37" s="385"/>
      <c r="M37" s="486"/>
      <c r="N37" s="601"/>
      <c r="O37" s="474"/>
      <c r="P37" s="602">
        <v>1000</v>
      </c>
      <c r="R37" s="475"/>
      <c r="S37" s="562"/>
      <c r="T37" s="602"/>
      <c r="U37" s="486"/>
      <c r="V37" s="603">
        <v>2500</v>
      </c>
      <c r="X37" s="486"/>
      <c r="Y37" s="486"/>
      <c r="Z37" s="603">
        <v>1000</v>
      </c>
      <c r="AB37" s="486"/>
      <c r="AC37" s="385"/>
      <c r="AD37" s="477"/>
      <c r="AE37" s="731"/>
      <c r="AF37" s="731"/>
      <c r="AG37" s="731"/>
      <c r="AH37" s="731"/>
      <c r="AI37" s="359">
        <f t="shared" si="4"/>
        <v>4500</v>
      </c>
      <c r="AJ37" s="315">
        <f t="shared" si="5"/>
        <v>0</v>
      </c>
      <c r="AK37" s="315"/>
      <c r="AL37" s="315"/>
      <c r="AM37" s="315"/>
    </row>
    <row r="38" spans="2:39" s="6" customFormat="1" ht="27.75" customHeight="1" thickBot="1" x14ac:dyDescent="0.25">
      <c r="B38" s="1174" t="s">
        <v>15</v>
      </c>
      <c r="C38" s="1175"/>
      <c r="D38" s="1176"/>
      <c r="E38" s="714">
        <f>E39+E53+E108+E115+E129</f>
        <v>57108.715479999999</v>
      </c>
      <c r="F38" s="714">
        <f>F39+F53+F108+F115+F129</f>
        <v>73917</v>
      </c>
      <c r="G38" s="714">
        <f>G39+G53+G108+G115+G129</f>
        <v>131025.67472000001</v>
      </c>
      <c r="H38" s="714">
        <f>H39+H53+H108+H115+H129</f>
        <v>0</v>
      </c>
      <c r="I38" s="610"/>
      <c r="J38" s="610"/>
      <c r="K38" s="1261">
        <f t="shared" ref="K38:AD38" si="6">K39+K53+K108+K115+K129</f>
        <v>24012</v>
      </c>
      <c r="L38" s="1262">
        <f t="shared" si="6"/>
        <v>0</v>
      </c>
      <c r="M38" s="1262">
        <f t="shared" si="6"/>
        <v>0</v>
      </c>
      <c r="N38" s="1263">
        <f t="shared" si="6"/>
        <v>0</v>
      </c>
      <c r="O38" s="1261">
        <f t="shared" si="6"/>
        <v>20132</v>
      </c>
      <c r="P38" s="1262">
        <f t="shared" si="6"/>
        <v>0</v>
      </c>
      <c r="Q38" s="1262">
        <f t="shared" si="6"/>
        <v>0</v>
      </c>
      <c r="R38" s="1263">
        <f t="shared" si="6"/>
        <v>3298.5</v>
      </c>
      <c r="S38" s="1261">
        <f t="shared" si="6"/>
        <v>5598.5</v>
      </c>
      <c r="T38" s="1262">
        <f t="shared" si="6"/>
        <v>3298.5</v>
      </c>
      <c r="U38" s="1262">
        <f t="shared" si="6"/>
        <v>3298.5</v>
      </c>
      <c r="V38" s="1263">
        <f t="shared" si="6"/>
        <v>3298.5</v>
      </c>
      <c r="W38" s="1261">
        <f t="shared" si="6"/>
        <v>24298.5</v>
      </c>
      <c r="X38" s="1262">
        <f t="shared" si="6"/>
        <v>3298.5</v>
      </c>
      <c r="Y38" s="1262">
        <f t="shared" si="6"/>
        <v>3298.5</v>
      </c>
      <c r="Z38" s="1263">
        <f t="shared" si="6"/>
        <v>3298.5</v>
      </c>
      <c r="AA38" s="1261">
        <f t="shared" si="6"/>
        <v>27298.5</v>
      </c>
      <c r="AB38" s="1262">
        <f t="shared" si="6"/>
        <v>3298.5</v>
      </c>
      <c r="AC38" s="1262">
        <f t="shared" si="6"/>
        <v>3298.5</v>
      </c>
      <c r="AD38" s="1263">
        <f t="shared" si="6"/>
        <v>0</v>
      </c>
      <c r="AE38" s="736"/>
      <c r="AF38" s="736"/>
      <c r="AG38" s="736"/>
      <c r="AH38" s="736"/>
      <c r="AI38" s="359">
        <f t="shared" si="0"/>
        <v>131026</v>
      </c>
      <c r="AJ38" s="315">
        <f t="shared" si="1"/>
        <v>0.32527999999001622</v>
      </c>
      <c r="AK38" s="315"/>
      <c r="AL38" s="315"/>
      <c r="AM38" s="315"/>
    </row>
    <row r="39" spans="2:39" s="6" customFormat="1" ht="18" customHeight="1" x14ac:dyDescent="0.2">
      <c r="B39" s="715" t="s">
        <v>177</v>
      </c>
      <c r="C39" s="630" t="s">
        <v>7</v>
      </c>
      <c r="D39" s="716"/>
      <c r="E39" s="717">
        <f>E45+E52+E51</f>
        <v>7972</v>
      </c>
      <c r="F39" s="717">
        <v>19300</v>
      </c>
      <c r="G39" s="717">
        <f>G45+G52+G51</f>
        <v>27271.95924</v>
      </c>
      <c r="H39" s="718">
        <f>SUM(H41:H129)</f>
        <v>0</v>
      </c>
      <c r="I39" s="716"/>
      <c r="J39" s="716"/>
      <c r="K39" s="1258">
        <f>K40+K46</f>
        <v>8972</v>
      </c>
      <c r="L39" s="1259"/>
      <c r="M39" s="1259"/>
      <c r="N39" s="1260"/>
      <c r="O39" s="1258">
        <f>O40+O46</f>
        <v>16000</v>
      </c>
      <c r="P39" s="1259"/>
      <c r="Q39" s="1259"/>
      <c r="R39" s="1260"/>
      <c r="S39" s="1258">
        <f>S40+S46</f>
        <v>2300</v>
      </c>
      <c r="T39" s="1259"/>
      <c r="U39" s="1259"/>
      <c r="V39" s="1260"/>
      <c r="W39" s="1258">
        <f>W40+W46</f>
        <v>0</v>
      </c>
      <c r="X39" s="1259"/>
      <c r="Y39" s="1259"/>
      <c r="Z39" s="1260"/>
      <c r="AA39" s="1258">
        <f>AA40+AA46</f>
        <v>0</v>
      </c>
      <c r="AB39" s="1259"/>
      <c r="AC39" s="1259"/>
      <c r="AD39" s="1260"/>
      <c r="AE39" s="1258">
        <f>AE40+AE46</f>
        <v>0</v>
      </c>
      <c r="AF39" s="1259"/>
      <c r="AG39" s="1259"/>
      <c r="AH39" s="1260"/>
      <c r="AI39" s="717">
        <f>AI46+AI40</f>
        <v>27272</v>
      </c>
      <c r="AJ39" s="315">
        <f t="shared" si="1"/>
        <v>4.0759999999863794E-2</v>
      </c>
      <c r="AK39" s="315"/>
      <c r="AL39" s="315"/>
      <c r="AM39" s="315"/>
    </row>
    <row r="40" spans="2:39" s="6" customFormat="1" ht="19.5" customHeight="1" thickBot="1" x14ac:dyDescent="0.25">
      <c r="B40" s="756" t="s">
        <v>178</v>
      </c>
      <c r="C40" s="757"/>
      <c r="D40" s="757"/>
      <c r="E40" s="757"/>
      <c r="F40" s="757"/>
      <c r="G40" s="757"/>
      <c r="H40" s="757"/>
      <c r="I40" s="757"/>
      <c r="J40" s="757"/>
      <c r="K40" s="1162">
        <f>SUM(K41:N45)</f>
        <v>1000</v>
      </c>
      <c r="L40" s="1163"/>
      <c r="M40" s="1163"/>
      <c r="N40" s="1163"/>
      <c r="O40" s="1162">
        <f>SUM(O41:R45)</f>
        <v>16000</v>
      </c>
      <c r="P40" s="1163"/>
      <c r="Q40" s="1163"/>
      <c r="R40" s="1163"/>
      <c r="S40" s="1162">
        <f>SUM(S41:V45)</f>
        <v>2300</v>
      </c>
      <c r="T40" s="1163"/>
      <c r="U40" s="1163"/>
      <c r="V40" s="1163"/>
      <c r="W40" s="1162">
        <f>SUM(W41:Z45)</f>
        <v>0</v>
      </c>
      <c r="X40" s="1163"/>
      <c r="Y40" s="1163"/>
      <c r="Z40" s="1163"/>
      <c r="AA40" s="1162">
        <f>SUM(AA41:AD45)</f>
        <v>0</v>
      </c>
      <c r="AB40" s="1163"/>
      <c r="AC40" s="1163"/>
      <c r="AD40" s="1163"/>
      <c r="AE40" s="1162">
        <f>SUM(AE41:AH45)</f>
        <v>0</v>
      </c>
      <c r="AF40" s="1163"/>
      <c r="AG40" s="1163"/>
      <c r="AH40" s="1163"/>
      <c r="AI40" s="359">
        <f t="shared" si="0"/>
        <v>19300</v>
      </c>
      <c r="AJ40" s="315">
        <f t="shared" si="1"/>
        <v>19300</v>
      </c>
      <c r="AK40" s="315"/>
      <c r="AL40" s="315"/>
      <c r="AM40" s="315"/>
    </row>
    <row r="41" spans="2:39" s="8" customFormat="1" ht="15" customHeight="1" thickBot="1" x14ac:dyDescent="0.25">
      <c r="B41" s="1122" t="s">
        <v>93</v>
      </c>
      <c r="C41" s="1122"/>
      <c r="D41" s="1122"/>
      <c r="E41" s="384">
        <v>0</v>
      </c>
      <c r="F41" s="387"/>
      <c r="G41" s="377">
        <v>0</v>
      </c>
      <c r="H41" s="1150" t="s">
        <v>97</v>
      </c>
      <c r="I41" s="378"/>
      <c r="J41" s="448"/>
      <c r="K41" s="431"/>
      <c r="L41" s="426"/>
      <c r="M41" s="340"/>
      <c r="N41" s="445"/>
      <c r="O41" s="457"/>
      <c r="P41" s="340"/>
      <c r="Q41" s="340"/>
      <c r="R41" s="445"/>
      <c r="S41" s="327"/>
      <c r="T41" s="341"/>
      <c r="U41" s="341"/>
      <c r="V41" s="342"/>
      <c r="W41" s="450"/>
      <c r="X41" s="341"/>
      <c r="Y41" s="341"/>
      <c r="Z41" s="342"/>
      <c r="AA41" s="339"/>
      <c r="AB41" s="341"/>
      <c r="AC41" s="341"/>
      <c r="AD41" s="342"/>
      <c r="AE41" s="738"/>
      <c r="AF41" s="738"/>
      <c r="AG41" s="738"/>
      <c r="AH41" s="738"/>
      <c r="AI41" s="359">
        <f t="shared" si="0"/>
        <v>0</v>
      </c>
      <c r="AJ41" s="315">
        <f t="shared" si="1"/>
        <v>0</v>
      </c>
      <c r="AK41" s="315"/>
      <c r="AL41" s="315"/>
      <c r="AM41" s="315"/>
    </row>
    <row r="42" spans="2:39" ht="12.75" customHeight="1" thickBot="1" x14ac:dyDescent="0.25">
      <c r="B42" s="1122" t="s">
        <v>94</v>
      </c>
      <c r="C42" s="1123"/>
      <c r="D42" s="1124"/>
      <c r="E42" s="369">
        <v>0</v>
      </c>
      <c r="F42" s="371"/>
      <c r="G42" s="373">
        <v>0</v>
      </c>
      <c r="H42" s="1151"/>
      <c r="I42" s="379"/>
      <c r="K42" s="447"/>
      <c r="L42" s="428"/>
      <c r="M42" s="429"/>
      <c r="N42" s="326"/>
      <c r="O42" s="327"/>
      <c r="P42" s="328"/>
      <c r="Q42" s="328"/>
      <c r="R42" s="326"/>
      <c r="S42" s="327"/>
      <c r="T42" s="328"/>
      <c r="U42" s="328"/>
      <c r="V42" s="326"/>
      <c r="W42" s="336"/>
      <c r="X42" s="328"/>
      <c r="Y42" s="328"/>
      <c r="Z42" s="326"/>
      <c r="AA42" s="327"/>
      <c r="AB42" s="328"/>
      <c r="AC42" s="328"/>
      <c r="AD42" s="326"/>
      <c r="AE42" s="732"/>
      <c r="AF42" s="732"/>
      <c r="AG42" s="732"/>
      <c r="AH42" s="732"/>
      <c r="AI42" s="359">
        <f t="shared" si="0"/>
        <v>0</v>
      </c>
      <c r="AJ42" s="315">
        <f t="shared" si="1"/>
        <v>0</v>
      </c>
      <c r="AK42" s="315"/>
      <c r="AL42" s="315"/>
      <c r="AM42" s="315"/>
    </row>
    <row r="43" spans="2:39" ht="12.75" customHeight="1" thickBot="1" x14ac:dyDescent="0.25">
      <c r="B43" s="1122" t="s">
        <v>95</v>
      </c>
      <c r="C43" s="1123"/>
      <c r="D43" s="1124"/>
      <c r="E43" s="369">
        <v>0</v>
      </c>
      <c r="F43" s="371"/>
      <c r="G43" s="373">
        <v>0</v>
      </c>
      <c r="H43" s="1151"/>
      <c r="I43" s="379"/>
      <c r="K43" s="327"/>
      <c r="M43" s="343" t="s">
        <v>169</v>
      </c>
      <c r="N43" s="2"/>
      <c r="O43" s="326"/>
      <c r="P43" s="327"/>
      <c r="Q43" s="328"/>
      <c r="R43" s="326"/>
      <c r="S43" s="327"/>
      <c r="T43" s="328"/>
      <c r="U43" s="328"/>
      <c r="V43" s="326"/>
      <c r="W43" s="336"/>
      <c r="X43" s="328"/>
      <c r="Y43" s="328"/>
      <c r="Z43" s="326"/>
      <c r="AA43" s="327"/>
      <c r="AB43" s="328"/>
      <c r="AC43" s="328"/>
      <c r="AD43" s="326"/>
      <c r="AE43" s="732"/>
      <c r="AF43" s="732"/>
      <c r="AG43" s="732"/>
      <c r="AH43" s="732"/>
      <c r="AI43" s="359">
        <f t="shared" si="0"/>
        <v>0</v>
      </c>
      <c r="AJ43" s="315">
        <f t="shared" si="1"/>
        <v>0</v>
      </c>
      <c r="AK43" s="315"/>
      <c r="AL43" s="315"/>
      <c r="AM43" s="315"/>
    </row>
    <row r="44" spans="2:39" ht="12.75" customHeight="1" thickBot="1" x14ac:dyDescent="0.25">
      <c r="B44" s="1122" t="s">
        <v>96</v>
      </c>
      <c r="C44" s="1123"/>
      <c r="D44" s="1124"/>
      <c r="E44" s="388"/>
      <c r="F44" s="721">
        <v>19300</v>
      </c>
      <c r="G44" s="373">
        <v>19300</v>
      </c>
      <c r="H44" s="1151"/>
      <c r="I44" s="380"/>
      <c r="J44" s="303"/>
      <c r="K44" s="327"/>
      <c r="N44" s="453">
        <v>1000</v>
      </c>
      <c r="O44" s="455">
        <v>4000</v>
      </c>
      <c r="P44" s="456">
        <v>4000</v>
      </c>
      <c r="Q44" s="456">
        <v>4000</v>
      </c>
      <c r="R44" s="453">
        <v>4000</v>
      </c>
      <c r="S44" s="456">
        <v>2300</v>
      </c>
      <c r="T44" s="328"/>
      <c r="U44" s="328"/>
      <c r="V44" s="326"/>
      <c r="W44" s="336"/>
      <c r="X44" s="328"/>
      <c r="Y44" s="328"/>
      <c r="Z44" s="326"/>
      <c r="AA44" s="327"/>
      <c r="AB44" s="328"/>
      <c r="AC44" s="328"/>
      <c r="AD44" s="326"/>
      <c r="AE44" s="732"/>
      <c r="AF44" s="732"/>
      <c r="AG44" s="732"/>
      <c r="AH44" s="732"/>
      <c r="AI44" s="359">
        <f t="shared" si="0"/>
        <v>19300</v>
      </c>
      <c r="AJ44" s="315">
        <f t="shared" si="1"/>
        <v>0</v>
      </c>
      <c r="AK44" s="315"/>
      <c r="AL44" s="315"/>
      <c r="AM44" s="315"/>
    </row>
    <row r="45" spans="2:39" ht="12.75" customHeight="1" thickBot="1" x14ac:dyDescent="0.25">
      <c r="B45" s="1120" t="s">
        <v>91</v>
      </c>
      <c r="C45" s="1120"/>
      <c r="D45" s="1121"/>
      <c r="E45" s="396"/>
      <c r="F45" s="397">
        <v>19300</v>
      </c>
      <c r="G45" s="395">
        <v>19300</v>
      </c>
      <c r="H45" s="1152"/>
      <c r="I45" s="302"/>
      <c r="J45" s="302"/>
      <c r="K45" s="327"/>
      <c r="L45" s="328"/>
      <c r="M45" s="328"/>
      <c r="N45" s="326"/>
      <c r="O45" s="327"/>
      <c r="P45" s="328"/>
      <c r="Q45" s="328"/>
      <c r="R45" s="326"/>
      <c r="S45" s="327"/>
      <c r="T45" s="328"/>
      <c r="U45" s="328"/>
      <c r="V45" s="326"/>
      <c r="W45" s="336"/>
      <c r="X45" s="328"/>
      <c r="Y45" s="328"/>
      <c r="Z45" s="326"/>
      <c r="AA45" s="327"/>
      <c r="AB45" s="328"/>
      <c r="AC45" s="328"/>
      <c r="AD45" s="326"/>
      <c r="AE45" s="732"/>
      <c r="AF45" s="732"/>
      <c r="AG45" s="732"/>
      <c r="AH45" s="732"/>
      <c r="AI45" s="359">
        <f t="shared" si="0"/>
        <v>0</v>
      </c>
      <c r="AJ45" s="315">
        <f t="shared" si="1"/>
        <v>-19300</v>
      </c>
      <c r="AK45" s="315"/>
      <c r="AL45" s="315"/>
      <c r="AM45" s="315"/>
    </row>
    <row r="46" spans="2:39" ht="12.75" customHeight="1" thickBot="1" x14ac:dyDescent="0.25">
      <c r="B46" s="1264" t="s">
        <v>179</v>
      </c>
      <c r="C46" s="1264"/>
      <c r="D46" s="1264"/>
      <c r="E46" s="758"/>
      <c r="F46" s="758"/>
      <c r="G46" s="758"/>
      <c r="H46" s="758"/>
      <c r="I46" s="758"/>
      <c r="J46" s="758"/>
      <c r="K46" s="1162">
        <f>SUM(K47:N51)</f>
        <v>7972</v>
      </c>
      <c r="L46" s="1163"/>
      <c r="M46" s="1163"/>
      <c r="N46" s="1163"/>
      <c r="O46" s="1162">
        <f>SUM(O47:R51)</f>
        <v>0</v>
      </c>
      <c r="P46" s="1163"/>
      <c r="Q46" s="1163"/>
      <c r="R46" s="1163"/>
      <c r="S46" s="1162">
        <f>SUM(S47:V51)</f>
        <v>0</v>
      </c>
      <c r="T46" s="1163"/>
      <c r="U46" s="1163"/>
      <c r="V46" s="1163"/>
      <c r="W46" s="1162">
        <f>SUM(W47:Z51)</f>
        <v>0</v>
      </c>
      <c r="X46" s="1163"/>
      <c r="Y46" s="1163"/>
      <c r="Z46" s="1163"/>
      <c r="AA46" s="1162">
        <f>SUM(AA47:AD51)</f>
        <v>0</v>
      </c>
      <c r="AB46" s="1163"/>
      <c r="AC46" s="1163"/>
      <c r="AD46" s="1163"/>
      <c r="AE46" s="1162">
        <f>SUM(AE47:AH51)</f>
        <v>0</v>
      </c>
      <c r="AF46" s="1163"/>
      <c r="AG46" s="1163"/>
      <c r="AH46" s="1163"/>
      <c r="AI46" s="359">
        <f t="shared" si="0"/>
        <v>7972</v>
      </c>
      <c r="AJ46" s="315">
        <f t="shared" si="1"/>
        <v>7972</v>
      </c>
      <c r="AK46" s="315"/>
      <c r="AL46" s="315"/>
      <c r="AM46" s="315"/>
    </row>
    <row r="47" spans="2:39" s="8" customFormat="1" ht="15" customHeight="1" thickBot="1" x14ac:dyDescent="0.25">
      <c r="B47" s="1122" t="s">
        <v>93</v>
      </c>
      <c r="C47" s="1122"/>
      <c r="D47" s="1122"/>
      <c r="E47" s="375">
        <v>0</v>
      </c>
      <c r="F47" s="376"/>
      <c r="G47" s="418">
        <v>0</v>
      </c>
      <c r="H47" s="1150" t="s">
        <v>97</v>
      </c>
      <c r="I47" s="378"/>
      <c r="J47" s="448"/>
      <c r="K47" s="457"/>
      <c r="L47" s="340"/>
      <c r="M47" s="340"/>
      <c r="N47" s="445"/>
      <c r="O47" s="327"/>
      <c r="P47" s="341"/>
      <c r="Q47" s="341"/>
      <c r="R47" s="342"/>
      <c r="S47" s="339"/>
      <c r="T47" s="341"/>
      <c r="U47" s="341"/>
      <c r="V47" s="342"/>
      <c r="W47" s="450"/>
      <c r="X47" s="341"/>
      <c r="Y47" s="341"/>
      <c r="Z47" s="342"/>
      <c r="AA47" s="339"/>
      <c r="AB47" s="341"/>
      <c r="AC47" s="341"/>
      <c r="AD47" s="342"/>
      <c r="AE47" s="738"/>
      <c r="AF47" s="738"/>
      <c r="AG47" s="738"/>
      <c r="AH47" s="738"/>
      <c r="AI47" s="359">
        <f t="shared" si="0"/>
        <v>0</v>
      </c>
      <c r="AJ47" s="315">
        <f t="shared" si="1"/>
        <v>0</v>
      </c>
      <c r="AK47" s="315"/>
      <c r="AL47" s="315"/>
      <c r="AM47" s="315"/>
    </row>
    <row r="48" spans="2:39" s="8" customFormat="1" ht="15" customHeight="1" thickBot="1" x14ac:dyDescent="0.25">
      <c r="B48" s="1122" t="s">
        <v>94</v>
      </c>
      <c r="C48" s="1123"/>
      <c r="D48" s="1124"/>
      <c r="E48" s="388">
        <v>0</v>
      </c>
      <c r="F48" s="389"/>
      <c r="G48" s="390">
        <v>0</v>
      </c>
      <c r="H48" s="1151"/>
      <c r="I48" s="393"/>
      <c r="J48" s="449"/>
      <c r="K48" s="327"/>
      <c r="L48" s="328"/>
      <c r="M48" s="328"/>
      <c r="N48" s="342"/>
      <c r="O48" s="327"/>
      <c r="P48" s="341"/>
      <c r="Q48" s="341"/>
      <c r="R48" s="342"/>
      <c r="S48" s="339"/>
      <c r="T48" s="341"/>
      <c r="U48" s="341"/>
      <c r="V48" s="342"/>
      <c r="W48" s="450"/>
      <c r="X48" s="341"/>
      <c r="Y48" s="341"/>
      <c r="Z48" s="342"/>
      <c r="AA48" s="339"/>
      <c r="AB48" s="341"/>
      <c r="AC48" s="341"/>
      <c r="AD48" s="342"/>
      <c r="AE48" s="738"/>
      <c r="AF48" s="738"/>
      <c r="AG48" s="738"/>
      <c r="AH48" s="738"/>
      <c r="AI48" s="359">
        <f t="shared" si="0"/>
        <v>0</v>
      </c>
      <c r="AJ48" s="315">
        <f t="shared" si="1"/>
        <v>0</v>
      </c>
      <c r="AK48" s="315"/>
      <c r="AL48" s="315"/>
      <c r="AM48" s="315"/>
    </row>
    <row r="49" spans="1:39" s="135" customFormat="1" ht="12.75" customHeight="1" thickBot="1" x14ac:dyDescent="0.25">
      <c r="B49" s="1122" t="s">
        <v>95</v>
      </c>
      <c r="C49" s="1123"/>
      <c r="D49" s="1124"/>
      <c r="E49" s="369">
        <v>0</v>
      </c>
      <c r="F49" s="371"/>
      <c r="G49" s="373">
        <v>0</v>
      </c>
      <c r="H49" s="1151"/>
      <c r="I49" s="379"/>
      <c r="J49" s="299"/>
      <c r="K49" s="327"/>
      <c r="L49" s="328"/>
      <c r="M49" s="328"/>
      <c r="N49" s="326"/>
      <c r="O49" s="327"/>
      <c r="P49" s="328"/>
      <c r="Q49" s="328"/>
      <c r="R49" s="326"/>
      <c r="S49" s="327"/>
      <c r="T49" s="328"/>
      <c r="U49" s="328"/>
      <c r="V49" s="326"/>
      <c r="W49" s="336"/>
      <c r="X49" s="328"/>
      <c r="Y49" s="328"/>
      <c r="Z49" s="326"/>
      <c r="AA49" s="327"/>
      <c r="AB49" s="328"/>
      <c r="AC49" s="328"/>
      <c r="AD49" s="326"/>
      <c r="AE49" s="732"/>
      <c r="AF49" s="732"/>
      <c r="AG49" s="732"/>
      <c r="AH49" s="732"/>
      <c r="AI49" s="359">
        <f t="shared" si="0"/>
        <v>0</v>
      </c>
      <c r="AJ49" s="315">
        <f t="shared" si="1"/>
        <v>0</v>
      </c>
      <c r="AK49" s="315"/>
      <c r="AL49" s="315"/>
      <c r="AM49" s="315"/>
    </row>
    <row r="50" spans="1:39" s="135" customFormat="1" ht="12.75" customHeight="1" thickBot="1" x14ac:dyDescent="0.25">
      <c r="B50" s="1122" t="s">
        <v>96</v>
      </c>
      <c r="C50" s="1123"/>
      <c r="D50" s="1124"/>
      <c r="E50" s="388">
        <v>7350</v>
      </c>
      <c r="F50" s="389"/>
      <c r="G50" s="390">
        <f>7349959.24/1000</f>
        <v>7349.9592400000001</v>
      </c>
      <c r="H50" s="1151"/>
      <c r="I50" s="379"/>
      <c r="J50" s="299"/>
      <c r="K50" s="455">
        <v>2000</v>
      </c>
      <c r="L50" s="456">
        <v>2000</v>
      </c>
      <c r="M50" s="456">
        <v>2000</v>
      </c>
      <c r="N50" s="453">
        <v>1350</v>
      </c>
      <c r="O50" s="327"/>
      <c r="P50" s="328"/>
      <c r="Q50" s="328"/>
      <c r="R50" s="326"/>
      <c r="S50" s="327"/>
      <c r="T50" s="328"/>
      <c r="U50" s="328"/>
      <c r="V50" s="326"/>
      <c r="W50" s="336"/>
      <c r="X50" s="328"/>
      <c r="Y50" s="328"/>
      <c r="Z50" s="326"/>
      <c r="AA50" s="327"/>
      <c r="AB50" s="328"/>
      <c r="AC50" s="328"/>
      <c r="AD50" s="326"/>
      <c r="AE50" s="732"/>
      <c r="AF50" s="732"/>
      <c r="AG50" s="732"/>
      <c r="AH50" s="732"/>
      <c r="AI50" s="359">
        <f t="shared" si="0"/>
        <v>7350</v>
      </c>
      <c r="AJ50" s="315">
        <f t="shared" si="1"/>
        <v>4.0759999999863794E-2</v>
      </c>
      <c r="AK50" s="315"/>
      <c r="AL50" s="315"/>
      <c r="AM50" s="315"/>
    </row>
    <row r="51" spans="1:39" s="135" customFormat="1" ht="12.75" customHeight="1" thickBot="1" x14ac:dyDescent="0.25">
      <c r="B51" s="1122" t="s">
        <v>175</v>
      </c>
      <c r="C51" s="1122"/>
      <c r="D51" s="1265"/>
      <c r="E51" s="388">
        <v>622</v>
      </c>
      <c r="F51" s="389"/>
      <c r="G51" s="390">
        <v>622</v>
      </c>
      <c r="H51" s="1151"/>
      <c r="I51" s="379"/>
      <c r="J51" s="299"/>
      <c r="K51" s="796">
        <v>622</v>
      </c>
      <c r="L51" s="797"/>
      <c r="M51" s="797"/>
      <c r="N51" s="798"/>
      <c r="O51" s="327"/>
      <c r="P51" s="328"/>
      <c r="Q51" s="328"/>
      <c r="R51" s="326"/>
      <c r="S51" s="327"/>
      <c r="T51" s="328"/>
      <c r="U51" s="328"/>
      <c r="V51" s="326"/>
      <c r="W51" s="336"/>
      <c r="X51" s="328"/>
      <c r="Y51" s="328"/>
      <c r="Z51" s="326"/>
      <c r="AA51" s="327"/>
      <c r="AB51" s="328"/>
      <c r="AC51" s="328"/>
      <c r="AD51" s="326"/>
      <c r="AE51" s="732"/>
      <c r="AF51" s="732"/>
      <c r="AG51" s="732"/>
      <c r="AH51" s="732"/>
      <c r="AI51" s="359">
        <f t="shared" si="0"/>
        <v>622</v>
      </c>
      <c r="AJ51" s="315">
        <f t="shared" si="1"/>
        <v>0</v>
      </c>
      <c r="AK51" s="315"/>
      <c r="AL51" s="315"/>
      <c r="AM51" s="315"/>
    </row>
    <row r="52" spans="1:39" s="135" customFormat="1" ht="12.75" customHeight="1" thickBot="1" x14ac:dyDescent="0.25">
      <c r="B52" s="1120" t="s">
        <v>91</v>
      </c>
      <c r="C52" s="1120"/>
      <c r="D52" s="1121"/>
      <c r="E52" s="396">
        <v>7350</v>
      </c>
      <c r="F52" s="397"/>
      <c r="G52" s="392">
        <f>7349959.24/1000</f>
        <v>7349.9592400000001</v>
      </c>
      <c r="H52" s="1152"/>
      <c r="I52" s="380"/>
      <c r="J52" s="303"/>
      <c r="K52" s="327"/>
      <c r="L52" s="328"/>
      <c r="M52" s="328"/>
      <c r="N52" s="326"/>
      <c r="O52" s="327"/>
      <c r="P52" s="328"/>
      <c r="Q52" s="328"/>
      <c r="R52" s="326"/>
      <c r="S52" s="327"/>
      <c r="T52" s="328"/>
      <c r="U52" s="328"/>
      <c r="V52" s="326"/>
      <c r="W52" s="336"/>
      <c r="X52" s="328"/>
      <c r="Y52" s="328"/>
      <c r="Z52" s="326"/>
      <c r="AA52" s="327"/>
      <c r="AB52" s="328"/>
      <c r="AC52" s="328"/>
      <c r="AD52" s="326"/>
      <c r="AE52" s="732"/>
      <c r="AF52" s="732"/>
      <c r="AG52" s="732"/>
      <c r="AH52" s="732"/>
      <c r="AI52" s="359">
        <f t="shared" si="0"/>
        <v>0</v>
      </c>
      <c r="AJ52" s="315">
        <f t="shared" si="1"/>
        <v>-7349.9592400000001</v>
      </c>
      <c r="AK52" s="315"/>
      <c r="AL52" s="315"/>
      <c r="AM52" s="315"/>
    </row>
    <row r="53" spans="1:39" s="616" customFormat="1" ht="13.5" thickBot="1" x14ac:dyDescent="0.25">
      <c r="A53" s="612"/>
      <c r="B53" s="759" t="s">
        <v>33</v>
      </c>
      <c r="C53" s="760"/>
      <c r="D53" s="761"/>
      <c r="E53" s="613">
        <f>E59+E65+E71+E77+E83+E89+E95+E101+E107</f>
        <v>6731.7154800000008</v>
      </c>
      <c r="F53" s="613">
        <f>F59+F65+F71+F77+F83+F89+F95+F101+F107</f>
        <v>8957</v>
      </c>
      <c r="G53" s="613">
        <f>G59+G65+G71+G77+G83+G89+G95+G101+G107</f>
        <v>15688.715480000001</v>
      </c>
      <c r="H53" s="614">
        <f>SUM(H55:H107)</f>
        <v>0</v>
      </c>
      <c r="I53" s="615"/>
      <c r="J53" s="615"/>
      <c r="K53" s="1193">
        <f>K54+K60+K66+K72+K78+K84+K90+K96+K102</f>
        <v>15040</v>
      </c>
      <c r="L53" s="1194"/>
      <c r="M53" s="1194"/>
      <c r="N53" s="1195"/>
      <c r="O53" s="1193">
        <f>O54+O60+O66+O72+O78+O84+O90+O96+O102</f>
        <v>649</v>
      </c>
      <c r="P53" s="1194"/>
      <c r="Q53" s="1194"/>
      <c r="R53" s="1195"/>
      <c r="S53" s="1193">
        <f>S54+S60+S66+S72+S78+S84+S90+S96+S102</f>
        <v>0</v>
      </c>
      <c r="T53" s="1194"/>
      <c r="U53" s="1194"/>
      <c r="V53" s="1195"/>
      <c r="W53" s="1193">
        <f>W54+W60+W66+W72+W78+W84+W90+W96+W102</f>
        <v>0</v>
      </c>
      <c r="X53" s="1194"/>
      <c r="Y53" s="1194"/>
      <c r="Z53" s="1195"/>
      <c r="AA53" s="1193">
        <f>AA54+AA60+AA66+AA72+AA78+AA84+AA90+AA96+AA102</f>
        <v>0</v>
      </c>
      <c r="AB53" s="1194"/>
      <c r="AC53" s="1194"/>
      <c r="AD53" s="1195"/>
      <c r="AE53" s="1193">
        <f>AE54+AE60+AE66+AE72+AE78+AE84+AE90+AE96+AE102</f>
        <v>0</v>
      </c>
      <c r="AF53" s="1194"/>
      <c r="AG53" s="1194"/>
      <c r="AH53" s="1195"/>
      <c r="AI53" s="613">
        <f>AI54+AI60+AI66+AI72+AI78+AI84+AI90+AI96+AI102</f>
        <v>15689</v>
      </c>
      <c r="AJ53" s="315">
        <f t="shared" si="1"/>
        <v>0.28451999999924737</v>
      </c>
      <c r="AK53" s="315"/>
      <c r="AL53" s="315"/>
      <c r="AM53" s="315"/>
    </row>
    <row r="54" spans="1:39" s="244" customFormat="1" ht="13.5" thickBot="1" x14ac:dyDescent="0.25">
      <c r="A54" s="135"/>
      <c r="B54" s="762" t="s">
        <v>180</v>
      </c>
      <c r="C54" s="763"/>
      <c r="D54" s="763"/>
      <c r="E54" s="763"/>
      <c r="F54" s="763"/>
      <c r="G54" s="763"/>
      <c r="H54" s="763"/>
      <c r="I54" s="763"/>
      <c r="J54" s="763"/>
      <c r="K54" s="1200">
        <f>SUM(K55:N59)</f>
        <v>3162</v>
      </c>
      <c r="L54" s="1200"/>
      <c r="M54" s="1200"/>
      <c r="N54" s="1200"/>
      <c r="O54" s="1162">
        <f>SUM(O55:R59)</f>
        <v>0</v>
      </c>
      <c r="P54" s="1163"/>
      <c r="Q54" s="1163"/>
      <c r="R54" s="1163"/>
      <c r="S54" s="1162">
        <f>SUM(S55:V59)</f>
        <v>0</v>
      </c>
      <c r="T54" s="1163"/>
      <c r="U54" s="1163"/>
      <c r="V54" s="1163"/>
      <c r="W54" s="1162">
        <f>SUM(W55:Z59)</f>
        <v>0</v>
      </c>
      <c r="X54" s="1163"/>
      <c r="Y54" s="1163"/>
      <c r="Z54" s="1163"/>
      <c r="AA54" s="1162">
        <f>SUM(AA55:AD59)</f>
        <v>0</v>
      </c>
      <c r="AB54" s="1163"/>
      <c r="AC54" s="1163"/>
      <c r="AD54" s="1163"/>
      <c r="AE54" s="1162">
        <f>SUM(AE55:AH59)</f>
        <v>0</v>
      </c>
      <c r="AF54" s="1163"/>
      <c r="AG54" s="1163"/>
      <c r="AH54" s="1163"/>
      <c r="AI54" s="359">
        <f t="shared" si="0"/>
        <v>3162</v>
      </c>
      <c r="AJ54" s="315">
        <f t="shared" si="1"/>
        <v>3162</v>
      </c>
      <c r="AK54" s="315"/>
      <c r="AL54" s="315"/>
      <c r="AM54" s="315"/>
    </row>
    <row r="55" spans="1:39" s="135" customFormat="1" ht="11.25" customHeight="1" thickBot="1" x14ac:dyDescent="0.25">
      <c r="A55" s="6"/>
      <c r="B55" s="1122" t="s">
        <v>93</v>
      </c>
      <c r="C55" s="1122"/>
      <c r="D55" s="1122"/>
      <c r="E55" s="384">
        <v>0</v>
      </c>
      <c r="F55" s="387"/>
      <c r="G55" s="377">
        <v>0</v>
      </c>
      <c r="H55" s="1150" t="s">
        <v>97</v>
      </c>
      <c r="I55" s="337"/>
      <c r="J55" s="337"/>
      <c r="K55" s="446"/>
      <c r="L55" s="427"/>
      <c r="M55" s="328"/>
      <c r="N55" s="326"/>
      <c r="O55" s="327"/>
      <c r="P55" s="328"/>
      <c r="Q55" s="328"/>
      <c r="R55" s="326"/>
      <c r="S55" s="327"/>
      <c r="T55" s="328"/>
      <c r="U55" s="328"/>
      <c r="V55" s="326"/>
      <c r="W55" s="327"/>
      <c r="X55" s="328"/>
      <c r="Y55" s="328"/>
      <c r="Z55" s="326"/>
      <c r="AA55" s="327"/>
      <c r="AB55" s="328"/>
      <c r="AC55" s="328"/>
      <c r="AD55" s="326"/>
      <c r="AE55" s="732"/>
      <c r="AF55" s="732"/>
      <c r="AG55" s="732"/>
      <c r="AH55" s="732"/>
      <c r="AI55" s="359">
        <f t="shared" si="0"/>
        <v>0</v>
      </c>
      <c r="AJ55" s="315">
        <f t="shared" si="1"/>
        <v>0</v>
      </c>
      <c r="AK55" s="315"/>
      <c r="AL55" s="315"/>
      <c r="AM55" s="315"/>
    </row>
    <row r="56" spans="1:39" s="135" customFormat="1" ht="13.5" thickBot="1" x14ac:dyDescent="0.25">
      <c r="A56" s="6"/>
      <c r="B56" s="1122" t="s">
        <v>94</v>
      </c>
      <c r="C56" s="1123"/>
      <c r="D56" s="1124"/>
      <c r="E56" s="369">
        <v>0</v>
      </c>
      <c r="F56" s="371"/>
      <c r="G56" s="373">
        <v>0</v>
      </c>
      <c r="H56" s="1151"/>
      <c r="I56" s="344"/>
      <c r="J56" s="344"/>
      <c r="K56" s="327"/>
      <c r="L56" s="328"/>
      <c r="M56" s="328"/>
      <c r="N56" s="326"/>
      <c r="O56" s="327"/>
      <c r="P56" s="328"/>
      <c r="Q56" s="328"/>
      <c r="R56" s="326"/>
      <c r="S56" s="327"/>
      <c r="T56" s="328"/>
      <c r="U56" s="328"/>
      <c r="V56" s="326"/>
      <c r="W56" s="327"/>
      <c r="X56" s="328"/>
      <c r="Y56" s="328"/>
      <c r="Z56" s="326"/>
      <c r="AA56" s="327"/>
      <c r="AB56" s="328"/>
      <c r="AC56" s="328"/>
      <c r="AD56" s="326"/>
      <c r="AE56" s="732"/>
      <c r="AF56" s="732"/>
      <c r="AG56" s="732"/>
      <c r="AH56" s="732"/>
      <c r="AI56" s="359">
        <f t="shared" si="0"/>
        <v>0</v>
      </c>
      <c r="AJ56" s="315">
        <f t="shared" si="1"/>
        <v>0</v>
      </c>
      <c r="AK56" s="315"/>
      <c r="AL56" s="315"/>
      <c r="AM56" s="315"/>
    </row>
    <row r="57" spans="1:39" s="135" customFormat="1" ht="13.5" thickBot="1" x14ac:dyDescent="0.25">
      <c r="A57" s="6"/>
      <c r="B57" s="1122" t="s">
        <v>95</v>
      </c>
      <c r="C57" s="1123"/>
      <c r="D57" s="1124"/>
      <c r="E57" s="369">
        <v>0</v>
      </c>
      <c r="F57" s="371"/>
      <c r="G57" s="373">
        <v>0</v>
      </c>
      <c r="H57" s="1151"/>
      <c r="I57" s="344"/>
      <c r="J57" s="344"/>
      <c r="K57" s="327"/>
      <c r="L57" s="328"/>
      <c r="M57" s="328"/>
      <c r="N57" s="326"/>
      <c r="O57" s="327"/>
      <c r="P57" s="328"/>
      <c r="Q57" s="328"/>
      <c r="R57" s="326"/>
      <c r="S57" s="327"/>
      <c r="T57" s="328"/>
      <c r="U57" s="328"/>
      <c r="V57" s="326"/>
      <c r="W57" s="327"/>
      <c r="X57" s="328"/>
      <c r="Y57" s="328"/>
      <c r="Z57" s="326"/>
      <c r="AA57" s="327"/>
      <c r="AB57" s="328"/>
      <c r="AC57" s="328"/>
      <c r="AD57" s="326"/>
      <c r="AE57" s="732"/>
      <c r="AF57" s="732"/>
      <c r="AG57" s="732"/>
      <c r="AH57" s="732"/>
      <c r="AI57" s="359">
        <f t="shared" si="0"/>
        <v>0</v>
      </c>
      <c r="AJ57" s="315">
        <f t="shared" si="1"/>
        <v>0</v>
      </c>
      <c r="AK57" s="315"/>
      <c r="AL57" s="315"/>
      <c r="AM57" s="315"/>
    </row>
    <row r="58" spans="1:39" s="135" customFormat="1" ht="13.5" thickBot="1" x14ac:dyDescent="0.25">
      <c r="B58" s="1122" t="s">
        <v>96</v>
      </c>
      <c r="C58" s="1123"/>
      <c r="D58" s="1124"/>
      <c r="E58" s="369">
        <f>G58</f>
        <v>3161.94805</v>
      </c>
      <c r="F58" s="371"/>
      <c r="G58" s="373">
        <f>3161948.05/1000</f>
        <v>3161.94805</v>
      </c>
      <c r="H58" s="1151"/>
      <c r="I58" s="305"/>
      <c r="J58" s="305"/>
      <c r="K58" s="335">
        <v>2000</v>
      </c>
      <c r="L58" s="334">
        <v>1162</v>
      </c>
      <c r="M58" s="328"/>
      <c r="N58" s="326"/>
      <c r="O58" s="327"/>
      <c r="P58" s="328"/>
      <c r="Q58" s="328"/>
      <c r="R58" s="326"/>
      <c r="S58" s="327"/>
      <c r="T58" s="328"/>
      <c r="U58" s="328"/>
      <c r="V58" s="326"/>
      <c r="W58" s="327"/>
      <c r="X58" s="328"/>
      <c r="Y58" s="328"/>
      <c r="Z58" s="326"/>
      <c r="AA58" s="327"/>
      <c r="AB58" s="328"/>
      <c r="AC58" s="328"/>
      <c r="AD58" s="326"/>
      <c r="AE58" s="732"/>
      <c r="AF58" s="732"/>
      <c r="AG58" s="732"/>
      <c r="AH58" s="732"/>
      <c r="AI58" s="359">
        <f t="shared" si="0"/>
        <v>3162</v>
      </c>
      <c r="AJ58" s="315">
        <f t="shared" si="1"/>
        <v>5.1950000000033469E-2</v>
      </c>
      <c r="AK58" s="315"/>
      <c r="AL58" s="315"/>
      <c r="AM58" s="315"/>
    </row>
    <row r="59" spans="1:39" s="135" customFormat="1" ht="13.5" thickBot="1" x14ac:dyDescent="0.25">
      <c r="B59" s="1120" t="s">
        <v>91</v>
      </c>
      <c r="C59" s="1120"/>
      <c r="D59" s="1121"/>
      <c r="E59" s="384">
        <f>G59</f>
        <v>3161.94805</v>
      </c>
      <c r="F59" s="387"/>
      <c r="G59" s="377">
        <f>3161948.05/1000</f>
        <v>3161.94805</v>
      </c>
      <c r="H59" s="1152"/>
      <c r="I59" s="617"/>
      <c r="J59" s="617"/>
      <c r="K59" s="562"/>
      <c r="L59" s="486"/>
      <c r="M59" s="486"/>
      <c r="N59" s="475"/>
      <c r="O59" s="562"/>
      <c r="P59" s="486"/>
      <c r="Q59" s="486"/>
      <c r="R59" s="475"/>
      <c r="S59" s="562"/>
      <c r="T59" s="486"/>
      <c r="U59" s="486"/>
      <c r="V59" s="475"/>
      <c r="W59" s="562"/>
      <c r="X59" s="486"/>
      <c r="Y59" s="486"/>
      <c r="Z59" s="475"/>
      <c r="AA59" s="562"/>
      <c r="AB59" s="486"/>
      <c r="AC59" s="486"/>
      <c r="AD59" s="475"/>
      <c r="AE59" s="731"/>
      <c r="AF59" s="731"/>
      <c r="AG59" s="731"/>
      <c r="AH59" s="731"/>
      <c r="AI59" s="359">
        <f t="shared" si="0"/>
        <v>0</v>
      </c>
      <c r="AJ59" s="315">
        <f t="shared" si="1"/>
        <v>-3161.94805</v>
      </c>
      <c r="AK59" s="315"/>
      <c r="AL59" s="315"/>
      <c r="AM59" s="315"/>
    </row>
    <row r="60" spans="1:39" s="244" customFormat="1" ht="13.5" thickBot="1" x14ac:dyDescent="0.25">
      <c r="A60" s="135"/>
      <c r="B60" s="764" t="s">
        <v>181</v>
      </c>
      <c r="C60" s="760"/>
      <c r="D60" s="760"/>
      <c r="E60" s="760"/>
      <c r="F60" s="760"/>
      <c r="G60" s="760"/>
      <c r="H60" s="760"/>
      <c r="I60" s="760"/>
      <c r="J60" s="760"/>
      <c r="K60" s="1162">
        <f>SUM(K61:N65)</f>
        <v>3570</v>
      </c>
      <c r="L60" s="1163"/>
      <c r="M60" s="1163"/>
      <c r="N60" s="1163"/>
      <c r="O60" s="1162">
        <f>SUM(O61:R65)</f>
        <v>0</v>
      </c>
      <c r="P60" s="1163"/>
      <c r="Q60" s="1163"/>
      <c r="R60" s="1163"/>
      <c r="S60" s="1162">
        <f>SUM(S61:V65)</f>
        <v>0</v>
      </c>
      <c r="T60" s="1163"/>
      <c r="U60" s="1163"/>
      <c r="V60" s="1163"/>
      <c r="W60" s="1162">
        <f>SUM(W61:Z65)</f>
        <v>0</v>
      </c>
      <c r="X60" s="1163"/>
      <c r="Y60" s="1163"/>
      <c r="Z60" s="1163"/>
      <c r="AA60" s="1162">
        <f>SUM(AA61:AD65)</f>
        <v>0</v>
      </c>
      <c r="AB60" s="1163"/>
      <c r="AC60" s="1163"/>
      <c r="AD60" s="1163"/>
      <c r="AE60" s="1162">
        <f>SUM(AE61:AH65)</f>
        <v>0</v>
      </c>
      <c r="AF60" s="1163"/>
      <c r="AG60" s="1163"/>
      <c r="AH60" s="1163"/>
      <c r="AI60" s="359">
        <f t="shared" si="0"/>
        <v>3570</v>
      </c>
      <c r="AJ60" s="315">
        <f t="shared" si="1"/>
        <v>3570</v>
      </c>
      <c r="AK60" s="315"/>
      <c r="AL60" s="315"/>
      <c r="AM60" s="315"/>
    </row>
    <row r="61" spans="1:39" s="135" customFormat="1" ht="11.25" customHeight="1" thickBot="1" x14ac:dyDescent="0.25">
      <c r="B61" s="1122" t="s">
        <v>93</v>
      </c>
      <c r="C61" s="1122"/>
      <c r="D61" s="1122"/>
      <c r="E61" s="369">
        <v>0</v>
      </c>
      <c r="F61" s="371"/>
      <c r="G61" s="390">
        <v>0</v>
      </c>
      <c r="H61" s="1150" t="s">
        <v>97</v>
      </c>
      <c r="I61" s="344"/>
      <c r="J61" s="344"/>
      <c r="K61" s="618"/>
      <c r="L61" s="619"/>
      <c r="M61" s="561"/>
      <c r="N61" s="595"/>
      <c r="O61" s="560"/>
      <c r="P61" s="561"/>
      <c r="Q61" s="561"/>
      <c r="R61" s="595"/>
      <c r="S61" s="560"/>
      <c r="T61" s="561"/>
      <c r="U61" s="561"/>
      <c r="V61" s="595"/>
      <c r="W61" s="560"/>
      <c r="X61" s="561"/>
      <c r="Y61" s="561"/>
      <c r="Z61" s="595"/>
      <c r="AA61" s="560"/>
      <c r="AB61" s="561"/>
      <c r="AC61" s="561"/>
      <c r="AD61" s="595"/>
      <c r="AE61" s="735"/>
      <c r="AF61" s="735"/>
      <c r="AG61" s="735"/>
      <c r="AH61" s="735"/>
      <c r="AI61" s="359">
        <f t="shared" si="0"/>
        <v>0</v>
      </c>
      <c r="AJ61" s="315">
        <f t="shared" si="1"/>
        <v>0</v>
      </c>
      <c r="AK61" s="315"/>
      <c r="AL61" s="315"/>
      <c r="AM61" s="315"/>
    </row>
    <row r="62" spans="1:39" s="135" customFormat="1" ht="13.5" thickBot="1" x14ac:dyDescent="0.25">
      <c r="B62" s="1122" t="s">
        <v>94</v>
      </c>
      <c r="C62" s="1123"/>
      <c r="D62" s="1124"/>
      <c r="E62" s="369">
        <v>0</v>
      </c>
      <c r="F62" s="371"/>
      <c r="G62" s="390">
        <v>0</v>
      </c>
      <c r="H62" s="1151"/>
      <c r="I62" s="344"/>
      <c r="J62" s="344"/>
      <c r="K62" s="327"/>
      <c r="L62" s="328"/>
      <c r="M62" s="328"/>
      <c r="N62" s="326"/>
      <c r="O62" s="327"/>
      <c r="P62" s="328"/>
      <c r="Q62" s="328"/>
      <c r="R62" s="326"/>
      <c r="S62" s="327"/>
      <c r="T62" s="328"/>
      <c r="U62" s="328"/>
      <c r="V62" s="326"/>
      <c r="W62" s="327"/>
      <c r="X62" s="328"/>
      <c r="Y62" s="328"/>
      <c r="Z62" s="326"/>
      <c r="AA62" s="327"/>
      <c r="AB62" s="328"/>
      <c r="AC62" s="328"/>
      <c r="AD62" s="326"/>
      <c r="AE62" s="732"/>
      <c r="AF62" s="732"/>
      <c r="AG62" s="732"/>
      <c r="AH62" s="732"/>
      <c r="AI62" s="359">
        <f t="shared" si="0"/>
        <v>0</v>
      </c>
      <c r="AJ62" s="315">
        <f t="shared" si="1"/>
        <v>0</v>
      </c>
      <c r="AK62" s="315"/>
      <c r="AL62" s="315"/>
      <c r="AM62" s="315"/>
    </row>
    <row r="63" spans="1:39" s="135" customFormat="1" ht="13.5" thickBot="1" x14ac:dyDescent="0.25">
      <c r="B63" s="1122" t="s">
        <v>95</v>
      </c>
      <c r="C63" s="1123"/>
      <c r="D63" s="1124"/>
      <c r="E63" s="369">
        <v>0</v>
      </c>
      <c r="F63" s="371"/>
      <c r="G63" s="390">
        <v>0</v>
      </c>
      <c r="H63" s="1151"/>
      <c r="I63" s="344"/>
      <c r="J63" s="344"/>
      <c r="K63" s="327"/>
      <c r="L63" s="328"/>
      <c r="M63" s="328"/>
      <c r="N63" s="326"/>
      <c r="O63" s="327"/>
      <c r="P63" s="328"/>
      <c r="Q63" s="328"/>
      <c r="R63" s="326"/>
      <c r="S63" s="327"/>
      <c r="T63" s="328"/>
      <c r="U63" s="328"/>
      <c r="V63" s="326"/>
      <c r="W63" s="327"/>
      <c r="X63" s="328"/>
      <c r="Y63" s="328"/>
      <c r="Z63" s="326"/>
      <c r="AA63" s="327"/>
      <c r="AB63" s="328"/>
      <c r="AC63" s="328"/>
      <c r="AD63" s="326"/>
      <c r="AE63" s="732"/>
      <c r="AF63" s="732"/>
      <c r="AG63" s="732"/>
      <c r="AH63" s="732"/>
      <c r="AI63" s="359">
        <f t="shared" si="0"/>
        <v>0</v>
      </c>
      <c r="AJ63" s="315">
        <f t="shared" si="1"/>
        <v>0</v>
      </c>
      <c r="AK63" s="315"/>
      <c r="AL63" s="315"/>
      <c r="AM63" s="315"/>
    </row>
    <row r="64" spans="1:39" s="135" customFormat="1" ht="13.5" thickBot="1" x14ac:dyDescent="0.25">
      <c r="B64" s="1122" t="s">
        <v>96</v>
      </c>
      <c r="C64" s="1123"/>
      <c r="D64" s="1124"/>
      <c r="E64" s="369">
        <f>G64</f>
        <v>3569.7674300000003</v>
      </c>
      <c r="F64" s="371"/>
      <c r="G64" s="390">
        <f>3569767.43/1000</f>
        <v>3569.7674300000003</v>
      </c>
      <c r="H64" s="1151"/>
      <c r="I64" s="305"/>
      <c r="J64" s="305"/>
      <c r="K64" s="335">
        <v>2000</v>
      </c>
      <c r="L64" s="334">
        <v>1570</v>
      </c>
      <c r="M64" s="328"/>
      <c r="N64" s="326"/>
      <c r="O64" s="327"/>
      <c r="P64" s="328"/>
      <c r="Q64" s="328"/>
      <c r="R64" s="326"/>
      <c r="S64" s="327"/>
      <c r="T64" s="328"/>
      <c r="U64" s="328"/>
      <c r="V64" s="326"/>
      <c r="W64" s="327"/>
      <c r="X64" s="328"/>
      <c r="Y64" s="328"/>
      <c r="Z64" s="326"/>
      <c r="AA64" s="327"/>
      <c r="AB64" s="328"/>
      <c r="AC64" s="328"/>
      <c r="AD64" s="326"/>
      <c r="AE64" s="732"/>
      <c r="AF64" s="732"/>
      <c r="AG64" s="732"/>
      <c r="AH64" s="732"/>
      <c r="AI64" s="359">
        <f t="shared" si="0"/>
        <v>3570</v>
      </c>
      <c r="AJ64" s="315">
        <f t="shared" si="1"/>
        <v>0.23256999999966865</v>
      </c>
      <c r="AK64" s="315"/>
      <c r="AL64" s="315"/>
      <c r="AM64" s="315"/>
    </row>
    <row r="65" spans="1:39" s="135" customFormat="1" ht="13.5" thickBot="1" x14ac:dyDescent="0.25">
      <c r="B65" s="1120" t="s">
        <v>91</v>
      </c>
      <c r="C65" s="1120"/>
      <c r="D65" s="1121"/>
      <c r="E65" s="394">
        <f>G65</f>
        <v>3569.7674300000003</v>
      </c>
      <c r="F65" s="391"/>
      <c r="G65" s="392">
        <f>3569767.43/1000</f>
        <v>3569.7674300000003</v>
      </c>
      <c r="H65" s="1152"/>
      <c r="I65" s="305"/>
      <c r="J65" s="305"/>
      <c r="K65" s="327"/>
      <c r="L65" s="328"/>
      <c r="M65" s="328"/>
      <c r="N65" s="326"/>
      <c r="O65" s="327"/>
      <c r="P65" s="328"/>
      <c r="Q65" s="328"/>
      <c r="R65" s="326"/>
      <c r="S65" s="327"/>
      <c r="T65" s="328"/>
      <c r="U65" s="328"/>
      <c r="V65" s="326"/>
      <c r="W65" s="327"/>
      <c r="X65" s="328"/>
      <c r="Y65" s="328"/>
      <c r="Z65" s="326"/>
      <c r="AA65" s="327"/>
      <c r="AB65" s="328"/>
      <c r="AC65" s="328"/>
      <c r="AD65" s="326"/>
      <c r="AE65" s="732"/>
      <c r="AF65" s="732"/>
      <c r="AG65" s="732"/>
      <c r="AH65" s="732"/>
      <c r="AI65" s="359">
        <f t="shared" si="0"/>
        <v>0</v>
      </c>
      <c r="AJ65" s="315">
        <f t="shared" si="1"/>
        <v>-3569.7674300000003</v>
      </c>
      <c r="AK65" s="315"/>
      <c r="AL65" s="315"/>
      <c r="AM65" s="315"/>
    </row>
    <row r="66" spans="1:39" s="244" customFormat="1" ht="13.5" thickBot="1" x14ac:dyDescent="0.25">
      <c r="A66" s="135"/>
      <c r="B66" s="762" t="s">
        <v>182</v>
      </c>
      <c r="C66" s="763"/>
      <c r="D66" s="763"/>
      <c r="E66" s="763"/>
      <c r="F66" s="763"/>
      <c r="G66" s="763"/>
      <c r="H66" s="763"/>
      <c r="I66" s="763"/>
      <c r="J66" s="763"/>
      <c r="K66" s="1162">
        <f>SUM(K67:N71)</f>
        <v>2340</v>
      </c>
      <c r="L66" s="1163"/>
      <c r="M66" s="1163"/>
      <c r="N66" s="1163"/>
      <c r="O66" s="1162">
        <f>SUM(O67:R71)</f>
        <v>0</v>
      </c>
      <c r="P66" s="1163"/>
      <c r="Q66" s="1163"/>
      <c r="R66" s="1163"/>
      <c r="S66" s="1162">
        <f>SUM(S67:V71)</f>
        <v>0</v>
      </c>
      <c r="T66" s="1163"/>
      <c r="U66" s="1163"/>
      <c r="V66" s="1163"/>
      <c r="W66" s="1162">
        <f>SUM(W67:Z71)</f>
        <v>0</v>
      </c>
      <c r="X66" s="1163"/>
      <c r="Y66" s="1163"/>
      <c r="Z66" s="1163"/>
      <c r="AA66" s="1162">
        <f>SUM(AA67:AD71)</f>
        <v>0</v>
      </c>
      <c r="AB66" s="1163"/>
      <c r="AC66" s="1163"/>
      <c r="AD66" s="1163"/>
      <c r="AE66" s="1162">
        <f>SUM(AE67:AH71)</f>
        <v>0</v>
      </c>
      <c r="AF66" s="1163"/>
      <c r="AG66" s="1163"/>
      <c r="AH66" s="1163"/>
      <c r="AI66" s="359">
        <f t="shared" si="0"/>
        <v>2340</v>
      </c>
      <c r="AJ66" s="315">
        <f t="shared" si="1"/>
        <v>2340</v>
      </c>
      <c r="AK66" s="315"/>
      <c r="AL66" s="315"/>
      <c r="AM66" s="315"/>
    </row>
    <row r="67" spans="1:39" ht="11.25" customHeight="1" thickBot="1" x14ac:dyDescent="0.25">
      <c r="A67" s="135"/>
      <c r="B67" s="1122" t="s">
        <v>93</v>
      </c>
      <c r="C67" s="1122"/>
      <c r="D67" s="1122"/>
      <c r="E67" s="384">
        <v>0</v>
      </c>
      <c r="F67" s="387"/>
      <c r="G67" s="377">
        <v>0</v>
      </c>
      <c r="H67" s="1150" t="s">
        <v>97</v>
      </c>
      <c r="I67" s="304"/>
      <c r="J67" s="304"/>
      <c r="K67" s="431"/>
      <c r="L67" s="571"/>
      <c r="M67" s="341"/>
      <c r="N67" s="330"/>
      <c r="O67" s="321"/>
      <c r="P67" s="328"/>
      <c r="Q67" s="328"/>
      <c r="R67" s="326"/>
      <c r="S67" s="327"/>
      <c r="T67" s="328"/>
      <c r="U67" s="328"/>
      <c r="V67" s="326"/>
      <c r="W67" s="327"/>
      <c r="X67" s="328"/>
      <c r="Y67" s="328"/>
      <c r="Z67" s="326"/>
      <c r="AA67" s="327"/>
      <c r="AB67" s="328"/>
      <c r="AC67" s="328"/>
      <c r="AD67" s="326"/>
      <c r="AE67" s="732"/>
      <c r="AF67" s="732"/>
      <c r="AG67" s="732"/>
      <c r="AH67" s="732"/>
      <c r="AI67" s="359">
        <f t="shared" ref="AI67:AI130" si="7">SUM(K67:AH67)</f>
        <v>0</v>
      </c>
      <c r="AJ67" s="315">
        <f t="shared" si="1"/>
        <v>0</v>
      </c>
      <c r="AK67" s="315"/>
      <c r="AL67" s="315"/>
      <c r="AM67" s="315"/>
    </row>
    <row r="68" spans="1:39" ht="13.5" thickBot="1" x14ac:dyDescent="0.25">
      <c r="A68" s="135"/>
      <c r="B68" s="1122" t="s">
        <v>94</v>
      </c>
      <c r="C68" s="1123"/>
      <c r="D68" s="1124"/>
      <c r="E68" s="369">
        <v>0</v>
      </c>
      <c r="F68" s="371"/>
      <c r="G68" s="373">
        <v>0</v>
      </c>
      <c r="H68" s="1151"/>
      <c r="K68" s="428"/>
      <c r="L68" s="2"/>
      <c r="M68" s="340"/>
      <c r="N68" s="326"/>
      <c r="O68" s="327"/>
      <c r="P68" s="328"/>
      <c r="Q68" s="328"/>
      <c r="R68" s="326"/>
      <c r="S68" s="327"/>
      <c r="T68" s="328"/>
      <c r="U68" s="328"/>
      <c r="V68" s="326"/>
      <c r="W68" s="327"/>
      <c r="X68" s="328"/>
      <c r="Y68" s="328"/>
      <c r="Z68" s="326"/>
      <c r="AA68" s="327"/>
      <c r="AB68" s="328"/>
      <c r="AC68" s="328"/>
      <c r="AD68" s="326"/>
      <c r="AE68" s="732"/>
      <c r="AF68" s="732"/>
      <c r="AG68" s="732"/>
      <c r="AH68" s="732"/>
      <c r="AI68" s="359">
        <f t="shared" si="7"/>
        <v>0</v>
      </c>
      <c r="AJ68" s="315">
        <f t="shared" si="1"/>
        <v>0</v>
      </c>
      <c r="AK68" s="315"/>
      <c r="AL68" s="315"/>
      <c r="AM68" s="315"/>
    </row>
    <row r="69" spans="1:39" ht="13.5" thickBot="1" x14ac:dyDescent="0.25">
      <c r="A69" s="135"/>
      <c r="B69" s="1122" t="s">
        <v>95</v>
      </c>
      <c r="C69" s="1123"/>
      <c r="D69" s="1124"/>
      <c r="E69" s="369">
        <v>0</v>
      </c>
      <c r="F69" s="371"/>
      <c r="G69" s="373">
        <v>0</v>
      </c>
      <c r="H69" s="1151"/>
      <c r="K69" s="327"/>
      <c r="L69" s="343"/>
      <c r="M69" s="2"/>
      <c r="N69" s="326"/>
      <c r="O69" s="327"/>
      <c r="P69" s="328"/>
      <c r="Q69" s="328"/>
      <c r="R69" s="326"/>
      <c r="S69" s="327"/>
      <c r="T69" s="328"/>
      <c r="U69" s="328"/>
      <c r="V69" s="326"/>
      <c r="W69" s="327"/>
      <c r="X69" s="328"/>
      <c r="Y69" s="328"/>
      <c r="Z69" s="326"/>
      <c r="AA69" s="327"/>
      <c r="AB69" s="328"/>
      <c r="AC69" s="328"/>
      <c r="AD69" s="326"/>
      <c r="AE69" s="732"/>
      <c r="AF69" s="732"/>
      <c r="AG69" s="732"/>
      <c r="AH69" s="732"/>
      <c r="AI69" s="359">
        <f t="shared" si="7"/>
        <v>0</v>
      </c>
      <c r="AJ69" s="315">
        <f t="shared" si="1"/>
        <v>0</v>
      </c>
      <c r="AK69" s="315"/>
      <c r="AL69" s="315"/>
      <c r="AM69" s="315"/>
    </row>
    <row r="70" spans="1:39" ht="13.5" thickBot="1" x14ac:dyDescent="0.25">
      <c r="A70" s="135"/>
      <c r="B70" s="1122" t="s">
        <v>96</v>
      </c>
      <c r="C70" s="1123"/>
      <c r="D70" s="1124"/>
      <c r="E70" s="369">
        <v>0</v>
      </c>
      <c r="F70" s="371">
        <v>2340</v>
      </c>
      <c r="G70" s="373">
        <v>2340</v>
      </c>
      <c r="H70" s="1151"/>
      <c r="K70" s="327"/>
      <c r="L70" s="429"/>
      <c r="M70" s="455">
        <v>1404</v>
      </c>
      <c r="N70" s="455">
        <v>936</v>
      </c>
      <c r="O70" s="2"/>
      <c r="P70" s="328"/>
      <c r="Q70" s="328"/>
      <c r="R70" s="326"/>
      <c r="S70" s="327"/>
      <c r="T70" s="328"/>
      <c r="U70" s="328"/>
      <c r="V70" s="326"/>
      <c r="W70" s="327"/>
      <c r="X70" s="328"/>
      <c r="Y70" s="328"/>
      <c r="Z70" s="326"/>
      <c r="AA70" s="327"/>
      <c r="AB70" s="328"/>
      <c r="AC70" s="328"/>
      <c r="AD70" s="326"/>
      <c r="AE70" s="732"/>
      <c r="AF70" s="732"/>
      <c r="AG70" s="732"/>
      <c r="AH70" s="732"/>
      <c r="AI70" s="359">
        <f t="shared" si="7"/>
        <v>2340</v>
      </c>
      <c r="AJ70" s="315">
        <f t="shared" ref="AJ70:AJ133" si="8">AI70-G70</f>
        <v>0</v>
      </c>
      <c r="AK70" s="315"/>
      <c r="AL70" s="315"/>
      <c r="AM70" s="315"/>
    </row>
    <row r="71" spans="1:39" ht="13.5" thickBot="1" x14ac:dyDescent="0.25">
      <c r="B71" s="765" t="s">
        <v>91</v>
      </c>
      <c r="C71" s="765"/>
      <c r="D71" s="766"/>
      <c r="E71" s="384">
        <v>0</v>
      </c>
      <c r="F71" s="387">
        <v>2340</v>
      </c>
      <c r="G71" s="377">
        <v>2340</v>
      </c>
      <c r="H71" s="1152"/>
      <c r="K71" s="562"/>
      <c r="L71" s="486"/>
      <c r="M71" s="486"/>
      <c r="N71" s="475"/>
      <c r="O71" s="562"/>
      <c r="P71" s="486"/>
      <c r="Q71" s="486"/>
      <c r="R71" s="475"/>
      <c r="S71" s="562"/>
      <c r="T71" s="486"/>
      <c r="U71" s="486"/>
      <c r="V71" s="475"/>
      <c r="W71" s="562"/>
      <c r="X71" s="486"/>
      <c r="Y71" s="486"/>
      <c r="Z71" s="475"/>
      <c r="AA71" s="562"/>
      <c r="AB71" s="486"/>
      <c r="AC71" s="486"/>
      <c r="AD71" s="475"/>
      <c r="AE71" s="731"/>
      <c r="AF71" s="731"/>
      <c r="AG71" s="731"/>
      <c r="AH71" s="731"/>
      <c r="AI71" s="359">
        <f t="shared" si="7"/>
        <v>0</v>
      </c>
      <c r="AJ71" s="315">
        <f t="shared" si="8"/>
        <v>-2340</v>
      </c>
      <c r="AK71" s="315"/>
      <c r="AL71" s="315"/>
      <c r="AM71" s="315"/>
    </row>
    <row r="72" spans="1:39" s="244" customFormat="1" ht="12.75" customHeight="1" thickBot="1" x14ac:dyDescent="0.25">
      <c r="A72" s="135"/>
      <c r="B72" s="1254" t="s">
        <v>183</v>
      </c>
      <c r="C72" s="1255"/>
      <c r="D72" s="1255"/>
      <c r="E72" s="767"/>
      <c r="F72" s="767"/>
      <c r="G72" s="767"/>
      <c r="H72" s="767"/>
      <c r="I72" s="767"/>
      <c r="J72" s="767"/>
      <c r="K72" s="1162">
        <f>SUM(K73:N77)</f>
        <v>1432</v>
      </c>
      <c r="L72" s="1163"/>
      <c r="M72" s="1163"/>
      <c r="N72" s="1163"/>
      <c r="O72" s="1162">
        <f>SUM(O73:R77)</f>
        <v>649</v>
      </c>
      <c r="P72" s="1163"/>
      <c r="Q72" s="1163"/>
      <c r="R72" s="1163"/>
      <c r="S72" s="1162">
        <f>SUM(S73:V77)</f>
        <v>0</v>
      </c>
      <c r="T72" s="1163"/>
      <c r="U72" s="1163"/>
      <c r="V72" s="1163"/>
      <c r="W72" s="1162">
        <f>SUM(W73:Z77)</f>
        <v>0</v>
      </c>
      <c r="X72" s="1163"/>
      <c r="Y72" s="1163"/>
      <c r="Z72" s="1163"/>
      <c r="AA72" s="1162">
        <f>SUM(AA73:AD77)</f>
        <v>0</v>
      </c>
      <c r="AB72" s="1163"/>
      <c r="AC72" s="1163"/>
      <c r="AD72" s="1163"/>
      <c r="AE72" s="1162">
        <f>SUM(AE73:AH77)</f>
        <v>0</v>
      </c>
      <c r="AF72" s="1163"/>
      <c r="AG72" s="1163"/>
      <c r="AH72" s="1163"/>
      <c r="AI72" s="359">
        <f t="shared" si="7"/>
        <v>2081</v>
      </c>
      <c r="AJ72" s="315">
        <f t="shared" si="8"/>
        <v>2081</v>
      </c>
      <c r="AK72" s="315"/>
      <c r="AL72" s="315"/>
      <c r="AM72" s="315"/>
    </row>
    <row r="73" spans="1:39" ht="11.25" customHeight="1" thickBot="1" x14ac:dyDescent="0.25">
      <c r="B73" s="1122" t="s">
        <v>93</v>
      </c>
      <c r="C73" s="1122"/>
      <c r="D73" s="1122"/>
      <c r="E73" s="369">
        <v>0</v>
      </c>
      <c r="F73" s="371"/>
      <c r="G73" s="373">
        <v>0</v>
      </c>
      <c r="H73" s="1150" t="s">
        <v>97</v>
      </c>
      <c r="K73" s="596"/>
      <c r="L73" s="575"/>
      <c r="M73" s="620"/>
      <c r="N73" s="600"/>
      <c r="O73" s="621"/>
      <c r="P73" s="599"/>
      <c r="Q73" s="599"/>
      <c r="R73" s="595"/>
      <c r="S73" s="560"/>
      <c r="T73" s="561"/>
      <c r="U73" s="561"/>
      <c r="V73" s="595"/>
      <c r="W73" s="560"/>
      <c r="X73" s="561"/>
      <c r="Y73" s="561"/>
      <c r="Z73" s="595"/>
      <c r="AA73" s="560"/>
      <c r="AB73" s="561"/>
      <c r="AC73" s="561"/>
      <c r="AD73" s="595"/>
      <c r="AE73" s="735"/>
      <c r="AF73" s="735"/>
      <c r="AG73" s="735"/>
      <c r="AH73" s="735"/>
      <c r="AI73" s="359">
        <f t="shared" si="7"/>
        <v>0</v>
      </c>
      <c r="AJ73" s="315">
        <f t="shared" si="8"/>
        <v>0</v>
      </c>
      <c r="AK73" s="315"/>
      <c r="AL73" s="315"/>
      <c r="AM73" s="315"/>
    </row>
    <row r="74" spans="1:39" ht="13.5" thickBot="1" x14ac:dyDescent="0.25">
      <c r="B74" s="1122" t="s">
        <v>94</v>
      </c>
      <c r="C74" s="1123"/>
      <c r="D74" s="1124"/>
      <c r="E74" s="369">
        <v>0</v>
      </c>
      <c r="F74" s="371"/>
      <c r="G74" s="373">
        <v>0</v>
      </c>
      <c r="H74" s="1151"/>
      <c r="K74" s="428"/>
      <c r="L74" s="2"/>
      <c r="M74" s="340"/>
      <c r="N74" s="326"/>
      <c r="O74" s="327"/>
      <c r="P74" s="328"/>
      <c r="Q74" s="322"/>
      <c r="R74" s="326"/>
      <c r="S74" s="327"/>
      <c r="T74" s="328"/>
      <c r="U74" s="328"/>
      <c r="V74" s="326"/>
      <c r="W74" s="327"/>
      <c r="X74" s="328"/>
      <c r="Y74" s="328"/>
      <c r="Z74" s="326"/>
      <c r="AA74" s="327"/>
      <c r="AB74" s="328"/>
      <c r="AC74" s="328"/>
      <c r="AD74" s="326"/>
      <c r="AE74" s="732"/>
      <c r="AF74" s="732"/>
      <c r="AG74" s="732"/>
      <c r="AH74" s="732"/>
      <c r="AI74" s="359">
        <f t="shared" si="7"/>
        <v>0</v>
      </c>
      <c r="AJ74" s="315">
        <f t="shared" si="8"/>
        <v>0</v>
      </c>
      <c r="AK74" s="315"/>
      <c r="AL74" s="315"/>
      <c r="AM74" s="315"/>
    </row>
    <row r="75" spans="1:39" ht="13.5" thickBot="1" x14ac:dyDescent="0.25">
      <c r="B75" s="1122" t="s">
        <v>95</v>
      </c>
      <c r="C75" s="1123"/>
      <c r="D75" s="1124"/>
      <c r="E75" s="369">
        <v>0</v>
      </c>
      <c r="F75" s="371"/>
      <c r="G75" s="373">
        <v>0</v>
      </c>
      <c r="H75" s="1151"/>
      <c r="K75" s="327"/>
      <c r="L75" s="343"/>
      <c r="M75" s="341"/>
      <c r="N75" s="326"/>
      <c r="O75" s="327"/>
      <c r="P75" s="328"/>
      <c r="Q75" s="322"/>
      <c r="R75" s="326"/>
      <c r="S75" s="327"/>
      <c r="T75" s="328"/>
      <c r="U75" s="328"/>
      <c r="V75" s="326"/>
      <c r="W75" s="327"/>
      <c r="X75" s="328"/>
      <c r="Y75" s="328"/>
      <c r="Z75" s="326"/>
      <c r="AA75" s="327"/>
      <c r="AB75" s="328"/>
      <c r="AC75" s="328"/>
      <c r="AD75" s="326"/>
      <c r="AE75" s="732"/>
      <c r="AF75" s="732"/>
      <c r="AG75" s="732"/>
      <c r="AH75" s="732"/>
      <c r="AI75" s="359">
        <f t="shared" si="7"/>
        <v>0</v>
      </c>
      <c r="AJ75" s="315">
        <f t="shared" si="8"/>
        <v>0</v>
      </c>
      <c r="AK75" s="315"/>
      <c r="AL75" s="315"/>
      <c r="AM75" s="315"/>
    </row>
    <row r="76" spans="1:39" ht="13.5" thickBot="1" x14ac:dyDescent="0.25">
      <c r="B76" s="1122" t="s">
        <v>96</v>
      </c>
      <c r="C76" s="1123"/>
      <c r="D76" s="1124"/>
      <c r="E76" s="369">
        <v>0</v>
      </c>
      <c r="F76" s="371">
        <v>2081</v>
      </c>
      <c r="G76" s="373">
        <v>2081</v>
      </c>
      <c r="H76" s="1151"/>
      <c r="K76" s="327"/>
      <c r="L76" s="429"/>
      <c r="M76" s="455">
        <v>600</v>
      </c>
      <c r="N76" s="455">
        <v>832</v>
      </c>
      <c r="O76" s="455">
        <v>649</v>
      </c>
      <c r="P76" s="2"/>
      <c r="Q76" s="322"/>
      <c r="R76" s="326"/>
      <c r="S76" s="327"/>
      <c r="T76" s="328"/>
      <c r="U76" s="328"/>
      <c r="V76" s="326"/>
      <c r="W76" s="327"/>
      <c r="X76" s="328"/>
      <c r="Y76" s="328"/>
      <c r="Z76" s="326"/>
      <c r="AA76" s="327"/>
      <c r="AB76" s="328"/>
      <c r="AC76" s="328"/>
      <c r="AD76" s="326"/>
      <c r="AE76" s="732"/>
      <c r="AF76" s="732"/>
      <c r="AG76" s="732"/>
      <c r="AH76" s="732"/>
      <c r="AI76" s="359">
        <f t="shared" si="7"/>
        <v>2081</v>
      </c>
      <c r="AJ76" s="315">
        <f t="shared" si="8"/>
        <v>0</v>
      </c>
      <c r="AK76" s="315"/>
      <c r="AL76" s="315"/>
      <c r="AM76" s="315"/>
    </row>
    <row r="77" spans="1:39" ht="13.5" thickBot="1" x14ac:dyDescent="0.25">
      <c r="B77" s="1120" t="s">
        <v>91</v>
      </c>
      <c r="C77" s="1120"/>
      <c r="D77" s="1121"/>
      <c r="E77" s="394">
        <v>0</v>
      </c>
      <c r="F77" s="391">
        <v>2081</v>
      </c>
      <c r="G77" s="395">
        <v>2081</v>
      </c>
      <c r="H77" s="1152"/>
      <c r="K77" s="327"/>
      <c r="L77" s="328"/>
      <c r="M77" s="328"/>
      <c r="N77" s="326"/>
      <c r="O77" s="327"/>
      <c r="P77" s="328"/>
      <c r="Q77" s="328"/>
      <c r="R77" s="326"/>
      <c r="S77" s="327"/>
      <c r="T77" s="328"/>
      <c r="U77" s="328"/>
      <c r="V77" s="326"/>
      <c r="W77" s="327"/>
      <c r="X77" s="328"/>
      <c r="Y77" s="328"/>
      <c r="Z77" s="326"/>
      <c r="AA77" s="327"/>
      <c r="AB77" s="328"/>
      <c r="AC77" s="328"/>
      <c r="AD77" s="326"/>
      <c r="AE77" s="732"/>
      <c r="AF77" s="732"/>
      <c r="AG77" s="732"/>
      <c r="AH77" s="732"/>
      <c r="AI77" s="359">
        <f t="shared" si="7"/>
        <v>0</v>
      </c>
      <c r="AJ77" s="315">
        <f t="shared" si="8"/>
        <v>-2081</v>
      </c>
      <c r="AK77" s="315"/>
      <c r="AL77" s="315"/>
      <c r="AM77" s="315"/>
    </row>
    <row r="78" spans="1:39" s="244" customFormat="1" ht="12.75" customHeight="1" thickBot="1" x14ac:dyDescent="0.3">
      <c r="A78" s="135"/>
      <c r="B78" s="1256" t="s">
        <v>184</v>
      </c>
      <c r="C78" s="1257"/>
      <c r="D78" s="1257"/>
      <c r="E78" s="768"/>
      <c r="F78" s="768"/>
      <c r="G78" s="768"/>
      <c r="H78" s="768"/>
      <c r="I78" s="768"/>
      <c r="J78" s="768"/>
      <c r="K78" s="1162">
        <f>SUM(K79:N83)</f>
        <v>1599</v>
      </c>
      <c r="L78" s="1163"/>
      <c r="M78" s="1163"/>
      <c r="N78" s="1163"/>
      <c r="O78" s="1162">
        <f>SUM(O79:R83)</f>
        <v>0</v>
      </c>
      <c r="P78" s="1163"/>
      <c r="Q78" s="1163"/>
      <c r="R78" s="1163"/>
      <c r="S78" s="1162">
        <f>SUM(S79:V83)</f>
        <v>0</v>
      </c>
      <c r="T78" s="1163"/>
      <c r="U78" s="1163"/>
      <c r="V78" s="1163"/>
      <c r="W78" s="1162">
        <f>SUM(W79:Z83)</f>
        <v>0</v>
      </c>
      <c r="X78" s="1163"/>
      <c r="Y78" s="1163"/>
      <c r="Z78" s="1163"/>
      <c r="AA78" s="1162">
        <f>SUM(AA79:AD83)</f>
        <v>0</v>
      </c>
      <c r="AB78" s="1163"/>
      <c r="AC78" s="1163"/>
      <c r="AD78" s="1163"/>
      <c r="AE78" s="1162">
        <f>SUM(AE79:AH83)</f>
        <v>0</v>
      </c>
      <c r="AF78" s="1163"/>
      <c r="AG78" s="1163"/>
      <c r="AH78" s="1163"/>
      <c r="AI78" s="359">
        <f t="shared" si="7"/>
        <v>1599</v>
      </c>
      <c r="AJ78" s="315">
        <f t="shared" si="8"/>
        <v>1599</v>
      </c>
      <c r="AK78" s="315"/>
      <c r="AL78" s="315"/>
      <c r="AM78" s="315"/>
    </row>
    <row r="79" spans="1:39" ht="11.25" customHeight="1" thickBot="1" x14ac:dyDescent="0.25">
      <c r="B79" s="1122" t="s">
        <v>93</v>
      </c>
      <c r="C79" s="1122"/>
      <c r="D79" s="1122"/>
      <c r="E79" s="384">
        <v>0</v>
      </c>
      <c r="F79" s="387"/>
      <c r="G79" s="377">
        <v>0</v>
      </c>
      <c r="H79" s="1150" t="s">
        <v>97</v>
      </c>
      <c r="I79" s="304"/>
      <c r="J79" s="304"/>
      <c r="K79" s="431"/>
      <c r="L79" s="571"/>
      <c r="M79" s="341"/>
      <c r="N79" s="330"/>
      <c r="O79" s="321"/>
      <c r="P79" s="328"/>
      <c r="Q79" s="328"/>
      <c r="R79" s="326"/>
      <c r="S79" s="327"/>
      <c r="T79" s="328"/>
      <c r="U79" s="328"/>
      <c r="V79" s="326"/>
      <c r="W79" s="327"/>
      <c r="X79" s="328"/>
      <c r="Y79" s="328"/>
      <c r="Z79" s="326"/>
      <c r="AA79" s="327"/>
      <c r="AB79" s="328"/>
      <c r="AC79" s="328"/>
      <c r="AD79" s="326"/>
      <c r="AE79" s="732"/>
      <c r="AF79" s="732"/>
      <c r="AG79" s="732"/>
      <c r="AH79" s="732"/>
      <c r="AI79" s="359">
        <f t="shared" si="7"/>
        <v>0</v>
      </c>
      <c r="AJ79" s="315">
        <f t="shared" si="8"/>
        <v>0</v>
      </c>
      <c r="AK79" s="315"/>
      <c r="AL79" s="315"/>
      <c r="AM79" s="315"/>
    </row>
    <row r="80" spans="1:39" ht="13.5" thickBot="1" x14ac:dyDescent="0.25">
      <c r="B80" s="1122" t="s">
        <v>94</v>
      </c>
      <c r="C80" s="1123"/>
      <c r="D80" s="1124"/>
      <c r="E80" s="369">
        <v>0</v>
      </c>
      <c r="F80" s="371"/>
      <c r="G80" s="373">
        <v>0</v>
      </c>
      <c r="H80" s="1151"/>
      <c r="K80" s="428"/>
      <c r="L80" s="2"/>
      <c r="M80" s="340"/>
      <c r="N80" s="326"/>
      <c r="O80" s="327"/>
      <c r="P80" s="328"/>
      <c r="Q80" s="328"/>
      <c r="R80" s="326"/>
      <c r="S80" s="327"/>
      <c r="T80" s="328"/>
      <c r="U80" s="328"/>
      <c r="V80" s="326"/>
      <c r="W80" s="327"/>
      <c r="X80" s="328"/>
      <c r="Y80" s="328"/>
      <c r="Z80" s="326"/>
      <c r="AA80" s="327"/>
      <c r="AB80" s="328"/>
      <c r="AC80" s="328"/>
      <c r="AD80" s="326"/>
      <c r="AE80" s="732"/>
      <c r="AF80" s="732"/>
      <c r="AG80" s="732"/>
      <c r="AH80" s="732"/>
      <c r="AI80" s="359">
        <f t="shared" si="7"/>
        <v>0</v>
      </c>
      <c r="AJ80" s="315">
        <f t="shared" si="8"/>
        <v>0</v>
      </c>
      <c r="AK80" s="315"/>
      <c r="AL80" s="315"/>
      <c r="AM80" s="315"/>
    </row>
    <row r="81" spans="1:39" ht="13.5" thickBot="1" x14ac:dyDescent="0.25">
      <c r="B81" s="1122" t="s">
        <v>95</v>
      </c>
      <c r="C81" s="1123"/>
      <c r="D81" s="1124"/>
      <c r="E81" s="369">
        <v>0</v>
      </c>
      <c r="F81" s="371"/>
      <c r="G81" s="373">
        <v>0</v>
      </c>
      <c r="H81" s="1151"/>
      <c r="K81" s="327"/>
      <c r="L81" s="343"/>
      <c r="M81" s="341"/>
      <c r="N81" s="326"/>
      <c r="O81" s="327"/>
      <c r="P81" s="328"/>
      <c r="Q81" s="328"/>
      <c r="R81" s="326"/>
      <c r="S81" s="327"/>
      <c r="T81" s="328"/>
      <c r="U81" s="328"/>
      <c r="V81" s="326"/>
      <c r="W81" s="327"/>
      <c r="X81" s="328"/>
      <c r="Y81" s="328"/>
      <c r="Z81" s="326"/>
      <c r="AA81" s="327"/>
      <c r="AB81" s="328"/>
      <c r="AC81" s="328"/>
      <c r="AD81" s="326"/>
      <c r="AE81" s="732"/>
      <c r="AF81" s="732"/>
      <c r="AG81" s="732"/>
      <c r="AH81" s="732"/>
      <c r="AI81" s="359">
        <f t="shared" si="7"/>
        <v>0</v>
      </c>
      <c r="AJ81" s="315">
        <f t="shared" si="8"/>
        <v>0</v>
      </c>
      <c r="AK81" s="315"/>
      <c r="AL81" s="315"/>
      <c r="AM81" s="315"/>
    </row>
    <row r="82" spans="1:39" ht="13.5" thickBot="1" x14ac:dyDescent="0.25">
      <c r="B82" s="1122" t="s">
        <v>96</v>
      </c>
      <c r="C82" s="1123"/>
      <c r="D82" s="1124"/>
      <c r="E82" s="369">
        <v>0</v>
      </c>
      <c r="F82" s="371">
        <v>1599</v>
      </c>
      <c r="G82" s="373">
        <v>1599</v>
      </c>
      <c r="H82" s="1151"/>
      <c r="K82" s="327"/>
      <c r="L82" s="328"/>
      <c r="M82" s="455">
        <v>800</v>
      </c>
      <c r="N82" s="455">
        <v>799</v>
      </c>
      <c r="O82" s="2"/>
      <c r="P82" s="328"/>
      <c r="Q82" s="328"/>
      <c r="R82" s="326"/>
      <c r="S82" s="327"/>
      <c r="T82" s="328"/>
      <c r="U82" s="328"/>
      <c r="V82" s="326"/>
      <c r="W82" s="327"/>
      <c r="X82" s="328"/>
      <c r="Y82" s="328"/>
      <c r="Z82" s="326"/>
      <c r="AA82" s="327"/>
      <c r="AB82" s="328"/>
      <c r="AC82" s="328"/>
      <c r="AD82" s="326"/>
      <c r="AE82" s="732"/>
      <c r="AF82" s="732"/>
      <c r="AG82" s="732"/>
      <c r="AH82" s="732"/>
      <c r="AI82" s="359">
        <f t="shared" si="7"/>
        <v>1599</v>
      </c>
      <c r="AJ82" s="315">
        <f t="shared" si="8"/>
        <v>0</v>
      </c>
      <c r="AK82" s="315"/>
      <c r="AL82" s="315"/>
      <c r="AM82" s="315"/>
    </row>
    <row r="83" spans="1:39" ht="13.5" thickBot="1" x14ac:dyDescent="0.25">
      <c r="B83" s="1120" t="s">
        <v>91</v>
      </c>
      <c r="C83" s="1120"/>
      <c r="D83" s="1121"/>
      <c r="E83" s="394">
        <v>0</v>
      </c>
      <c r="F83" s="391">
        <v>1599</v>
      </c>
      <c r="G83" s="395">
        <v>1599</v>
      </c>
      <c r="H83" s="1152"/>
      <c r="K83" s="327"/>
      <c r="L83" s="328"/>
      <c r="M83" s="328"/>
      <c r="N83" s="326"/>
      <c r="O83" s="327"/>
      <c r="P83" s="328"/>
      <c r="Q83" s="328"/>
      <c r="R83" s="326"/>
      <c r="S83" s="327"/>
      <c r="T83" s="328"/>
      <c r="U83" s="328"/>
      <c r="V83" s="326"/>
      <c r="W83" s="327"/>
      <c r="X83" s="328"/>
      <c r="Y83" s="328"/>
      <c r="Z83" s="326"/>
      <c r="AA83" s="327"/>
      <c r="AB83" s="328"/>
      <c r="AC83" s="328"/>
      <c r="AD83" s="326"/>
      <c r="AE83" s="732"/>
      <c r="AF83" s="732"/>
      <c r="AG83" s="732"/>
      <c r="AH83" s="732"/>
      <c r="AI83" s="359">
        <f t="shared" si="7"/>
        <v>0</v>
      </c>
      <c r="AJ83" s="315">
        <f t="shared" si="8"/>
        <v>-1599</v>
      </c>
      <c r="AK83" s="315"/>
      <c r="AL83" s="315"/>
      <c r="AM83" s="315"/>
    </row>
    <row r="84" spans="1:39" s="244" customFormat="1" ht="12.75" customHeight="1" thickBot="1" x14ac:dyDescent="0.25">
      <c r="A84" s="135"/>
      <c r="B84" s="1217" t="s">
        <v>185</v>
      </c>
      <c r="C84" s="1218"/>
      <c r="D84" s="1218"/>
      <c r="E84" s="769"/>
      <c r="F84" s="769"/>
      <c r="G84" s="769"/>
      <c r="H84" s="769"/>
      <c r="I84" s="769"/>
      <c r="J84" s="769"/>
      <c r="K84" s="1162">
        <f>SUM(K85:N89)</f>
        <v>1192</v>
      </c>
      <c r="L84" s="1163"/>
      <c r="M84" s="1163"/>
      <c r="N84" s="1163"/>
      <c r="O84" s="1162">
        <f>SUM(O85:R89)</f>
        <v>0</v>
      </c>
      <c r="P84" s="1163"/>
      <c r="Q84" s="1163"/>
      <c r="R84" s="1163"/>
      <c r="S84" s="1162">
        <f>SUM(S85:V89)</f>
        <v>0</v>
      </c>
      <c r="T84" s="1163"/>
      <c r="U84" s="1163"/>
      <c r="V84" s="1163"/>
      <c r="W84" s="1162">
        <f>SUM(W85:Z89)</f>
        <v>0</v>
      </c>
      <c r="X84" s="1163"/>
      <c r="Y84" s="1163"/>
      <c r="Z84" s="1163"/>
      <c r="AA84" s="1162">
        <f>SUM(AA85:AD89)</f>
        <v>0</v>
      </c>
      <c r="AB84" s="1163"/>
      <c r="AC84" s="1163"/>
      <c r="AD84" s="1163"/>
      <c r="AE84" s="1162">
        <f>SUM(AE85:AH89)</f>
        <v>0</v>
      </c>
      <c r="AF84" s="1163"/>
      <c r="AG84" s="1163"/>
      <c r="AH84" s="1163"/>
      <c r="AI84" s="359">
        <f t="shared" si="7"/>
        <v>1192</v>
      </c>
      <c r="AJ84" s="315">
        <f t="shared" si="8"/>
        <v>1192</v>
      </c>
      <c r="AK84" s="315"/>
      <c r="AL84" s="315"/>
      <c r="AM84" s="315"/>
    </row>
    <row r="85" spans="1:39" ht="11.25" customHeight="1" thickBot="1" x14ac:dyDescent="0.25">
      <c r="B85" s="1122" t="s">
        <v>93</v>
      </c>
      <c r="C85" s="1122"/>
      <c r="D85" s="1122"/>
      <c r="E85" s="384">
        <v>0</v>
      </c>
      <c r="F85" s="387"/>
      <c r="G85" s="377">
        <v>0</v>
      </c>
      <c r="H85" s="1150" t="s">
        <v>97</v>
      </c>
      <c r="I85" s="304"/>
      <c r="J85" s="304"/>
      <c r="K85" s="431"/>
      <c r="L85" s="571"/>
      <c r="M85" s="341"/>
      <c r="N85" s="330"/>
      <c r="O85" s="321"/>
      <c r="P85" s="328"/>
      <c r="Q85" s="328"/>
      <c r="R85" s="326"/>
      <c r="S85" s="327"/>
      <c r="T85" s="328"/>
      <c r="U85" s="328"/>
      <c r="V85" s="326"/>
      <c r="W85" s="327"/>
      <c r="X85" s="328"/>
      <c r="Y85" s="328"/>
      <c r="Z85" s="326"/>
      <c r="AA85" s="327"/>
      <c r="AB85" s="328"/>
      <c r="AC85" s="328"/>
      <c r="AD85" s="326"/>
      <c r="AE85" s="732"/>
      <c r="AF85" s="732"/>
      <c r="AG85" s="732"/>
      <c r="AH85" s="732"/>
      <c r="AI85" s="359">
        <f t="shared" si="7"/>
        <v>0</v>
      </c>
      <c r="AJ85" s="315">
        <f t="shared" si="8"/>
        <v>0</v>
      </c>
      <c r="AK85" s="315"/>
      <c r="AL85" s="315"/>
      <c r="AM85" s="315"/>
    </row>
    <row r="86" spans="1:39" ht="13.5" thickBot="1" x14ac:dyDescent="0.25">
      <c r="B86" s="1122" t="s">
        <v>94</v>
      </c>
      <c r="C86" s="1123"/>
      <c r="D86" s="1124"/>
      <c r="E86" s="369">
        <v>0</v>
      </c>
      <c r="F86" s="371"/>
      <c r="G86" s="373">
        <v>0</v>
      </c>
      <c r="H86" s="1151"/>
      <c r="K86" s="428"/>
      <c r="L86" s="2"/>
      <c r="M86" s="340"/>
      <c r="N86" s="326"/>
      <c r="O86" s="327"/>
      <c r="P86" s="328"/>
      <c r="Q86" s="328"/>
      <c r="R86" s="326"/>
      <c r="S86" s="327"/>
      <c r="T86" s="328"/>
      <c r="U86" s="328"/>
      <c r="V86" s="326"/>
      <c r="W86" s="327"/>
      <c r="X86" s="328"/>
      <c r="Y86" s="328"/>
      <c r="Z86" s="326"/>
      <c r="AA86" s="327"/>
      <c r="AB86" s="328"/>
      <c r="AC86" s="328"/>
      <c r="AD86" s="326"/>
      <c r="AE86" s="732"/>
      <c r="AF86" s="732"/>
      <c r="AG86" s="732"/>
      <c r="AH86" s="732"/>
      <c r="AI86" s="359">
        <f t="shared" si="7"/>
        <v>0</v>
      </c>
      <c r="AJ86" s="315">
        <f t="shared" si="8"/>
        <v>0</v>
      </c>
      <c r="AK86" s="315"/>
      <c r="AL86" s="315"/>
      <c r="AM86" s="315"/>
    </row>
    <row r="87" spans="1:39" ht="13.5" thickBot="1" x14ac:dyDescent="0.25">
      <c r="B87" s="1122" t="s">
        <v>95</v>
      </c>
      <c r="C87" s="1123"/>
      <c r="D87" s="1124"/>
      <c r="E87" s="369">
        <v>0</v>
      </c>
      <c r="F87" s="371"/>
      <c r="G87" s="373">
        <v>0</v>
      </c>
      <c r="H87" s="1151"/>
      <c r="K87" s="327"/>
      <c r="L87" s="343"/>
      <c r="M87" s="341"/>
      <c r="N87" s="326"/>
      <c r="O87" s="327"/>
      <c r="P87" s="328"/>
      <c r="Q87" s="328"/>
      <c r="R87" s="326"/>
      <c r="S87" s="327"/>
      <c r="T87" s="328"/>
      <c r="U87" s="328"/>
      <c r="V87" s="326"/>
      <c r="W87" s="327"/>
      <c r="X87" s="328"/>
      <c r="Y87" s="328"/>
      <c r="Z87" s="326"/>
      <c r="AA87" s="327"/>
      <c r="AB87" s="328"/>
      <c r="AC87" s="328"/>
      <c r="AD87" s="326"/>
      <c r="AE87" s="732"/>
      <c r="AF87" s="732"/>
      <c r="AG87" s="732"/>
      <c r="AH87" s="732"/>
      <c r="AI87" s="359">
        <f t="shared" si="7"/>
        <v>0</v>
      </c>
      <c r="AJ87" s="315">
        <f t="shared" si="8"/>
        <v>0</v>
      </c>
      <c r="AK87" s="315"/>
      <c r="AL87" s="315"/>
      <c r="AM87" s="315"/>
    </row>
    <row r="88" spans="1:39" ht="13.5" thickBot="1" x14ac:dyDescent="0.25">
      <c r="B88" s="1122" t="s">
        <v>96</v>
      </c>
      <c r="C88" s="1123"/>
      <c r="D88" s="1124"/>
      <c r="E88" s="369">
        <v>0</v>
      </c>
      <c r="F88" s="371">
        <v>1192</v>
      </c>
      <c r="G88" s="373">
        <v>1192</v>
      </c>
      <c r="H88" s="1151"/>
      <c r="K88" s="327"/>
      <c r="L88" s="328"/>
      <c r="M88" s="455">
        <v>600</v>
      </c>
      <c r="N88" s="455">
        <v>592</v>
      </c>
      <c r="O88" s="2"/>
      <c r="P88" s="328"/>
      <c r="Q88" s="328"/>
      <c r="R88" s="326"/>
      <c r="S88" s="327"/>
      <c r="T88" s="328"/>
      <c r="U88" s="328"/>
      <c r="V88" s="326"/>
      <c r="W88" s="327"/>
      <c r="X88" s="328"/>
      <c r="Y88" s="328"/>
      <c r="Z88" s="326"/>
      <c r="AA88" s="327"/>
      <c r="AB88" s="328"/>
      <c r="AC88" s="328"/>
      <c r="AD88" s="326"/>
      <c r="AE88" s="732"/>
      <c r="AF88" s="732"/>
      <c r="AG88" s="732"/>
      <c r="AH88" s="732"/>
      <c r="AI88" s="359">
        <f t="shared" si="7"/>
        <v>1192</v>
      </c>
      <c r="AJ88" s="315">
        <f t="shared" si="8"/>
        <v>0</v>
      </c>
      <c r="AK88" s="315"/>
      <c r="AL88" s="315"/>
      <c r="AM88" s="315"/>
    </row>
    <row r="89" spans="1:39" ht="13.5" thickBot="1" x14ac:dyDescent="0.25">
      <c r="B89" s="1120" t="s">
        <v>91</v>
      </c>
      <c r="C89" s="1120"/>
      <c r="D89" s="1121"/>
      <c r="E89" s="394">
        <v>0</v>
      </c>
      <c r="F89" s="391">
        <v>1192</v>
      </c>
      <c r="G89" s="395">
        <v>1192</v>
      </c>
      <c r="H89" s="1152"/>
      <c r="K89" s="327"/>
      <c r="L89" s="328"/>
      <c r="M89" s="328"/>
      <c r="N89" s="326"/>
      <c r="O89" s="327"/>
      <c r="P89" s="328"/>
      <c r="Q89" s="328"/>
      <c r="R89" s="326"/>
      <c r="S89" s="327"/>
      <c r="T89" s="328"/>
      <c r="U89" s="328"/>
      <c r="V89" s="326"/>
      <c r="W89" s="327"/>
      <c r="X89" s="328"/>
      <c r="Y89" s="328"/>
      <c r="Z89" s="326"/>
      <c r="AA89" s="327"/>
      <c r="AB89" s="328"/>
      <c r="AC89" s="328"/>
      <c r="AD89" s="326"/>
      <c r="AE89" s="732"/>
      <c r="AF89" s="732"/>
      <c r="AG89" s="732"/>
      <c r="AH89" s="732"/>
      <c r="AI89" s="359">
        <f t="shared" si="7"/>
        <v>0</v>
      </c>
      <c r="AJ89" s="315">
        <f t="shared" si="8"/>
        <v>-1192</v>
      </c>
      <c r="AK89" s="315"/>
      <c r="AL89" s="315"/>
      <c r="AM89" s="315"/>
    </row>
    <row r="90" spans="1:39" s="244" customFormat="1" ht="12.75" customHeight="1" thickBot="1" x14ac:dyDescent="0.25">
      <c r="A90" s="135"/>
      <c r="B90" s="1217" t="s">
        <v>186</v>
      </c>
      <c r="C90" s="1218"/>
      <c r="D90" s="1218"/>
      <c r="E90" s="769"/>
      <c r="F90" s="769"/>
      <c r="G90" s="769"/>
      <c r="H90" s="769"/>
      <c r="I90" s="769"/>
      <c r="J90" s="769"/>
      <c r="K90" s="1162">
        <f>SUM(K91:N95)</f>
        <v>264</v>
      </c>
      <c r="L90" s="1163"/>
      <c r="M90" s="1163"/>
      <c r="N90" s="1163"/>
      <c r="O90" s="1162">
        <f>SUM(O91:R95)</f>
        <v>0</v>
      </c>
      <c r="P90" s="1163"/>
      <c r="Q90" s="1163"/>
      <c r="R90" s="1163"/>
      <c r="S90" s="1162">
        <f>SUM(S91:V95)</f>
        <v>0</v>
      </c>
      <c r="T90" s="1163"/>
      <c r="U90" s="1163"/>
      <c r="V90" s="1163"/>
      <c r="W90" s="1162">
        <f>SUM(W91:Z95)</f>
        <v>0</v>
      </c>
      <c r="X90" s="1163"/>
      <c r="Y90" s="1163"/>
      <c r="Z90" s="1163"/>
      <c r="AA90" s="1162">
        <f>SUM(AA91:AD95)</f>
        <v>0</v>
      </c>
      <c r="AB90" s="1163"/>
      <c r="AC90" s="1163"/>
      <c r="AD90" s="1163"/>
      <c r="AE90" s="1162">
        <f>SUM(AE91:AH95)</f>
        <v>0</v>
      </c>
      <c r="AF90" s="1163"/>
      <c r="AG90" s="1163"/>
      <c r="AH90" s="1163"/>
      <c r="AI90" s="359">
        <f t="shared" si="7"/>
        <v>264</v>
      </c>
      <c r="AJ90" s="315">
        <f t="shared" si="8"/>
        <v>264</v>
      </c>
      <c r="AK90" s="315"/>
      <c r="AL90" s="315"/>
      <c r="AM90" s="315"/>
    </row>
    <row r="91" spans="1:39" ht="11.25" customHeight="1" thickBot="1" x14ac:dyDescent="0.25">
      <c r="B91" s="1122" t="s">
        <v>93</v>
      </c>
      <c r="C91" s="1122"/>
      <c r="D91" s="1122"/>
      <c r="E91" s="384"/>
      <c r="F91" s="387"/>
      <c r="G91" s="377">
        <v>0</v>
      </c>
      <c r="H91" s="1150" t="s">
        <v>97</v>
      </c>
      <c r="I91" s="304"/>
      <c r="J91" s="304"/>
      <c r="K91" s="431"/>
      <c r="L91" s="571"/>
      <c r="M91" s="571"/>
      <c r="N91" s="342"/>
      <c r="O91" s="321"/>
      <c r="P91" s="328"/>
      <c r="Q91" s="328"/>
      <c r="R91" s="326"/>
      <c r="S91" s="327"/>
      <c r="T91" s="328"/>
      <c r="U91" s="328"/>
      <c r="V91" s="326"/>
      <c r="W91" s="327"/>
      <c r="X91" s="328"/>
      <c r="Y91" s="328"/>
      <c r="Z91" s="326"/>
      <c r="AA91" s="327"/>
      <c r="AB91" s="328"/>
      <c r="AC91" s="328"/>
      <c r="AD91" s="326"/>
      <c r="AE91" s="732"/>
      <c r="AF91" s="732"/>
      <c r="AG91" s="732"/>
      <c r="AH91" s="732"/>
      <c r="AI91" s="359">
        <f t="shared" si="7"/>
        <v>0</v>
      </c>
      <c r="AJ91" s="315">
        <f t="shared" si="8"/>
        <v>0</v>
      </c>
      <c r="AK91" s="315"/>
      <c r="AL91" s="315"/>
      <c r="AM91" s="315"/>
    </row>
    <row r="92" spans="1:39" ht="13.5" thickBot="1" x14ac:dyDescent="0.25">
      <c r="B92" s="1122" t="s">
        <v>94</v>
      </c>
      <c r="C92" s="1123"/>
      <c r="D92" s="1124"/>
      <c r="E92" s="369"/>
      <c r="F92" s="371"/>
      <c r="G92" s="373"/>
      <c r="H92" s="1151"/>
      <c r="K92" s="428"/>
      <c r="L92" s="2"/>
      <c r="M92" s="451"/>
      <c r="N92" s="445"/>
      <c r="O92" s="327"/>
      <c r="P92" s="328"/>
      <c r="Q92" s="328"/>
      <c r="R92" s="326"/>
      <c r="S92" s="327"/>
      <c r="T92" s="328"/>
      <c r="U92" s="328"/>
      <c r="V92" s="326"/>
      <c r="W92" s="327"/>
      <c r="X92" s="328"/>
      <c r="Y92" s="328"/>
      <c r="Z92" s="326"/>
      <c r="AA92" s="327"/>
      <c r="AB92" s="328"/>
      <c r="AC92" s="328"/>
      <c r="AD92" s="326"/>
      <c r="AE92" s="732"/>
      <c r="AF92" s="732"/>
      <c r="AG92" s="732"/>
      <c r="AH92" s="732"/>
      <c r="AI92" s="359">
        <f t="shared" si="7"/>
        <v>0</v>
      </c>
      <c r="AJ92" s="315">
        <f t="shared" si="8"/>
        <v>0</v>
      </c>
      <c r="AK92" s="315"/>
      <c r="AL92" s="315"/>
      <c r="AM92" s="315"/>
    </row>
    <row r="93" spans="1:39" ht="13.5" thickBot="1" x14ac:dyDescent="0.25">
      <c r="B93" s="1122" t="s">
        <v>95</v>
      </c>
      <c r="C93" s="1123"/>
      <c r="D93" s="1124"/>
      <c r="E93" s="369"/>
      <c r="F93" s="371"/>
      <c r="G93" s="373"/>
      <c r="H93" s="1151"/>
      <c r="K93" s="327"/>
      <c r="L93" s="343"/>
      <c r="M93" s="328"/>
      <c r="N93" s="342"/>
      <c r="O93" s="327"/>
      <c r="P93" s="328"/>
      <c r="Q93" s="328"/>
      <c r="R93" s="326"/>
      <c r="S93" s="327"/>
      <c r="T93" s="328"/>
      <c r="U93" s="328"/>
      <c r="V93" s="326"/>
      <c r="W93" s="327"/>
      <c r="X93" s="328"/>
      <c r="Y93" s="328"/>
      <c r="Z93" s="326"/>
      <c r="AA93" s="327"/>
      <c r="AB93" s="328"/>
      <c r="AC93" s="328"/>
      <c r="AD93" s="326"/>
      <c r="AE93" s="732"/>
      <c r="AF93" s="732"/>
      <c r="AG93" s="732"/>
      <c r="AH93" s="732"/>
      <c r="AI93" s="359">
        <f t="shared" si="7"/>
        <v>0</v>
      </c>
      <c r="AJ93" s="315">
        <f t="shared" si="8"/>
        <v>0</v>
      </c>
      <c r="AK93" s="315"/>
      <c r="AL93" s="315"/>
      <c r="AM93" s="315"/>
    </row>
    <row r="94" spans="1:39" ht="13.5" thickBot="1" x14ac:dyDescent="0.25">
      <c r="B94" s="1122" t="s">
        <v>96</v>
      </c>
      <c r="C94" s="1123"/>
      <c r="D94" s="1124"/>
      <c r="E94" s="369"/>
      <c r="F94" s="371">
        <v>264</v>
      </c>
      <c r="G94" s="373">
        <v>264</v>
      </c>
      <c r="H94" s="1151"/>
      <c r="K94" s="327"/>
      <c r="L94" s="328"/>
      <c r="M94" s="455">
        <v>264</v>
      </c>
      <c r="N94" s="326"/>
      <c r="O94" s="2"/>
      <c r="P94" s="328"/>
      <c r="Q94" s="328"/>
      <c r="R94" s="326"/>
      <c r="S94" s="327"/>
      <c r="T94" s="328"/>
      <c r="U94" s="328"/>
      <c r="V94" s="326"/>
      <c r="W94" s="327"/>
      <c r="X94" s="328"/>
      <c r="Y94" s="328"/>
      <c r="Z94" s="326"/>
      <c r="AA94" s="327"/>
      <c r="AB94" s="328"/>
      <c r="AC94" s="328"/>
      <c r="AD94" s="326"/>
      <c r="AE94" s="732"/>
      <c r="AF94" s="732"/>
      <c r="AG94" s="732"/>
      <c r="AH94" s="732"/>
      <c r="AI94" s="359">
        <f t="shared" si="7"/>
        <v>264</v>
      </c>
      <c r="AJ94" s="315">
        <f t="shared" si="8"/>
        <v>0</v>
      </c>
      <c r="AK94" s="315"/>
      <c r="AL94" s="315"/>
      <c r="AM94" s="315"/>
    </row>
    <row r="95" spans="1:39" ht="13.5" thickBot="1" x14ac:dyDescent="0.25">
      <c r="B95" s="1120" t="s">
        <v>91</v>
      </c>
      <c r="C95" s="1120"/>
      <c r="D95" s="1121"/>
      <c r="E95" s="394"/>
      <c r="F95" s="391">
        <v>264</v>
      </c>
      <c r="G95" s="395">
        <v>264</v>
      </c>
      <c r="H95" s="1152"/>
      <c r="K95" s="327"/>
      <c r="L95" s="328"/>
      <c r="M95" s="328"/>
      <c r="N95" s="326"/>
      <c r="O95" s="327"/>
      <c r="P95" s="328"/>
      <c r="Q95" s="328"/>
      <c r="R95" s="326"/>
      <c r="S95" s="327"/>
      <c r="T95" s="328"/>
      <c r="U95" s="328"/>
      <c r="V95" s="326"/>
      <c r="W95" s="327"/>
      <c r="X95" s="328"/>
      <c r="Y95" s="328"/>
      <c r="Z95" s="326"/>
      <c r="AA95" s="327"/>
      <c r="AB95" s="328"/>
      <c r="AC95" s="328"/>
      <c r="AD95" s="326"/>
      <c r="AE95" s="732"/>
      <c r="AF95" s="732"/>
      <c r="AG95" s="732"/>
      <c r="AH95" s="732"/>
      <c r="AI95" s="359">
        <f t="shared" si="7"/>
        <v>0</v>
      </c>
      <c r="AJ95" s="315">
        <f t="shared" si="8"/>
        <v>-264</v>
      </c>
      <c r="AK95" s="315"/>
      <c r="AL95" s="315"/>
      <c r="AM95" s="315"/>
    </row>
    <row r="96" spans="1:39" s="244" customFormat="1" ht="12.75" customHeight="1" thickBot="1" x14ac:dyDescent="0.25">
      <c r="A96" s="135"/>
      <c r="B96" s="1217" t="s">
        <v>187</v>
      </c>
      <c r="C96" s="1218"/>
      <c r="D96" s="1218"/>
      <c r="E96" s="769"/>
      <c r="F96" s="769"/>
      <c r="G96" s="769"/>
      <c r="H96" s="769"/>
      <c r="I96" s="769"/>
      <c r="J96" s="769"/>
      <c r="K96" s="1162">
        <f>SUM(K97:N101)</f>
        <v>439</v>
      </c>
      <c r="L96" s="1163"/>
      <c r="M96" s="1163"/>
      <c r="N96" s="1163"/>
      <c r="O96" s="1162">
        <f>SUM(O97:R101)</f>
        <v>0</v>
      </c>
      <c r="P96" s="1163"/>
      <c r="Q96" s="1163"/>
      <c r="R96" s="1163"/>
      <c r="S96" s="1162">
        <f>SUM(S97:V101)</f>
        <v>0</v>
      </c>
      <c r="T96" s="1163"/>
      <c r="U96" s="1163"/>
      <c r="V96" s="1163"/>
      <c r="W96" s="1162">
        <f>SUM(W97:Z101)</f>
        <v>0</v>
      </c>
      <c r="X96" s="1163"/>
      <c r="Y96" s="1163"/>
      <c r="Z96" s="1163"/>
      <c r="AA96" s="1162">
        <f>SUM(AA97:AD101)</f>
        <v>0</v>
      </c>
      <c r="AB96" s="1163"/>
      <c r="AC96" s="1163"/>
      <c r="AD96" s="1163"/>
      <c r="AE96" s="1162">
        <f>SUM(AE97:AH101)</f>
        <v>0</v>
      </c>
      <c r="AF96" s="1163"/>
      <c r="AG96" s="1163"/>
      <c r="AH96" s="1163"/>
      <c r="AI96" s="359">
        <f t="shared" si="7"/>
        <v>439</v>
      </c>
      <c r="AJ96" s="315">
        <f t="shared" si="8"/>
        <v>439</v>
      </c>
      <c r="AK96" s="315"/>
      <c r="AL96" s="315"/>
      <c r="AM96" s="315"/>
    </row>
    <row r="97" spans="1:39" ht="11.25" customHeight="1" thickBot="1" x14ac:dyDescent="0.25">
      <c r="B97" s="1122" t="s">
        <v>93</v>
      </c>
      <c r="C97" s="1122"/>
      <c r="D97" s="1122"/>
      <c r="E97" s="384"/>
      <c r="F97" s="387"/>
      <c r="G97" s="377">
        <v>0</v>
      </c>
      <c r="H97" s="1150" t="s">
        <v>97</v>
      </c>
      <c r="I97" s="349"/>
      <c r="J97" s="349"/>
      <c r="K97" s="431"/>
      <c r="L97" s="571"/>
      <c r="M97" s="341"/>
      <c r="N97" s="330"/>
      <c r="O97" s="327"/>
      <c r="P97" s="328"/>
      <c r="Q97" s="328"/>
      <c r="R97" s="326"/>
      <c r="S97" s="327"/>
      <c r="T97" s="328"/>
      <c r="U97" s="328"/>
      <c r="V97" s="326"/>
      <c r="W97" s="327"/>
      <c r="X97" s="328"/>
      <c r="Y97" s="328"/>
      <c r="Z97" s="326"/>
      <c r="AA97" s="327"/>
      <c r="AB97" s="328"/>
      <c r="AC97" s="328"/>
      <c r="AD97" s="326"/>
      <c r="AE97" s="732"/>
      <c r="AF97" s="732"/>
      <c r="AG97" s="732"/>
      <c r="AH97" s="732"/>
      <c r="AI97" s="359">
        <f t="shared" si="7"/>
        <v>0</v>
      </c>
      <c r="AJ97" s="315">
        <f t="shared" si="8"/>
        <v>0</v>
      </c>
      <c r="AK97" s="315"/>
      <c r="AL97" s="315"/>
      <c r="AM97" s="315"/>
    </row>
    <row r="98" spans="1:39" ht="13.5" thickBot="1" x14ac:dyDescent="0.25">
      <c r="B98" s="1122" t="s">
        <v>94</v>
      </c>
      <c r="C98" s="1123"/>
      <c r="D98" s="1124"/>
      <c r="E98" s="369"/>
      <c r="F98" s="371"/>
      <c r="G98" s="373"/>
      <c r="H98" s="1151"/>
      <c r="I98" s="350"/>
      <c r="J98" s="350"/>
      <c r="K98" s="428"/>
      <c r="L98" s="2"/>
      <c r="M98" s="340"/>
      <c r="N98" s="326"/>
      <c r="O98" s="327"/>
      <c r="P98" s="328"/>
      <c r="Q98" s="328"/>
      <c r="R98" s="326"/>
      <c r="S98" s="327"/>
      <c r="T98" s="328"/>
      <c r="U98" s="328"/>
      <c r="V98" s="326"/>
      <c r="W98" s="327"/>
      <c r="X98" s="328"/>
      <c r="Y98" s="328"/>
      <c r="Z98" s="326"/>
      <c r="AA98" s="327"/>
      <c r="AB98" s="328"/>
      <c r="AC98" s="328"/>
      <c r="AD98" s="326"/>
      <c r="AE98" s="732"/>
      <c r="AF98" s="732"/>
      <c r="AG98" s="732"/>
      <c r="AH98" s="732"/>
      <c r="AI98" s="359">
        <f t="shared" si="7"/>
        <v>0</v>
      </c>
      <c r="AJ98" s="315">
        <f t="shared" si="8"/>
        <v>0</v>
      </c>
      <c r="AK98" s="315"/>
      <c r="AL98" s="315"/>
      <c r="AM98" s="315"/>
    </row>
    <row r="99" spans="1:39" ht="13.5" thickBot="1" x14ac:dyDescent="0.25">
      <c r="B99" s="1122" t="s">
        <v>95</v>
      </c>
      <c r="C99" s="1123"/>
      <c r="D99" s="1124"/>
      <c r="E99" s="369"/>
      <c r="F99" s="371"/>
      <c r="G99" s="373"/>
      <c r="H99" s="1151"/>
      <c r="I99" s="350"/>
      <c r="J99" s="350"/>
      <c r="K99" s="327"/>
      <c r="L99" s="343"/>
      <c r="M99" s="341"/>
      <c r="N99" s="326"/>
      <c r="O99" s="327"/>
      <c r="P99" s="328"/>
      <c r="Q99" s="328"/>
      <c r="R99" s="326"/>
      <c r="S99" s="327"/>
      <c r="T99" s="328"/>
      <c r="U99" s="328"/>
      <c r="V99" s="326"/>
      <c r="W99" s="327"/>
      <c r="X99" s="328"/>
      <c r="Y99" s="328"/>
      <c r="Z99" s="326"/>
      <c r="AA99" s="327"/>
      <c r="AB99" s="328"/>
      <c r="AC99" s="328"/>
      <c r="AD99" s="326"/>
      <c r="AE99" s="732"/>
      <c r="AF99" s="732"/>
      <c r="AG99" s="732"/>
      <c r="AH99" s="732"/>
      <c r="AI99" s="359">
        <f t="shared" si="7"/>
        <v>0</v>
      </c>
      <c r="AJ99" s="315">
        <f t="shared" si="8"/>
        <v>0</v>
      </c>
      <c r="AK99" s="315"/>
      <c r="AL99" s="315"/>
      <c r="AM99" s="315"/>
    </row>
    <row r="100" spans="1:39" ht="13.5" thickBot="1" x14ac:dyDescent="0.25">
      <c r="B100" s="1122" t="s">
        <v>96</v>
      </c>
      <c r="C100" s="1123"/>
      <c r="D100" s="1124"/>
      <c r="E100" s="369"/>
      <c r="F100" s="371">
        <v>439</v>
      </c>
      <c r="G100" s="373">
        <v>439</v>
      </c>
      <c r="H100" s="1151"/>
      <c r="K100" s="327"/>
      <c r="L100" s="328"/>
      <c r="M100" s="455">
        <v>439</v>
      </c>
      <c r="N100" s="2"/>
      <c r="O100" s="327"/>
      <c r="P100" s="328"/>
      <c r="Q100" s="328"/>
      <c r="R100" s="326"/>
      <c r="S100" s="327"/>
      <c r="T100" s="328"/>
      <c r="U100" s="328"/>
      <c r="V100" s="326"/>
      <c r="W100" s="327"/>
      <c r="X100" s="328"/>
      <c r="Y100" s="328"/>
      <c r="Z100" s="326"/>
      <c r="AA100" s="327"/>
      <c r="AB100" s="328"/>
      <c r="AC100" s="328"/>
      <c r="AD100" s="326"/>
      <c r="AE100" s="732"/>
      <c r="AF100" s="732"/>
      <c r="AG100" s="732"/>
      <c r="AH100" s="732"/>
      <c r="AI100" s="359">
        <f t="shared" si="7"/>
        <v>439</v>
      </c>
      <c r="AJ100" s="315">
        <f t="shared" si="8"/>
        <v>0</v>
      </c>
      <c r="AK100" s="315"/>
      <c r="AL100" s="315"/>
      <c r="AM100" s="315"/>
    </row>
    <row r="101" spans="1:39" ht="13.5" thickBot="1" x14ac:dyDescent="0.25">
      <c r="B101" s="1120" t="s">
        <v>91</v>
      </c>
      <c r="C101" s="1120"/>
      <c r="D101" s="1121"/>
      <c r="E101" s="394"/>
      <c r="F101" s="391">
        <v>439</v>
      </c>
      <c r="G101" s="395">
        <v>439</v>
      </c>
      <c r="H101" s="1152"/>
      <c r="K101" s="327"/>
      <c r="L101" s="328"/>
      <c r="M101" s="328"/>
      <c r="N101" s="326"/>
      <c r="O101" s="327"/>
      <c r="P101" s="328"/>
      <c r="Q101" s="328"/>
      <c r="R101" s="326"/>
      <c r="S101" s="327"/>
      <c r="T101" s="328"/>
      <c r="U101" s="328"/>
      <c r="V101" s="326"/>
      <c r="W101" s="327"/>
      <c r="X101" s="328"/>
      <c r="Y101" s="328"/>
      <c r="Z101" s="326"/>
      <c r="AA101" s="327"/>
      <c r="AB101" s="328"/>
      <c r="AC101" s="328"/>
      <c r="AD101" s="326"/>
      <c r="AE101" s="732"/>
      <c r="AF101" s="732"/>
      <c r="AG101" s="732"/>
      <c r="AH101" s="732"/>
      <c r="AI101" s="359">
        <f t="shared" si="7"/>
        <v>0</v>
      </c>
      <c r="AJ101" s="315">
        <f t="shared" si="8"/>
        <v>-439</v>
      </c>
      <c r="AK101" s="315"/>
      <c r="AL101" s="315"/>
      <c r="AM101" s="315"/>
    </row>
    <row r="102" spans="1:39" s="244" customFormat="1" ht="12.75" customHeight="1" thickBot="1" x14ac:dyDescent="0.25">
      <c r="A102" s="135"/>
      <c r="B102" s="1217" t="s">
        <v>188</v>
      </c>
      <c r="C102" s="1218"/>
      <c r="D102" s="1218"/>
      <c r="E102" s="769"/>
      <c r="F102" s="769"/>
      <c r="G102" s="769"/>
      <c r="H102" s="769"/>
      <c r="I102" s="769"/>
      <c r="J102" s="769"/>
      <c r="K102" s="1162">
        <f>SUM(K103:N107)</f>
        <v>1042</v>
      </c>
      <c r="L102" s="1163"/>
      <c r="M102" s="1163"/>
      <c r="N102" s="1163"/>
      <c r="O102" s="1162">
        <f>SUM(O103:R107)</f>
        <v>0</v>
      </c>
      <c r="P102" s="1163"/>
      <c r="Q102" s="1163"/>
      <c r="R102" s="1163"/>
      <c r="S102" s="1162">
        <f>SUM(S103:V107)</f>
        <v>0</v>
      </c>
      <c r="T102" s="1163"/>
      <c r="U102" s="1163"/>
      <c r="V102" s="1163"/>
      <c r="W102" s="1162">
        <f>SUM(W103:Z107)</f>
        <v>0</v>
      </c>
      <c r="X102" s="1163"/>
      <c r="Y102" s="1163"/>
      <c r="Z102" s="1163"/>
      <c r="AA102" s="1162">
        <f>SUM(AA103:AD107)</f>
        <v>0</v>
      </c>
      <c r="AB102" s="1163"/>
      <c r="AC102" s="1163"/>
      <c r="AD102" s="1163"/>
      <c r="AE102" s="1162">
        <f>SUM(AE103:AH107)</f>
        <v>0</v>
      </c>
      <c r="AF102" s="1163"/>
      <c r="AG102" s="1163"/>
      <c r="AH102" s="1163"/>
      <c r="AI102" s="359">
        <f t="shared" si="7"/>
        <v>1042</v>
      </c>
      <c r="AJ102" s="315">
        <f t="shared" si="8"/>
        <v>1042</v>
      </c>
      <c r="AK102" s="315"/>
      <c r="AL102" s="315"/>
      <c r="AM102" s="315"/>
    </row>
    <row r="103" spans="1:39" ht="11.25" customHeight="1" thickBot="1" x14ac:dyDescent="0.25">
      <c r="B103" s="1122" t="s">
        <v>93</v>
      </c>
      <c r="C103" s="1122"/>
      <c r="D103" s="1122"/>
      <c r="E103" s="384"/>
      <c r="F103" s="387"/>
      <c r="G103" s="377">
        <v>0</v>
      </c>
      <c r="H103" s="1150" t="s">
        <v>97</v>
      </c>
      <c r="I103" s="349"/>
      <c r="J103" s="349"/>
      <c r="K103" s="431"/>
      <c r="L103" s="571"/>
      <c r="M103" s="341"/>
      <c r="N103" s="330"/>
      <c r="O103" s="321"/>
      <c r="P103" s="328"/>
      <c r="Q103" s="328"/>
      <c r="R103" s="326"/>
      <c r="S103" s="327"/>
      <c r="T103" s="328"/>
      <c r="U103" s="328"/>
      <c r="V103" s="330"/>
      <c r="W103" s="327"/>
      <c r="X103" s="328"/>
      <c r="Y103" s="328"/>
      <c r="Z103" s="326"/>
      <c r="AA103" s="327"/>
      <c r="AB103" s="328"/>
      <c r="AC103" s="328"/>
      <c r="AD103" s="326"/>
      <c r="AE103" s="732"/>
      <c r="AF103" s="732"/>
      <c r="AG103" s="732"/>
      <c r="AH103" s="732"/>
      <c r="AI103" s="359">
        <f t="shared" si="7"/>
        <v>0</v>
      </c>
      <c r="AJ103" s="315">
        <f t="shared" si="8"/>
        <v>0</v>
      </c>
      <c r="AK103" s="315"/>
      <c r="AL103" s="315"/>
      <c r="AM103" s="315"/>
    </row>
    <row r="104" spans="1:39" ht="13.5" thickBot="1" x14ac:dyDescent="0.25">
      <c r="B104" s="1122" t="s">
        <v>94</v>
      </c>
      <c r="C104" s="1123"/>
      <c r="D104" s="1124"/>
      <c r="E104" s="369"/>
      <c r="F104" s="371"/>
      <c r="G104" s="373"/>
      <c r="H104" s="1151"/>
      <c r="I104" s="350"/>
      <c r="J104" s="350"/>
      <c r="K104" s="428"/>
      <c r="L104" s="2"/>
      <c r="M104" s="340"/>
      <c r="N104" s="326"/>
      <c r="O104" s="327"/>
      <c r="P104" s="328"/>
      <c r="Q104" s="328"/>
      <c r="R104" s="326"/>
      <c r="S104" s="327"/>
      <c r="T104" s="328"/>
      <c r="U104" s="328"/>
      <c r="V104" s="330"/>
      <c r="W104" s="327"/>
      <c r="X104" s="328"/>
      <c r="Y104" s="328"/>
      <c r="Z104" s="326"/>
      <c r="AA104" s="327"/>
      <c r="AB104" s="328"/>
      <c r="AC104" s="328"/>
      <c r="AD104" s="326"/>
      <c r="AE104" s="732"/>
      <c r="AF104" s="732"/>
      <c r="AG104" s="732"/>
      <c r="AH104" s="732"/>
      <c r="AI104" s="359">
        <f t="shared" si="7"/>
        <v>0</v>
      </c>
      <c r="AJ104" s="315">
        <f t="shared" si="8"/>
        <v>0</v>
      </c>
      <c r="AK104" s="315"/>
      <c r="AL104" s="315"/>
      <c r="AM104" s="315"/>
    </row>
    <row r="105" spans="1:39" ht="13.5" thickBot="1" x14ac:dyDescent="0.25">
      <c r="B105" s="1122" t="s">
        <v>95</v>
      </c>
      <c r="C105" s="1123"/>
      <c r="D105" s="1124"/>
      <c r="E105" s="369"/>
      <c r="F105" s="371"/>
      <c r="G105" s="373"/>
      <c r="H105" s="1151"/>
      <c r="I105" s="350"/>
      <c r="J105" s="350"/>
      <c r="K105" s="327"/>
      <c r="L105" s="343"/>
      <c r="M105" s="341"/>
      <c r="N105" s="326"/>
      <c r="O105" s="327"/>
      <c r="P105" s="328"/>
      <c r="Q105" s="328"/>
      <c r="R105" s="326"/>
      <c r="S105" s="327"/>
      <c r="T105" s="328"/>
      <c r="U105" s="328"/>
      <c r="V105" s="330"/>
      <c r="W105" s="327"/>
      <c r="X105" s="328"/>
      <c r="Y105" s="328"/>
      <c r="Z105" s="326"/>
      <c r="AA105" s="327"/>
      <c r="AB105" s="328"/>
      <c r="AC105" s="328"/>
      <c r="AD105" s="326"/>
      <c r="AE105" s="732"/>
      <c r="AF105" s="732"/>
      <c r="AG105" s="732"/>
      <c r="AH105" s="732"/>
      <c r="AI105" s="359">
        <f t="shared" si="7"/>
        <v>0</v>
      </c>
      <c r="AJ105" s="315">
        <f t="shared" si="8"/>
        <v>0</v>
      </c>
      <c r="AK105" s="315"/>
      <c r="AL105" s="315"/>
      <c r="AM105" s="315"/>
    </row>
    <row r="106" spans="1:39" ht="13.5" thickBot="1" x14ac:dyDescent="0.25">
      <c r="B106" s="1122" t="s">
        <v>96</v>
      </c>
      <c r="C106" s="1123"/>
      <c r="D106" s="1124"/>
      <c r="E106" s="369"/>
      <c r="F106" s="371">
        <v>1042</v>
      </c>
      <c r="G106" s="373">
        <v>1042</v>
      </c>
      <c r="H106" s="1151"/>
      <c r="K106" s="327"/>
      <c r="L106" s="328"/>
      <c r="M106" s="455">
        <v>500</v>
      </c>
      <c r="N106" s="455">
        <v>542</v>
      </c>
      <c r="O106" s="2"/>
      <c r="P106" s="328"/>
      <c r="Q106" s="328"/>
      <c r="R106" s="326"/>
      <c r="S106" s="327"/>
      <c r="T106" s="328"/>
      <c r="U106" s="328"/>
      <c r="V106" s="326"/>
      <c r="W106" s="327"/>
      <c r="X106" s="328"/>
      <c r="Y106" s="328"/>
      <c r="Z106" s="326"/>
      <c r="AA106" s="327"/>
      <c r="AB106" s="328"/>
      <c r="AC106" s="328"/>
      <c r="AD106" s="326"/>
      <c r="AE106" s="732"/>
      <c r="AF106" s="732"/>
      <c r="AG106" s="732"/>
      <c r="AH106" s="732"/>
      <c r="AI106" s="359">
        <f t="shared" si="7"/>
        <v>1042</v>
      </c>
      <c r="AJ106" s="315">
        <f t="shared" si="8"/>
        <v>0</v>
      </c>
      <c r="AK106" s="315"/>
      <c r="AL106" s="315"/>
      <c r="AM106" s="315"/>
    </row>
    <row r="107" spans="1:39" ht="13.5" thickBot="1" x14ac:dyDescent="0.25">
      <c r="B107" s="1120" t="s">
        <v>91</v>
      </c>
      <c r="C107" s="1120"/>
      <c r="D107" s="1121"/>
      <c r="E107" s="394"/>
      <c r="F107" s="391">
        <v>1042</v>
      </c>
      <c r="G107" s="395">
        <v>1042</v>
      </c>
      <c r="H107" s="1253"/>
      <c r="K107" s="438"/>
      <c r="L107" s="439"/>
      <c r="M107" s="439"/>
      <c r="N107" s="440"/>
      <c r="O107" s="438"/>
      <c r="P107" s="439"/>
      <c r="Q107" s="439"/>
      <c r="R107" s="440"/>
      <c r="S107" s="438"/>
      <c r="T107" s="439"/>
      <c r="U107" s="439"/>
      <c r="V107" s="440"/>
      <c r="W107" s="327"/>
      <c r="X107" s="328"/>
      <c r="Y107" s="328"/>
      <c r="Z107" s="326"/>
      <c r="AA107" s="327"/>
      <c r="AB107" s="328"/>
      <c r="AC107" s="328"/>
      <c r="AD107" s="326"/>
      <c r="AE107" s="732"/>
      <c r="AF107" s="732"/>
      <c r="AG107" s="732"/>
      <c r="AH107" s="732"/>
      <c r="AI107" s="359">
        <f t="shared" si="7"/>
        <v>0</v>
      </c>
      <c r="AJ107" s="315">
        <f t="shared" si="8"/>
        <v>-1042</v>
      </c>
      <c r="AK107" s="315"/>
      <c r="AL107" s="315"/>
      <c r="AM107" s="315"/>
    </row>
    <row r="108" spans="1:39" s="629" customFormat="1" ht="15" customHeight="1" thickBot="1" x14ac:dyDescent="0.25">
      <c r="A108" s="622"/>
      <c r="B108" s="759" t="s">
        <v>34</v>
      </c>
      <c r="C108" s="760"/>
      <c r="D108" s="761"/>
      <c r="E108" s="624">
        <f>E114</f>
        <v>0</v>
      </c>
      <c r="F108" s="624">
        <f>F114</f>
        <v>3483</v>
      </c>
      <c r="G108" s="624">
        <f>G114</f>
        <v>3483</v>
      </c>
      <c r="H108" s="625">
        <f>SUM(H110:H114)</f>
        <v>0</v>
      </c>
      <c r="I108" s="623"/>
      <c r="J108" s="623"/>
      <c r="K108" s="1196">
        <f>SUM(K110:N114)</f>
        <v>0</v>
      </c>
      <c r="L108" s="1197"/>
      <c r="M108" s="1197"/>
      <c r="N108" s="1198"/>
      <c r="O108" s="1199">
        <f>SUM(O110:R114)</f>
        <v>3483</v>
      </c>
      <c r="P108" s="1197"/>
      <c r="Q108" s="1197"/>
      <c r="R108" s="1198"/>
      <c r="S108" s="626">
        <f>SUM(S110:V114)</f>
        <v>0</v>
      </c>
      <c r="T108" s="627"/>
      <c r="U108" s="627"/>
      <c r="V108" s="628"/>
      <c r="W108" s="1199">
        <f>SUM(W110:Z114)</f>
        <v>0</v>
      </c>
      <c r="X108" s="1197"/>
      <c r="Y108" s="1197"/>
      <c r="Z108" s="1198"/>
      <c r="AA108" s="1199">
        <f>SUM(AA110:AD114)</f>
        <v>0</v>
      </c>
      <c r="AB108" s="1197"/>
      <c r="AC108" s="1197"/>
      <c r="AD108" s="1198"/>
      <c r="AE108" s="1199">
        <f>SUM(AE110:AH114)</f>
        <v>0</v>
      </c>
      <c r="AF108" s="1197"/>
      <c r="AG108" s="1197"/>
      <c r="AH108" s="1198"/>
      <c r="AI108" s="359">
        <f t="shared" si="7"/>
        <v>3483</v>
      </c>
      <c r="AJ108" s="315">
        <f t="shared" si="8"/>
        <v>0</v>
      </c>
      <c r="AK108" s="315"/>
      <c r="AL108" s="315"/>
      <c r="AM108" s="315"/>
    </row>
    <row r="109" spans="1:39" s="244" customFormat="1" ht="12.75" customHeight="1" thickBot="1" x14ac:dyDescent="0.25">
      <c r="A109" s="135"/>
      <c r="B109" s="770" t="s">
        <v>40</v>
      </c>
      <c r="C109" s="771"/>
      <c r="D109" s="771"/>
      <c r="E109" s="771"/>
      <c r="F109" s="771"/>
      <c r="G109" s="771"/>
      <c r="H109" s="771"/>
      <c r="I109" s="771"/>
      <c r="J109" s="771"/>
      <c r="K109" s="1162">
        <f>SUM(K110:N114)</f>
        <v>0</v>
      </c>
      <c r="L109" s="1163"/>
      <c r="M109" s="1163"/>
      <c r="N109" s="1163"/>
      <c r="O109" s="1162">
        <f>SUM(O110:R114)</f>
        <v>3483</v>
      </c>
      <c r="P109" s="1163"/>
      <c r="Q109" s="1163"/>
      <c r="R109" s="1163"/>
      <c r="S109" s="1162">
        <f>SUM(S110:V114)</f>
        <v>0</v>
      </c>
      <c r="T109" s="1163"/>
      <c r="U109" s="1163"/>
      <c r="V109" s="1163"/>
      <c r="W109" s="1162">
        <f>SUM(W110:Z114)</f>
        <v>0</v>
      </c>
      <c r="X109" s="1163"/>
      <c r="Y109" s="1163"/>
      <c r="Z109" s="1163"/>
      <c r="AA109" s="1162">
        <f>SUM(AA110:AD114)</f>
        <v>0</v>
      </c>
      <c r="AB109" s="1163"/>
      <c r="AC109" s="1163"/>
      <c r="AD109" s="1163"/>
      <c r="AE109" s="1162">
        <f>SUM(AE110:AH114)</f>
        <v>0</v>
      </c>
      <c r="AF109" s="1163"/>
      <c r="AG109" s="1163"/>
      <c r="AH109" s="1163"/>
      <c r="AI109" s="359">
        <f t="shared" si="7"/>
        <v>3483</v>
      </c>
      <c r="AJ109" s="315">
        <f t="shared" si="8"/>
        <v>3483</v>
      </c>
      <c r="AK109" s="315"/>
      <c r="AL109" s="315"/>
      <c r="AM109" s="315"/>
    </row>
    <row r="110" spans="1:39" ht="11.25" customHeight="1" thickBot="1" x14ac:dyDescent="0.25">
      <c r="A110" s="6"/>
      <c r="B110" s="1122" t="s">
        <v>93</v>
      </c>
      <c r="C110" s="1122"/>
      <c r="D110" s="1122"/>
      <c r="E110" s="709"/>
      <c r="F110" s="710"/>
      <c r="G110" s="710"/>
      <c r="H110" s="709" t="s">
        <v>97</v>
      </c>
      <c r="I110" s="709"/>
      <c r="J110" s="709"/>
      <c r="K110" s="709"/>
      <c r="L110" s="709"/>
      <c r="M110" s="431"/>
      <c r="N110" s="571"/>
      <c r="O110" s="709"/>
      <c r="P110" s="709"/>
      <c r="Q110" s="709"/>
      <c r="R110" s="709"/>
      <c r="S110" s="709"/>
      <c r="T110" s="709"/>
      <c r="U110" s="709"/>
      <c r="V110" s="709"/>
      <c r="W110" s="709"/>
      <c r="X110" s="709"/>
      <c r="Y110" s="709"/>
      <c r="Z110" s="709"/>
      <c r="AA110" s="709"/>
      <c r="AB110" s="709"/>
      <c r="AC110" s="709"/>
      <c r="AD110" s="709"/>
      <c r="AE110" s="709"/>
      <c r="AF110" s="709"/>
      <c r="AG110" s="709"/>
      <c r="AH110" s="709"/>
      <c r="AI110" s="359">
        <f t="shared" si="7"/>
        <v>0</v>
      </c>
      <c r="AJ110" s="315">
        <f t="shared" si="8"/>
        <v>0</v>
      </c>
      <c r="AK110" s="315"/>
      <c r="AL110" s="315"/>
      <c r="AM110" s="315"/>
    </row>
    <row r="111" spans="1:39" ht="13.5" thickBot="1" x14ac:dyDescent="0.25">
      <c r="A111" s="6"/>
      <c r="B111" s="1122" t="s">
        <v>94</v>
      </c>
      <c r="C111" s="1123"/>
      <c r="D111" s="1124"/>
      <c r="E111" s="709"/>
      <c r="F111" s="710"/>
      <c r="G111" s="710"/>
      <c r="H111" s="709"/>
      <c r="I111" s="709"/>
      <c r="J111" s="709"/>
      <c r="K111" s="709"/>
      <c r="L111" s="709"/>
      <c r="M111" s="428"/>
      <c r="N111" s="2"/>
      <c r="O111" s="709"/>
      <c r="P111" s="709"/>
      <c r="Q111" s="709"/>
      <c r="R111" s="709"/>
      <c r="S111" s="709"/>
      <c r="T111" s="709"/>
      <c r="U111" s="709"/>
      <c r="V111" s="709"/>
      <c r="W111" s="709"/>
      <c r="X111" s="709"/>
      <c r="Y111" s="709"/>
      <c r="Z111" s="709"/>
      <c r="AA111" s="709"/>
      <c r="AB111" s="709"/>
      <c r="AC111" s="709"/>
      <c r="AD111" s="709"/>
      <c r="AE111" s="709"/>
      <c r="AF111" s="709"/>
      <c r="AG111" s="709"/>
      <c r="AH111" s="709"/>
      <c r="AI111" s="359">
        <f t="shared" si="7"/>
        <v>0</v>
      </c>
      <c r="AJ111" s="315">
        <f t="shared" si="8"/>
        <v>0</v>
      </c>
      <c r="AK111" s="315"/>
      <c r="AL111" s="315"/>
      <c r="AM111" s="315"/>
    </row>
    <row r="112" spans="1:39" ht="13.5" thickBot="1" x14ac:dyDescent="0.25">
      <c r="A112" s="6"/>
      <c r="B112" s="1122" t="s">
        <v>95</v>
      </c>
      <c r="C112" s="1123"/>
      <c r="D112" s="1124"/>
      <c r="E112" s="709"/>
      <c r="F112" s="710"/>
      <c r="G112" s="710"/>
      <c r="H112" s="709"/>
      <c r="I112" s="709"/>
      <c r="J112" s="709"/>
      <c r="K112" s="709"/>
      <c r="L112" s="709"/>
      <c r="M112" s="327"/>
      <c r="N112" s="343"/>
      <c r="O112" s="709"/>
      <c r="P112" s="709"/>
      <c r="Q112" s="709"/>
      <c r="R112" s="709"/>
      <c r="S112" s="709"/>
      <c r="T112" s="709"/>
      <c r="U112" s="709"/>
      <c r="V112" s="709"/>
      <c r="W112" s="709"/>
      <c r="X112" s="709"/>
      <c r="Y112" s="709"/>
      <c r="Z112" s="709"/>
      <c r="AA112" s="709"/>
      <c r="AB112" s="709"/>
      <c r="AC112" s="709"/>
      <c r="AD112" s="709"/>
      <c r="AE112" s="709"/>
      <c r="AF112" s="709"/>
      <c r="AG112" s="709"/>
      <c r="AH112" s="709"/>
      <c r="AI112" s="359">
        <f t="shared" si="7"/>
        <v>0</v>
      </c>
      <c r="AJ112" s="315">
        <f t="shared" si="8"/>
        <v>0</v>
      </c>
      <c r="AK112" s="315"/>
      <c r="AL112" s="315"/>
      <c r="AM112" s="315"/>
    </row>
    <row r="113" spans="1:39" ht="13.5" thickBot="1" x14ac:dyDescent="0.25">
      <c r="B113" s="1122" t="s">
        <v>96</v>
      </c>
      <c r="C113" s="1123"/>
      <c r="D113" s="1124"/>
      <c r="E113" s="709">
        <v>0</v>
      </c>
      <c r="F113" s="710">
        <v>3483</v>
      </c>
      <c r="G113" s="710">
        <v>3483</v>
      </c>
      <c r="H113" s="709"/>
      <c r="I113" s="709"/>
      <c r="J113" s="709"/>
      <c r="K113" s="709"/>
      <c r="L113" s="709"/>
      <c r="M113" s="709"/>
      <c r="N113" s="709"/>
      <c r="O113" s="709">
        <v>983</v>
      </c>
      <c r="P113" s="709">
        <v>1000</v>
      </c>
      <c r="Q113" s="709">
        <v>1000</v>
      </c>
      <c r="R113" s="709">
        <v>500</v>
      </c>
      <c r="S113" s="709"/>
      <c r="T113" s="709"/>
      <c r="U113" s="709"/>
      <c r="V113" s="709"/>
      <c r="W113" s="709"/>
      <c r="X113" s="709"/>
      <c r="Y113" s="709"/>
      <c r="Z113" s="709"/>
      <c r="AA113" s="709"/>
      <c r="AB113" s="709"/>
      <c r="AC113" s="709"/>
      <c r="AD113" s="709"/>
      <c r="AE113" s="709"/>
      <c r="AF113" s="709"/>
      <c r="AG113" s="709"/>
      <c r="AH113" s="709"/>
      <c r="AI113" s="359">
        <f t="shared" si="7"/>
        <v>3483</v>
      </c>
      <c r="AJ113" s="315">
        <f t="shared" si="8"/>
        <v>0</v>
      </c>
      <c r="AK113" s="315"/>
      <c r="AL113" s="315"/>
      <c r="AM113" s="315"/>
    </row>
    <row r="114" spans="1:39" ht="13.5" thickBot="1" x14ac:dyDescent="0.25">
      <c r="B114" s="1120" t="s">
        <v>91</v>
      </c>
      <c r="C114" s="1120"/>
      <c r="D114" s="1121"/>
      <c r="E114" s="709">
        <v>0</v>
      </c>
      <c r="F114" s="710">
        <v>3483</v>
      </c>
      <c r="G114" s="710">
        <v>3483</v>
      </c>
      <c r="H114" s="709"/>
      <c r="I114" s="709"/>
      <c r="J114" s="709"/>
      <c r="K114" s="709"/>
      <c r="L114" s="709"/>
      <c r="M114" s="709"/>
      <c r="N114" s="709"/>
      <c r="O114" s="709"/>
      <c r="P114" s="709"/>
      <c r="Q114" s="709"/>
      <c r="R114" s="709"/>
      <c r="S114" s="709"/>
      <c r="T114" s="709"/>
      <c r="U114" s="709"/>
      <c r="V114" s="709"/>
      <c r="W114" s="709"/>
      <c r="X114" s="709"/>
      <c r="Y114" s="709"/>
      <c r="Z114" s="709"/>
      <c r="AA114" s="709"/>
      <c r="AB114" s="709"/>
      <c r="AC114" s="709"/>
      <c r="AD114" s="709"/>
      <c r="AE114" s="709"/>
      <c r="AF114" s="709"/>
      <c r="AG114" s="709"/>
      <c r="AH114" s="709"/>
      <c r="AI114" s="359">
        <f t="shared" si="7"/>
        <v>0</v>
      </c>
      <c r="AJ114" s="315">
        <f t="shared" si="8"/>
        <v>-3483</v>
      </c>
      <c r="AK114" s="315"/>
      <c r="AL114" s="315"/>
      <c r="AM114" s="315"/>
    </row>
    <row r="115" spans="1:39" s="6" customFormat="1" ht="15.75" customHeight="1" thickBot="1" x14ac:dyDescent="0.25">
      <c r="A115" s="2"/>
      <c r="B115" s="711" t="s">
        <v>35</v>
      </c>
      <c r="C115" s="712" t="s">
        <v>7</v>
      </c>
      <c r="D115" s="712"/>
      <c r="E115" s="713">
        <f>E121+E127</f>
        <v>15000</v>
      </c>
      <c r="F115" s="713">
        <f>F121+F127</f>
        <v>30000</v>
      </c>
      <c r="G115" s="713">
        <f>G121+G127</f>
        <v>45000</v>
      </c>
      <c r="H115" s="713">
        <f>SUM(H117:H127)</f>
        <v>0</v>
      </c>
      <c r="I115" s="713"/>
      <c r="J115" s="713"/>
      <c r="K115" s="1196">
        <f>K116+K122</f>
        <v>0</v>
      </c>
      <c r="L115" s="1197"/>
      <c r="M115" s="1197"/>
      <c r="N115" s="1198"/>
      <c r="O115" s="1196">
        <f>O116+O122</f>
        <v>0</v>
      </c>
      <c r="P115" s="1197"/>
      <c r="Q115" s="1197"/>
      <c r="R115" s="1198"/>
      <c r="S115" s="1196">
        <f>S116+S122</f>
        <v>0</v>
      </c>
      <c r="T115" s="1197"/>
      <c r="U115" s="1197"/>
      <c r="V115" s="1198"/>
      <c r="W115" s="1196">
        <f>W116+W122</f>
        <v>21000</v>
      </c>
      <c r="X115" s="1197"/>
      <c r="Y115" s="1197"/>
      <c r="Z115" s="1198"/>
      <c r="AA115" s="1196">
        <f>AA116+AA122</f>
        <v>24000</v>
      </c>
      <c r="AB115" s="1197"/>
      <c r="AC115" s="1197"/>
      <c r="AD115" s="1198"/>
      <c r="AE115" s="1196">
        <f>AE116+AE122</f>
        <v>0</v>
      </c>
      <c r="AF115" s="1197"/>
      <c r="AG115" s="1197"/>
      <c r="AH115" s="1198"/>
      <c r="AI115" s="359">
        <f>AI116+AI122</f>
        <v>45000</v>
      </c>
      <c r="AJ115" s="315">
        <f t="shared" si="8"/>
        <v>0</v>
      </c>
      <c r="AK115" s="315"/>
      <c r="AL115" s="315"/>
      <c r="AM115" s="315"/>
    </row>
    <row r="116" spans="1:39" s="244" customFormat="1" ht="12.75" customHeight="1" thickBot="1" x14ac:dyDescent="0.25">
      <c r="A116" s="135"/>
      <c r="B116" s="1242" t="s">
        <v>41</v>
      </c>
      <c r="C116" s="1243"/>
      <c r="D116" s="1243"/>
      <c r="E116" s="772"/>
      <c r="F116" s="772"/>
      <c r="G116" s="772"/>
      <c r="H116" s="772"/>
      <c r="I116" s="772"/>
      <c r="J116" s="772"/>
      <c r="K116" s="1162">
        <f>SUM(K117:N121)</f>
        <v>0</v>
      </c>
      <c r="L116" s="1163"/>
      <c r="M116" s="1163"/>
      <c r="N116" s="1163"/>
      <c r="O116" s="1162">
        <f>SUM(O117:R121)</f>
        <v>0</v>
      </c>
      <c r="P116" s="1163"/>
      <c r="Q116" s="1163"/>
      <c r="R116" s="1163"/>
      <c r="S116" s="1162">
        <f>SUM(S117:V121)</f>
        <v>0</v>
      </c>
      <c r="T116" s="1163"/>
      <c r="U116" s="1163"/>
      <c r="V116" s="1163"/>
      <c r="W116" s="1162">
        <f>SUM(W117:Z121)</f>
        <v>12000</v>
      </c>
      <c r="X116" s="1163"/>
      <c r="Y116" s="1163"/>
      <c r="Z116" s="1163"/>
      <c r="AA116" s="1162">
        <f>SUM(AA117:AD121)</f>
        <v>13000</v>
      </c>
      <c r="AB116" s="1163"/>
      <c r="AC116" s="1163"/>
      <c r="AD116" s="1163"/>
      <c r="AE116" s="1162">
        <f>SUM(AE117:AH121)</f>
        <v>0</v>
      </c>
      <c r="AF116" s="1163"/>
      <c r="AG116" s="1163"/>
      <c r="AH116" s="1163"/>
      <c r="AI116" s="359">
        <f t="shared" si="7"/>
        <v>25000</v>
      </c>
      <c r="AJ116" s="315">
        <f t="shared" si="8"/>
        <v>25000</v>
      </c>
      <c r="AK116" s="315"/>
      <c r="AL116" s="315"/>
      <c r="AM116" s="315"/>
    </row>
    <row r="117" spans="1:39" ht="12.75" customHeight="1" thickBot="1" x14ac:dyDescent="0.25">
      <c r="A117" s="6"/>
      <c r="B117" s="1122" t="s">
        <v>93</v>
      </c>
      <c r="C117" s="1122"/>
      <c r="D117" s="1122"/>
      <c r="E117" s="369"/>
      <c r="F117" s="371"/>
      <c r="G117" s="373"/>
      <c r="H117" s="1150" t="s">
        <v>97</v>
      </c>
      <c r="S117" s="621"/>
      <c r="T117" s="599"/>
      <c r="U117" s="596"/>
      <c r="V117" s="565"/>
      <c r="W117" s="631"/>
      <c r="X117" s="595"/>
      <c r="Y117" s="621"/>
      <c r="Z117" s="599"/>
      <c r="AA117" s="599"/>
      <c r="AB117" s="600"/>
      <c r="AC117" s="561"/>
      <c r="AD117" s="595"/>
      <c r="AE117" s="599"/>
      <c r="AF117" s="599"/>
      <c r="AG117" s="599"/>
      <c r="AH117" s="599"/>
      <c r="AI117" s="359">
        <f t="shared" si="7"/>
        <v>0</v>
      </c>
      <c r="AJ117" s="315">
        <f t="shared" si="8"/>
        <v>0</v>
      </c>
      <c r="AK117" s="315"/>
      <c r="AL117" s="315"/>
      <c r="AM117" s="315"/>
    </row>
    <row r="118" spans="1:39" s="135" customFormat="1" ht="12.75" customHeight="1" thickBot="1" x14ac:dyDescent="0.25">
      <c r="A118" s="2"/>
      <c r="B118" s="1122" t="s">
        <v>94</v>
      </c>
      <c r="C118" s="1123"/>
      <c r="D118" s="1124"/>
      <c r="E118" s="369"/>
      <c r="F118" s="371"/>
      <c r="G118" s="373"/>
      <c r="H118" s="1151"/>
      <c r="I118" s="305"/>
      <c r="J118" s="305"/>
      <c r="S118" s="327"/>
      <c r="T118" s="328"/>
      <c r="U118" s="327"/>
      <c r="V118" s="427"/>
      <c r="W118" s="428"/>
      <c r="X118" s="432"/>
      <c r="Y118" s="327"/>
      <c r="Z118" s="328"/>
      <c r="AA118" s="328"/>
      <c r="AB118" s="326"/>
      <c r="AC118" s="328"/>
      <c r="AD118" s="326"/>
      <c r="AE118" s="328"/>
      <c r="AF118" s="328"/>
      <c r="AG118" s="328"/>
      <c r="AH118" s="328"/>
      <c r="AI118" s="359">
        <f t="shared" si="7"/>
        <v>0</v>
      </c>
      <c r="AJ118" s="315">
        <f t="shared" si="8"/>
        <v>0</v>
      </c>
      <c r="AK118" s="315"/>
      <c r="AL118" s="315"/>
      <c r="AM118" s="315"/>
    </row>
    <row r="119" spans="1:39" s="135" customFormat="1" ht="13.5" thickBot="1" x14ac:dyDescent="0.25">
      <c r="A119" s="2"/>
      <c r="B119" s="1122" t="s">
        <v>95</v>
      </c>
      <c r="C119" s="1123"/>
      <c r="D119" s="1124"/>
      <c r="E119" s="369"/>
      <c r="F119" s="371"/>
      <c r="G119" s="373"/>
      <c r="H119" s="1151"/>
      <c r="I119" s="299"/>
      <c r="J119" s="299"/>
      <c r="S119" s="327"/>
      <c r="T119" s="328"/>
      <c r="U119" s="327"/>
      <c r="V119" s="328"/>
      <c r="W119" s="328"/>
      <c r="X119" s="433"/>
      <c r="Y119" s="327"/>
      <c r="Z119" s="328"/>
      <c r="AA119" s="328"/>
      <c r="AB119" s="326"/>
      <c r="AC119" s="328"/>
      <c r="AD119" s="326"/>
      <c r="AE119" s="328"/>
      <c r="AF119" s="328"/>
      <c r="AG119" s="328"/>
      <c r="AH119" s="328"/>
      <c r="AI119" s="359">
        <f t="shared" si="7"/>
        <v>0</v>
      </c>
      <c r="AJ119" s="315">
        <f t="shared" si="8"/>
        <v>0</v>
      </c>
      <c r="AK119" s="315"/>
      <c r="AL119" s="315"/>
      <c r="AM119" s="315"/>
    </row>
    <row r="120" spans="1:39" s="135" customFormat="1" ht="13.5" thickBot="1" x14ac:dyDescent="0.25">
      <c r="A120" s="2"/>
      <c r="B120" s="1122" t="s">
        <v>96</v>
      </c>
      <c r="C120" s="1123"/>
      <c r="D120" s="1124"/>
      <c r="E120" s="369">
        <v>10000</v>
      </c>
      <c r="F120" s="371">
        <v>15000</v>
      </c>
      <c r="G120" s="373">
        <v>25000</v>
      </c>
      <c r="H120" s="1151"/>
      <c r="I120" s="299"/>
      <c r="J120" s="299"/>
      <c r="S120" s="327"/>
      <c r="T120" s="328"/>
      <c r="U120" s="327"/>
      <c r="V120" s="328"/>
      <c r="W120" s="328"/>
      <c r="X120" s="432"/>
      <c r="Y120" s="455">
        <v>5000</v>
      </c>
      <c r="Z120" s="455">
        <v>7000</v>
      </c>
      <c r="AA120" s="455">
        <v>7000</v>
      </c>
      <c r="AB120" s="455">
        <v>6000</v>
      </c>
      <c r="AC120" s="328"/>
      <c r="AD120" s="326"/>
      <c r="AE120" s="458"/>
      <c r="AF120" s="458"/>
      <c r="AG120" s="458"/>
      <c r="AH120" s="458"/>
      <c r="AI120" s="359">
        <f t="shared" si="7"/>
        <v>25000</v>
      </c>
      <c r="AJ120" s="315">
        <f t="shared" si="8"/>
        <v>0</v>
      </c>
      <c r="AK120" s="315"/>
      <c r="AL120" s="315"/>
      <c r="AM120" s="315"/>
    </row>
    <row r="121" spans="1:39" ht="13.5" thickBot="1" x14ac:dyDescent="0.25">
      <c r="A121" s="135"/>
      <c r="B121" s="1120" t="s">
        <v>91</v>
      </c>
      <c r="C121" s="1120"/>
      <c r="D121" s="1121"/>
      <c r="E121" s="369">
        <v>10000</v>
      </c>
      <c r="F121" s="371">
        <v>15000</v>
      </c>
      <c r="G121" s="373">
        <v>25000</v>
      </c>
      <c r="H121" s="1152"/>
      <c r="K121" s="562"/>
      <c r="L121" s="486"/>
      <c r="M121" s="486"/>
      <c r="N121" s="475"/>
      <c r="O121" s="562"/>
      <c r="P121" s="486"/>
      <c r="Q121" s="486"/>
      <c r="R121" s="475"/>
      <c r="S121" s="562"/>
      <c r="T121" s="486"/>
      <c r="U121" s="486"/>
      <c r="V121" s="475"/>
      <c r="W121" s="562"/>
      <c r="X121" s="486"/>
      <c r="Y121" s="486"/>
      <c r="Z121" s="475"/>
      <c r="AA121" s="562"/>
      <c r="AB121" s="486"/>
      <c r="AC121" s="486"/>
      <c r="AD121" s="475"/>
      <c r="AE121" s="731"/>
      <c r="AF121" s="731"/>
      <c r="AG121" s="731"/>
      <c r="AH121" s="731"/>
      <c r="AI121" s="359">
        <f t="shared" si="7"/>
        <v>0</v>
      </c>
      <c r="AJ121" s="315">
        <f t="shared" si="8"/>
        <v>-25000</v>
      </c>
      <c r="AK121" s="315"/>
      <c r="AL121" s="315"/>
      <c r="AM121" s="315"/>
    </row>
    <row r="122" spans="1:39" s="244" customFormat="1" ht="12.75" customHeight="1" thickBot="1" x14ac:dyDescent="0.25">
      <c r="A122" s="135"/>
      <c r="B122" s="1223" t="s">
        <v>42</v>
      </c>
      <c r="C122" s="1224"/>
      <c r="D122" s="1224"/>
      <c r="E122" s="720"/>
      <c r="F122" s="720"/>
      <c r="G122" s="720"/>
      <c r="H122" s="720"/>
      <c r="I122" s="720"/>
      <c r="J122" s="720"/>
      <c r="K122" s="1162">
        <f>SUM(K123:N127)</f>
        <v>0</v>
      </c>
      <c r="L122" s="1163"/>
      <c r="M122" s="1163"/>
      <c r="N122" s="1163"/>
      <c r="O122" s="1162">
        <f>SUM(O123:R127)</f>
        <v>0</v>
      </c>
      <c r="P122" s="1163"/>
      <c r="Q122" s="1163"/>
      <c r="R122" s="1163"/>
      <c r="S122" s="1162">
        <f>SUM(S123:V127)</f>
        <v>0</v>
      </c>
      <c r="T122" s="1163"/>
      <c r="U122" s="1163"/>
      <c r="V122" s="1163"/>
      <c r="W122" s="1162">
        <f>SUM(W123:Z127)</f>
        <v>9000</v>
      </c>
      <c r="X122" s="1163"/>
      <c r="Y122" s="1163"/>
      <c r="Z122" s="1163"/>
      <c r="AA122" s="1162">
        <f>SUM(AA123:AD127)</f>
        <v>11000</v>
      </c>
      <c r="AB122" s="1163"/>
      <c r="AC122" s="1163"/>
      <c r="AD122" s="1163"/>
      <c r="AE122" s="1162">
        <f>SUM(AE123:AH127)</f>
        <v>0</v>
      </c>
      <c r="AF122" s="1163"/>
      <c r="AG122" s="1163"/>
      <c r="AH122" s="1163"/>
      <c r="AI122" s="359">
        <f t="shared" si="7"/>
        <v>20000</v>
      </c>
      <c r="AJ122" s="315">
        <f t="shared" si="8"/>
        <v>20000</v>
      </c>
      <c r="AK122" s="315"/>
      <c r="AL122" s="315"/>
      <c r="AM122" s="315"/>
    </row>
    <row r="123" spans="1:39" ht="12.75" customHeight="1" thickBot="1" x14ac:dyDescent="0.25">
      <c r="B123" s="1122" t="s">
        <v>93</v>
      </c>
      <c r="C123" s="1122"/>
      <c r="D123" s="1122"/>
      <c r="E123" s="369"/>
      <c r="F123" s="371"/>
      <c r="G123" s="373"/>
      <c r="H123" s="1150" t="s">
        <v>97</v>
      </c>
      <c r="K123" s="632"/>
      <c r="L123" s="633"/>
      <c r="U123" s="565"/>
      <c r="V123" s="566"/>
      <c r="W123" s="631"/>
      <c r="X123" s="561"/>
      <c r="Y123" s="633"/>
      <c r="Z123" s="634"/>
      <c r="AA123" s="632"/>
      <c r="AB123" s="633"/>
      <c r="AC123" s="561"/>
      <c r="AD123" s="595"/>
      <c r="AE123" s="739"/>
      <c r="AF123" s="739"/>
      <c r="AG123" s="739"/>
      <c r="AH123" s="739"/>
      <c r="AI123" s="359">
        <f t="shared" si="7"/>
        <v>0</v>
      </c>
      <c r="AJ123" s="315">
        <f t="shared" si="8"/>
        <v>0</v>
      </c>
      <c r="AK123" s="315"/>
      <c r="AL123" s="315"/>
      <c r="AM123" s="315"/>
    </row>
    <row r="124" spans="1:39" ht="13.5" thickBot="1" x14ac:dyDescent="0.25">
      <c r="B124" s="1122" t="s">
        <v>94</v>
      </c>
      <c r="C124" s="1123"/>
      <c r="D124" s="1124"/>
      <c r="E124" s="369">
        <v>0</v>
      </c>
      <c r="F124" s="371"/>
      <c r="G124" s="373">
        <v>0</v>
      </c>
      <c r="H124" s="1151"/>
      <c r="K124" s="436"/>
      <c r="L124" s="430"/>
      <c r="U124" s="328"/>
      <c r="V124" s="437"/>
      <c r="W124" s="441"/>
      <c r="X124" s="429"/>
      <c r="Y124" s="328"/>
      <c r="Z124" s="326"/>
      <c r="AA124" s="327"/>
      <c r="AB124" s="328"/>
      <c r="AC124" s="328"/>
      <c r="AD124" s="326"/>
      <c r="AE124" s="732"/>
      <c r="AF124" s="732"/>
      <c r="AG124" s="732"/>
      <c r="AH124" s="732"/>
      <c r="AI124" s="359">
        <f t="shared" si="7"/>
        <v>0</v>
      </c>
      <c r="AJ124" s="315">
        <f t="shared" si="8"/>
        <v>0</v>
      </c>
      <c r="AK124" s="315"/>
      <c r="AL124" s="315"/>
      <c r="AM124" s="315"/>
    </row>
    <row r="125" spans="1:39" ht="13.5" thickBot="1" x14ac:dyDescent="0.25">
      <c r="B125" s="1122" t="s">
        <v>95</v>
      </c>
      <c r="C125" s="1123"/>
      <c r="D125" s="1124"/>
      <c r="E125" s="369">
        <v>0</v>
      </c>
      <c r="F125" s="371"/>
      <c r="G125" s="373">
        <v>0</v>
      </c>
      <c r="H125" s="1151"/>
      <c r="K125" s="436"/>
      <c r="L125" s="430"/>
      <c r="U125" s="328"/>
      <c r="V125" s="326"/>
      <c r="W125" s="327"/>
      <c r="X125" s="323"/>
      <c r="Y125" s="328"/>
      <c r="Z125" s="326"/>
      <c r="AA125" s="327"/>
      <c r="AB125" s="328"/>
      <c r="AC125" s="328"/>
      <c r="AD125" s="326"/>
      <c r="AE125" s="732"/>
      <c r="AF125" s="732"/>
      <c r="AG125" s="732"/>
      <c r="AH125" s="732"/>
      <c r="AI125" s="359">
        <f t="shared" si="7"/>
        <v>0</v>
      </c>
      <c r="AJ125" s="315">
        <f t="shared" si="8"/>
        <v>0</v>
      </c>
      <c r="AK125" s="315"/>
      <c r="AL125" s="315"/>
      <c r="AM125" s="315"/>
    </row>
    <row r="126" spans="1:39" ht="13.5" thickBot="1" x14ac:dyDescent="0.25">
      <c r="B126" s="1122" t="s">
        <v>96</v>
      </c>
      <c r="C126" s="1123"/>
      <c r="D126" s="1124"/>
      <c r="E126" s="369">
        <v>5000</v>
      </c>
      <c r="F126" s="371">
        <v>15000</v>
      </c>
      <c r="G126" s="373">
        <v>20000</v>
      </c>
      <c r="H126" s="1151"/>
      <c r="K126" s="327"/>
      <c r="L126" s="328"/>
      <c r="U126" s="328"/>
      <c r="V126" s="326"/>
      <c r="W126" s="327"/>
      <c r="X126" s="328"/>
      <c r="Y126" s="455">
        <v>3000</v>
      </c>
      <c r="Z126" s="455">
        <v>6000</v>
      </c>
      <c r="AA126" s="455">
        <v>6000</v>
      </c>
      <c r="AB126" s="455">
        <v>5000</v>
      </c>
      <c r="AC126" s="328"/>
      <c r="AD126" s="326"/>
      <c r="AE126" s="458"/>
      <c r="AF126" s="458"/>
      <c r="AG126" s="458"/>
      <c r="AH126" s="458"/>
      <c r="AI126" s="359">
        <f t="shared" si="7"/>
        <v>20000</v>
      </c>
      <c r="AJ126" s="315">
        <f t="shared" si="8"/>
        <v>0</v>
      </c>
      <c r="AK126" s="315"/>
      <c r="AL126" s="315"/>
      <c r="AM126" s="315"/>
    </row>
    <row r="127" spans="1:39" s="135" customFormat="1" ht="13.5" thickBot="1" x14ac:dyDescent="0.25">
      <c r="A127" s="2"/>
      <c r="B127" s="1122" t="s">
        <v>91</v>
      </c>
      <c r="C127" s="1122"/>
      <c r="D127" s="1123"/>
      <c r="E127" s="369">
        <v>5000</v>
      </c>
      <c r="F127" s="371">
        <v>15000</v>
      </c>
      <c r="G127" s="373">
        <v>20000</v>
      </c>
      <c r="H127" s="1151"/>
      <c r="I127" s="617"/>
      <c r="J127" s="617"/>
      <c r="K127" s="562"/>
      <c r="L127" s="486"/>
      <c r="M127" s="486"/>
      <c r="N127" s="475"/>
      <c r="O127" s="562"/>
      <c r="P127" s="486"/>
      <c r="Q127" s="486"/>
      <c r="R127" s="475"/>
      <c r="S127" s="562"/>
      <c r="T127" s="486"/>
      <c r="U127" s="486"/>
      <c r="V127" s="475"/>
      <c r="W127" s="562"/>
      <c r="X127" s="486"/>
      <c r="Y127" s="486"/>
      <c r="Z127" s="475"/>
      <c r="AA127" s="562"/>
      <c r="AB127" s="486"/>
      <c r="AC127" s="486"/>
      <c r="AD127" s="475"/>
      <c r="AE127" s="731"/>
      <c r="AF127" s="731"/>
      <c r="AG127" s="731"/>
      <c r="AH127" s="731"/>
      <c r="AI127" s="359">
        <f t="shared" si="7"/>
        <v>0</v>
      </c>
      <c r="AJ127" s="315">
        <f t="shared" si="8"/>
        <v>-20000</v>
      </c>
      <c r="AK127" s="315"/>
      <c r="AL127" s="315"/>
      <c r="AM127" s="315"/>
    </row>
    <row r="128" spans="1:39" s="135" customFormat="1" ht="13.5" thickBot="1" x14ac:dyDescent="0.25">
      <c r="A128" s="2"/>
      <c r="B128" s="824" t="s">
        <v>189</v>
      </c>
      <c r="C128" s="824"/>
      <c r="D128" s="824"/>
      <c r="E128" s="419"/>
      <c r="F128" s="812"/>
      <c r="G128" s="813"/>
      <c r="H128" s="814"/>
      <c r="I128" s="301"/>
      <c r="J128" s="301"/>
      <c r="K128" s="1266">
        <f>SUM(K129:N129)</f>
        <v>0</v>
      </c>
      <c r="L128" s="1266"/>
      <c r="M128" s="1266"/>
      <c r="N128" s="1266"/>
      <c r="O128" s="1266">
        <f>SUM(O129:R129)</f>
        <v>3298.5</v>
      </c>
      <c r="P128" s="1266"/>
      <c r="Q128" s="1266"/>
      <c r="R128" s="1266"/>
      <c r="S128" s="1266">
        <f>SUM(S129:V129)</f>
        <v>13194</v>
      </c>
      <c r="T128" s="1266"/>
      <c r="U128" s="1266"/>
      <c r="V128" s="1266"/>
      <c r="W128" s="1266">
        <f>SUM(W129:Z129)</f>
        <v>13194</v>
      </c>
      <c r="X128" s="1266"/>
      <c r="Y128" s="1266"/>
      <c r="Z128" s="1266"/>
      <c r="AA128" s="1266">
        <f>SUM(AA129:AD129)</f>
        <v>9895.5</v>
      </c>
      <c r="AB128" s="1266"/>
      <c r="AC128" s="1266"/>
      <c r="AD128" s="1266"/>
      <c r="AE128" s="1266">
        <f>SUM(AE129:AH129)</f>
        <v>0</v>
      </c>
      <c r="AF128" s="1266"/>
      <c r="AG128" s="1266"/>
      <c r="AH128" s="1266"/>
      <c r="AI128" s="359">
        <f t="shared" si="7"/>
        <v>39582</v>
      </c>
      <c r="AJ128" s="315">
        <f t="shared" si="8"/>
        <v>39582</v>
      </c>
      <c r="AK128" s="315"/>
      <c r="AL128" s="315"/>
      <c r="AM128" s="315"/>
    </row>
    <row r="129" spans="1:39" s="244" customFormat="1" ht="13.5" thickBot="1" x14ac:dyDescent="0.25">
      <c r="A129" s="135"/>
      <c r="B129" s="825"/>
      <c r="C129" s="825"/>
      <c r="D129" s="825"/>
      <c r="E129" s="635">
        <f>32514-5109</f>
        <v>27405</v>
      </c>
      <c r="F129" s="810">
        <f>7068+5109</f>
        <v>12177</v>
      </c>
      <c r="G129" s="635">
        <f>F129+E129</f>
        <v>39582</v>
      </c>
      <c r="H129" s="635"/>
      <c r="I129" s="635"/>
      <c r="J129" s="635"/>
      <c r="K129" s="636"/>
      <c r="L129" s="636"/>
      <c r="M129" s="636"/>
      <c r="N129" s="636"/>
      <c r="O129" s="636"/>
      <c r="P129" s="636"/>
      <c r="Q129" s="636"/>
      <c r="R129" s="636">
        <f>$G$129/12</f>
        <v>3298.5</v>
      </c>
      <c r="S129" s="636">
        <f t="shared" ref="S129:AC129" si="9">$G$129/12</f>
        <v>3298.5</v>
      </c>
      <c r="T129" s="636">
        <f t="shared" si="9"/>
        <v>3298.5</v>
      </c>
      <c r="U129" s="636">
        <f t="shared" si="9"/>
        <v>3298.5</v>
      </c>
      <c r="V129" s="636">
        <f t="shared" si="9"/>
        <v>3298.5</v>
      </c>
      <c r="W129" s="636">
        <f t="shared" si="9"/>
        <v>3298.5</v>
      </c>
      <c r="X129" s="636">
        <f t="shared" si="9"/>
        <v>3298.5</v>
      </c>
      <c r="Y129" s="636">
        <f t="shared" si="9"/>
        <v>3298.5</v>
      </c>
      <c r="Z129" s="636">
        <f t="shared" si="9"/>
        <v>3298.5</v>
      </c>
      <c r="AA129" s="636">
        <f t="shared" si="9"/>
        <v>3298.5</v>
      </c>
      <c r="AB129" s="636">
        <f t="shared" si="9"/>
        <v>3298.5</v>
      </c>
      <c r="AC129" s="636">
        <f t="shared" si="9"/>
        <v>3298.5</v>
      </c>
      <c r="AD129" s="636"/>
      <c r="AE129" s="636"/>
      <c r="AF129" s="636"/>
      <c r="AG129" s="636"/>
      <c r="AH129" s="636"/>
      <c r="AI129" s="359">
        <f t="shared" si="7"/>
        <v>39582</v>
      </c>
      <c r="AJ129" s="315">
        <f t="shared" si="8"/>
        <v>0</v>
      </c>
      <c r="AK129" s="315"/>
      <c r="AL129" s="315"/>
      <c r="AM129" s="315"/>
    </row>
    <row r="130" spans="1:39" s="640" customFormat="1" ht="12.75" customHeight="1" thickBot="1" x14ac:dyDescent="0.25">
      <c r="A130" s="639"/>
      <c r="B130" s="1244" t="s">
        <v>196</v>
      </c>
      <c r="C130" s="1245"/>
      <c r="D130" s="1245"/>
      <c r="E130" s="1268">
        <f>E132+E157+E171</f>
        <v>400</v>
      </c>
      <c r="F130" s="1268">
        <f>F132+F157+F171</f>
        <v>4780</v>
      </c>
      <c r="G130" s="1268">
        <f>G132+G157+G171</f>
        <v>5180</v>
      </c>
      <c r="H130" s="1251">
        <f>H132+H157+H171</f>
        <v>0</v>
      </c>
      <c r="I130" s="1251"/>
      <c r="J130" s="1251"/>
      <c r="K130" s="1156">
        <f>K132+K157+K171</f>
        <v>0</v>
      </c>
      <c r="L130" s="1157"/>
      <c r="M130" s="1157"/>
      <c r="N130" s="1158"/>
      <c r="O130" s="1156">
        <f>O132+O157+O171</f>
        <v>1310</v>
      </c>
      <c r="P130" s="1157"/>
      <c r="Q130" s="1157"/>
      <c r="R130" s="1158"/>
      <c r="S130" s="1156">
        <f>S132+S157+S171</f>
        <v>2230</v>
      </c>
      <c r="T130" s="1157"/>
      <c r="U130" s="1157"/>
      <c r="V130" s="1158"/>
      <c r="W130" s="1156">
        <f>W132+W157+W171</f>
        <v>1140</v>
      </c>
      <c r="X130" s="1157"/>
      <c r="Y130" s="1157"/>
      <c r="Z130" s="1158"/>
      <c r="AA130" s="1156">
        <f>AA132+AA157+AA171</f>
        <v>500</v>
      </c>
      <c r="AB130" s="1157"/>
      <c r="AC130" s="1157"/>
      <c r="AD130" s="1158"/>
      <c r="AE130" s="1156">
        <f>AE132+AE157+AE171</f>
        <v>0</v>
      </c>
      <c r="AF130" s="1157"/>
      <c r="AG130" s="1157"/>
      <c r="AH130" s="1158"/>
      <c r="AI130" s="359">
        <f t="shared" si="7"/>
        <v>5180</v>
      </c>
      <c r="AJ130" s="315">
        <f t="shared" si="8"/>
        <v>0</v>
      </c>
      <c r="AK130" s="315"/>
      <c r="AL130" s="315"/>
      <c r="AM130" s="315"/>
    </row>
    <row r="131" spans="1:39" s="629" customFormat="1" ht="29.25" customHeight="1" thickBot="1" x14ac:dyDescent="0.25">
      <c r="A131" s="622"/>
      <c r="B131" s="1246"/>
      <c r="C131" s="1247"/>
      <c r="D131" s="1247"/>
      <c r="E131" s="1269"/>
      <c r="F131" s="1269"/>
      <c r="G131" s="1270"/>
      <c r="H131" s="1252"/>
      <c r="I131" s="1252"/>
      <c r="J131" s="1252"/>
      <c r="K131" s="1159"/>
      <c r="L131" s="1160"/>
      <c r="M131" s="1160"/>
      <c r="N131" s="1161"/>
      <c r="O131" s="1159"/>
      <c r="P131" s="1160"/>
      <c r="Q131" s="1160"/>
      <c r="R131" s="1161"/>
      <c r="S131" s="1159"/>
      <c r="T131" s="1160"/>
      <c r="U131" s="1160"/>
      <c r="V131" s="1161"/>
      <c r="W131" s="1159"/>
      <c r="X131" s="1160"/>
      <c r="Y131" s="1160"/>
      <c r="Z131" s="1161"/>
      <c r="AA131" s="1159"/>
      <c r="AB131" s="1160"/>
      <c r="AC131" s="1160"/>
      <c r="AD131" s="1161"/>
      <c r="AE131" s="1159"/>
      <c r="AF131" s="1160"/>
      <c r="AG131" s="1160"/>
      <c r="AH131" s="1161"/>
      <c r="AI131" s="359">
        <f t="shared" ref="AI131:AI193" si="10">SUM(K131:AH131)</f>
        <v>0</v>
      </c>
      <c r="AJ131" s="315">
        <f t="shared" si="8"/>
        <v>0</v>
      </c>
      <c r="AK131" s="315"/>
      <c r="AL131" s="315"/>
      <c r="AM131" s="315"/>
    </row>
    <row r="132" spans="1:39" s="244" customFormat="1" ht="31.5" customHeight="1" thickBot="1" x14ac:dyDescent="0.25">
      <c r="A132" s="135"/>
      <c r="B132" s="1248" t="s">
        <v>167</v>
      </c>
      <c r="C132" s="1249"/>
      <c r="D132" s="1250"/>
      <c r="E132" s="498">
        <f>E138+E144+E150+E156</f>
        <v>200</v>
      </c>
      <c r="F132" s="498">
        <f>F138+F144+F150+F156</f>
        <v>2030</v>
      </c>
      <c r="G132" s="498">
        <f>G138+G144+G150+G156</f>
        <v>2230</v>
      </c>
      <c r="H132" s="498"/>
      <c r="I132" s="498"/>
      <c r="J132" s="498"/>
      <c r="K132" s="1129">
        <f>K133+K139+K145+K151</f>
        <v>0</v>
      </c>
      <c r="L132" s="1130"/>
      <c r="M132" s="1130"/>
      <c r="N132" s="1131"/>
      <c r="O132" s="1129">
        <f>O133+O139+O145+O151</f>
        <v>1310</v>
      </c>
      <c r="P132" s="1130"/>
      <c r="Q132" s="1130"/>
      <c r="R132" s="1131"/>
      <c r="S132" s="1129">
        <f>S133+S139+S145+S151</f>
        <v>480</v>
      </c>
      <c r="T132" s="1130"/>
      <c r="U132" s="1130"/>
      <c r="V132" s="1131"/>
      <c r="W132" s="1129">
        <f>W133+W139+W145+W151</f>
        <v>440</v>
      </c>
      <c r="X132" s="1130"/>
      <c r="Y132" s="1130"/>
      <c r="Z132" s="1131"/>
      <c r="AA132" s="1129">
        <f>AA133+AA139+AA145+AA151</f>
        <v>0</v>
      </c>
      <c r="AB132" s="1130"/>
      <c r="AC132" s="1130"/>
      <c r="AD132" s="1131"/>
      <c r="AE132" s="1147">
        <f>SUM(AE133:AH156)</f>
        <v>0</v>
      </c>
      <c r="AF132" s="1148"/>
      <c r="AG132" s="1148"/>
      <c r="AH132" s="1149"/>
      <c r="AI132" s="359">
        <f t="shared" si="10"/>
        <v>2230</v>
      </c>
      <c r="AJ132" s="315">
        <f t="shared" si="8"/>
        <v>0</v>
      </c>
      <c r="AK132" s="315"/>
      <c r="AL132" s="315"/>
      <c r="AM132" s="315"/>
    </row>
    <row r="133" spans="1:39" s="244" customFormat="1" ht="25.5" customHeight="1" thickBot="1" x14ac:dyDescent="0.25">
      <c r="A133" s="135"/>
      <c r="B133" s="1188" t="s">
        <v>145</v>
      </c>
      <c r="C133" s="1189"/>
      <c r="D133" s="1189"/>
      <c r="E133" s="773"/>
      <c r="F133" s="773"/>
      <c r="G133" s="773"/>
      <c r="H133" s="773"/>
      <c r="I133" s="773"/>
      <c r="J133" s="773"/>
      <c r="K133" s="1162">
        <f>SUM(K134:N138)</f>
        <v>0</v>
      </c>
      <c r="L133" s="1163"/>
      <c r="M133" s="1163"/>
      <c r="N133" s="1163"/>
      <c r="O133" s="1162">
        <f>SUM(O134:R138)</f>
        <v>350</v>
      </c>
      <c r="P133" s="1163"/>
      <c r="Q133" s="1163"/>
      <c r="R133" s="1163"/>
      <c r="S133" s="1162">
        <f>SUM(S134:V138)</f>
        <v>0</v>
      </c>
      <c r="T133" s="1163"/>
      <c r="U133" s="1163"/>
      <c r="V133" s="1163"/>
      <c r="W133" s="1162">
        <f>SUM(W134:Z138)</f>
        <v>0</v>
      </c>
      <c r="X133" s="1163"/>
      <c r="Y133" s="1163"/>
      <c r="Z133" s="1163"/>
      <c r="AA133" s="1162">
        <f>SUM(AA134:AD138)</f>
        <v>0</v>
      </c>
      <c r="AB133" s="1163"/>
      <c r="AC133" s="1163"/>
      <c r="AD133" s="1163"/>
      <c r="AE133" s="1162">
        <f>SUM(AE134:AH138)</f>
        <v>0</v>
      </c>
      <c r="AF133" s="1163"/>
      <c r="AG133" s="1163"/>
      <c r="AH133" s="1163"/>
      <c r="AI133" s="359">
        <f t="shared" si="10"/>
        <v>350</v>
      </c>
      <c r="AJ133" s="315">
        <f t="shared" si="8"/>
        <v>350</v>
      </c>
      <c r="AK133" s="315"/>
      <c r="AL133" s="315"/>
      <c r="AM133" s="315"/>
    </row>
    <row r="134" spans="1:39" s="244" customFormat="1" ht="12.75" customHeight="1" thickBot="1" x14ac:dyDescent="0.25">
      <c r="A134" s="135"/>
      <c r="B134" s="1126" t="s">
        <v>144</v>
      </c>
      <c r="C134" s="1126"/>
      <c r="D134" s="1126"/>
      <c r="E134" s="654">
        <v>0</v>
      </c>
      <c r="F134" s="641"/>
      <c r="G134" s="642"/>
      <c r="H134" s="1132" t="s">
        <v>109</v>
      </c>
      <c r="I134" s="643"/>
      <c r="J134" s="643"/>
      <c r="K134" s="563"/>
      <c r="L134" s="564"/>
      <c r="M134" s="561"/>
      <c r="N134" s="646"/>
      <c r="O134" s="647"/>
      <c r="P134" s="637"/>
      <c r="Q134" s="564"/>
      <c r="R134" s="567"/>
      <c r="S134" s="568"/>
      <c r="T134" s="569"/>
      <c r="U134" s="569"/>
      <c r="V134" s="570"/>
      <c r="W134" s="317"/>
      <c r="X134" s="318"/>
      <c r="Y134" s="318"/>
      <c r="Z134" s="319"/>
      <c r="AA134" s="317"/>
      <c r="AB134" s="318"/>
      <c r="AC134" s="318"/>
      <c r="AD134" s="319"/>
      <c r="AE134" s="737"/>
      <c r="AF134" s="737"/>
      <c r="AG134" s="737"/>
      <c r="AH134" s="737"/>
      <c r="AI134" s="359">
        <f t="shared" si="10"/>
        <v>0</v>
      </c>
      <c r="AJ134" s="315">
        <f t="shared" ref="AJ134:AJ196" si="11">AI134-G134</f>
        <v>0</v>
      </c>
      <c r="AK134" s="315"/>
      <c r="AL134" s="315"/>
      <c r="AM134" s="315"/>
    </row>
    <row r="135" spans="1:39" s="244" customFormat="1" ht="13.5" thickBot="1" x14ac:dyDescent="0.25">
      <c r="A135" s="135"/>
      <c r="B135" s="1125" t="s">
        <v>94</v>
      </c>
      <c r="C135" s="1125"/>
      <c r="D135" s="1125"/>
      <c r="E135" s="654">
        <v>0</v>
      </c>
      <c r="F135" s="411"/>
      <c r="G135" s="412">
        <v>0</v>
      </c>
      <c r="H135" s="1133"/>
      <c r="I135" s="413"/>
      <c r="J135" s="413"/>
      <c r="K135" s="434"/>
      <c r="L135" s="425"/>
      <c r="M135" s="328"/>
      <c r="N135" s="326"/>
      <c r="O135" s="327"/>
      <c r="P135" s="323"/>
      <c r="Q135" s="425"/>
      <c r="R135" s="435"/>
      <c r="S135" s="442"/>
      <c r="T135" s="443"/>
      <c r="U135" s="443"/>
      <c r="V135" s="444"/>
      <c r="W135" s="317"/>
      <c r="X135" s="318"/>
      <c r="Y135" s="318"/>
      <c r="Z135" s="319"/>
      <c r="AA135" s="317"/>
      <c r="AB135" s="318"/>
      <c r="AC135" s="318"/>
      <c r="AD135" s="319"/>
      <c r="AE135" s="737"/>
      <c r="AF135" s="737"/>
      <c r="AG135" s="737"/>
      <c r="AH135" s="737"/>
      <c r="AI135" s="359">
        <f t="shared" si="10"/>
        <v>0</v>
      </c>
      <c r="AJ135" s="315">
        <f t="shared" si="11"/>
        <v>0</v>
      </c>
      <c r="AK135" s="315"/>
      <c r="AL135" s="315"/>
      <c r="AM135" s="315"/>
    </row>
    <row r="136" spans="1:39" s="244" customFormat="1" ht="13.5" thickBot="1" x14ac:dyDescent="0.25">
      <c r="A136" s="135"/>
      <c r="B136" s="1125" t="s">
        <v>143</v>
      </c>
      <c r="C136" s="1125"/>
      <c r="D136" s="1125"/>
      <c r="E136" s="654">
        <v>0</v>
      </c>
      <c r="F136" s="411"/>
      <c r="G136" s="412">
        <v>0</v>
      </c>
      <c r="H136" s="1133"/>
      <c r="I136" s="413"/>
      <c r="J136" s="413"/>
      <c r="K136" s="434"/>
      <c r="L136" s="425"/>
      <c r="M136" s="425"/>
      <c r="N136" s="435"/>
      <c r="O136" s="434"/>
      <c r="P136" s="425"/>
      <c r="Q136" s="455">
        <v>350</v>
      </c>
      <c r="R136" s="435"/>
      <c r="S136" s="442"/>
      <c r="T136" s="443"/>
      <c r="U136" s="443"/>
      <c r="V136" s="444"/>
      <c r="W136" s="317"/>
      <c r="X136" s="318"/>
      <c r="Y136" s="318"/>
      <c r="Z136" s="319"/>
      <c r="AA136" s="317"/>
      <c r="AB136" s="318"/>
      <c r="AC136" s="318"/>
      <c r="AD136" s="319"/>
      <c r="AE136" s="737"/>
      <c r="AF136" s="737"/>
      <c r="AG136" s="737"/>
      <c r="AH136" s="737"/>
      <c r="AI136" s="359">
        <f t="shared" si="10"/>
        <v>350</v>
      </c>
      <c r="AJ136" s="315">
        <f t="shared" si="11"/>
        <v>350</v>
      </c>
      <c r="AK136" s="315"/>
      <c r="AL136" s="315"/>
      <c r="AM136" s="315"/>
    </row>
    <row r="137" spans="1:39" s="244" customFormat="1" ht="13.5" thickBot="1" x14ac:dyDescent="0.25">
      <c r="A137" s="135"/>
      <c r="B137" s="1125" t="s">
        <v>142</v>
      </c>
      <c r="C137" s="1125"/>
      <c r="D137" s="1125"/>
      <c r="E137" s="654">
        <v>0</v>
      </c>
      <c r="F137" s="411"/>
      <c r="G137" s="412">
        <v>0</v>
      </c>
      <c r="H137" s="1133"/>
      <c r="I137" s="413"/>
      <c r="J137" s="413"/>
      <c r="K137" s="434"/>
      <c r="L137" s="425"/>
      <c r="M137" s="425"/>
      <c r="N137" s="435"/>
      <c r="O137" s="434"/>
      <c r="P137" s="425"/>
      <c r="Q137" s="458"/>
      <c r="R137" s="435"/>
      <c r="S137" s="442"/>
      <c r="T137" s="443"/>
      <c r="U137" s="443"/>
      <c r="V137" s="444"/>
      <c r="W137" s="317"/>
      <c r="X137" s="318"/>
      <c r="Y137" s="318"/>
      <c r="Z137" s="319"/>
      <c r="AA137" s="317"/>
      <c r="AB137" s="318"/>
      <c r="AC137" s="318"/>
      <c r="AD137" s="319"/>
      <c r="AE137" s="737"/>
      <c r="AF137" s="737"/>
      <c r="AG137" s="737"/>
      <c r="AH137" s="737"/>
      <c r="AI137" s="359">
        <f t="shared" si="10"/>
        <v>0</v>
      </c>
      <c r="AJ137" s="315">
        <f t="shared" si="11"/>
        <v>0</v>
      </c>
      <c r="AK137" s="315"/>
      <c r="AL137" s="315"/>
      <c r="AM137" s="315"/>
    </row>
    <row r="138" spans="1:39" s="244" customFormat="1" ht="13.5" thickBot="1" x14ac:dyDescent="0.25">
      <c r="A138" s="135"/>
      <c r="B138" s="1120" t="s">
        <v>91</v>
      </c>
      <c r="C138" s="1120"/>
      <c r="D138" s="1120"/>
      <c r="E138" s="654">
        <v>0</v>
      </c>
      <c r="F138" s="649">
        <v>350</v>
      </c>
      <c r="G138" s="377">
        <v>350</v>
      </c>
      <c r="H138" s="1134"/>
      <c r="I138" s="611"/>
      <c r="J138" s="611"/>
      <c r="K138" s="461"/>
      <c r="L138" s="462"/>
      <c r="M138" s="462"/>
      <c r="N138" s="463"/>
      <c r="O138" s="461"/>
      <c r="P138" s="462"/>
      <c r="Q138" s="462"/>
      <c r="R138" s="463"/>
      <c r="S138" s="464"/>
      <c r="T138" s="465"/>
      <c r="U138" s="465"/>
      <c r="V138" s="466"/>
      <c r="W138" s="317"/>
      <c r="X138" s="318"/>
      <c r="Y138" s="318"/>
      <c r="Z138" s="319"/>
      <c r="AA138" s="317"/>
      <c r="AB138" s="318"/>
      <c r="AC138" s="318"/>
      <c r="AD138" s="319"/>
      <c r="AE138" s="737"/>
      <c r="AF138" s="737"/>
      <c r="AG138" s="737"/>
      <c r="AH138" s="737"/>
      <c r="AI138" s="359">
        <f t="shared" si="10"/>
        <v>0</v>
      </c>
      <c r="AJ138" s="315">
        <f t="shared" si="11"/>
        <v>-350</v>
      </c>
      <c r="AK138" s="315"/>
      <c r="AL138" s="315"/>
      <c r="AM138" s="315"/>
    </row>
    <row r="139" spans="1:39" s="244" customFormat="1" ht="28.5" customHeight="1" thickBot="1" x14ac:dyDescent="0.25">
      <c r="A139" s="135"/>
      <c r="B139" s="1188" t="s">
        <v>146</v>
      </c>
      <c r="C139" s="1189"/>
      <c r="D139" s="1189"/>
      <c r="E139" s="773"/>
      <c r="F139" s="773"/>
      <c r="G139" s="773"/>
      <c r="H139" s="773"/>
      <c r="I139" s="773"/>
      <c r="J139" s="773"/>
      <c r="K139" s="1162">
        <f>SUM(K140:N144)</f>
        <v>0</v>
      </c>
      <c r="L139" s="1163"/>
      <c r="M139" s="1163"/>
      <c r="N139" s="1163"/>
      <c r="O139" s="1162">
        <f>SUM(O140:R144)</f>
        <v>480</v>
      </c>
      <c r="P139" s="1163"/>
      <c r="Q139" s="1163"/>
      <c r="R139" s="1163"/>
      <c r="S139" s="1162">
        <f>SUM(S140:V144)</f>
        <v>0</v>
      </c>
      <c r="T139" s="1163"/>
      <c r="U139" s="1163"/>
      <c r="V139" s="1163"/>
      <c r="W139" s="1162">
        <f>SUM(W140:Z144)</f>
        <v>0</v>
      </c>
      <c r="X139" s="1163"/>
      <c r="Y139" s="1163"/>
      <c r="Z139" s="1163"/>
      <c r="AA139" s="1162">
        <f>SUM(AA140:AD144)</f>
        <v>0</v>
      </c>
      <c r="AB139" s="1163"/>
      <c r="AC139" s="1163"/>
      <c r="AD139" s="1163"/>
      <c r="AE139" s="1162">
        <f>SUM(AE140:AH144)</f>
        <v>0</v>
      </c>
      <c r="AF139" s="1163"/>
      <c r="AG139" s="1163"/>
      <c r="AH139" s="1163"/>
      <c r="AI139" s="359">
        <f t="shared" si="10"/>
        <v>480</v>
      </c>
      <c r="AJ139" s="315">
        <f t="shared" si="11"/>
        <v>480</v>
      </c>
      <c r="AK139" s="315"/>
      <c r="AL139" s="315"/>
      <c r="AM139" s="315"/>
    </row>
    <row r="140" spans="1:39" s="244" customFormat="1" ht="12.75" customHeight="1" thickBot="1" x14ac:dyDescent="0.25">
      <c r="A140" s="135"/>
      <c r="B140" s="1126" t="s">
        <v>144</v>
      </c>
      <c r="C140" s="1126"/>
      <c r="D140" s="1126"/>
      <c r="E140" s="654">
        <v>0</v>
      </c>
      <c r="F140" s="641"/>
      <c r="G140" s="642"/>
      <c r="H140" s="1132" t="s">
        <v>109</v>
      </c>
      <c r="I140" s="643"/>
      <c r="J140" s="643"/>
      <c r="K140" s="563"/>
      <c r="L140" s="564"/>
      <c r="M140" s="561"/>
      <c r="N140" s="646"/>
      <c r="O140" s="647"/>
      <c r="P140" s="637"/>
      <c r="Q140" s="564"/>
      <c r="R140" s="567"/>
      <c r="S140" s="568"/>
      <c r="T140" s="569"/>
      <c r="U140" s="569"/>
      <c r="V140" s="570"/>
      <c r="W140" s="317"/>
      <c r="X140" s="318"/>
      <c r="Y140" s="318"/>
      <c r="Z140" s="319"/>
      <c r="AA140" s="317"/>
      <c r="AB140" s="318"/>
      <c r="AC140" s="318"/>
      <c r="AD140" s="319"/>
      <c r="AE140" s="737"/>
      <c r="AF140" s="737"/>
      <c r="AG140" s="737"/>
      <c r="AH140" s="737"/>
      <c r="AI140" s="359">
        <f t="shared" si="10"/>
        <v>0</v>
      </c>
      <c r="AJ140" s="315">
        <f t="shared" si="11"/>
        <v>0</v>
      </c>
      <c r="AK140" s="315"/>
      <c r="AL140" s="315"/>
      <c r="AM140" s="315"/>
    </row>
    <row r="141" spans="1:39" s="244" customFormat="1" ht="13.5" thickBot="1" x14ac:dyDescent="0.25">
      <c r="A141" s="135"/>
      <c r="B141" s="1125" t="s">
        <v>94</v>
      </c>
      <c r="C141" s="1125"/>
      <c r="D141" s="1125"/>
      <c r="E141" s="654">
        <v>0</v>
      </c>
      <c r="F141" s="411"/>
      <c r="G141" s="412">
        <v>0</v>
      </c>
      <c r="H141" s="1133"/>
      <c r="I141" s="413"/>
      <c r="J141" s="413"/>
      <c r="K141" s="434"/>
      <c r="L141" s="425"/>
      <c r="M141" s="328"/>
      <c r="N141" s="326"/>
      <c r="O141" s="327"/>
      <c r="P141" s="323"/>
      <c r="Q141" s="458"/>
      <c r="R141" s="435"/>
      <c r="S141" s="442"/>
      <c r="T141" s="443"/>
      <c r="U141" s="443"/>
      <c r="V141" s="444"/>
      <c r="W141" s="317"/>
      <c r="X141" s="318"/>
      <c r="Y141" s="318"/>
      <c r="Z141" s="319"/>
      <c r="AA141" s="317"/>
      <c r="AB141" s="318"/>
      <c r="AC141" s="318"/>
      <c r="AD141" s="319"/>
      <c r="AE141" s="737"/>
      <c r="AF141" s="737"/>
      <c r="AG141" s="737"/>
      <c r="AH141" s="737"/>
      <c r="AI141" s="359">
        <f t="shared" si="10"/>
        <v>0</v>
      </c>
      <c r="AJ141" s="315">
        <f t="shared" si="11"/>
        <v>0</v>
      </c>
      <c r="AK141" s="315"/>
      <c r="AL141" s="315"/>
      <c r="AM141" s="315"/>
    </row>
    <row r="142" spans="1:39" s="244" customFormat="1" ht="13.5" thickBot="1" x14ac:dyDescent="0.25">
      <c r="A142" s="135"/>
      <c r="B142" s="1125" t="s">
        <v>143</v>
      </c>
      <c r="C142" s="1125"/>
      <c r="D142" s="1125"/>
      <c r="E142" s="654">
        <v>0</v>
      </c>
      <c r="F142" s="411"/>
      <c r="G142" s="412">
        <v>0</v>
      </c>
      <c r="H142" s="1133"/>
      <c r="I142" s="413"/>
      <c r="J142" s="413"/>
      <c r="K142" s="434"/>
      <c r="L142" s="425"/>
      <c r="M142" s="425"/>
      <c r="N142" s="435"/>
      <c r="O142" s="434"/>
      <c r="P142" s="425"/>
      <c r="Q142" s="455">
        <v>480</v>
      </c>
      <c r="R142" s="435"/>
      <c r="S142" s="442"/>
      <c r="T142" s="443"/>
      <c r="U142" s="443"/>
      <c r="V142" s="444"/>
      <c r="W142" s="317"/>
      <c r="X142" s="318"/>
      <c r="Y142" s="318"/>
      <c r="Z142" s="319"/>
      <c r="AA142" s="317"/>
      <c r="AB142" s="318"/>
      <c r="AC142" s="318"/>
      <c r="AD142" s="319"/>
      <c r="AE142" s="737"/>
      <c r="AF142" s="737"/>
      <c r="AG142" s="737"/>
      <c r="AH142" s="737"/>
      <c r="AI142" s="359">
        <f t="shared" si="10"/>
        <v>480</v>
      </c>
      <c r="AJ142" s="315">
        <f t="shared" si="11"/>
        <v>480</v>
      </c>
      <c r="AK142" s="315"/>
      <c r="AL142" s="315"/>
      <c r="AM142" s="315"/>
    </row>
    <row r="143" spans="1:39" s="244" customFormat="1" ht="13.5" thickBot="1" x14ac:dyDescent="0.25">
      <c r="A143" s="135"/>
      <c r="B143" s="1125" t="s">
        <v>142</v>
      </c>
      <c r="C143" s="1125"/>
      <c r="D143" s="1125"/>
      <c r="E143" s="654">
        <v>0</v>
      </c>
      <c r="F143" s="411"/>
      <c r="G143" s="412">
        <v>0</v>
      </c>
      <c r="H143" s="1133"/>
      <c r="I143" s="413"/>
      <c r="J143" s="413"/>
      <c r="K143" s="434"/>
      <c r="L143" s="425"/>
      <c r="M143" s="425"/>
      <c r="N143" s="435"/>
      <c r="O143" s="434"/>
      <c r="P143" s="425"/>
      <c r="Q143" s="458"/>
      <c r="R143" s="435"/>
      <c r="S143" s="442"/>
      <c r="T143" s="443"/>
      <c r="U143" s="443"/>
      <c r="V143" s="444"/>
      <c r="W143" s="317"/>
      <c r="X143" s="318"/>
      <c r="Y143" s="318"/>
      <c r="Z143" s="319"/>
      <c r="AA143" s="317"/>
      <c r="AB143" s="318"/>
      <c r="AC143" s="318"/>
      <c r="AD143" s="319"/>
      <c r="AE143" s="737"/>
      <c r="AF143" s="737"/>
      <c r="AG143" s="737"/>
      <c r="AH143" s="737"/>
      <c r="AI143" s="359">
        <f t="shared" si="10"/>
        <v>0</v>
      </c>
      <c r="AJ143" s="315">
        <f t="shared" si="11"/>
        <v>0</v>
      </c>
      <c r="AK143" s="315"/>
      <c r="AL143" s="315"/>
      <c r="AM143" s="315"/>
    </row>
    <row r="144" spans="1:39" s="244" customFormat="1" ht="13.5" thickBot="1" x14ac:dyDescent="0.25">
      <c r="A144" s="135"/>
      <c r="B144" s="1122" t="s">
        <v>91</v>
      </c>
      <c r="C144" s="1122"/>
      <c r="D144" s="1122"/>
      <c r="E144" s="654">
        <v>0</v>
      </c>
      <c r="F144" s="649">
        <v>480</v>
      </c>
      <c r="G144" s="377">
        <v>480</v>
      </c>
      <c r="H144" s="1134"/>
      <c r="I144" s="611"/>
      <c r="J144" s="611"/>
      <c r="K144" s="461"/>
      <c r="L144" s="462"/>
      <c r="M144" s="462"/>
      <c r="N144" s="463"/>
      <c r="O144" s="461"/>
      <c r="P144" s="462"/>
      <c r="Q144" s="650"/>
      <c r="R144" s="463"/>
      <c r="S144" s="464"/>
      <c r="T144" s="465"/>
      <c r="U144" s="465"/>
      <c r="V144" s="466"/>
      <c r="W144" s="317"/>
      <c r="X144" s="318"/>
      <c r="Y144" s="318"/>
      <c r="Z144" s="319"/>
      <c r="AA144" s="317"/>
      <c r="AB144" s="318"/>
      <c r="AC144" s="318"/>
      <c r="AD144" s="319"/>
      <c r="AE144" s="737"/>
      <c r="AF144" s="737"/>
      <c r="AG144" s="737"/>
      <c r="AH144" s="737"/>
      <c r="AI144" s="359">
        <f t="shared" si="10"/>
        <v>0</v>
      </c>
      <c r="AJ144" s="315">
        <f t="shared" si="11"/>
        <v>-480</v>
      </c>
      <c r="AK144" s="315"/>
      <c r="AL144" s="315"/>
      <c r="AM144" s="315"/>
    </row>
    <row r="145" spans="1:39" s="244" customFormat="1" ht="22.5" customHeight="1" thickBot="1" x14ac:dyDescent="0.25">
      <c r="A145" s="135"/>
      <c r="B145" s="1188" t="s">
        <v>147</v>
      </c>
      <c r="C145" s="1189"/>
      <c r="D145" s="1189"/>
      <c r="E145" s="773"/>
      <c r="F145" s="773"/>
      <c r="G145" s="773"/>
      <c r="H145" s="773"/>
      <c r="I145" s="773"/>
      <c r="J145" s="773"/>
      <c r="K145" s="1162">
        <f>SUM(K146:N150)</f>
        <v>0</v>
      </c>
      <c r="L145" s="1163"/>
      <c r="M145" s="1163"/>
      <c r="N145" s="1163"/>
      <c r="O145" s="1162">
        <f>SUM(O146:R150)</f>
        <v>400</v>
      </c>
      <c r="P145" s="1163"/>
      <c r="Q145" s="1163"/>
      <c r="R145" s="1163"/>
      <c r="S145" s="1162">
        <f>SUM(S146:V150)</f>
        <v>400</v>
      </c>
      <c r="T145" s="1163"/>
      <c r="U145" s="1163"/>
      <c r="V145" s="1163"/>
      <c r="W145" s="1162">
        <f>SUM(W146:Z150)</f>
        <v>400</v>
      </c>
      <c r="X145" s="1163"/>
      <c r="Y145" s="1163"/>
      <c r="Z145" s="1163"/>
      <c r="AA145" s="1162">
        <f>SUM(AA146:AD150)</f>
        <v>0</v>
      </c>
      <c r="AB145" s="1163"/>
      <c r="AC145" s="1163"/>
      <c r="AD145" s="1163"/>
      <c r="AE145" s="1162">
        <f>SUM(AE146:AH150)</f>
        <v>0</v>
      </c>
      <c r="AF145" s="1163"/>
      <c r="AG145" s="1163"/>
      <c r="AH145" s="1163"/>
      <c r="AI145" s="359">
        <f t="shared" si="10"/>
        <v>1200</v>
      </c>
      <c r="AJ145" s="315">
        <f t="shared" si="11"/>
        <v>1200</v>
      </c>
      <c r="AK145" s="315"/>
      <c r="AL145" s="315"/>
      <c r="AM145" s="315"/>
    </row>
    <row r="146" spans="1:39" s="244" customFormat="1" ht="12.75" customHeight="1" thickBot="1" x14ac:dyDescent="0.25">
      <c r="A146" s="135"/>
      <c r="B146" s="1126" t="s">
        <v>144</v>
      </c>
      <c r="C146" s="1126"/>
      <c r="D146" s="1126"/>
      <c r="E146" s="645">
        <v>0</v>
      </c>
      <c r="F146" s="641"/>
      <c r="G146" s="642"/>
      <c r="H146" s="1132" t="s">
        <v>109</v>
      </c>
      <c r="I146" s="643"/>
      <c r="J146" s="643"/>
      <c r="K146" s="563"/>
      <c r="L146" s="564"/>
      <c r="M146" s="561"/>
      <c r="N146" s="646"/>
      <c r="O146" s="647"/>
      <c r="P146" s="637"/>
      <c r="Q146" s="646"/>
      <c r="R146" s="646"/>
      <c r="S146" s="647"/>
      <c r="T146" s="637"/>
      <c r="U146" s="646"/>
      <c r="V146" s="647"/>
      <c r="W146" s="637"/>
      <c r="X146" s="318"/>
      <c r="Y146" s="318"/>
      <c r="Z146" s="319"/>
      <c r="AA146" s="317"/>
      <c r="AB146" s="318"/>
      <c r="AC146" s="318"/>
      <c r="AD146" s="319"/>
      <c r="AE146" s="737"/>
      <c r="AF146" s="737"/>
      <c r="AG146" s="737"/>
      <c r="AH146" s="737"/>
      <c r="AI146" s="359">
        <f t="shared" si="10"/>
        <v>0</v>
      </c>
      <c r="AJ146" s="315">
        <f t="shared" si="11"/>
        <v>0</v>
      </c>
      <c r="AK146" s="315"/>
      <c r="AL146" s="315"/>
      <c r="AM146" s="315"/>
    </row>
    <row r="147" spans="1:39" s="244" customFormat="1" ht="13.5" thickBot="1" x14ac:dyDescent="0.25">
      <c r="A147" s="135"/>
      <c r="B147" s="1125" t="s">
        <v>94</v>
      </c>
      <c r="C147" s="1125"/>
      <c r="D147" s="1125"/>
      <c r="E147" s="410"/>
      <c r="F147" s="411"/>
      <c r="G147" s="412">
        <v>0</v>
      </c>
      <c r="H147" s="1133"/>
      <c r="I147" s="413"/>
      <c r="J147" s="413"/>
      <c r="K147" s="434"/>
      <c r="L147" s="425"/>
      <c r="M147" s="328"/>
      <c r="N147" s="326"/>
      <c r="O147" s="327"/>
      <c r="P147" s="323"/>
      <c r="Q147" s="326"/>
      <c r="R147" s="326"/>
      <c r="S147" s="327"/>
      <c r="T147" s="323"/>
      <c r="U147" s="326"/>
      <c r="V147" s="327"/>
      <c r="W147" s="323"/>
      <c r="X147" s="318"/>
      <c r="Y147" s="318"/>
      <c r="Z147" s="319"/>
      <c r="AA147" s="317"/>
      <c r="AB147" s="318"/>
      <c r="AC147" s="318"/>
      <c r="AD147" s="319"/>
      <c r="AE147" s="737"/>
      <c r="AF147" s="737"/>
      <c r="AG147" s="737"/>
      <c r="AH147" s="737"/>
      <c r="AI147" s="359">
        <f t="shared" si="10"/>
        <v>0</v>
      </c>
      <c r="AJ147" s="315">
        <f t="shared" si="11"/>
        <v>0</v>
      </c>
      <c r="AK147" s="315"/>
      <c r="AL147" s="315"/>
      <c r="AM147" s="315"/>
    </row>
    <row r="148" spans="1:39" s="244" customFormat="1" ht="13.5" thickBot="1" x14ac:dyDescent="0.25">
      <c r="A148" s="135"/>
      <c r="B148" s="1125" t="s">
        <v>143</v>
      </c>
      <c r="C148" s="1125"/>
      <c r="D148" s="1125"/>
      <c r="E148" s="410"/>
      <c r="F148" s="411"/>
      <c r="G148" s="412">
        <v>0</v>
      </c>
      <c r="H148" s="1133"/>
      <c r="I148" s="413"/>
      <c r="J148" s="413"/>
      <c r="K148" s="434"/>
      <c r="L148" s="425"/>
      <c r="M148" s="425"/>
      <c r="N148" s="435"/>
      <c r="O148" s="434"/>
      <c r="P148" s="425"/>
      <c r="Q148" s="455">
        <v>400</v>
      </c>
      <c r="R148" s="435"/>
      <c r="S148" s="442"/>
      <c r="T148" s="443"/>
      <c r="U148" s="455">
        <v>400</v>
      </c>
      <c r="V148" s="444"/>
      <c r="W148" s="317"/>
      <c r="X148" s="455">
        <v>400</v>
      </c>
      <c r="Y148" s="318"/>
      <c r="Z148" s="319"/>
      <c r="AA148" s="317"/>
      <c r="AB148" s="318"/>
      <c r="AC148" s="318"/>
      <c r="AD148" s="319"/>
      <c r="AE148" s="737"/>
      <c r="AF148" s="737"/>
      <c r="AG148" s="737"/>
      <c r="AH148" s="737"/>
      <c r="AI148" s="359">
        <f t="shared" si="10"/>
        <v>1200</v>
      </c>
      <c r="AJ148" s="315">
        <f t="shared" si="11"/>
        <v>1200</v>
      </c>
      <c r="AK148" s="315"/>
      <c r="AL148" s="315"/>
      <c r="AM148" s="315"/>
    </row>
    <row r="149" spans="1:39" s="244" customFormat="1" ht="13.5" thickBot="1" x14ac:dyDescent="0.25">
      <c r="A149" s="135"/>
      <c r="B149" s="1125" t="s">
        <v>142</v>
      </c>
      <c r="C149" s="1125"/>
      <c r="D149" s="1125"/>
      <c r="E149" s="410"/>
      <c r="F149" s="411"/>
      <c r="G149" s="412">
        <v>0</v>
      </c>
      <c r="H149" s="1133"/>
      <c r="I149" s="413"/>
      <c r="J149" s="413"/>
      <c r="K149" s="434"/>
      <c r="L149" s="425"/>
      <c r="M149" s="425"/>
      <c r="N149" s="435"/>
      <c r="O149" s="434"/>
      <c r="P149" s="425"/>
      <c r="Q149" s="425"/>
      <c r="R149" s="435"/>
      <c r="S149" s="442"/>
      <c r="T149" s="443"/>
      <c r="U149" s="443"/>
      <c r="V149" s="444"/>
      <c r="W149" s="317"/>
      <c r="X149" s="318"/>
      <c r="Y149" s="318"/>
      <c r="Z149" s="319"/>
      <c r="AA149" s="317"/>
      <c r="AB149" s="318"/>
      <c r="AC149" s="318"/>
      <c r="AD149" s="319"/>
      <c r="AE149" s="737"/>
      <c r="AF149" s="737"/>
      <c r="AG149" s="737"/>
      <c r="AH149" s="737"/>
      <c r="AI149" s="359">
        <f t="shared" si="10"/>
        <v>0</v>
      </c>
      <c r="AJ149" s="315">
        <f t="shared" si="11"/>
        <v>0</v>
      </c>
      <c r="AK149" s="315"/>
      <c r="AL149" s="315"/>
      <c r="AM149" s="315"/>
    </row>
    <row r="150" spans="1:39" s="244" customFormat="1" ht="13.5" thickBot="1" x14ac:dyDescent="0.25">
      <c r="A150" s="135"/>
      <c r="B150" s="1122" t="s">
        <v>91</v>
      </c>
      <c r="C150" s="1122"/>
      <c r="D150" s="1122"/>
      <c r="E150" s="648">
        <v>0</v>
      </c>
      <c r="F150" s="649">
        <v>1200</v>
      </c>
      <c r="G150" s="377">
        <v>1200</v>
      </c>
      <c r="H150" s="1134"/>
      <c r="I150" s="611"/>
      <c r="J150" s="611"/>
      <c r="K150" s="461"/>
      <c r="L150" s="462"/>
      <c r="M150" s="462"/>
      <c r="N150" s="463"/>
      <c r="O150" s="461"/>
      <c r="P150" s="462"/>
      <c r="Q150" s="462"/>
      <c r="R150" s="463"/>
      <c r="S150" s="464"/>
      <c r="T150" s="465"/>
      <c r="U150" s="465"/>
      <c r="V150" s="466"/>
      <c r="W150" s="317"/>
      <c r="X150" s="318"/>
      <c r="Y150" s="318"/>
      <c r="Z150" s="319"/>
      <c r="AA150" s="317"/>
      <c r="AB150" s="318"/>
      <c r="AC150" s="318"/>
      <c r="AD150" s="319"/>
      <c r="AE150" s="737"/>
      <c r="AF150" s="737"/>
      <c r="AG150" s="737"/>
      <c r="AH150" s="737"/>
      <c r="AI150" s="359">
        <f t="shared" si="10"/>
        <v>0</v>
      </c>
      <c r="AJ150" s="315">
        <f t="shared" si="11"/>
        <v>-1200</v>
      </c>
      <c r="AK150" s="315"/>
      <c r="AL150" s="315"/>
      <c r="AM150" s="315"/>
    </row>
    <row r="151" spans="1:39" s="244" customFormat="1" ht="22.5" customHeight="1" thickBot="1" x14ac:dyDescent="0.25">
      <c r="A151" s="135"/>
      <c r="B151" s="1188" t="s">
        <v>155</v>
      </c>
      <c r="C151" s="1189"/>
      <c r="D151" s="1189"/>
      <c r="E151" s="1189"/>
      <c r="F151" s="1189"/>
      <c r="G151" s="1189"/>
      <c r="H151" s="773"/>
      <c r="I151" s="773"/>
      <c r="J151" s="773"/>
      <c r="K151" s="1162">
        <f>SUM(K152:N156)</f>
        <v>0</v>
      </c>
      <c r="L151" s="1163"/>
      <c r="M151" s="1163"/>
      <c r="N151" s="1163"/>
      <c r="O151" s="1162">
        <f>SUM(O152:R156)</f>
        <v>80</v>
      </c>
      <c r="P151" s="1163"/>
      <c r="Q151" s="1163"/>
      <c r="R151" s="1163"/>
      <c r="S151" s="1162">
        <f>SUM(S152:V156)</f>
        <v>80</v>
      </c>
      <c r="T151" s="1163"/>
      <c r="U151" s="1163"/>
      <c r="V151" s="1163"/>
      <c r="W151" s="1162">
        <f>SUM(W152:Z156)</f>
        <v>40</v>
      </c>
      <c r="X151" s="1163"/>
      <c r="Y151" s="1163"/>
      <c r="Z151" s="1163"/>
      <c r="AA151" s="1162">
        <f>SUM(AA152:AD156)</f>
        <v>0</v>
      </c>
      <c r="AB151" s="1163"/>
      <c r="AC151" s="1163"/>
      <c r="AD151" s="1163"/>
      <c r="AE151" s="1162">
        <f>SUM(AE152:AH156)</f>
        <v>0</v>
      </c>
      <c r="AF151" s="1163"/>
      <c r="AG151" s="1163"/>
      <c r="AH151" s="1163"/>
      <c r="AI151" s="359">
        <f t="shared" si="10"/>
        <v>200</v>
      </c>
      <c r="AJ151" s="315">
        <f t="shared" si="11"/>
        <v>200</v>
      </c>
      <c r="AK151" s="315"/>
      <c r="AL151" s="315"/>
      <c r="AM151" s="315"/>
    </row>
    <row r="152" spans="1:39" ht="12.75" customHeight="1" thickBot="1" x14ac:dyDescent="0.25">
      <c r="A152" s="6"/>
      <c r="B152" s="1126" t="s">
        <v>144</v>
      </c>
      <c r="C152" s="1126"/>
      <c r="D152" s="1126"/>
      <c r="E152" s="651"/>
      <c r="F152" s="652"/>
      <c r="G152" s="653">
        <f>SUM(E152:E152)</f>
        <v>0</v>
      </c>
      <c r="H152" s="1132" t="s">
        <v>149</v>
      </c>
      <c r="I152" s="303"/>
      <c r="J152" s="303"/>
      <c r="K152" s="560"/>
      <c r="L152" s="561"/>
      <c r="M152" s="561"/>
      <c r="N152" s="595"/>
      <c r="O152" s="638"/>
      <c r="P152" s="561"/>
      <c r="Q152" s="575"/>
      <c r="R152" s="572"/>
      <c r="S152" s="560"/>
      <c r="T152" s="561"/>
      <c r="U152" s="561"/>
      <c r="V152" s="595"/>
      <c r="W152" s="560"/>
      <c r="X152" s="561"/>
      <c r="Y152" s="561"/>
      <c r="Z152" s="595"/>
      <c r="AA152" s="560"/>
      <c r="AB152" s="561"/>
      <c r="AC152" s="561"/>
      <c r="AD152" s="595"/>
      <c r="AE152" s="735"/>
      <c r="AF152" s="735"/>
      <c r="AG152" s="735"/>
      <c r="AH152" s="735"/>
      <c r="AI152" s="359">
        <f t="shared" si="10"/>
        <v>0</v>
      </c>
      <c r="AJ152" s="315">
        <f t="shared" si="11"/>
        <v>0</v>
      </c>
      <c r="AK152" s="315"/>
      <c r="AL152" s="315"/>
      <c r="AM152" s="315"/>
    </row>
    <row r="153" spans="1:39" ht="13.5" thickBot="1" x14ac:dyDescent="0.25">
      <c r="A153" s="6"/>
      <c r="B153" s="1125" t="s">
        <v>94</v>
      </c>
      <c r="C153" s="1125"/>
      <c r="D153" s="1125"/>
      <c r="E153" s="419"/>
      <c r="F153" s="420"/>
      <c r="G153" s="421"/>
      <c r="H153" s="1133"/>
      <c r="I153" s="301"/>
      <c r="J153" s="301"/>
      <c r="K153" s="327"/>
      <c r="L153" s="328"/>
      <c r="M153" s="328"/>
      <c r="N153" s="326"/>
      <c r="O153" s="336"/>
      <c r="P153" s="328"/>
      <c r="Q153" s="328"/>
      <c r="R153" s="573"/>
      <c r="S153" s="574"/>
      <c r="T153" s="470"/>
      <c r="U153" s="328"/>
      <c r="V153" s="326"/>
      <c r="W153" s="327"/>
      <c r="X153" s="328"/>
      <c r="Y153" s="328"/>
      <c r="Z153" s="326"/>
      <c r="AA153" s="327"/>
      <c r="AB153" s="328"/>
      <c r="AC153" s="328"/>
      <c r="AD153" s="326"/>
      <c r="AE153" s="732"/>
      <c r="AF153" s="732"/>
      <c r="AG153" s="732"/>
      <c r="AH153" s="732"/>
      <c r="AI153" s="359">
        <f t="shared" si="10"/>
        <v>0</v>
      </c>
      <c r="AJ153" s="315">
        <f t="shared" si="11"/>
        <v>0</v>
      </c>
      <c r="AK153" s="315"/>
      <c r="AL153" s="315"/>
      <c r="AM153" s="315"/>
    </row>
    <row r="154" spans="1:39" ht="13.5" thickBot="1" x14ac:dyDescent="0.25">
      <c r="A154" s="6"/>
      <c r="B154" s="1125" t="s">
        <v>143</v>
      </c>
      <c r="C154" s="1125"/>
      <c r="D154" s="1125"/>
      <c r="E154" s="419"/>
      <c r="F154" s="420"/>
      <c r="G154" s="421"/>
      <c r="H154" s="1133"/>
      <c r="I154" s="301"/>
      <c r="J154" s="301"/>
      <c r="K154" s="327"/>
      <c r="L154" s="328"/>
      <c r="M154" s="328"/>
      <c r="N154" s="326"/>
      <c r="O154" s="336"/>
      <c r="P154" s="328"/>
      <c r="Q154" s="328"/>
      <c r="R154" s="326"/>
      <c r="S154" s="327"/>
      <c r="T154" s="328"/>
      <c r="U154" s="328"/>
      <c r="V154" s="326"/>
      <c r="W154" s="327"/>
      <c r="X154" s="328"/>
      <c r="Y154" s="328"/>
      <c r="Z154" s="326"/>
      <c r="AA154" s="327"/>
      <c r="AB154" s="328"/>
      <c r="AC154" s="328"/>
      <c r="AD154" s="326"/>
      <c r="AE154" s="732"/>
      <c r="AF154" s="732"/>
      <c r="AG154" s="732"/>
      <c r="AH154" s="732"/>
      <c r="AI154" s="359">
        <f t="shared" si="10"/>
        <v>0</v>
      </c>
      <c r="AJ154" s="315">
        <f t="shared" si="11"/>
        <v>0</v>
      </c>
      <c r="AK154" s="315"/>
      <c r="AL154" s="315"/>
      <c r="AM154" s="315"/>
    </row>
    <row r="155" spans="1:39" ht="13.5" thickBot="1" x14ac:dyDescent="0.25">
      <c r="A155" s="6"/>
      <c r="B155" s="1125" t="s">
        <v>142</v>
      </c>
      <c r="C155" s="1125"/>
      <c r="D155" s="1125"/>
      <c r="E155" s="419"/>
      <c r="F155" s="420"/>
      <c r="G155" s="421"/>
      <c r="H155" s="1133"/>
      <c r="I155" s="301"/>
      <c r="J155" s="301"/>
      <c r="K155" s="327"/>
      <c r="L155" s="328"/>
      <c r="M155" s="328"/>
      <c r="N155" s="326"/>
      <c r="O155" s="336"/>
      <c r="P155" s="455">
        <v>40</v>
      </c>
      <c r="Q155" s="425"/>
      <c r="R155" s="455">
        <v>40</v>
      </c>
      <c r="S155" s="455">
        <v>40</v>
      </c>
      <c r="T155" s="442"/>
      <c r="U155" s="455">
        <v>40</v>
      </c>
      <c r="V155" s="326"/>
      <c r="W155" s="455">
        <v>40</v>
      </c>
      <c r="X155" s="328"/>
      <c r="Y155" s="328"/>
      <c r="Z155" s="326"/>
      <c r="AA155" s="327"/>
      <c r="AB155" s="328"/>
      <c r="AC155" s="328"/>
      <c r="AD155" s="326"/>
      <c r="AE155" s="732"/>
      <c r="AF155" s="732"/>
      <c r="AG155" s="732"/>
      <c r="AH155" s="732"/>
      <c r="AI155" s="359">
        <f t="shared" si="10"/>
        <v>200</v>
      </c>
      <c r="AJ155" s="315">
        <f t="shared" si="11"/>
        <v>200</v>
      </c>
      <c r="AK155" s="315"/>
      <c r="AL155" s="315"/>
      <c r="AM155" s="315"/>
    </row>
    <row r="156" spans="1:39" ht="13.5" thickBot="1" x14ac:dyDescent="0.25">
      <c r="A156" s="6"/>
      <c r="B156" s="1122" t="s">
        <v>91</v>
      </c>
      <c r="C156" s="1122"/>
      <c r="D156" s="1122"/>
      <c r="E156" s="331">
        <v>200</v>
      </c>
      <c r="F156" s="332"/>
      <c r="G156" s="333">
        <v>200</v>
      </c>
      <c r="H156" s="1134"/>
      <c r="I156" s="301"/>
      <c r="J156" s="301"/>
      <c r="K156" s="327"/>
      <c r="L156" s="328"/>
      <c r="M156" s="328"/>
      <c r="N156" s="326"/>
      <c r="O156" s="336"/>
      <c r="P156" s="328"/>
      <c r="Q156" s="328"/>
      <c r="R156" s="326"/>
      <c r="S156" s="327"/>
      <c r="T156" s="328"/>
      <c r="U156" s="328"/>
      <c r="V156" s="326"/>
      <c r="W156" s="327"/>
      <c r="X156" s="328"/>
      <c r="Y156" s="328"/>
      <c r="Z156" s="326"/>
      <c r="AA156" s="327"/>
      <c r="AB156" s="328"/>
      <c r="AC156" s="328"/>
      <c r="AD156" s="326"/>
      <c r="AE156" s="732"/>
      <c r="AF156" s="732"/>
      <c r="AG156" s="732"/>
      <c r="AH156" s="732"/>
      <c r="AI156" s="359">
        <f t="shared" si="10"/>
        <v>0</v>
      </c>
      <c r="AJ156" s="315">
        <f t="shared" si="11"/>
        <v>-200</v>
      </c>
      <c r="AK156" s="315"/>
      <c r="AL156" s="315"/>
      <c r="AM156" s="315"/>
    </row>
    <row r="157" spans="1:39" s="244" customFormat="1" ht="13.5" customHeight="1" thickBot="1" x14ac:dyDescent="0.25">
      <c r="A157" s="135"/>
      <c r="B157" s="1186" t="s">
        <v>191</v>
      </c>
      <c r="C157" s="1186"/>
      <c r="D157" s="1186"/>
      <c r="E157" s="1148">
        <f>E164+E170</f>
        <v>0</v>
      </c>
      <c r="F157" s="1148">
        <f>F164+F170</f>
        <v>1800</v>
      </c>
      <c r="G157" s="1148">
        <f>G164+G170</f>
        <v>1800</v>
      </c>
      <c r="H157" s="1148"/>
      <c r="I157" s="1148"/>
      <c r="J157" s="1148"/>
      <c r="K157" s="1148">
        <f>K159+K165</f>
        <v>0</v>
      </c>
      <c r="L157" s="1148"/>
      <c r="M157" s="1148"/>
      <c r="N157" s="1148"/>
      <c r="O157" s="1148">
        <f>O159+O165</f>
        <v>0</v>
      </c>
      <c r="P157" s="1148"/>
      <c r="Q157" s="1148"/>
      <c r="R157" s="1148"/>
      <c r="S157" s="1148">
        <f>S159+S165</f>
        <v>800</v>
      </c>
      <c r="T157" s="1148"/>
      <c r="U157" s="1148"/>
      <c r="V157" s="1148"/>
      <c r="W157" s="1148">
        <f>W159+W165</f>
        <v>500</v>
      </c>
      <c r="X157" s="1148"/>
      <c r="Y157" s="1148"/>
      <c r="Z157" s="1148"/>
      <c r="AA157" s="1148">
        <f>AA159+AA165</f>
        <v>500</v>
      </c>
      <c r="AB157" s="1148"/>
      <c r="AC157" s="1148"/>
      <c r="AD157" s="1148"/>
      <c r="AE157" s="1148">
        <f>AE159+AE165</f>
        <v>0</v>
      </c>
      <c r="AF157" s="1148"/>
      <c r="AG157" s="1148"/>
      <c r="AH157" s="1148"/>
      <c r="AI157" s="359">
        <f t="shared" si="10"/>
        <v>1800</v>
      </c>
      <c r="AJ157" s="315">
        <f t="shared" si="11"/>
        <v>0</v>
      </c>
      <c r="AK157" s="315"/>
      <c r="AL157" s="315"/>
      <c r="AM157" s="315"/>
    </row>
    <row r="158" spans="1:39" s="244" customFormat="1" ht="13.5" customHeight="1" thickBot="1" x14ac:dyDescent="0.25">
      <c r="A158" s="135"/>
      <c r="B158" s="1187"/>
      <c r="C158" s="1187"/>
      <c r="D158" s="1187"/>
      <c r="E158" s="1225"/>
      <c r="F158" s="1225"/>
      <c r="G158" s="1225"/>
      <c r="H158" s="1225"/>
      <c r="I158" s="1225"/>
      <c r="J158" s="1225"/>
      <c r="K158" s="1225"/>
      <c r="L158" s="1225"/>
      <c r="M158" s="1225"/>
      <c r="N158" s="1225"/>
      <c r="O158" s="1225"/>
      <c r="P158" s="1225"/>
      <c r="Q158" s="1225"/>
      <c r="R158" s="1225"/>
      <c r="S158" s="1225"/>
      <c r="T158" s="1225"/>
      <c r="U158" s="1225"/>
      <c r="V158" s="1225"/>
      <c r="W158" s="1225"/>
      <c r="X158" s="1225"/>
      <c r="Y158" s="1225"/>
      <c r="Z158" s="1225"/>
      <c r="AA158" s="1225"/>
      <c r="AB158" s="1225"/>
      <c r="AC158" s="1225"/>
      <c r="AD158" s="1225"/>
      <c r="AE158" s="1225"/>
      <c r="AF158" s="1225"/>
      <c r="AG158" s="1225"/>
      <c r="AH158" s="1225"/>
      <c r="AI158" s="359">
        <f t="shared" si="10"/>
        <v>0</v>
      </c>
      <c r="AJ158" s="315">
        <f t="shared" si="11"/>
        <v>0</v>
      </c>
      <c r="AK158" s="315"/>
      <c r="AL158" s="315"/>
      <c r="AM158" s="315"/>
    </row>
    <row r="159" spans="1:39" s="244" customFormat="1" ht="24" customHeight="1" thickBot="1" x14ac:dyDescent="0.25">
      <c r="A159" s="135"/>
      <c r="B159" s="1188" t="s">
        <v>148</v>
      </c>
      <c r="C159" s="1189"/>
      <c r="D159" s="1189"/>
      <c r="E159" s="773"/>
      <c r="F159" s="773"/>
      <c r="G159" s="773"/>
      <c r="H159" s="773"/>
      <c r="I159" s="773"/>
      <c r="J159" s="773"/>
      <c r="K159" s="1162">
        <f>SUM(K160:N164)</f>
        <v>0</v>
      </c>
      <c r="L159" s="1163"/>
      <c r="M159" s="1163"/>
      <c r="N159" s="1163"/>
      <c r="O159" s="1162">
        <f>SUM(O160:R164)</f>
        <v>0</v>
      </c>
      <c r="P159" s="1163"/>
      <c r="Q159" s="1163"/>
      <c r="R159" s="1163"/>
      <c r="S159" s="1162">
        <f>SUM(S160:V164)</f>
        <v>800</v>
      </c>
      <c r="T159" s="1163"/>
      <c r="U159" s="1163"/>
      <c r="V159" s="1163"/>
      <c r="W159" s="1162">
        <f>SUM(W160:Z164)</f>
        <v>0</v>
      </c>
      <c r="X159" s="1163"/>
      <c r="Y159" s="1163"/>
      <c r="Z159" s="1163"/>
      <c r="AA159" s="1162">
        <f>SUM(AA160:AD164)</f>
        <v>0</v>
      </c>
      <c r="AB159" s="1163"/>
      <c r="AC159" s="1163"/>
      <c r="AD159" s="1163"/>
      <c r="AE159" s="1162">
        <f>SUM(AE160:AH164)</f>
        <v>0</v>
      </c>
      <c r="AF159" s="1163"/>
      <c r="AG159" s="1163"/>
      <c r="AH159" s="1163"/>
      <c r="AI159" s="359">
        <f t="shared" si="10"/>
        <v>800</v>
      </c>
      <c r="AJ159" s="315">
        <f t="shared" si="11"/>
        <v>800</v>
      </c>
      <c r="AK159" s="315"/>
      <c r="AL159" s="315"/>
      <c r="AM159" s="315"/>
    </row>
    <row r="160" spans="1:39" ht="12.75" customHeight="1" thickBot="1" x14ac:dyDescent="0.25">
      <c r="A160" s="6"/>
      <c r="B160" s="1126" t="s">
        <v>144</v>
      </c>
      <c r="C160" s="1126"/>
      <c r="D160" s="1126"/>
      <c r="E160" s="651"/>
      <c r="F160" s="652"/>
      <c r="G160" s="653"/>
      <c r="H160" s="1132" t="s">
        <v>109</v>
      </c>
      <c r="I160" s="303"/>
      <c r="J160" s="303"/>
      <c r="K160" s="560"/>
      <c r="L160" s="561"/>
      <c r="M160" s="561"/>
      <c r="N160" s="595"/>
      <c r="O160" s="638"/>
      <c r="P160" s="561"/>
      <c r="Q160" s="565"/>
      <c r="R160" s="566"/>
      <c r="S160" s="560"/>
      <c r="T160" s="561"/>
      <c r="U160" s="561"/>
      <c r="V160" s="595"/>
      <c r="W160" s="560"/>
      <c r="X160" s="561"/>
      <c r="Y160" s="561"/>
      <c r="Z160" s="595"/>
      <c r="AA160" s="560"/>
      <c r="AB160" s="561"/>
      <c r="AC160" s="561"/>
      <c r="AD160" s="595"/>
      <c r="AE160" s="735"/>
      <c r="AF160" s="735"/>
      <c r="AG160" s="735"/>
      <c r="AH160" s="735"/>
      <c r="AI160" s="359">
        <f t="shared" si="10"/>
        <v>0</v>
      </c>
      <c r="AJ160" s="315">
        <f t="shared" si="11"/>
        <v>0</v>
      </c>
      <c r="AK160" s="315"/>
      <c r="AL160" s="315"/>
      <c r="AM160" s="315"/>
    </row>
    <row r="161" spans="1:39" ht="13.5" thickBot="1" x14ac:dyDescent="0.25">
      <c r="A161" s="6"/>
      <c r="B161" s="1125" t="s">
        <v>94</v>
      </c>
      <c r="C161" s="1125"/>
      <c r="D161" s="1125"/>
      <c r="E161" s="419"/>
      <c r="F161" s="420"/>
      <c r="G161" s="421"/>
      <c r="H161" s="1133"/>
      <c r="I161" s="301"/>
      <c r="J161" s="301"/>
      <c r="K161" s="327"/>
      <c r="L161" s="328"/>
      <c r="M161" s="328"/>
      <c r="N161" s="326"/>
      <c r="O161" s="336"/>
      <c r="P161" s="328"/>
      <c r="Q161" s="328"/>
      <c r="R161" s="437"/>
      <c r="S161" s="441"/>
      <c r="T161" s="429"/>
      <c r="U161" s="328"/>
      <c r="V161" s="326"/>
      <c r="W161" s="327"/>
      <c r="X161" s="328"/>
      <c r="Y161" s="328"/>
      <c r="Z161" s="326"/>
      <c r="AA161" s="327"/>
      <c r="AB161" s="328"/>
      <c r="AC161" s="328"/>
      <c r="AD161" s="326"/>
      <c r="AE161" s="732"/>
      <c r="AF161" s="732"/>
      <c r="AG161" s="732"/>
      <c r="AH161" s="732"/>
      <c r="AI161" s="359">
        <f t="shared" si="10"/>
        <v>0</v>
      </c>
      <c r="AJ161" s="315">
        <f t="shared" si="11"/>
        <v>0</v>
      </c>
      <c r="AK161" s="315"/>
      <c r="AL161" s="315"/>
      <c r="AM161" s="315"/>
    </row>
    <row r="162" spans="1:39" ht="13.5" thickBot="1" x14ac:dyDescent="0.25">
      <c r="A162" s="6"/>
      <c r="B162" s="1125" t="s">
        <v>143</v>
      </c>
      <c r="C162" s="1125"/>
      <c r="D162" s="1125"/>
      <c r="E162" s="419"/>
      <c r="F162" s="420"/>
      <c r="G162" s="421"/>
      <c r="H162" s="1133"/>
      <c r="I162" s="301"/>
      <c r="J162" s="301"/>
      <c r="K162" s="327"/>
      <c r="L162" s="328"/>
      <c r="M162" s="328"/>
      <c r="N162" s="326"/>
      <c r="O162" s="336"/>
      <c r="P162" s="328"/>
      <c r="Q162" s="328"/>
      <c r="R162" s="326"/>
      <c r="S162" s="327"/>
      <c r="T162" s="323"/>
      <c r="U162" s="328"/>
      <c r="V162" s="326"/>
      <c r="W162" s="327"/>
      <c r="X162" s="328"/>
      <c r="Y162" s="328"/>
      <c r="Z162" s="326"/>
      <c r="AA162" s="327"/>
      <c r="AB162" s="328"/>
      <c r="AC162" s="328"/>
      <c r="AD162" s="326"/>
      <c r="AE162" s="732"/>
      <c r="AF162" s="732"/>
      <c r="AG162" s="732"/>
      <c r="AH162" s="732"/>
      <c r="AI162" s="359">
        <f t="shared" si="10"/>
        <v>0</v>
      </c>
      <c r="AJ162" s="315">
        <f t="shared" si="11"/>
        <v>0</v>
      </c>
      <c r="AK162" s="315"/>
      <c r="AL162" s="315"/>
      <c r="AM162" s="315"/>
    </row>
    <row r="163" spans="1:39" ht="13.5" thickBot="1" x14ac:dyDescent="0.25">
      <c r="A163" s="6"/>
      <c r="B163" s="1125" t="s">
        <v>142</v>
      </c>
      <c r="C163" s="1125"/>
      <c r="D163" s="1125"/>
      <c r="E163" s="419"/>
      <c r="F163" s="420"/>
      <c r="G163" s="421"/>
      <c r="H163" s="1133"/>
      <c r="I163" s="301"/>
      <c r="J163" s="301"/>
      <c r="K163" s="327"/>
      <c r="L163" s="328"/>
      <c r="M163" s="328"/>
      <c r="N163" s="326"/>
      <c r="O163" s="336"/>
      <c r="P163" s="328"/>
      <c r="Q163" s="425"/>
      <c r="R163" s="425"/>
      <c r="S163" s="435"/>
      <c r="T163" s="442"/>
      <c r="U163" s="455">
        <v>800</v>
      </c>
      <c r="V163" s="326"/>
      <c r="W163" s="327"/>
      <c r="X163" s="328"/>
      <c r="Y163" s="328"/>
      <c r="Z163" s="326"/>
      <c r="AA163" s="327"/>
      <c r="AB163" s="328"/>
      <c r="AC163" s="328"/>
      <c r="AD163" s="326"/>
      <c r="AE163" s="732"/>
      <c r="AF163" s="732"/>
      <c r="AG163" s="732"/>
      <c r="AH163" s="732"/>
      <c r="AI163" s="359">
        <f t="shared" si="10"/>
        <v>800</v>
      </c>
      <c r="AJ163" s="315">
        <f t="shared" si="11"/>
        <v>800</v>
      </c>
      <c r="AK163" s="315"/>
      <c r="AL163" s="315"/>
      <c r="AM163" s="315"/>
    </row>
    <row r="164" spans="1:39" ht="13.5" thickBot="1" x14ac:dyDescent="0.25">
      <c r="A164" s="6"/>
      <c r="B164" s="1122" t="s">
        <v>91</v>
      </c>
      <c r="C164" s="1122"/>
      <c r="D164" s="1122"/>
      <c r="E164" s="654"/>
      <c r="F164" s="655">
        <v>800</v>
      </c>
      <c r="G164" s="656">
        <v>800</v>
      </c>
      <c r="H164" s="1134"/>
      <c r="I164" s="304"/>
      <c r="J164" s="304"/>
      <c r="K164" s="562"/>
      <c r="L164" s="486"/>
      <c r="M164" s="486"/>
      <c r="N164" s="475"/>
      <c r="O164" s="476"/>
      <c r="P164" s="486"/>
      <c r="Q164" s="486"/>
      <c r="R164" s="475"/>
      <c r="S164" s="562"/>
      <c r="T164" s="486"/>
      <c r="U164" s="486"/>
      <c r="V164" s="475"/>
      <c r="W164" s="562"/>
      <c r="X164" s="486"/>
      <c r="Y164" s="486"/>
      <c r="Z164" s="475"/>
      <c r="AA164" s="562"/>
      <c r="AB164" s="486"/>
      <c r="AC164" s="486"/>
      <c r="AD164" s="475"/>
      <c r="AE164" s="731"/>
      <c r="AF164" s="731"/>
      <c r="AG164" s="731"/>
      <c r="AH164" s="731"/>
      <c r="AI164" s="359">
        <f t="shared" si="10"/>
        <v>0</v>
      </c>
      <c r="AJ164" s="315">
        <f t="shared" si="11"/>
        <v>-800</v>
      </c>
      <c r="AK164" s="315"/>
      <c r="AL164" s="315"/>
      <c r="AM164" s="315"/>
    </row>
    <row r="165" spans="1:39" s="244" customFormat="1" ht="33.75" customHeight="1" thickBot="1" x14ac:dyDescent="0.25">
      <c r="A165" s="135"/>
      <c r="B165" s="1188" t="s">
        <v>154</v>
      </c>
      <c r="C165" s="1189"/>
      <c r="D165" s="1189"/>
      <c r="E165" s="773"/>
      <c r="F165" s="773"/>
      <c r="G165" s="773"/>
      <c r="H165" s="773"/>
      <c r="I165" s="773"/>
      <c r="J165" s="773"/>
      <c r="K165" s="1162">
        <f>SUM(K166:N170)</f>
        <v>0</v>
      </c>
      <c r="L165" s="1163"/>
      <c r="M165" s="1163"/>
      <c r="N165" s="1163"/>
      <c r="O165" s="1162">
        <f>SUM(O166:R170)</f>
        <v>0</v>
      </c>
      <c r="P165" s="1163"/>
      <c r="Q165" s="1163"/>
      <c r="R165" s="1163"/>
      <c r="S165" s="1162">
        <f>SUM(S166:V170)</f>
        <v>0</v>
      </c>
      <c r="T165" s="1163"/>
      <c r="U165" s="1163"/>
      <c r="V165" s="1163"/>
      <c r="W165" s="1162">
        <f>SUM(W166:Z170)</f>
        <v>500</v>
      </c>
      <c r="X165" s="1163"/>
      <c r="Y165" s="1163"/>
      <c r="Z165" s="1163"/>
      <c r="AA165" s="1162">
        <f>SUM(AA166:AD170)</f>
        <v>500</v>
      </c>
      <c r="AB165" s="1163"/>
      <c r="AC165" s="1163"/>
      <c r="AD165" s="1163"/>
      <c r="AE165" s="1162">
        <f>SUM(AE166:AH170)</f>
        <v>0</v>
      </c>
      <c r="AF165" s="1163"/>
      <c r="AG165" s="1163"/>
      <c r="AH165" s="1163"/>
      <c r="AI165" s="359">
        <f t="shared" si="10"/>
        <v>1000</v>
      </c>
      <c r="AJ165" s="315">
        <f t="shared" si="11"/>
        <v>1000</v>
      </c>
      <c r="AK165" s="315"/>
      <c r="AL165" s="315"/>
      <c r="AM165" s="315"/>
    </row>
    <row r="166" spans="1:39" ht="12.75" customHeight="1" thickBot="1" x14ac:dyDescent="0.25">
      <c r="B166" s="1126" t="s">
        <v>144</v>
      </c>
      <c r="C166" s="1126"/>
      <c r="D166" s="1126"/>
      <c r="E166" s="651"/>
      <c r="F166" s="652"/>
      <c r="G166" s="657"/>
      <c r="H166" s="1132" t="s">
        <v>109</v>
      </c>
      <c r="I166" s="303"/>
      <c r="J166" s="303"/>
      <c r="K166" s="560"/>
      <c r="L166" s="561"/>
      <c r="M166" s="561"/>
      <c r="N166" s="595"/>
      <c r="O166" s="638"/>
      <c r="P166" s="561"/>
      <c r="Q166" s="561"/>
      <c r="R166" s="595"/>
      <c r="S166" s="560"/>
      <c r="T166" s="561"/>
      <c r="U166" s="561"/>
      <c r="V166" s="565"/>
      <c r="W166" s="566"/>
      <c r="X166" s="560"/>
      <c r="Y166" s="561"/>
      <c r="Z166" s="565"/>
      <c r="AA166" s="566"/>
      <c r="AB166" s="560"/>
      <c r="AC166" s="561"/>
      <c r="AD166" s="561"/>
      <c r="AE166" s="869"/>
      <c r="AF166" s="869"/>
      <c r="AG166" s="869"/>
      <c r="AH166" s="869"/>
      <c r="AI166" s="359">
        <f t="shared" si="10"/>
        <v>0</v>
      </c>
      <c r="AJ166" s="315">
        <f t="shared" si="11"/>
        <v>0</v>
      </c>
      <c r="AK166" s="315"/>
      <c r="AL166" s="315"/>
      <c r="AM166" s="315"/>
    </row>
    <row r="167" spans="1:39" ht="13.5" thickBot="1" x14ac:dyDescent="0.25">
      <c r="B167" s="1125" t="s">
        <v>94</v>
      </c>
      <c r="C167" s="1125"/>
      <c r="D167" s="1125"/>
      <c r="E167" s="419"/>
      <c r="F167" s="420"/>
      <c r="G167" s="422"/>
      <c r="H167" s="1133"/>
      <c r="I167" s="301"/>
      <c r="J167" s="301"/>
      <c r="K167" s="327"/>
      <c r="L167" s="328"/>
      <c r="M167" s="328"/>
      <c r="N167" s="326"/>
      <c r="O167" s="336"/>
      <c r="P167" s="328"/>
      <c r="Q167" s="328"/>
      <c r="R167" s="326"/>
      <c r="S167" s="327"/>
      <c r="T167" s="328"/>
      <c r="U167" s="328"/>
      <c r="V167" s="328"/>
      <c r="W167" s="437"/>
      <c r="X167" s="441"/>
      <c r="Y167" s="429"/>
      <c r="Z167" s="328"/>
      <c r="AA167" s="437"/>
      <c r="AB167" s="441"/>
      <c r="AC167" s="429"/>
      <c r="AD167" s="328"/>
      <c r="AE167" s="740"/>
      <c r="AF167" s="740"/>
      <c r="AG167" s="740"/>
      <c r="AH167" s="740"/>
      <c r="AI167" s="359">
        <f t="shared" si="10"/>
        <v>0</v>
      </c>
      <c r="AJ167" s="315">
        <f t="shared" si="11"/>
        <v>0</v>
      </c>
      <c r="AK167" s="315"/>
      <c r="AL167" s="315"/>
      <c r="AM167" s="315"/>
    </row>
    <row r="168" spans="1:39" ht="13.5" thickBot="1" x14ac:dyDescent="0.25">
      <c r="B168" s="1125" t="s">
        <v>143</v>
      </c>
      <c r="C168" s="1125"/>
      <c r="D168" s="1125"/>
      <c r="E168" s="419"/>
      <c r="F168" s="420"/>
      <c r="G168" s="422"/>
      <c r="H168" s="1133"/>
      <c r="I168" s="301"/>
      <c r="J168" s="301"/>
      <c r="K168" s="327"/>
      <c r="L168" s="328"/>
      <c r="M168" s="328"/>
      <c r="N168" s="326"/>
      <c r="O168" s="336"/>
      <c r="P168" s="328"/>
      <c r="Q168" s="328"/>
      <c r="R168" s="326"/>
      <c r="S168" s="327"/>
      <c r="T168" s="328"/>
      <c r="U168" s="328"/>
      <c r="V168" s="328"/>
      <c r="W168" s="326"/>
      <c r="X168" s="327"/>
      <c r="Y168" s="323"/>
      <c r="Z168" s="328"/>
      <c r="AA168" s="326"/>
      <c r="AB168" s="327"/>
      <c r="AC168" s="323"/>
      <c r="AD168" s="328"/>
      <c r="AE168" s="740"/>
      <c r="AF168" s="740"/>
      <c r="AG168" s="740"/>
      <c r="AH168" s="740"/>
      <c r="AI168" s="359">
        <f t="shared" si="10"/>
        <v>0</v>
      </c>
      <c r="AJ168" s="315">
        <f t="shared" si="11"/>
        <v>0</v>
      </c>
      <c r="AK168" s="315"/>
      <c r="AL168" s="315"/>
      <c r="AM168" s="315"/>
    </row>
    <row r="169" spans="1:39" ht="13.5" thickBot="1" x14ac:dyDescent="0.25">
      <c r="B169" s="1125" t="s">
        <v>142</v>
      </c>
      <c r="C169" s="1125"/>
      <c r="D169" s="1125"/>
      <c r="E169" s="419"/>
      <c r="F169" s="420"/>
      <c r="G169" s="422"/>
      <c r="H169" s="1133"/>
      <c r="I169" s="301"/>
      <c r="J169" s="301"/>
      <c r="K169" s="327"/>
      <c r="L169" s="328"/>
      <c r="M169" s="328"/>
      <c r="N169" s="326"/>
      <c r="O169" s="336"/>
      <c r="P169" s="328"/>
      <c r="Q169" s="328"/>
      <c r="R169" s="326"/>
      <c r="S169" s="327"/>
      <c r="T169" s="328"/>
      <c r="U169" s="328"/>
      <c r="V169" s="425"/>
      <c r="W169" s="425"/>
      <c r="X169" s="435"/>
      <c r="Y169" s="442"/>
      <c r="Z169" s="455">
        <v>500</v>
      </c>
      <c r="AA169" s="425"/>
      <c r="AB169" s="435"/>
      <c r="AC169" s="442"/>
      <c r="AD169" s="455">
        <v>500</v>
      </c>
      <c r="AE169" s="792"/>
      <c r="AF169" s="792"/>
      <c r="AG169" s="792"/>
      <c r="AH169" s="792"/>
      <c r="AI169" s="359">
        <f t="shared" si="10"/>
        <v>1000</v>
      </c>
      <c r="AJ169" s="315">
        <f t="shared" si="11"/>
        <v>1000</v>
      </c>
      <c r="AK169" s="315"/>
      <c r="AL169" s="315"/>
      <c r="AM169" s="315"/>
    </row>
    <row r="170" spans="1:39" ht="13.5" thickBot="1" x14ac:dyDescent="0.25">
      <c r="B170" s="1122" t="s">
        <v>91</v>
      </c>
      <c r="C170" s="1122"/>
      <c r="D170" s="1122"/>
      <c r="E170" s="654"/>
      <c r="F170" s="655">
        <v>1000</v>
      </c>
      <c r="G170" s="658">
        <v>1000</v>
      </c>
      <c r="H170" s="1134"/>
      <c r="I170" s="304"/>
      <c r="J170" s="304"/>
      <c r="K170" s="562"/>
      <c r="L170" s="486"/>
      <c r="M170" s="486"/>
      <c r="N170" s="475"/>
      <c r="O170" s="476"/>
      <c r="P170" s="486"/>
      <c r="Q170" s="486"/>
      <c r="R170" s="475"/>
      <c r="S170" s="562"/>
      <c r="T170" s="486"/>
      <c r="U170" s="486"/>
      <c r="V170" s="475"/>
      <c r="W170" s="562"/>
      <c r="X170" s="486"/>
      <c r="Y170" s="486"/>
      <c r="Z170" s="475"/>
      <c r="AA170" s="562"/>
      <c r="AB170" s="486"/>
      <c r="AC170" s="486"/>
      <c r="AD170" s="475"/>
      <c r="AE170" s="731"/>
      <c r="AF170" s="731"/>
      <c r="AG170" s="731"/>
      <c r="AH170" s="731"/>
      <c r="AI170" s="359">
        <f t="shared" si="10"/>
        <v>0</v>
      </c>
      <c r="AJ170" s="315">
        <f t="shared" si="11"/>
        <v>-1000</v>
      </c>
      <c r="AK170" s="315"/>
      <c r="AL170" s="315"/>
      <c r="AM170" s="315"/>
    </row>
    <row r="171" spans="1:39" ht="13.5" customHeight="1" thickBot="1" x14ac:dyDescent="0.25">
      <c r="B171" s="774" t="s">
        <v>195</v>
      </c>
      <c r="C171" s="775"/>
      <c r="D171" s="776"/>
      <c r="E171" s="817">
        <f>E183+E195+E177+E189</f>
        <v>200</v>
      </c>
      <c r="F171" s="817">
        <f>F183+F195+F177+F189</f>
        <v>950</v>
      </c>
      <c r="G171" s="817">
        <f>G183+G195+G177+G189</f>
        <v>1150</v>
      </c>
      <c r="H171" s="817"/>
      <c r="I171" s="817"/>
      <c r="J171" s="817"/>
      <c r="K171" s="1267">
        <f>K172+K178+K184+K190</f>
        <v>0</v>
      </c>
      <c r="L171" s="1267"/>
      <c r="M171" s="1267"/>
      <c r="N171" s="1267"/>
      <c r="O171" s="1267">
        <f>O172+O178+O184+O190</f>
        <v>0</v>
      </c>
      <c r="P171" s="1267"/>
      <c r="Q171" s="1267"/>
      <c r="R171" s="1267"/>
      <c r="S171" s="1267">
        <f>S172+S178+S184+S190</f>
        <v>950</v>
      </c>
      <c r="T171" s="1267"/>
      <c r="U171" s="1267"/>
      <c r="V171" s="1267"/>
      <c r="W171" s="1267">
        <f>W172+W178+W184+W190</f>
        <v>200</v>
      </c>
      <c r="X171" s="1267"/>
      <c r="Y171" s="1267"/>
      <c r="Z171" s="1267"/>
      <c r="AA171" s="1267">
        <f>AA172+AA178+AA184+AA190</f>
        <v>0</v>
      </c>
      <c r="AB171" s="1267"/>
      <c r="AC171" s="1267"/>
      <c r="AD171" s="1267"/>
      <c r="AE171" s="1267">
        <f>AE172+AE178+AE184+AE190</f>
        <v>0</v>
      </c>
      <c r="AF171" s="1267"/>
      <c r="AG171" s="1267"/>
      <c r="AH171" s="1267"/>
      <c r="AI171" s="359">
        <f t="shared" si="10"/>
        <v>1150</v>
      </c>
      <c r="AJ171" s="315">
        <f t="shared" si="11"/>
        <v>0</v>
      </c>
      <c r="AK171" s="315"/>
      <c r="AL171" s="315"/>
      <c r="AM171" s="315"/>
    </row>
    <row r="172" spans="1:39" s="244" customFormat="1" ht="12.75" customHeight="1" thickBot="1" x14ac:dyDescent="0.25">
      <c r="A172" s="135"/>
      <c r="B172" s="1221" t="s">
        <v>190</v>
      </c>
      <c r="C172" s="1222"/>
      <c r="D172" s="1222"/>
      <c r="E172" s="777"/>
      <c r="F172" s="777"/>
      <c r="G172" s="777"/>
      <c r="H172" s="777"/>
      <c r="I172" s="777"/>
      <c r="J172" s="777"/>
      <c r="K172" s="1162">
        <f>SUM(K173:N177)</f>
        <v>0</v>
      </c>
      <c r="L172" s="1163"/>
      <c r="M172" s="1163"/>
      <c r="N172" s="1163"/>
      <c r="O172" s="1162">
        <f>SUM(O173:R177)</f>
        <v>0</v>
      </c>
      <c r="P172" s="1163"/>
      <c r="Q172" s="1163"/>
      <c r="R172" s="1163"/>
      <c r="S172" s="1162">
        <f>SUM(S173:V177)</f>
        <v>550</v>
      </c>
      <c r="T172" s="1163"/>
      <c r="U172" s="1163"/>
      <c r="V172" s="1163"/>
      <c r="W172" s="1162">
        <f>SUM(W173:Z177)</f>
        <v>0</v>
      </c>
      <c r="X172" s="1163"/>
      <c r="Y172" s="1163"/>
      <c r="Z172" s="1163"/>
      <c r="AA172" s="1162">
        <f>SUM(AA173:AD177)</f>
        <v>0</v>
      </c>
      <c r="AB172" s="1163"/>
      <c r="AC172" s="1163"/>
      <c r="AD172" s="1163"/>
      <c r="AE172" s="1162">
        <f>SUM(AE173:AH177)</f>
        <v>0</v>
      </c>
      <c r="AF172" s="1163"/>
      <c r="AG172" s="1163"/>
      <c r="AH172" s="1163"/>
      <c r="AI172" s="359">
        <f t="shared" si="10"/>
        <v>550</v>
      </c>
      <c r="AJ172" s="315">
        <f t="shared" si="11"/>
        <v>550</v>
      </c>
      <c r="AK172" s="315"/>
      <c r="AL172" s="315"/>
      <c r="AM172" s="315"/>
    </row>
    <row r="173" spans="1:39" ht="12.75" customHeight="1" thickBot="1" x14ac:dyDescent="0.25">
      <c r="B173" s="1126" t="s">
        <v>144</v>
      </c>
      <c r="C173" s="1126"/>
      <c r="D173" s="1126"/>
      <c r="E173" s="651"/>
      <c r="F173" s="652"/>
      <c r="G173" s="653"/>
      <c r="H173" s="1132" t="s">
        <v>109</v>
      </c>
      <c r="I173" s="303"/>
      <c r="J173" s="303"/>
      <c r="K173" s="560"/>
      <c r="L173" s="561"/>
      <c r="M173" s="561"/>
      <c r="N173" s="595"/>
      <c r="O173" s="560"/>
      <c r="P173" s="565"/>
      <c r="Q173" s="566"/>
      <c r="R173" s="560"/>
      <c r="S173" s="561"/>
      <c r="T173" s="561"/>
      <c r="U173" s="561"/>
      <c r="V173" s="595"/>
      <c r="W173" s="560"/>
      <c r="X173" s="561"/>
      <c r="Y173" s="561"/>
      <c r="Z173" s="595"/>
      <c r="AA173" s="560"/>
      <c r="AB173" s="561"/>
      <c r="AC173" s="561"/>
      <c r="AD173" s="595"/>
      <c r="AE173" s="735"/>
      <c r="AF173" s="735"/>
      <c r="AG173" s="735"/>
      <c r="AH173" s="735"/>
      <c r="AI173" s="359">
        <f t="shared" si="10"/>
        <v>0</v>
      </c>
      <c r="AJ173" s="315">
        <f t="shared" si="11"/>
        <v>0</v>
      </c>
      <c r="AK173" s="315"/>
      <c r="AL173" s="315"/>
      <c r="AM173" s="315"/>
    </row>
    <row r="174" spans="1:39" ht="12.75" customHeight="1" thickBot="1" x14ac:dyDescent="0.25">
      <c r="B174" s="1125" t="s">
        <v>94</v>
      </c>
      <c r="C174" s="1125"/>
      <c r="D174" s="1125"/>
      <c r="E174" s="331"/>
      <c r="F174" s="332"/>
      <c r="G174" s="333"/>
      <c r="H174" s="1133"/>
      <c r="I174" s="301"/>
      <c r="J174" s="301"/>
      <c r="K174" s="327"/>
      <c r="L174" s="328"/>
      <c r="M174" s="328"/>
      <c r="N174" s="326"/>
      <c r="O174" s="327"/>
      <c r="P174" s="328"/>
      <c r="Q174" s="437"/>
      <c r="R174" s="441"/>
      <c r="S174" s="429"/>
      <c r="T174" s="328"/>
      <c r="U174" s="328"/>
      <c r="V174" s="326"/>
      <c r="W174" s="327"/>
      <c r="X174" s="328"/>
      <c r="Y174" s="328"/>
      <c r="Z174" s="326"/>
      <c r="AA174" s="327"/>
      <c r="AB174" s="328"/>
      <c r="AC174" s="328"/>
      <c r="AD174" s="326"/>
      <c r="AE174" s="732"/>
      <c r="AF174" s="732"/>
      <c r="AG174" s="732"/>
      <c r="AH174" s="732"/>
      <c r="AI174" s="359">
        <f t="shared" si="10"/>
        <v>0</v>
      </c>
      <c r="AJ174" s="315">
        <f t="shared" si="11"/>
        <v>0</v>
      </c>
      <c r="AK174" s="315"/>
      <c r="AL174" s="315"/>
      <c r="AM174" s="315"/>
    </row>
    <row r="175" spans="1:39" ht="12.75" customHeight="1" thickBot="1" x14ac:dyDescent="0.25">
      <c r="B175" s="1125" t="s">
        <v>143</v>
      </c>
      <c r="C175" s="1125"/>
      <c r="D175" s="1125"/>
      <c r="E175" s="331"/>
      <c r="F175" s="332"/>
      <c r="G175" s="333"/>
      <c r="H175" s="1133"/>
      <c r="I175" s="301"/>
      <c r="J175" s="301"/>
      <c r="K175" s="327"/>
      <c r="L175" s="328"/>
      <c r="M175" s="328"/>
      <c r="N175" s="326"/>
      <c r="O175" s="327"/>
      <c r="P175" s="328"/>
      <c r="Q175" s="326"/>
      <c r="R175" s="327"/>
      <c r="S175" s="323"/>
      <c r="T175" s="328"/>
      <c r="U175" s="328"/>
      <c r="V175" s="326"/>
      <c r="W175" s="327"/>
      <c r="X175" s="328"/>
      <c r="Y175" s="328"/>
      <c r="Z175" s="326"/>
      <c r="AA175" s="327"/>
      <c r="AB175" s="328"/>
      <c r="AC175" s="328"/>
      <c r="AD175" s="326"/>
      <c r="AE175" s="732"/>
      <c r="AF175" s="732"/>
      <c r="AG175" s="732"/>
      <c r="AH175" s="732"/>
      <c r="AI175" s="359">
        <f t="shared" si="10"/>
        <v>0</v>
      </c>
      <c r="AJ175" s="315">
        <f t="shared" si="11"/>
        <v>0</v>
      </c>
      <c r="AK175" s="315"/>
      <c r="AL175" s="315"/>
      <c r="AM175" s="315"/>
    </row>
    <row r="176" spans="1:39" ht="12.75" customHeight="1" thickBot="1" x14ac:dyDescent="0.25">
      <c r="B176" s="1125" t="s">
        <v>142</v>
      </c>
      <c r="C176" s="1125"/>
      <c r="D176" s="1125"/>
      <c r="E176" s="331"/>
      <c r="F176" s="332"/>
      <c r="G176" s="333"/>
      <c r="H176" s="1133"/>
      <c r="I176" s="301"/>
      <c r="J176" s="301"/>
      <c r="K176" s="327"/>
      <c r="L176" s="328"/>
      <c r="M176" s="328"/>
      <c r="N176" s="326"/>
      <c r="O176" s="327"/>
      <c r="P176" s="425"/>
      <c r="Q176" s="425"/>
      <c r="R176" s="435"/>
      <c r="S176" s="442"/>
      <c r="T176" s="455">
        <v>550</v>
      </c>
      <c r="U176" s="328"/>
      <c r="V176" s="326"/>
      <c r="W176" s="327"/>
      <c r="X176" s="328"/>
      <c r="Y176" s="328"/>
      <c r="Z176" s="326"/>
      <c r="AA176" s="327"/>
      <c r="AB176" s="328"/>
      <c r="AC176" s="328"/>
      <c r="AD176" s="326"/>
      <c r="AE176" s="732"/>
      <c r="AF176" s="732"/>
      <c r="AG176" s="732"/>
      <c r="AH176" s="732"/>
      <c r="AI176" s="359">
        <f t="shared" si="10"/>
        <v>550</v>
      </c>
      <c r="AJ176" s="315">
        <f t="shared" si="11"/>
        <v>550</v>
      </c>
      <c r="AK176" s="315"/>
      <c r="AL176" s="315"/>
      <c r="AM176" s="315"/>
    </row>
    <row r="177" spans="1:39" ht="12.75" customHeight="1" thickBot="1" x14ac:dyDescent="0.25">
      <c r="B177" s="1122" t="s">
        <v>91</v>
      </c>
      <c r="C177" s="1122"/>
      <c r="D177" s="1122"/>
      <c r="E177" s="654"/>
      <c r="F177" s="655">
        <v>550</v>
      </c>
      <c r="G177" s="656">
        <v>550</v>
      </c>
      <c r="H177" s="1134"/>
      <c r="I177" s="304"/>
      <c r="J177" s="304"/>
      <c r="K177" s="562"/>
      <c r="L177" s="486"/>
      <c r="M177" s="486"/>
      <c r="N177" s="475"/>
      <c r="O177" s="562"/>
      <c r="P177" s="486"/>
      <c r="Q177" s="486"/>
      <c r="R177" s="475"/>
      <c r="S177" s="562"/>
      <c r="T177" s="486"/>
      <c r="U177" s="486"/>
      <c r="V177" s="475"/>
      <c r="W177" s="562"/>
      <c r="X177" s="486"/>
      <c r="Y177" s="486"/>
      <c r="Z177" s="475"/>
      <c r="AA177" s="562"/>
      <c r="AB177" s="486"/>
      <c r="AC177" s="486"/>
      <c r="AD177" s="475"/>
      <c r="AE177" s="731"/>
      <c r="AF177" s="731"/>
      <c r="AG177" s="731"/>
      <c r="AH177" s="731"/>
      <c r="AI177" s="359">
        <f t="shared" si="10"/>
        <v>0</v>
      </c>
      <c r="AJ177" s="315">
        <f t="shared" si="11"/>
        <v>-550</v>
      </c>
      <c r="AK177" s="315"/>
      <c r="AL177" s="315"/>
      <c r="AM177" s="315"/>
    </row>
    <row r="178" spans="1:39" s="244" customFormat="1" ht="22.5" customHeight="1" thickBot="1" x14ac:dyDescent="0.25">
      <c r="A178" s="135"/>
      <c r="B178" s="1221" t="s">
        <v>156</v>
      </c>
      <c r="C178" s="1222"/>
      <c r="D178" s="1222"/>
      <c r="E178" s="777"/>
      <c r="F178" s="777"/>
      <c r="G178" s="777"/>
      <c r="H178" s="777"/>
      <c r="I178" s="777"/>
      <c r="J178" s="777"/>
      <c r="K178" s="1162">
        <f>SUM(K179:N183)</f>
        <v>0</v>
      </c>
      <c r="L178" s="1163"/>
      <c r="M178" s="1163"/>
      <c r="N178" s="1163"/>
      <c r="O178" s="1162">
        <f>SUM(O179:R183)</f>
        <v>0</v>
      </c>
      <c r="P178" s="1163"/>
      <c r="Q178" s="1163"/>
      <c r="R178" s="1163"/>
      <c r="S178" s="1162">
        <f>SUM(S179:V183)</f>
        <v>0</v>
      </c>
      <c r="T178" s="1163"/>
      <c r="U178" s="1163"/>
      <c r="V178" s="1163"/>
      <c r="W178" s="1162">
        <f>SUM(W179:Z183)</f>
        <v>100</v>
      </c>
      <c r="X178" s="1163"/>
      <c r="Y178" s="1163"/>
      <c r="Z178" s="1163"/>
      <c r="AA178" s="1162">
        <f>SUM(AA179:AD183)</f>
        <v>0</v>
      </c>
      <c r="AB178" s="1163"/>
      <c r="AC178" s="1163"/>
      <c r="AD178" s="1163"/>
      <c r="AE178" s="1162">
        <f>SUM(AE179:AH183)</f>
        <v>0</v>
      </c>
      <c r="AF178" s="1163"/>
      <c r="AG178" s="1163"/>
      <c r="AH178" s="1163"/>
      <c r="AI178" s="359">
        <f t="shared" si="10"/>
        <v>100</v>
      </c>
      <c r="AJ178" s="315">
        <f t="shared" si="11"/>
        <v>100</v>
      </c>
      <c r="AK178" s="315"/>
      <c r="AL178" s="315"/>
      <c r="AM178" s="315"/>
    </row>
    <row r="179" spans="1:39" ht="12.75" customHeight="1" thickBot="1" x14ac:dyDescent="0.25">
      <c r="B179" s="1126" t="s">
        <v>144</v>
      </c>
      <c r="C179" s="1126"/>
      <c r="D179" s="1126"/>
      <c r="E179" s="651"/>
      <c r="F179" s="651"/>
      <c r="G179" s="653"/>
      <c r="H179" s="1132" t="s">
        <v>109</v>
      </c>
      <c r="I179" s="303"/>
      <c r="J179" s="303"/>
      <c r="K179" s="560"/>
      <c r="L179" s="561"/>
      <c r="M179" s="561"/>
      <c r="N179" s="595"/>
      <c r="O179" s="560"/>
      <c r="P179" s="561"/>
      <c r="Q179" s="561"/>
      <c r="R179" s="595"/>
      <c r="S179" s="560"/>
      <c r="T179" s="565"/>
      <c r="U179" s="566"/>
      <c r="V179" s="560"/>
      <c r="W179" s="561"/>
      <c r="X179" s="561"/>
      <c r="Y179" s="561"/>
      <c r="Z179" s="595"/>
      <c r="AA179" s="560"/>
      <c r="AB179" s="561"/>
      <c r="AC179" s="561"/>
      <c r="AD179" s="595"/>
      <c r="AE179" s="735"/>
      <c r="AF179" s="735"/>
      <c r="AG179" s="735"/>
      <c r="AH179" s="735"/>
      <c r="AI179" s="359">
        <f t="shared" si="10"/>
        <v>0</v>
      </c>
      <c r="AJ179" s="315">
        <f t="shared" si="11"/>
        <v>0</v>
      </c>
      <c r="AK179" s="315"/>
      <c r="AL179" s="315"/>
      <c r="AM179" s="315"/>
    </row>
    <row r="180" spans="1:39" ht="13.5" thickBot="1" x14ac:dyDescent="0.25">
      <c r="B180" s="1125" t="s">
        <v>94</v>
      </c>
      <c r="C180" s="1125"/>
      <c r="D180" s="1125"/>
      <c r="E180" s="331"/>
      <c r="F180" s="331"/>
      <c r="G180" s="333"/>
      <c r="H180" s="1133"/>
      <c r="I180" s="301"/>
      <c r="J180" s="301"/>
      <c r="K180" s="327"/>
      <c r="L180" s="328"/>
      <c r="M180" s="328"/>
      <c r="N180" s="326"/>
      <c r="O180" s="327"/>
      <c r="P180" s="328"/>
      <c r="Q180" s="328"/>
      <c r="R180" s="326"/>
      <c r="S180" s="327"/>
      <c r="T180" s="328"/>
      <c r="U180" s="437"/>
      <c r="V180" s="441"/>
      <c r="W180" s="429"/>
      <c r="X180" s="328"/>
      <c r="Y180" s="328"/>
      <c r="Z180" s="326"/>
      <c r="AA180" s="327"/>
      <c r="AB180" s="328"/>
      <c r="AC180" s="328"/>
      <c r="AD180" s="326"/>
      <c r="AE180" s="732"/>
      <c r="AF180" s="732"/>
      <c r="AG180" s="732"/>
      <c r="AH180" s="732"/>
      <c r="AI180" s="359">
        <f t="shared" si="10"/>
        <v>0</v>
      </c>
      <c r="AJ180" s="315">
        <f t="shared" si="11"/>
        <v>0</v>
      </c>
      <c r="AK180" s="315"/>
      <c r="AL180" s="315"/>
      <c r="AM180" s="315"/>
    </row>
    <row r="181" spans="1:39" ht="13.5" thickBot="1" x14ac:dyDescent="0.25">
      <c r="B181" s="1125" t="s">
        <v>143</v>
      </c>
      <c r="C181" s="1125"/>
      <c r="D181" s="1125"/>
      <c r="E181" s="331"/>
      <c r="F181" s="331"/>
      <c r="G181" s="333"/>
      <c r="H181" s="1133"/>
      <c r="I181" s="301"/>
      <c r="J181" s="301"/>
      <c r="K181" s="327"/>
      <c r="L181" s="328"/>
      <c r="M181" s="328"/>
      <c r="N181" s="326"/>
      <c r="O181" s="327"/>
      <c r="P181" s="328"/>
      <c r="Q181" s="328"/>
      <c r="R181" s="326"/>
      <c r="S181" s="327"/>
      <c r="T181" s="328"/>
      <c r="U181" s="326"/>
      <c r="V181" s="327"/>
      <c r="W181" s="323"/>
      <c r="X181" s="328"/>
      <c r="Y181" s="328"/>
      <c r="Z181" s="326"/>
      <c r="AA181" s="327"/>
      <c r="AB181" s="328"/>
      <c r="AC181" s="328"/>
      <c r="AD181" s="326"/>
      <c r="AE181" s="732"/>
      <c r="AF181" s="732"/>
      <c r="AG181" s="732"/>
      <c r="AH181" s="732"/>
      <c r="AI181" s="359">
        <f t="shared" si="10"/>
        <v>0</v>
      </c>
      <c r="AJ181" s="315">
        <f t="shared" si="11"/>
        <v>0</v>
      </c>
      <c r="AK181" s="315"/>
      <c r="AL181" s="315"/>
      <c r="AM181" s="315"/>
    </row>
    <row r="182" spans="1:39" ht="13.5" thickBot="1" x14ac:dyDescent="0.25">
      <c r="B182" s="1125" t="s">
        <v>142</v>
      </c>
      <c r="C182" s="1125"/>
      <c r="D182" s="1125"/>
      <c r="E182" s="331"/>
      <c r="F182" s="331"/>
      <c r="G182" s="333"/>
      <c r="H182" s="1133"/>
      <c r="I182" s="301"/>
      <c r="J182" s="301"/>
      <c r="K182" s="327"/>
      <c r="L182" s="328"/>
      <c r="M182" s="328"/>
      <c r="N182" s="326"/>
      <c r="O182" s="327"/>
      <c r="P182" s="328"/>
      <c r="Q182" s="328"/>
      <c r="R182" s="326"/>
      <c r="S182" s="327"/>
      <c r="T182" s="425"/>
      <c r="U182" s="425"/>
      <c r="V182" s="435"/>
      <c r="W182" s="442"/>
      <c r="X182" s="455">
        <v>100</v>
      </c>
      <c r="Y182" s="328"/>
      <c r="Z182" s="326"/>
      <c r="AA182" s="327"/>
      <c r="AB182" s="328"/>
      <c r="AC182" s="328"/>
      <c r="AD182" s="326"/>
      <c r="AE182" s="732"/>
      <c r="AF182" s="732"/>
      <c r="AG182" s="732"/>
      <c r="AH182" s="732"/>
      <c r="AI182" s="359">
        <f t="shared" si="10"/>
        <v>100</v>
      </c>
      <c r="AJ182" s="315">
        <f t="shared" si="11"/>
        <v>100</v>
      </c>
      <c r="AK182" s="315"/>
      <c r="AL182" s="315"/>
      <c r="AM182" s="315"/>
    </row>
    <row r="183" spans="1:39" ht="13.5" thickBot="1" x14ac:dyDescent="0.25">
      <c r="B183" s="1122" t="s">
        <v>91</v>
      </c>
      <c r="C183" s="1122"/>
      <c r="D183" s="1122"/>
      <c r="E183" s="654">
        <v>100</v>
      </c>
      <c r="F183" s="654"/>
      <c r="G183" s="656">
        <f>SUM(E183:E183)</f>
        <v>100</v>
      </c>
      <c r="H183" s="1134"/>
      <c r="I183" s="304"/>
      <c r="J183" s="304"/>
      <c r="K183" s="562"/>
      <c r="L183" s="486"/>
      <c r="M183" s="486"/>
      <c r="N183" s="475"/>
      <c r="O183" s="562"/>
      <c r="P183" s="486"/>
      <c r="Q183" s="486"/>
      <c r="R183" s="475"/>
      <c r="S183" s="562"/>
      <c r="T183" s="486"/>
      <c r="U183" s="486"/>
      <c r="V183" s="475"/>
      <c r="W183" s="562"/>
      <c r="X183" s="486"/>
      <c r="Y183" s="486"/>
      <c r="Z183" s="475"/>
      <c r="AA183" s="562"/>
      <c r="AB183" s="486"/>
      <c r="AC183" s="486"/>
      <c r="AD183" s="475"/>
      <c r="AE183" s="731"/>
      <c r="AF183" s="731"/>
      <c r="AG183" s="731"/>
      <c r="AH183" s="731"/>
      <c r="AI183" s="359">
        <f t="shared" si="10"/>
        <v>0</v>
      </c>
      <c r="AJ183" s="315">
        <f t="shared" si="11"/>
        <v>-100</v>
      </c>
      <c r="AK183" s="315"/>
      <c r="AL183" s="315"/>
      <c r="AM183" s="315"/>
    </row>
    <row r="184" spans="1:39" s="244" customFormat="1" ht="28.5" customHeight="1" thickBot="1" x14ac:dyDescent="0.25">
      <c r="A184" s="135"/>
      <c r="B184" s="1221" t="s">
        <v>168</v>
      </c>
      <c r="C184" s="1222"/>
      <c r="D184" s="1222"/>
      <c r="E184" s="777"/>
      <c r="F184" s="777"/>
      <c r="G184" s="777"/>
      <c r="H184" s="777"/>
      <c r="I184" s="777"/>
      <c r="J184" s="777"/>
      <c r="K184" s="1162">
        <f>SUM(K185:N189)</f>
        <v>0</v>
      </c>
      <c r="L184" s="1163"/>
      <c r="M184" s="1163"/>
      <c r="N184" s="1163"/>
      <c r="O184" s="1162">
        <f>SUM(O185:R189)</f>
        <v>0</v>
      </c>
      <c r="P184" s="1163"/>
      <c r="Q184" s="1163"/>
      <c r="R184" s="1163"/>
      <c r="S184" s="1162">
        <f>SUM(S185:V189)</f>
        <v>0</v>
      </c>
      <c r="T184" s="1163"/>
      <c r="U184" s="1163"/>
      <c r="V184" s="1163"/>
      <c r="W184" s="1162">
        <f>SUM(W185:Z189)</f>
        <v>100</v>
      </c>
      <c r="X184" s="1163"/>
      <c r="Y184" s="1163"/>
      <c r="Z184" s="1163"/>
      <c r="AA184" s="1162">
        <f>SUM(AA185:AD189)</f>
        <v>0</v>
      </c>
      <c r="AB184" s="1163"/>
      <c r="AC184" s="1163"/>
      <c r="AD184" s="1163"/>
      <c r="AE184" s="1162">
        <f>SUM(AE185:AH189)</f>
        <v>0</v>
      </c>
      <c r="AF184" s="1163"/>
      <c r="AG184" s="1163"/>
      <c r="AH184" s="1163"/>
      <c r="AI184" s="359">
        <f t="shared" si="10"/>
        <v>100</v>
      </c>
      <c r="AJ184" s="315">
        <f t="shared" si="11"/>
        <v>100</v>
      </c>
      <c r="AK184" s="315"/>
      <c r="AL184" s="315"/>
      <c r="AM184" s="315"/>
    </row>
    <row r="185" spans="1:39" ht="12.75" customHeight="1" thickBot="1" x14ac:dyDescent="0.25">
      <c r="B185" s="1126" t="s">
        <v>144</v>
      </c>
      <c r="C185" s="1126"/>
      <c r="D185" s="1126"/>
      <c r="E185" s="651"/>
      <c r="F185" s="651"/>
      <c r="G185" s="653"/>
      <c r="H185" s="1132" t="s">
        <v>109</v>
      </c>
      <c r="I185" s="303"/>
      <c r="J185" s="303"/>
      <c r="K185" s="560"/>
      <c r="L185" s="561"/>
      <c r="M185" s="561"/>
      <c r="N185" s="595"/>
      <c r="O185" s="560"/>
      <c r="P185" s="561"/>
      <c r="Q185" s="561"/>
      <c r="R185" s="595"/>
      <c r="S185" s="560"/>
      <c r="T185" s="565"/>
      <c r="U185" s="566"/>
      <c r="V185" s="560"/>
      <c r="W185" s="561"/>
      <c r="X185" s="561"/>
      <c r="Y185" s="561"/>
      <c r="Z185" s="595"/>
      <c r="AA185" s="560"/>
      <c r="AB185" s="561"/>
      <c r="AC185" s="561"/>
      <c r="AD185" s="595"/>
      <c r="AE185" s="735"/>
      <c r="AF185" s="735"/>
      <c r="AG185" s="735"/>
      <c r="AH185" s="735"/>
      <c r="AI185" s="359">
        <f t="shared" si="10"/>
        <v>0</v>
      </c>
      <c r="AJ185" s="315">
        <f t="shared" si="11"/>
        <v>0</v>
      </c>
      <c r="AK185" s="315"/>
      <c r="AL185" s="315"/>
      <c r="AM185" s="315"/>
    </row>
    <row r="186" spans="1:39" ht="13.5" thickBot="1" x14ac:dyDescent="0.25">
      <c r="B186" s="1125" t="s">
        <v>94</v>
      </c>
      <c r="C186" s="1125"/>
      <c r="D186" s="1125"/>
      <c r="E186" s="331"/>
      <c r="F186" s="331"/>
      <c r="G186" s="333"/>
      <c r="H186" s="1133"/>
      <c r="I186" s="301"/>
      <c r="J186" s="301"/>
      <c r="K186" s="327"/>
      <c r="L186" s="328"/>
      <c r="M186" s="328"/>
      <c r="N186" s="326"/>
      <c r="O186" s="327"/>
      <c r="P186" s="328"/>
      <c r="Q186" s="328"/>
      <c r="R186" s="326"/>
      <c r="S186" s="327"/>
      <c r="T186" s="328"/>
      <c r="U186" s="437"/>
      <c r="V186" s="441"/>
      <c r="W186" s="429"/>
      <c r="X186" s="328"/>
      <c r="Y186" s="328"/>
      <c r="Z186" s="326"/>
      <c r="AA186" s="327"/>
      <c r="AB186" s="328"/>
      <c r="AC186" s="328"/>
      <c r="AD186" s="326"/>
      <c r="AE186" s="732"/>
      <c r="AF186" s="732"/>
      <c r="AG186" s="732"/>
      <c r="AH186" s="732"/>
      <c r="AI186" s="359">
        <f t="shared" si="10"/>
        <v>0</v>
      </c>
      <c r="AJ186" s="315">
        <f t="shared" si="11"/>
        <v>0</v>
      </c>
      <c r="AK186" s="315"/>
      <c r="AL186" s="315"/>
      <c r="AM186" s="315"/>
    </row>
    <row r="187" spans="1:39" ht="13.5" thickBot="1" x14ac:dyDescent="0.25">
      <c r="B187" s="1125" t="s">
        <v>143</v>
      </c>
      <c r="C187" s="1125"/>
      <c r="D187" s="1125"/>
      <c r="E187" s="331"/>
      <c r="F187" s="331"/>
      <c r="G187" s="333"/>
      <c r="H187" s="1133"/>
      <c r="I187" s="301"/>
      <c r="J187" s="301"/>
      <c r="K187" s="327"/>
      <c r="L187" s="328"/>
      <c r="M187" s="328"/>
      <c r="N187" s="326"/>
      <c r="O187" s="327"/>
      <c r="P187" s="328"/>
      <c r="Q187" s="328"/>
      <c r="R187" s="326"/>
      <c r="S187" s="327"/>
      <c r="T187" s="328"/>
      <c r="U187" s="326"/>
      <c r="V187" s="327"/>
      <c r="W187" s="323"/>
      <c r="X187" s="328"/>
      <c r="Y187" s="328"/>
      <c r="Z187" s="326"/>
      <c r="AA187" s="327"/>
      <c r="AB187" s="328"/>
      <c r="AC187" s="328"/>
      <c r="AD187" s="326"/>
      <c r="AE187" s="732"/>
      <c r="AF187" s="732"/>
      <c r="AG187" s="732"/>
      <c r="AH187" s="732"/>
      <c r="AI187" s="359">
        <f t="shared" si="10"/>
        <v>0</v>
      </c>
      <c r="AJ187" s="315">
        <f t="shared" si="11"/>
        <v>0</v>
      </c>
      <c r="AK187" s="315"/>
      <c r="AL187" s="315"/>
      <c r="AM187" s="315"/>
    </row>
    <row r="188" spans="1:39" ht="13.5" thickBot="1" x14ac:dyDescent="0.25">
      <c r="B188" s="1125" t="s">
        <v>142</v>
      </c>
      <c r="C188" s="1125"/>
      <c r="D188" s="1125"/>
      <c r="E188" s="331"/>
      <c r="F188" s="331"/>
      <c r="G188" s="333"/>
      <c r="H188" s="1133"/>
      <c r="I188" s="301"/>
      <c r="J188" s="301"/>
      <c r="K188" s="327"/>
      <c r="L188" s="328"/>
      <c r="M188" s="328"/>
      <c r="N188" s="326"/>
      <c r="O188" s="327"/>
      <c r="P188" s="328"/>
      <c r="Q188" s="328"/>
      <c r="R188" s="326"/>
      <c r="S188" s="327"/>
      <c r="T188" s="425"/>
      <c r="U188" s="425"/>
      <c r="V188" s="435"/>
      <c r="W188" s="442"/>
      <c r="X188" s="455">
        <v>100</v>
      </c>
      <c r="Y188" s="328"/>
      <c r="Z188" s="326"/>
      <c r="AA188" s="327"/>
      <c r="AB188" s="328"/>
      <c r="AC188" s="328"/>
      <c r="AD188" s="326"/>
      <c r="AE188" s="732"/>
      <c r="AF188" s="732"/>
      <c r="AG188" s="732"/>
      <c r="AH188" s="732"/>
      <c r="AI188" s="359">
        <f t="shared" si="10"/>
        <v>100</v>
      </c>
      <c r="AJ188" s="315">
        <f t="shared" si="11"/>
        <v>100</v>
      </c>
      <c r="AK188" s="315"/>
      <c r="AL188" s="315"/>
      <c r="AM188" s="315"/>
    </row>
    <row r="189" spans="1:39" ht="13.5" thickBot="1" x14ac:dyDescent="0.25">
      <c r="B189" s="1122" t="s">
        <v>91</v>
      </c>
      <c r="C189" s="1122"/>
      <c r="D189" s="1122"/>
      <c r="E189" s="654">
        <v>100</v>
      </c>
      <c r="F189" s="654"/>
      <c r="G189" s="656">
        <f>SUM(E189:E189)</f>
        <v>100</v>
      </c>
      <c r="H189" s="1134"/>
      <c r="I189" s="304"/>
      <c r="J189" s="304"/>
      <c r="K189" s="562"/>
      <c r="L189" s="486"/>
      <c r="M189" s="486"/>
      <c r="N189" s="475"/>
      <c r="O189" s="562"/>
      <c r="P189" s="486"/>
      <c r="Q189" s="486"/>
      <c r="R189" s="475"/>
      <c r="S189" s="562"/>
      <c r="T189" s="486"/>
      <c r="U189" s="486"/>
      <c r="V189" s="475"/>
      <c r="W189" s="562"/>
      <c r="X189" s="486"/>
      <c r="Y189" s="486"/>
      <c r="Z189" s="475"/>
      <c r="AA189" s="562"/>
      <c r="AB189" s="486"/>
      <c r="AC189" s="486"/>
      <c r="AD189" s="475"/>
      <c r="AE189" s="731"/>
      <c r="AF189" s="731"/>
      <c r="AG189" s="731"/>
      <c r="AH189" s="731"/>
      <c r="AI189" s="359">
        <f t="shared" si="10"/>
        <v>0</v>
      </c>
      <c r="AJ189" s="315">
        <f t="shared" si="11"/>
        <v>-100</v>
      </c>
      <c r="AK189" s="315"/>
      <c r="AL189" s="315"/>
      <c r="AM189" s="315"/>
    </row>
    <row r="190" spans="1:39" s="244" customFormat="1" ht="34.5" customHeight="1" thickBot="1" x14ac:dyDescent="0.25">
      <c r="A190" s="135"/>
      <c r="B190" s="1221" t="s">
        <v>157</v>
      </c>
      <c r="C190" s="1222"/>
      <c r="D190" s="1222"/>
      <c r="E190" s="777"/>
      <c r="F190" s="777"/>
      <c r="G190" s="777"/>
      <c r="H190" s="777"/>
      <c r="I190" s="777"/>
      <c r="J190" s="777"/>
      <c r="K190" s="1162">
        <f>SUM(K191:N195)</f>
        <v>0</v>
      </c>
      <c r="L190" s="1163"/>
      <c r="M190" s="1163"/>
      <c r="N190" s="1163"/>
      <c r="O190" s="1162">
        <f>SUM(O191:R195)</f>
        <v>0</v>
      </c>
      <c r="P190" s="1163"/>
      <c r="Q190" s="1163"/>
      <c r="R190" s="1163"/>
      <c r="S190" s="1162">
        <f>SUM(S191:V195)</f>
        <v>400</v>
      </c>
      <c r="T190" s="1163"/>
      <c r="U190" s="1163"/>
      <c r="V190" s="1163"/>
      <c r="W190" s="1162">
        <f>SUM(W191:Z195)</f>
        <v>0</v>
      </c>
      <c r="X190" s="1163"/>
      <c r="Y190" s="1163"/>
      <c r="Z190" s="1163"/>
      <c r="AA190" s="1162">
        <f>SUM(AA191:AD195)</f>
        <v>0</v>
      </c>
      <c r="AB190" s="1163"/>
      <c r="AC190" s="1163"/>
      <c r="AD190" s="1163"/>
      <c r="AE190" s="1162">
        <f>SUM(AE191:AH195)</f>
        <v>0</v>
      </c>
      <c r="AF190" s="1163"/>
      <c r="AG190" s="1163"/>
      <c r="AH190" s="1163"/>
      <c r="AI190" s="359">
        <f t="shared" si="10"/>
        <v>400</v>
      </c>
      <c r="AJ190" s="315">
        <f t="shared" si="11"/>
        <v>400</v>
      </c>
      <c r="AK190" s="315"/>
      <c r="AL190" s="315"/>
      <c r="AM190" s="315"/>
    </row>
    <row r="191" spans="1:39" ht="12.75" customHeight="1" thickBot="1" x14ac:dyDescent="0.25">
      <c r="B191" s="1126" t="s">
        <v>144</v>
      </c>
      <c r="C191" s="1126"/>
      <c r="D191" s="1126"/>
      <c r="E191" s="651"/>
      <c r="F191" s="652"/>
      <c r="G191" s="653"/>
      <c r="H191" s="1132" t="s">
        <v>109</v>
      </c>
      <c r="I191" s="303"/>
      <c r="J191" s="303"/>
      <c r="K191" s="560"/>
      <c r="L191" s="561"/>
      <c r="M191" s="561"/>
      <c r="N191" s="595"/>
      <c r="O191" s="560"/>
      <c r="P191" s="565"/>
      <c r="Q191" s="566"/>
      <c r="R191" s="560"/>
      <c r="S191" s="561"/>
      <c r="T191" s="561"/>
      <c r="U191" s="561"/>
      <c r="V191" s="595"/>
      <c r="W191" s="560"/>
      <c r="X191" s="561"/>
      <c r="Y191" s="561"/>
      <c r="Z191" s="595"/>
      <c r="AA191" s="560"/>
      <c r="AB191" s="561"/>
      <c r="AC191" s="561"/>
      <c r="AD191" s="595"/>
      <c r="AE191" s="735"/>
      <c r="AF191" s="735"/>
      <c r="AG191" s="735"/>
      <c r="AH191" s="735"/>
      <c r="AI191" s="359">
        <f t="shared" si="10"/>
        <v>0</v>
      </c>
      <c r="AJ191" s="315">
        <f t="shared" si="11"/>
        <v>0</v>
      </c>
      <c r="AK191" s="315"/>
      <c r="AL191" s="315"/>
      <c r="AM191" s="315"/>
    </row>
    <row r="192" spans="1:39" ht="12.75" customHeight="1" thickBot="1" x14ac:dyDescent="0.25">
      <c r="B192" s="1125" t="s">
        <v>94</v>
      </c>
      <c r="C192" s="1125"/>
      <c r="D192" s="1125"/>
      <c r="E192" s="331"/>
      <c r="F192" s="332"/>
      <c r="G192" s="333"/>
      <c r="H192" s="1133"/>
      <c r="I192" s="301"/>
      <c r="J192" s="301"/>
      <c r="K192" s="327"/>
      <c r="L192" s="328"/>
      <c r="M192" s="328"/>
      <c r="N192" s="326"/>
      <c r="O192" s="327"/>
      <c r="P192" s="328"/>
      <c r="Q192" s="437"/>
      <c r="R192" s="441"/>
      <c r="S192" s="429"/>
      <c r="T192" s="328"/>
      <c r="U192" s="328"/>
      <c r="V192" s="326"/>
      <c r="W192" s="327"/>
      <c r="X192" s="328"/>
      <c r="Y192" s="328"/>
      <c r="Z192" s="326"/>
      <c r="AA192" s="327"/>
      <c r="AB192" s="328"/>
      <c r="AC192" s="328"/>
      <c r="AD192" s="326"/>
      <c r="AE192" s="732"/>
      <c r="AF192" s="732"/>
      <c r="AG192" s="732"/>
      <c r="AH192" s="732"/>
      <c r="AI192" s="359">
        <f t="shared" si="10"/>
        <v>0</v>
      </c>
      <c r="AJ192" s="315">
        <f t="shared" si="11"/>
        <v>0</v>
      </c>
      <c r="AK192" s="315"/>
      <c r="AL192" s="315"/>
      <c r="AM192" s="315"/>
    </row>
    <row r="193" spans="1:42" ht="12.75" customHeight="1" thickBot="1" x14ac:dyDescent="0.25">
      <c r="B193" s="1125" t="s">
        <v>143</v>
      </c>
      <c r="C193" s="1125"/>
      <c r="D193" s="1125"/>
      <c r="E193" s="331"/>
      <c r="F193" s="332"/>
      <c r="G193" s="333"/>
      <c r="H193" s="1133"/>
      <c r="I193" s="301"/>
      <c r="J193" s="301"/>
      <c r="K193" s="327"/>
      <c r="L193" s="328"/>
      <c r="M193" s="328"/>
      <c r="N193" s="326"/>
      <c r="O193" s="327"/>
      <c r="P193" s="328"/>
      <c r="Q193" s="326"/>
      <c r="R193" s="327"/>
      <c r="S193" s="323"/>
      <c r="T193" s="328"/>
      <c r="U193" s="328"/>
      <c r="V193" s="326"/>
      <c r="W193" s="327"/>
      <c r="X193" s="328"/>
      <c r="Y193" s="328"/>
      <c r="Z193" s="326"/>
      <c r="AA193" s="327"/>
      <c r="AB193" s="328"/>
      <c r="AC193" s="328"/>
      <c r="AD193" s="326"/>
      <c r="AE193" s="732"/>
      <c r="AF193" s="732"/>
      <c r="AG193" s="732"/>
      <c r="AH193" s="732"/>
      <c r="AI193" s="359">
        <f t="shared" si="10"/>
        <v>0</v>
      </c>
      <c r="AJ193" s="315">
        <f t="shared" si="11"/>
        <v>0</v>
      </c>
      <c r="AK193" s="315"/>
      <c r="AL193" s="315"/>
      <c r="AM193" s="315"/>
    </row>
    <row r="194" spans="1:42" ht="12.75" customHeight="1" thickBot="1" x14ac:dyDescent="0.25">
      <c r="B194" s="1125" t="s">
        <v>142</v>
      </c>
      <c r="C194" s="1125"/>
      <c r="D194" s="1125"/>
      <c r="E194" s="331"/>
      <c r="F194" s="332"/>
      <c r="G194" s="333"/>
      <c r="H194" s="1133"/>
      <c r="I194" s="301"/>
      <c r="J194" s="301"/>
      <c r="K194" s="327"/>
      <c r="L194" s="328"/>
      <c r="M194" s="328"/>
      <c r="N194" s="326"/>
      <c r="O194" s="327"/>
      <c r="P194" s="425"/>
      <c r="Q194" s="425"/>
      <c r="R194" s="435"/>
      <c r="S194" s="442"/>
      <c r="T194" s="455">
        <v>400</v>
      </c>
      <c r="U194" s="328"/>
      <c r="V194" s="326"/>
      <c r="W194" s="327"/>
      <c r="X194" s="328"/>
      <c r="Y194" s="328"/>
      <c r="Z194" s="326"/>
      <c r="AA194" s="327"/>
      <c r="AB194" s="328"/>
      <c r="AC194" s="328"/>
      <c r="AD194" s="326"/>
      <c r="AE194" s="732"/>
      <c r="AF194" s="732"/>
      <c r="AG194" s="732"/>
      <c r="AH194" s="732"/>
      <c r="AI194" s="359">
        <f t="shared" ref="AI194:AI263" si="12">SUM(K194:AH194)</f>
        <v>400</v>
      </c>
      <c r="AJ194" s="315">
        <f t="shared" si="11"/>
        <v>400</v>
      </c>
      <c r="AK194" s="315"/>
      <c r="AL194" s="315"/>
      <c r="AM194" s="315"/>
    </row>
    <row r="195" spans="1:42" ht="12.75" customHeight="1" thickBot="1" x14ac:dyDescent="0.25">
      <c r="B195" s="1122" t="s">
        <v>91</v>
      </c>
      <c r="C195" s="1122"/>
      <c r="D195" s="1122"/>
      <c r="E195" s="654"/>
      <c r="F195" s="655">
        <v>400</v>
      </c>
      <c r="G195" s="656">
        <v>400</v>
      </c>
      <c r="H195" s="1134"/>
      <c r="I195" s="301"/>
      <c r="J195" s="301"/>
      <c r="K195" s="562"/>
      <c r="L195" s="486"/>
      <c r="M195" s="486"/>
      <c r="N195" s="475"/>
      <c r="O195" s="562"/>
      <c r="P195" s="486"/>
      <c r="Q195" s="486"/>
      <c r="R195" s="475"/>
      <c r="S195" s="562"/>
      <c r="T195" s="486"/>
      <c r="U195" s="486"/>
      <c r="V195" s="475"/>
      <c r="W195" s="562"/>
      <c r="X195" s="486"/>
      <c r="Y195" s="486"/>
      <c r="Z195" s="475"/>
      <c r="AA195" s="562"/>
      <c r="AB195" s="486"/>
      <c r="AC195" s="486"/>
      <c r="AD195" s="475"/>
      <c r="AE195" s="731"/>
      <c r="AF195" s="731"/>
      <c r="AG195" s="731"/>
      <c r="AH195" s="731"/>
      <c r="AI195" s="359">
        <f t="shared" si="12"/>
        <v>0</v>
      </c>
      <c r="AJ195" s="315">
        <f t="shared" si="11"/>
        <v>-400</v>
      </c>
      <c r="AK195" s="315"/>
      <c r="AL195" s="315"/>
      <c r="AM195" s="315"/>
    </row>
    <row r="196" spans="1:42" s="640" customFormat="1" ht="24" customHeight="1" thickBot="1" x14ac:dyDescent="0.25">
      <c r="A196" s="639"/>
      <c r="B196" s="1233" t="s">
        <v>170</v>
      </c>
      <c r="C196" s="1234"/>
      <c r="D196" s="1235"/>
      <c r="E196" s="705">
        <f>E197+E328</f>
        <v>7858</v>
      </c>
      <c r="F196" s="705">
        <f>F197+F328</f>
        <v>19310</v>
      </c>
      <c r="G196" s="705">
        <f>G197+G328</f>
        <v>27168</v>
      </c>
      <c r="H196" s="659"/>
      <c r="I196" s="659"/>
      <c r="J196" s="660"/>
      <c r="K196" s="1138">
        <f>K197+K328</f>
        <v>5308</v>
      </c>
      <c r="L196" s="1139"/>
      <c r="M196" s="1139"/>
      <c r="N196" s="1140"/>
      <c r="O196" s="1138">
        <f>O197+O328</f>
        <v>2012</v>
      </c>
      <c r="P196" s="1139"/>
      <c r="Q196" s="1139"/>
      <c r="R196" s="1139"/>
      <c r="S196" s="706">
        <f>S197+S328</f>
        <v>13103</v>
      </c>
      <c r="T196" s="707"/>
      <c r="U196" s="707"/>
      <c r="V196" s="708"/>
      <c r="W196" s="1138">
        <f>W197+W328</f>
        <v>5090</v>
      </c>
      <c r="X196" s="1139"/>
      <c r="Y196" s="1139"/>
      <c r="Z196" s="1140"/>
      <c r="AA196" s="1138">
        <f>AA197+AA328</f>
        <v>839</v>
      </c>
      <c r="AB196" s="1139"/>
      <c r="AC196" s="1139"/>
      <c r="AD196" s="1140"/>
      <c r="AE196" s="1138">
        <f>AE197+AE328</f>
        <v>79</v>
      </c>
      <c r="AF196" s="1139"/>
      <c r="AG196" s="1139"/>
      <c r="AH196" s="1140"/>
      <c r="AI196" s="359">
        <f t="shared" si="12"/>
        <v>26431</v>
      </c>
      <c r="AJ196" s="315">
        <f t="shared" si="11"/>
        <v>-737</v>
      </c>
      <c r="AK196" s="315"/>
      <c r="AL196" s="315"/>
      <c r="AM196" s="315"/>
    </row>
    <row r="197" spans="1:42" s="6" customFormat="1" ht="13.5" thickBot="1" x14ac:dyDescent="0.25">
      <c r="B197" s="1236"/>
      <c r="C197" s="1237"/>
      <c r="D197" s="1238"/>
      <c r="E197" s="664">
        <f>E198+E241+E266+E291</f>
        <v>750</v>
      </c>
      <c r="F197" s="664">
        <f>F198+F241+F266+F291</f>
        <v>16510</v>
      </c>
      <c r="G197" s="664">
        <f>G198+G241+G266+G291</f>
        <v>17260</v>
      </c>
      <c r="H197" s="665"/>
      <c r="I197" s="665"/>
      <c r="J197" s="666"/>
      <c r="K197" s="1153">
        <f>K198+K241+K266+K291</f>
        <v>0</v>
      </c>
      <c r="L197" s="1154"/>
      <c r="M197" s="1154"/>
      <c r="N197" s="1155"/>
      <c r="O197" s="1153">
        <f>O198+O241+O266+O291</f>
        <v>112</v>
      </c>
      <c r="P197" s="1154"/>
      <c r="Q197" s="1154"/>
      <c r="R197" s="1155"/>
      <c r="S197" s="1153">
        <f>S198+S241+S266+S291</f>
        <v>12003</v>
      </c>
      <c r="T197" s="1154"/>
      <c r="U197" s="1154"/>
      <c r="V197" s="1155"/>
      <c r="W197" s="1153">
        <f>W198+W241+W266+W291</f>
        <v>3590</v>
      </c>
      <c r="X197" s="1154"/>
      <c r="Y197" s="1154"/>
      <c r="Z197" s="1155"/>
      <c r="AA197" s="1153">
        <f>AA198+AA241+AA266+AA291</f>
        <v>739</v>
      </c>
      <c r="AB197" s="1154"/>
      <c r="AC197" s="1154"/>
      <c r="AD197" s="1155"/>
      <c r="AE197" s="1153">
        <f>AE198+AE241+AE266+AE291</f>
        <v>79</v>
      </c>
      <c r="AF197" s="1154"/>
      <c r="AG197" s="1154"/>
      <c r="AH197" s="1155"/>
      <c r="AI197" s="359">
        <f t="shared" si="12"/>
        <v>16523</v>
      </c>
      <c r="AJ197" s="315">
        <f t="shared" ref="AJ197:AJ265" si="13">AI197-G197</f>
        <v>-737</v>
      </c>
      <c r="AK197" s="315"/>
      <c r="AL197" s="6">
        <f>C198+C241+C266+C291</f>
        <v>0</v>
      </c>
      <c r="AM197" s="6">
        <f>D198+D241+D266+D291</f>
        <v>0</v>
      </c>
      <c r="AN197" s="6">
        <f>E198+E241+E266+E291</f>
        <v>750</v>
      </c>
      <c r="AO197" s="6">
        <f>F198+F241+F266+F291</f>
        <v>16510</v>
      </c>
      <c r="AP197" s="6">
        <f>AO197+AN197</f>
        <v>17260</v>
      </c>
    </row>
    <row r="198" spans="1:42" s="6" customFormat="1" ht="15" customHeight="1" thickBot="1" x14ac:dyDescent="0.25">
      <c r="A198" s="662"/>
      <c r="B198" s="778" t="s">
        <v>30</v>
      </c>
      <c r="C198" s="779"/>
      <c r="D198" s="780"/>
      <c r="E198" s="661">
        <f>E204+E210+E216+E222+E228+E240+E234</f>
        <v>750</v>
      </c>
      <c r="F198" s="661">
        <f>F204+F210+F216+F222+F228+F240+F234</f>
        <v>7400</v>
      </c>
      <c r="G198" s="661">
        <f>G204+G210+G216+G222+G228+G240+G234</f>
        <v>8150</v>
      </c>
      <c r="H198" s="661">
        <f>SUM(H200:H236)</f>
        <v>0</v>
      </c>
      <c r="I198" s="668"/>
      <c r="J198" s="668"/>
      <c r="K198" s="1141">
        <f>K199+K205+K211+K217+K223+K235</f>
        <v>0</v>
      </c>
      <c r="L198" s="1142"/>
      <c r="M198" s="1142"/>
      <c r="N198" s="1143"/>
      <c r="O198" s="1141">
        <f>O199+O205+O211+O217+O223+O235</f>
        <v>0</v>
      </c>
      <c r="P198" s="1142"/>
      <c r="Q198" s="1142"/>
      <c r="R198" s="1143"/>
      <c r="S198" s="1141">
        <f>S199+S205+S211+S217+S223+S235</f>
        <v>4600</v>
      </c>
      <c r="T198" s="1142"/>
      <c r="U198" s="1142"/>
      <c r="V198" s="1143"/>
      <c r="W198" s="1141">
        <f>W199+W205+W211+W217+W223+W235</f>
        <v>2800</v>
      </c>
      <c r="X198" s="1142"/>
      <c r="Y198" s="1142"/>
      <c r="Z198" s="1143"/>
      <c r="AA198" s="1141">
        <f>AA199+AA205+AA211+AA217+AA223+AA235</f>
        <v>400</v>
      </c>
      <c r="AB198" s="1142"/>
      <c r="AC198" s="1142"/>
      <c r="AD198" s="1143"/>
      <c r="AE198" s="1141">
        <f>AE199+AE205+AE211+AE217+AE223+AE235</f>
        <v>0</v>
      </c>
      <c r="AF198" s="1142"/>
      <c r="AG198" s="1142"/>
      <c r="AH198" s="1143"/>
      <c r="AI198" s="359">
        <f t="shared" si="12"/>
        <v>7800</v>
      </c>
      <c r="AJ198" s="315"/>
      <c r="AK198" s="315">
        <f>F204+F210+F216+F222+F228+F240</f>
        <v>7000</v>
      </c>
      <c r="AL198" s="315">
        <f>G204+G210+G216+G222+G228+G240</f>
        <v>7750</v>
      </c>
      <c r="AM198" s="315"/>
    </row>
    <row r="199" spans="1:42" s="244" customFormat="1" ht="12.75" customHeight="1" thickBot="1" x14ac:dyDescent="0.25">
      <c r="A199" s="135"/>
      <c r="B199" s="1127" t="s">
        <v>46</v>
      </c>
      <c r="C199" s="1212"/>
      <c r="D199" s="1212"/>
      <c r="E199" s="782"/>
      <c r="F199" s="782"/>
      <c r="G199" s="782"/>
      <c r="H199" s="782"/>
      <c r="I199" s="782"/>
      <c r="J199" s="782"/>
      <c r="K199" s="1162">
        <f>SUM(K200:N204)</f>
        <v>0</v>
      </c>
      <c r="L199" s="1163"/>
      <c r="M199" s="1163"/>
      <c r="N199" s="1163"/>
      <c r="O199" s="1162">
        <f>SUM(O200:R204)</f>
        <v>0</v>
      </c>
      <c r="P199" s="1163"/>
      <c r="Q199" s="1163"/>
      <c r="R199" s="1163"/>
      <c r="S199" s="1162">
        <f>SUM(S200:V204)</f>
        <v>2100</v>
      </c>
      <c r="T199" s="1163"/>
      <c r="U199" s="1163"/>
      <c r="V199" s="1163"/>
      <c r="W199" s="1162">
        <f>SUM(W200:Z204)</f>
        <v>0</v>
      </c>
      <c r="X199" s="1163"/>
      <c r="Y199" s="1163"/>
      <c r="Z199" s="1163"/>
      <c r="AA199" s="1162">
        <f>SUM(AA200:AD204)</f>
        <v>0</v>
      </c>
      <c r="AB199" s="1163"/>
      <c r="AC199" s="1163"/>
      <c r="AD199" s="1163"/>
      <c r="AE199" s="1162">
        <f>SUM(AE200:AH204)</f>
        <v>0</v>
      </c>
      <c r="AF199" s="1163"/>
      <c r="AG199" s="1163"/>
      <c r="AH199" s="1163"/>
      <c r="AI199" s="359">
        <f t="shared" si="12"/>
        <v>2100</v>
      </c>
      <c r="AJ199" s="315">
        <f t="shared" si="13"/>
        <v>2100</v>
      </c>
      <c r="AK199" s="315"/>
      <c r="AL199" s="315"/>
      <c r="AM199" s="315"/>
    </row>
    <row r="200" spans="1:42" s="6" customFormat="1" ht="12.75" customHeight="1" thickBot="1" x14ac:dyDescent="0.25">
      <c r="B200" s="1126" t="s">
        <v>144</v>
      </c>
      <c r="C200" s="1126"/>
      <c r="D200" s="1126"/>
      <c r="E200" s="407"/>
      <c r="F200" s="423"/>
      <c r="G200" s="424"/>
      <c r="H200" s="1132" t="s">
        <v>109</v>
      </c>
      <c r="I200" s="306"/>
      <c r="J200" s="306"/>
      <c r="K200" s="621"/>
      <c r="L200" s="669"/>
      <c r="M200" s="669"/>
      <c r="N200" s="670"/>
      <c r="O200" s="671"/>
      <c r="P200" s="565"/>
      <c r="Q200" s="561"/>
      <c r="R200" s="595"/>
      <c r="S200" s="672"/>
      <c r="T200" s="597"/>
      <c r="U200" s="597"/>
      <c r="V200" s="595"/>
      <c r="W200" s="621"/>
      <c r="X200" s="599"/>
      <c r="Y200" s="599"/>
      <c r="Z200" s="600"/>
      <c r="AA200" s="621"/>
      <c r="AB200" s="599"/>
      <c r="AC200" s="599"/>
      <c r="AD200" s="600"/>
      <c r="AE200" s="303"/>
      <c r="AF200" s="303"/>
      <c r="AG200" s="303"/>
      <c r="AH200" s="303"/>
      <c r="AI200" s="359">
        <f t="shared" si="12"/>
        <v>0</v>
      </c>
      <c r="AJ200" s="315">
        <f t="shared" si="13"/>
        <v>0</v>
      </c>
      <c r="AK200" s="315"/>
      <c r="AL200" s="315"/>
      <c r="AM200" s="315"/>
    </row>
    <row r="201" spans="1:42" s="6" customFormat="1" ht="12.75" customHeight="1" thickBot="1" x14ac:dyDescent="0.25">
      <c r="B201" s="1125" t="s">
        <v>94</v>
      </c>
      <c r="C201" s="1125"/>
      <c r="D201" s="1125"/>
      <c r="E201" s="407"/>
      <c r="F201" s="423"/>
      <c r="G201" s="424"/>
      <c r="H201" s="1133"/>
      <c r="I201" s="299"/>
      <c r="J201" s="299"/>
      <c r="K201" s="321"/>
      <c r="L201" s="325"/>
      <c r="M201" s="325"/>
      <c r="N201" s="324"/>
      <c r="O201" s="467"/>
      <c r="P201" s="427"/>
      <c r="Q201" s="428"/>
      <c r="R201" s="432"/>
      <c r="S201" s="327"/>
      <c r="T201" s="328"/>
      <c r="U201" s="328"/>
      <c r="V201" s="326"/>
      <c r="W201" s="321"/>
      <c r="X201" s="322"/>
      <c r="Y201" s="322"/>
      <c r="Z201" s="330"/>
      <c r="AA201" s="321"/>
      <c r="AB201" s="322"/>
      <c r="AC201" s="322"/>
      <c r="AD201" s="330"/>
      <c r="AE201" s="301"/>
      <c r="AF201" s="301"/>
      <c r="AG201" s="301"/>
      <c r="AH201" s="301"/>
      <c r="AI201" s="359">
        <f t="shared" si="12"/>
        <v>0</v>
      </c>
      <c r="AJ201" s="315">
        <f t="shared" si="13"/>
        <v>0</v>
      </c>
      <c r="AK201" s="315"/>
      <c r="AL201" s="315"/>
      <c r="AM201" s="315"/>
    </row>
    <row r="202" spans="1:42" s="6" customFormat="1" ht="12.75" customHeight="1" thickBot="1" x14ac:dyDescent="0.25">
      <c r="B202" s="1125" t="s">
        <v>143</v>
      </c>
      <c r="C202" s="1125"/>
      <c r="D202" s="1125"/>
      <c r="E202" s="407"/>
      <c r="F202" s="423"/>
      <c r="G202" s="424"/>
      <c r="H202" s="1133"/>
      <c r="I202" s="299"/>
      <c r="J202" s="299"/>
      <c r="K202" s="321"/>
      <c r="L202" s="325"/>
      <c r="M202" s="325"/>
      <c r="N202" s="324"/>
      <c r="O202" s="467"/>
      <c r="P202" s="328"/>
      <c r="Q202" s="328"/>
      <c r="R202" s="433"/>
      <c r="S202" s="327"/>
      <c r="T202" s="328"/>
      <c r="U202" s="328"/>
      <c r="V202" s="326"/>
      <c r="W202" s="321"/>
      <c r="X202" s="322"/>
      <c r="Y202" s="322"/>
      <c r="Z202" s="330"/>
      <c r="AA202" s="321"/>
      <c r="AB202" s="322"/>
      <c r="AC202" s="322"/>
      <c r="AD202" s="330"/>
      <c r="AE202" s="301"/>
      <c r="AF202" s="301"/>
      <c r="AG202" s="301"/>
      <c r="AH202" s="301"/>
      <c r="AI202" s="359">
        <f t="shared" si="12"/>
        <v>0</v>
      </c>
      <c r="AJ202" s="315">
        <f t="shared" si="13"/>
        <v>0</v>
      </c>
      <c r="AK202" s="315"/>
      <c r="AL202" s="315"/>
      <c r="AM202" s="315"/>
    </row>
    <row r="203" spans="1:42" s="6" customFormat="1" ht="12.75" customHeight="1" thickBot="1" x14ac:dyDescent="0.25">
      <c r="B203" s="1125" t="s">
        <v>142</v>
      </c>
      <c r="C203" s="1125"/>
      <c r="D203" s="1125"/>
      <c r="E203" s="409">
        <v>0</v>
      </c>
      <c r="F203" s="338">
        <v>2100</v>
      </c>
      <c r="G203" s="408">
        <v>2100</v>
      </c>
      <c r="H203" s="1133"/>
      <c r="I203" s="299"/>
      <c r="J203" s="299"/>
      <c r="K203" s="321"/>
      <c r="L203" s="325"/>
      <c r="M203" s="325"/>
      <c r="N203" s="324"/>
      <c r="O203" s="467"/>
      <c r="P203" s="322"/>
      <c r="Q203" s="322"/>
      <c r="R203" s="468"/>
      <c r="S203" s="455">
        <v>700</v>
      </c>
      <c r="T203" s="455">
        <v>700</v>
      </c>
      <c r="U203" s="455">
        <v>700</v>
      </c>
      <c r="V203" s="326"/>
      <c r="W203" s="321"/>
      <c r="X203" s="322"/>
      <c r="Y203" s="322"/>
      <c r="Z203" s="330"/>
      <c r="AA203" s="321"/>
      <c r="AB203" s="322"/>
      <c r="AC203" s="322"/>
      <c r="AD203" s="330"/>
      <c r="AE203" s="301"/>
      <c r="AF203" s="301"/>
      <c r="AG203" s="301"/>
      <c r="AH203" s="301"/>
      <c r="AI203" s="359">
        <f t="shared" si="12"/>
        <v>2100</v>
      </c>
      <c r="AJ203" s="315">
        <f t="shared" si="13"/>
        <v>0</v>
      </c>
      <c r="AK203" s="315"/>
      <c r="AL203" s="315"/>
      <c r="AM203" s="315"/>
    </row>
    <row r="204" spans="1:42" s="6" customFormat="1" ht="12.75" customHeight="1" thickBot="1" x14ac:dyDescent="0.25">
      <c r="B204" s="1122" t="s">
        <v>91</v>
      </c>
      <c r="C204" s="1122"/>
      <c r="D204" s="1122"/>
      <c r="E204" s="384">
        <v>0</v>
      </c>
      <c r="F204" s="387">
        <v>2100</v>
      </c>
      <c r="G204" s="377">
        <v>2100</v>
      </c>
      <c r="H204" s="1134"/>
      <c r="I204" s="299"/>
      <c r="J204" s="299"/>
      <c r="K204" s="474"/>
      <c r="L204" s="602"/>
      <c r="M204" s="602"/>
      <c r="N204" s="601"/>
      <c r="O204" s="673"/>
      <c r="P204" s="385"/>
      <c r="Q204" s="385"/>
      <c r="R204" s="674"/>
      <c r="S204" s="562"/>
      <c r="T204" s="486"/>
      <c r="U204" s="486"/>
      <c r="V204" s="475"/>
      <c r="W204" s="474"/>
      <c r="X204" s="385"/>
      <c r="Y204" s="385"/>
      <c r="Z204" s="477"/>
      <c r="AA204" s="474"/>
      <c r="AB204" s="385"/>
      <c r="AC204" s="385"/>
      <c r="AD204" s="477"/>
      <c r="AE204" s="304"/>
      <c r="AF204" s="304"/>
      <c r="AG204" s="304"/>
      <c r="AH204" s="304"/>
      <c r="AI204" s="359">
        <f t="shared" si="12"/>
        <v>0</v>
      </c>
      <c r="AJ204" s="315">
        <f t="shared" si="13"/>
        <v>-2100</v>
      </c>
      <c r="AK204" s="315"/>
      <c r="AL204" s="315"/>
      <c r="AM204" s="315"/>
    </row>
    <row r="205" spans="1:42" s="244" customFormat="1" ht="12.75" customHeight="1" thickBot="1" x14ac:dyDescent="0.25">
      <c r="A205" s="135"/>
      <c r="B205" s="1127" t="s">
        <v>47</v>
      </c>
      <c r="C205" s="1212"/>
      <c r="D205" s="1212"/>
      <c r="E205" s="1212"/>
      <c r="F205" s="1212"/>
      <c r="G205" s="1212"/>
      <c r="H205" s="782"/>
      <c r="I205" s="782"/>
      <c r="J205" s="782"/>
      <c r="K205" s="1162">
        <f>SUM(K206:N210)</f>
        <v>0</v>
      </c>
      <c r="L205" s="1163"/>
      <c r="M205" s="1163"/>
      <c r="N205" s="1163"/>
      <c r="O205" s="1162">
        <f>SUM(O206:R210)</f>
        <v>0</v>
      </c>
      <c r="P205" s="1163"/>
      <c r="Q205" s="1163"/>
      <c r="R205" s="1163"/>
      <c r="S205" s="1162">
        <f>SUM(S206:V210)</f>
        <v>0</v>
      </c>
      <c r="T205" s="1163"/>
      <c r="U205" s="1163"/>
      <c r="V205" s="1163"/>
      <c r="W205" s="1162">
        <f>SUM(W206:Z210)</f>
        <v>1200</v>
      </c>
      <c r="X205" s="1163"/>
      <c r="Y205" s="1163"/>
      <c r="Z205" s="1163"/>
      <c r="AA205" s="1162">
        <f>SUM(AA206:AD210)</f>
        <v>0</v>
      </c>
      <c r="AB205" s="1163"/>
      <c r="AC205" s="1163"/>
      <c r="AD205" s="1163"/>
      <c r="AE205" s="1162">
        <f>SUM(AE206:AH210)</f>
        <v>0</v>
      </c>
      <c r="AF205" s="1163"/>
      <c r="AG205" s="1163"/>
      <c r="AH205" s="1163"/>
      <c r="AI205" s="359">
        <f t="shared" si="12"/>
        <v>1200</v>
      </c>
      <c r="AJ205" s="315">
        <f t="shared" si="13"/>
        <v>1200</v>
      </c>
      <c r="AK205" s="315"/>
      <c r="AL205" s="315"/>
      <c r="AM205" s="315"/>
    </row>
    <row r="206" spans="1:42" s="6" customFormat="1" ht="12.75" customHeight="1" thickBot="1" x14ac:dyDescent="0.25">
      <c r="B206" s="1126" t="s">
        <v>144</v>
      </c>
      <c r="C206" s="1126"/>
      <c r="D206" s="1126"/>
      <c r="E206" s="407"/>
      <c r="F206" s="423"/>
      <c r="G206" s="424"/>
      <c r="H206" s="1132" t="s">
        <v>109</v>
      </c>
      <c r="I206" s="306"/>
      <c r="J206" s="306"/>
      <c r="K206" s="621"/>
      <c r="L206" s="669"/>
      <c r="M206" s="669"/>
      <c r="N206" s="670"/>
      <c r="O206" s="671"/>
      <c r="U206" s="565"/>
      <c r="V206" s="561"/>
      <c r="W206" s="595"/>
      <c r="X206" s="672"/>
      <c r="Y206" s="597"/>
      <c r="Z206" s="597"/>
      <c r="AA206" s="621"/>
      <c r="AB206" s="599"/>
      <c r="AC206" s="599"/>
      <c r="AD206" s="600"/>
      <c r="AE206" s="728"/>
      <c r="AF206" s="728"/>
      <c r="AG206" s="728"/>
      <c r="AH206" s="728"/>
      <c r="AI206" s="359">
        <f t="shared" si="12"/>
        <v>0</v>
      </c>
      <c r="AJ206" s="315">
        <f t="shared" si="13"/>
        <v>0</v>
      </c>
      <c r="AK206" s="315"/>
      <c r="AL206" s="315"/>
      <c r="AM206" s="315"/>
    </row>
    <row r="207" spans="1:42" s="6" customFormat="1" ht="12.75" customHeight="1" thickBot="1" x14ac:dyDescent="0.25">
      <c r="B207" s="1125" t="s">
        <v>94</v>
      </c>
      <c r="C207" s="1125"/>
      <c r="D207" s="1125"/>
      <c r="E207" s="407"/>
      <c r="F207" s="423"/>
      <c r="G207" s="424"/>
      <c r="H207" s="1133"/>
      <c r="I207" s="299"/>
      <c r="J207" s="299"/>
      <c r="K207" s="321"/>
      <c r="L207" s="325"/>
      <c r="M207" s="325"/>
      <c r="N207" s="324"/>
      <c r="O207" s="467"/>
      <c r="U207" s="427"/>
      <c r="V207" s="428"/>
      <c r="W207" s="432"/>
      <c r="X207" s="327"/>
      <c r="Y207" s="328"/>
      <c r="Z207" s="328"/>
      <c r="AA207" s="321"/>
      <c r="AB207" s="322"/>
      <c r="AC207" s="322"/>
      <c r="AD207" s="330"/>
      <c r="AE207" s="336"/>
      <c r="AF207" s="336"/>
      <c r="AG207" s="336"/>
      <c r="AH207" s="336"/>
      <c r="AI207" s="359">
        <f t="shared" si="12"/>
        <v>0</v>
      </c>
      <c r="AJ207" s="315">
        <f t="shared" si="13"/>
        <v>0</v>
      </c>
      <c r="AK207" s="315"/>
      <c r="AL207" s="315"/>
      <c r="AM207" s="315"/>
    </row>
    <row r="208" spans="1:42" s="6" customFormat="1" ht="12.75" customHeight="1" thickBot="1" x14ac:dyDescent="0.25">
      <c r="B208" s="1125" t="s">
        <v>143</v>
      </c>
      <c r="C208" s="1125"/>
      <c r="D208" s="1125"/>
      <c r="E208" s="407"/>
      <c r="F208" s="423"/>
      <c r="G208" s="424"/>
      <c r="H208" s="1133"/>
      <c r="I208" s="299"/>
      <c r="J208" s="299"/>
      <c r="K208" s="321"/>
      <c r="L208" s="325"/>
      <c r="M208" s="325"/>
      <c r="N208" s="324"/>
      <c r="O208" s="467"/>
      <c r="U208" s="328"/>
      <c r="V208" s="328"/>
      <c r="W208" s="433"/>
      <c r="X208" s="327"/>
      <c r="Y208" s="328"/>
      <c r="Z208" s="328"/>
      <c r="AA208" s="321"/>
      <c r="AB208" s="322"/>
      <c r="AC208" s="322"/>
      <c r="AD208" s="330"/>
      <c r="AE208" s="336"/>
      <c r="AF208" s="336"/>
      <c r="AG208" s="336"/>
      <c r="AH208" s="336"/>
      <c r="AI208" s="359">
        <f t="shared" si="12"/>
        <v>0</v>
      </c>
      <c r="AJ208" s="315">
        <f t="shared" si="13"/>
        <v>0</v>
      </c>
      <c r="AK208" s="315"/>
      <c r="AL208" s="315"/>
      <c r="AM208" s="315"/>
    </row>
    <row r="209" spans="1:39" s="6" customFormat="1" ht="12.75" customHeight="1" thickBot="1" x14ac:dyDescent="0.25">
      <c r="B209" s="1125" t="s">
        <v>142</v>
      </c>
      <c r="C209" s="1125"/>
      <c r="D209" s="1125"/>
      <c r="E209" s="409">
        <v>0</v>
      </c>
      <c r="F209" s="387">
        <v>1200</v>
      </c>
      <c r="G209" s="377">
        <v>1200</v>
      </c>
      <c r="H209" s="1133"/>
      <c r="I209" s="299"/>
      <c r="J209" s="299"/>
      <c r="K209" s="321"/>
      <c r="L209" s="325"/>
      <c r="M209" s="325"/>
      <c r="N209" s="324"/>
      <c r="O209" s="467"/>
      <c r="U209" s="325"/>
      <c r="V209" s="322"/>
      <c r="W209" s="468"/>
      <c r="X209" s="455">
        <v>400</v>
      </c>
      <c r="Y209" s="455">
        <v>400</v>
      </c>
      <c r="Z209" s="455">
        <v>400</v>
      </c>
      <c r="AA209" s="321"/>
      <c r="AB209" s="322"/>
      <c r="AC209" s="322"/>
      <c r="AD209" s="330"/>
      <c r="AE209" s="458"/>
      <c r="AF209" s="458"/>
      <c r="AG209" s="458"/>
      <c r="AH209" s="458"/>
      <c r="AI209" s="359">
        <f t="shared" si="12"/>
        <v>1200</v>
      </c>
      <c r="AJ209" s="315">
        <f t="shared" si="13"/>
        <v>0</v>
      </c>
      <c r="AK209" s="315"/>
      <c r="AL209" s="315"/>
      <c r="AM209" s="315"/>
    </row>
    <row r="210" spans="1:39" s="6" customFormat="1" ht="12.75" customHeight="1" thickBot="1" x14ac:dyDescent="0.25">
      <c r="B210" s="1122" t="s">
        <v>91</v>
      </c>
      <c r="C210" s="1122"/>
      <c r="D210" s="1122"/>
      <c r="E210" s="384">
        <v>0</v>
      </c>
      <c r="F210" s="387">
        <v>1200</v>
      </c>
      <c r="G210" s="377">
        <v>1200</v>
      </c>
      <c r="H210" s="1134"/>
      <c r="I210" s="299"/>
      <c r="J210" s="299"/>
      <c r="K210" s="474"/>
      <c r="L210" s="602"/>
      <c r="M210" s="602"/>
      <c r="N210" s="601"/>
      <c r="O210" s="673"/>
      <c r="P210" s="602"/>
      <c r="Q210" s="385"/>
      <c r="R210" s="674"/>
      <c r="S210" s="562"/>
      <c r="T210" s="486"/>
      <c r="U210" s="486"/>
      <c r="V210" s="475"/>
      <c r="W210" s="474"/>
      <c r="X210" s="385"/>
      <c r="Y210" s="385"/>
      <c r="Z210" s="477"/>
      <c r="AA210" s="474"/>
      <c r="AB210" s="385"/>
      <c r="AC210" s="385"/>
      <c r="AD210" s="477"/>
      <c r="AE210" s="304"/>
      <c r="AF210" s="304"/>
      <c r="AG210" s="304"/>
      <c r="AH210" s="304"/>
      <c r="AI210" s="359">
        <f t="shared" si="12"/>
        <v>0</v>
      </c>
      <c r="AJ210" s="315">
        <f t="shared" si="13"/>
        <v>-1200</v>
      </c>
      <c r="AK210" s="315"/>
      <c r="AL210" s="315"/>
      <c r="AM210" s="315"/>
    </row>
    <row r="211" spans="1:39" s="244" customFormat="1" ht="12.75" customHeight="1" thickBot="1" x14ac:dyDescent="0.25">
      <c r="A211" s="135"/>
      <c r="B211" s="1127" t="s">
        <v>200</v>
      </c>
      <c r="C211" s="1212"/>
      <c r="D211" s="1212"/>
      <c r="E211" s="1212"/>
      <c r="F211" s="799"/>
      <c r="G211" s="782"/>
      <c r="H211" s="782"/>
      <c r="I211" s="782"/>
      <c r="J211" s="782"/>
      <c r="K211" s="1162">
        <f>SUM(K212:N216)</f>
        <v>0</v>
      </c>
      <c r="L211" s="1163"/>
      <c r="M211" s="1163"/>
      <c r="N211" s="1163"/>
      <c r="O211" s="1162">
        <f>SUM(O212:R216)</f>
        <v>0</v>
      </c>
      <c r="P211" s="1163"/>
      <c r="Q211" s="1163"/>
      <c r="R211" s="1163"/>
      <c r="S211" s="1162">
        <f>SUM(S212:V216)</f>
        <v>1000</v>
      </c>
      <c r="T211" s="1163"/>
      <c r="U211" s="1163"/>
      <c r="V211" s="1163"/>
      <c r="W211" s="1162">
        <f>SUM(W212:Z216)</f>
        <v>0</v>
      </c>
      <c r="X211" s="1163"/>
      <c r="Y211" s="1163"/>
      <c r="Z211" s="1163"/>
      <c r="AA211" s="1162">
        <f>SUM(AA212:AD216)</f>
        <v>0</v>
      </c>
      <c r="AB211" s="1163"/>
      <c r="AC211" s="1163"/>
      <c r="AD211" s="1163"/>
      <c r="AE211" s="1162">
        <f>SUM(AE212:AH216)</f>
        <v>0</v>
      </c>
      <c r="AF211" s="1163"/>
      <c r="AG211" s="1163"/>
      <c r="AH211" s="1163"/>
      <c r="AI211" s="359">
        <f t="shared" si="12"/>
        <v>1000</v>
      </c>
      <c r="AJ211" s="315">
        <f t="shared" si="13"/>
        <v>1000</v>
      </c>
      <c r="AK211" s="315"/>
      <c r="AL211" s="315"/>
      <c r="AM211" s="315"/>
    </row>
    <row r="212" spans="1:39" s="6" customFormat="1" ht="12.75" customHeight="1" thickBot="1" x14ac:dyDescent="0.25">
      <c r="B212" s="1126" t="s">
        <v>144</v>
      </c>
      <c r="C212" s="1126"/>
      <c r="D212" s="1126"/>
      <c r="E212" s="407"/>
      <c r="F212" s="423"/>
      <c r="G212" s="424"/>
      <c r="H212" s="1132" t="s">
        <v>109</v>
      </c>
      <c r="I212" s="306"/>
      <c r="J212" s="306"/>
      <c r="K212" s="621"/>
      <c r="L212" s="599"/>
      <c r="M212" s="561"/>
      <c r="N212" s="595"/>
      <c r="O212" s="621"/>
      <c r="P212" s="565"/>
      <c r="Q212" s="561"/>
      <c r="R212" s="595"/>
      <c r="S212" s="672"/>
      <c r="T212" s="597"/>
      <c r="U212" s="597"/>
      <c r="V212" s="675"/>
      <c r="W212" s="621"/>
      <c r="X212" s="599"/>
      <c r="Y212" s="599"/>
      <c r="Z212" s="600"/>
      <c r="AA212" s="560"/>
      <c r="AB212" s="599"/>
      <c r="AC212" s="599"/>
      <c r="AD212" s="600"/>
      <c r="AE212" s="303"/>
      <c r="AF212" s="303"/>
      <c r="AG212" s="303"/>
      <c r="AH212" s="303"/>
      <c r="AI212" s="359">
        <f t="shared" si="12"/>
        <v>0</v>
      </c>
      <c r="AJ212" s="315">
        <f t="shared" si="13"/>
        <v>0</v>
      </c>
      <c r="AK212" s="315"/>
      <c r="AL212" s="315"/>
      <c r="AM212" s="315"/>
    </row>
    <row r="213" spans="1:39" s="6" customFormat="1" ht="12.75" customHeight="1" thickBot="1" x14ac:dyDescent="0.25">
      <c r="B213" s="1125" t="s">
        <v>94</v>
      </c>
      <c r="C213" s="1125"/>
      <c r="D213" s="1125"/>
      <c r="E213" s="407"/>
      <c r="F213" s="423"/>
      <c r="G213" s="424"/>
      <c r="H213" s="1133"/>
      <c r="I213" s="299"/>
      <c r="J213" s="299"/>
      <c r="K213" s="321"/>
      <c r="L213" s="322"/>
      <c r="M213" s="328"/>
      <c r="N213" s="326"/>
      <c r="O213" s="321"/>
      <c r="P213" s="427"/>
      <c r="Q213" s="428"/>
      <c r="R213" s="432"/>
      <c r="S213" s="327"/>
      <c r="T213" s="328"/>
      <c r="U213" s="328"/>
      <c r="V213" s="326"/>
      <c r="W213" s="321"/>
      <c r="X213" s="322"/>
      <c r="Y213" s="322"/>
      <c r="Z213" s="330"/>
      <c r="AA213" s="327"/>
      <c r="AB213" s="322"/>
      <c r="AC213" s="322"/>
      <c r="AD213" s="330"/>
      <c r="AE213" s="301"/>
      <c r="AF213" s="301"/>
      <c r="AG213" s="301"/>
      <c r="AH213" s="301"/>
      <c r="AI213" s="359">
        <f t="shared" si="12"/>
        <v>0</v>
      </c>
      <c r="AJ213" s="315">
        <f t="shared" si="13"/>
        <v>0</v>
      </c>
      <c r="AK213" s="315"/>
      <c r="AL213" s="315"/>
      <c r="AM213" s="315"/>
    </row>
    <row r="214" spans="1:39" s="6" customFormat="1" ht="12.75" customHeight="1" thickBot="1" x14ac:dyDescent="0.25">
      <c r="B214" s="1125" t="s">
        <v>143</v>
      </c>
      <c r="C214" s="1125"/>
      <c r="D214" s="1125"/>
      <c r="E214" s="407"/>
      <c r="F214" s="423"/>
      <c r="G214" s="424"/>
      <c r="H214" s="1133"/>
      <c r="I214" s="299"/>
      <c r="J214" s="299"/>
      <c r="K214" s="321"/>
      <c r="L214" s="322"/>
      <c r="M214" s="328"/>
      <c r="N214" s="326"/>
      <c r="O214" s="321"/>
      <c r="P214" s="328"/>
      <c r="Q214" s="328"/>
      <c r="R214" s="433"/>
      <c r="S214" s="327"/>
      <c r="T214" s="328"/>
      <c r="U214" s="328"/>
      <c r="V214" s="326"/>
      <c r="W214" s="321"/>
      <c r="X214" s="322"/>
      <c r="Y214" s="322"/>
      <c r="Z214" s="330"/>
      <c r="AA214" s="327"/>
      <c r="AB214" s="322"/>
      <c r="AC214" s="322"/>
      <c r="AD214" s="330"/>
      <c r="AE214" s="301"/>
      <c r="AF214" s="301"/>
      <c r="AG214" s="301"/>
      <c r="AH214" s="301"/>
      <c r="AI214" s="359">
        <f t="shared" si="12"/>
        <v>0</v>
      </c>
      <c r="AJ214" s="315">
        <f t="shared" si="13"/>
        <v>0</v>
      </c>
      <c r="AK214" s="315"/>
      <c r="AL214" s="315"/>
      <c r="AM214" s="315"/>
    </row>
    <row r="215" spans="1:39" s="6" customFormat="1" ht="12.75" customHeight="1" thickBot="1" x14ac:dyDescent="0.25">
      <c r="B215" s="1125" t="s">
        <v>142</v>
      </c>
      <c r="C215" s="1125"/>
      <c r="D215" s="1125"/>
      <c r="E215" s="409">
        <v>750</v>
      </c>
      <c r="F215" s="338">
        <v>500</v>
      </c>
      <c r="G215" s="408">
        <v>1250</v>
      </c>
      <c r="H215" s="1133"/>
      <c r="I215" s="299"/>
      <c r="J215" s="299"/>
      <c r="K215" s="321"/>
      <c r="L215" s="322"/>
      <c r="M215" s="328"/>
      <c r="N215" s="326"/>
      <c r="O215" s="321"/>
      <c r="P215" s="322"/>
      <c r="Q215" s="322"/>
      <c r="R215" s="468"/>
      <c r="S215" s="455">
        <v>500</v>
      </c>
      <c r="T215" s="455">
        <v>250</v>
      </c>
      <c r="U215" s="455">
        <v>250</v>
      </c>
      <c r="V215" s="458"/>
      <c r="W215" s="321"/>
      <c r="X215" s="322"/>
      <c r="Y215" s="322"/>
      <c r="Z215" s="330"/>
      <c r="AA215" s="327"/>
      <c r="AB215" s="322"/>
      <c r="AC215" s="322"/>
      <c r="AD215" s="330"/>
      <c r="AE215" s="301"/>
      <c r="AF215" s="301"/>
      <c r="AG215" s="301"/>
      <c r="AH215" s="301"/>
      <c r="AI215" s="359">
        <f t="shared" si="12"/>
        <v>1000</v>
      </c>
      <c r="AJ215" s="315">
        <f t="shared" si="13"/>
        <v>-250</v>
      </c>
      <c r="AK215" s="315"/>
      <c r="AL215" s="315"/>
      <c r="AM215" s="315"/>
    </row>
    <row r="216" spans="1:39" s="6" customFormat="1" ht="12.75" customHeight="1" thickBot="1" x14ac:dyDescent="0.25">
      <c r="B216" s="1122" t="s">
        <v>91</v>
      </c>
      <c r="C216" s="1122"/>
      <c r="D216" s="1122"/>
      <c r="E216" s="384">
        <v>750</v>
      </c>
      <c r="F216" s="387">
        <v>500</v>
      </c>
      <c r="G216" s="377">
        <v>1250</v>
      </c>
      <c r="H216" s="1134"/>
      <c r="I216" s="299"/>
      <c r="J216" s="299"/>
      <c r="K216" s="474"/>
      <c r="L216" s="385"/>
      <c r="M216" s="486"/>
      <c r="N216" s="475"/>
      <c r="O216" s="474"/>
      <c r="P216" s="385"/>
      <c r="Q216" s="385"/>
      <c r="R216" s="674"/>
      <c r="S216" s="562"/>
      <c r="T216" s="486"/>
      <c r="U216" s="486"/>
      <c r="V216" s="475"/>
      <c r="W216" s="474"/>
      <c r="X216" s="385"/>
      <c r="Y216" s="385"/>
      <c r="Z216" s="477"/>
      <c r="AA216" s="562"/>
      <c r="AB216" s="385"/>
      <c r="AC216" s="385"/>
      <c r="AD216" s="477"/>
      <c r="AE216" s="304"/>
      <c r="AF216" s="304"/>
      <c r="AG216" s="304"/>
      <c r="AH216" s="304"/>
      <c r="AI216" s="359">
        <f t="shared" si="12"/>
        <v>0</v>
      </c>
      <c r="AJ216" s="315">
        <f t="shared" si="13"/>
        <v>-1250</v>
      </c>
      <c r="AK216" s="315"/>
      <c r="AL216" s="315"/>
      <c r="AM216" s="315"/>
    </row>
    <row r="217" spans="1:39" s="244" customFormat="1" ht="12.75" customHeight="1" thickBot="1" x14ac:dyDescent="0.25">
      <c r="A217" s="135"/>
      <c r="B217" s="1127" t="s">
        <v>49</v>
      </c>
      <c r="C217" s="1212"/>
      <c r="D217" s="1212"/>
      <c r="E217" s="1212"/>
      <c r="F217" s="799"/>
      <c r="G217" s="782"/>
      <c r="H217" s="782"/>
      <c r="I217" s="782"/>
      <c r="J217" s="782"/>
      <c r="K217" s="1162">
        <f>SUM(K218:N222)</f>
        <v>0</v>
      </c>
      <c r="L217" s="1163"/>
      <c r="M217" s="1163"/>
      <c r="N217" s="1163"/>
      <c r="O217" s="1162">
        <f>SUM(O218:R222)</f>
        <v>0</v>
      </c>
      <c r="P217" s="1163"/>
      <c r="Q217" s="1163"/>
      <c r="R217" s="1163"/>
      <c r="S217" s="1162">
        <f>SUM(S218:V222)</f>
        <v>0</v>
      </c>
      <c r="T217" s="1163"/>
      <c r="U217" s="1163"/>
      <c r="V217" s="1163"/>
      <c r="W217" s="1162">
        <f>SUM(W218:Z222)</f>
        <v>1600</v>
      </c>
      <c r="X217" s="1163"/>
      <c r="Y217" s="1163"/>
      <c r="Z217" s="1163"/>
      <c r="AA217" s="1162">
        <f>SUM(AA218:AD222)</f>
        <v>400</v>
      </c>
      <c r="AB217" s="1163"/>
      <c r="AC217" s="1163"/>
      <c r="AD217" s="1163"/>
      <c r="AE217" s="1162">
        <f>SUM(AE218:AH222)</f>
        <v>0</v>
      </c>
      <c r="AF217" s="1163"/>
      <c r="AG217" s="1163"/>
      <c r="AH217" s="1163"/>
      <c r="AI217" s="359">
        <f t="shared" si="12"/>
        <v>2000</v>
      </c>
      <c r="AJ217" s="315">
        <f t="shared" si="13"/>
        <v>2000</v>
      </c>
      <c r="AK217" s="315"/>
      <c r="AL217" s="315"/>
      <c r="AM217" s="315"/>
    </row>
    <row r="218" spans="1:39" s="6" customFormat="1" ht="12.75" customHeight="1" thickBot="1" x14ac:dyDescent="0.25">
      <c r="B218" s="1126" t="s">
        <v>144</v>
      </c>
      <c r="C218" s="1126"/>
      <c r="D218" s="1126"/>
      <c r="E218" s="407"/>
      <c r="F218" s="423"/>
      <c r="G218" s="424"/>
      <c r="H218" s="1132" t="s">
        <v>109</v>
      </c>
      <c r="I218" s="299"/>
      <c r="J218" s="299"/>
      <c r="K218" s="621"/>
      <c r="L218" s="599"/>
      <c r="M218" s="561"/>
      <c r="N218" s="595"/>
      <c r="O218" s="621"/>
      <c r="U218" s="565"/>
      <c r="V218" s="561"/>
      <c r="W218" s="595"/>
      <c r="X218" s="672"/>
      <c r="Y218" s="597"/>
      <c r="Z218" s="597"/>
      <c r="AA218" s="675"/>
      <c r="AB218" s="599"/>
      <c r="AC218" s="599"/>
      <c r="AD218" s="600"/>
      <c r="AE218" s="741"/>
      <c r="AF218" s="741"/>
      <c r="AG218" s="741"/>
      <c r="AH218" s="741"/>
      <c r="AI218" s="359">
        <f t="shared" si="12"/>
        <v>0</v>
      </c>
      <c r="AJ218" s="315">
        <f t="shared" si="13"/>
        <v>0</v>
      </c>
      <c r="AK218" s="315"/>
      <c r="AL218" s="315"/>
      <c r="AM218" s="315"/>
    </row>
    <row r="219" spans="1:39" s="6" customFormat="1" ht="12.75" customHeight="1" thickBot="1" x14ac:dyDescent="0.25">
      <c r="B219" s="1125" t="s">
        <v>94</v>
      </c>
      <c r="C219" s="1125"/>
      <c r="D219" s="1125"/>
      <c r="E219" s="407"/>
      <c r="F219" s="423"/>
      <c r="G219" s="424"/>
      <c r="H219" s="1133"/>
      <c r="I219" s="299"/>
      <c r="J219" s="299"/>
      <c r="K219" s="321"/>
      <c r="L219" s="322"/>
      <c r="M219" s="328"/>
      <c r="N219" s="326"/>
      <c r="O219" s="321"/>
      <c r="U219" s="427"/>
      <c r="V219" s="428"/>
      <c r="W219" s="432"/>
      <c r="X219" s="327"/>
      <c r="Y219" s="328"/>
      <c r="Z219" s="328"/>
      <c r="AA219" s="326"/>
      <c r="AB219" s="322"/>
      <c r="AC219" s="322"/>
      <c r="AD219" s="330"/>
      <c r="AE219" s="740"/>
      <c r="AF219" s="740"/>
      <c r="AG219" s="740"/>
      <c r="AH219" s="740"/>
      <c r="AI219" s="359">
        <f t="shared" si="12"/>
        <v>0</v>
      </c>
      <c r="AJ219" s="315">
        <f t="shared" si="13"/>
        <v>0</v>
      </c>
      <c r="AK219" s="315"/>
      <c r="AL219" s="315"/>
      <c r="AM219" s="315"/>
    </row>
    <row r="220" spans="1:39" s="6" customFormat="1" ht="12.75" customHeight="1" thickBot="1" x14ac:dyDescent="0.25">
      <c r="B220" s="1125" t="s">
        <v>143</v>
      </c>
      <c r="C220" s="1125"/>
      <c r="D220" s="1125"/>
      <c r="E220" s="407"/>
      <c r="F220" s="423"/>
      <c r="G220" s="424"/>
      <c r="H220" s="1133"/>
      <c r="I220" s="299"/>
      <c r="J220" s="299"/>
      <c r="K220" s="321"/>
      <c r="L220" s="322"/>
      <c r="M220" s="328"/>
      <c r="N220" s="326"/>
      <c r="O220" s="321"/>
      <c r="U220" s="328"/>
      <c r="V220" s="328"/>
      <c r="W220" s="433"/>
      <c r="X220" s="327"/>
      <c r="Y220" s="328"/>
      <c r="Z220" s="328"/>
      <c r="AA220" s="326"/>
      <c r="AB220" s="322"/>
      <c r="AC220" s="322"/>
      <c r="AD220" s="330"/>
      <c r="AE220" s="740"/>
      <c r="AF220" s="740"/>
      <c r="AG220" s="740"/>
      <c r="AH220" s="740"/>
      <c r="AI220" s="359">
        <f t="shared" si="12"/>
        <v>0</v>
      </c>
      <c r="AJ220" s="315">
        <f t="shared" si="13"/>
        <v>0</v>
      </c>
      <c r="AK220" s="315"/>
      <c r="AL220" s="315"/>
      <c r="AM220" s="315"/>
    </row>
    <row r="221" spans="1:39" s="6" customFormat="1" ht="12.75" customHeight="1" thickBot="1" x14ac:dyDescent="0.25">
      <c r="B221" s="1125" t="s">
        <v>142</v>
      </c>
      <c r="C221" s="1125"/>
      <c r="D221" s="1125"/>
      <c r="E221" s="409">
        <v>0</v>
      </c>
      <c r="F221" s="338">
        <v>2000</v>
      </c>
      <c r="G221" s="408">
        <v>2000</v>
      </c>
      <c r="H221" s="1133"/>
      <c r="I221" s="299"/>
      <c r="J221" s="299"/>
      <c r="K221" s="321"/>
      <c r="L221" s="322"/>
      <c r="M221" s="328"/>
      <c r="N221" s="326"/>
      <c r="O221" s="321"/>
      <c r="U221" s="322"/>
      <c r="V221" s="322"/>
      <c r="W221" s="468"/>
      <c r="X221" s="455">
        <v>800</v>
      </c>
      <c r="Y221" s="455">
        <v>400</v>
      </c>
      <c r="Z221" s="455">
        <v>400</v>
      </c>
      <c r="AA221" s="455">
        <v>400</v>
      </c>
      <c r="AB221" s="322"/>
      <c r="AC221" s="322"/>
      <c r="AD221" s="330"/>
      <c r="AE221" s="458"/>
      <c r="AF221" s="458"/>
      <c r="AG221" s="458"/>
      <c r="AH221" s="458"/>
      <c r="AI221" s="359">
        <f t="shared" si="12"/>
        <v>2000</v>
      </c>
      <c r="AJ221" s="315">
        <f t="shared" si="13"/>
        <v>0</v>
      </c>
      <c r="AK221" s="315"/>
      <c r="AL221" s="315"/>
      <c r="AM221" s="315"/>
    </row>
    <row r="222" spans="1:39" s="6" customFormat="1" ht="12.75" customHeight="1" thickBot="1" x14ac:dyDescent="0.25">
      <c r="B222" s="1122" t="s">
        <v>91</v>
      </c>
      <c r="C222" s="1122"/>
      <c r="D222" s="1122"/>
      <c r="E222" s="384">
        <v>0</v>
      </c>
      <c r="F222" s="387">
        <v>2000</v>
      </c>
      <c r="G222" s="377">
        <v>2000</v>
      </c>
      <c r="H222" s="1134"/>
      <c r="I222" s="299"/>
      <c r="J222" s="299"/>
      <c r="K222" s="474"/>
      <c r="L222" s="385"/>
      <c r="M222" s="486"/>
      <c r="N222" s="475"/>
      <c r="O222" s="474"/>
      <c r="P222" s="385"/>
      <c r="Q222" s="385"/>
      <c r="R222" s="674"/>
      <c r="S222" s="562"/>
      <c r="T222" s="486"/>
      <c r="U222" s="486"/>
      <c r="V222" s="475"/>
      <c r="W222" s="474"/>
      <c r="X222" s="385"/>
      <c r="Y222" s="385"/>
      <c r="Z222" s="477"/>
      <c r="AA222" s="562"/>
      <c r="AB222" s="385"/>
      <c r="AC222" s="385"/>
      <c r="AD222" s="477"/>
      <c r="AE222" s="304"/>
      <c r="AF222" s="304"/>
      <c r="AG222" s="304"/>
      <c r="AH222" s="304"/>
      <c r="AI222" s="359">
        <f t="shared" si="12"/>
        <v>0</v>
      </c>
      <c r="AJ222" s="315">
        <f t="shared" si="13"/>
        <v>-2000</v>
      </c>
      <c r="AK222" s="315"/>
      <c r="AL222" s="315"/>
      <c r="AM222" s="315"/>
    </row>
    <row r="223" spans="1:39" s="244" customFormat="1" ht="12.75" customHeight="1" thickBot="1" x14ac:dyDescent="0.25">
      <c r="A223" s="135"/>
      <c r="B223" s="1127" t="s">
        <v>201</v>
      </c>
      <c r="C223" s="1212"/>
      <c r="D223" s="1212"/>
      <c r="E223" s="1212"/>
      <c r="F223" s="1212"/>
      <c r="G223" s="1212"/>
      <c r="H223" s="782"/>
      <c r="I223" s="782"/>
      <c r="J223" s="782"/>
      <c r="K223" s="1162">
        <f>SUM(K224:N228)</f>
        <v>0</v>
      </c>
      <c r="L223" s="1163"/>
      <c r="M223" s="1163"/>
      <c r="N223" s="1163"/>
      <c r="O223" s="1162">
        <f>SUM(O224:R228)</f>
        <v>0</v>
      </c>
      <c r="P223" s="1163"/>
      <c r="Q223" s="1163"/>
      <c r="R223" s="1163"/>
      <c r="S223" s="1162">
        <f>SUM(S224:V228)</f>
        <v>900</v>
      </c>
      <c r="T223" s="1163"/>
      <c r="U223" s="1163"/>
      <c r="V223" s="1163"/>
      <c r="W223" s="1162">
        <f>SUM(W224:Z228)</f>
        <v>0</v>
      </c>
      <c r="X223" s="1163"/>
      <c r="Y223" s="1163"/>
      <c r="Z223" s="1163"/>
      <c r="AA223" s="1162">
        <f>SUM(AA224:AD228)</f>
        <v>0</v>
      </c>
      <c r="AB223" s="1163"/>
      <c r="AC223" s="1163"/>
      <c r="AD223" s="1163"/>
      <c r="AE223" s="1162">
        <f>SUM(AE224:AH228)</f>
        <v>0</v>
      </c>
      <c r="AF223" s="1163"/>
      <c r="AG223" s="1163"/>
      <c r="AH223" s="1163"/>
      <c r="AI223" s="359">
        <f t="shared" si="12"/>
        <v>900</v>
      </c>
      <c r="AJ223" s="315">
        <f t="shared" si="13"/>
        <v>900</v>
      </c>
      <c r="AK223" s="315"/>
      <c r="AL223" s="315"/>
      <c r="AM223" s="315"/>
    </row>
    <row r="224" spans="1:39" s="6" customFormat="1" ht="12.75" customHeight="1" thickBot="1" x14ac:dyDescent="0.25">
      <c r="B224" s="1126" t="s">
        <v>144</v>
      </c>
      <c r="C224" s="1126"/>
      <c r="D224" s="1126"/>
      <c r="E224" s="407"/>
      <c r="F224" s="423"/>
      <c r="G224" s="424"/>
      <c r="H224" s="1132" t="s">
        <v>109</v>
      </c>
      <c r="I224" s="299"/>
      <c r="J224" s="299"/>
      <c r="K224" s="621"/>
      <c r="L224" s="599"/>
      <c r="M224" s="561"/>
      <c r="N224" s="595"/>
      <c r="O224" s="671"/>
      <c r="P224" s="565"/>
      <c r="Q224" s="561"/>
      <c r="R224" s="595"/>
      <c r="S224" s="672"/>
      <c r="T224" s="597"/>
      <c r="U224" s="597"/>
      <c r="V224" s="595"/>
      <c r="W224" s="621"/>
      <c r="X224" s="599"/>
      <c r="Y224" s="599"/>
      <c r="Z224" s="600"/>
      <c r="AA224" s="560"/>
      <c r="AB224" s="599"/>
      <c r="AC224" s="599"/>
      <c r="AD224" s="600"/>
      <c r="AE224" s="303"/>
      <c r="AF224" s="303"/>
      <c r="AG224" s="303"/>
      <c r="AH224" s="303"/>
      <c r="AI224" s="359">
        <f t="shared" si="12"/>
        <v>0</v>
      </c>
      <c r="AJ224" s="315">
        <f t="shared" si="13"/>
        <v>0</v>
      </c>
      <c r="AK224" s="315"/>
      <c r="AL224" s="315"/>
      <c r="AM224" s="315"/>
    </row>
    <row r="225" spans="1:39" s="6" customFormat="1" ht="12.75" customHeight="1" thickBot="1" x14ac:dyDescent="0.25">
      <c r="B225" s="1125" t="s">
        <v>94</v>
      </c>
      <c r="C225" s="1125"/>
      <c r="D225" s="1125"/>
      <c r="E225" s="407"/>
      <c r="F225" s="423"/>
      <c r="G225" s="424"/>
      <c r="H225" s="1133"/>
      <c r="I225" s="299"/>
      <c r="J225" s="299"/>
      <c r="K225" s="321"/>
      <c r="L225" s="322"/>
      <c r="M225" s="328"/>
      <c r="N225" s="326"/>
      <c r="O225" s="467"/>
      <c r="P225" s="427"/>
      <c r="Q225" s="428"/>
      <c r="R225" s="432"/>
      <c r="S225" s="327"/>
      <c r="T225" s="328"/>
      <c r="U225" s="328"/>
      <c r="V225" s="326"/>
      <c r="W225" s="321"/>
      <c r="X225" s="322"/>
      <c r="Y225" s="322"/>
      <c r="Z225" s="330"/>
      <c r="AA225" s="327"/>
      <c r="AB225" s="322"/>
      <c r="AC225" s="322"/>
      <c r="AD225" s="330"/>
      <c r="AE225" s="301"/>
      <c r="AF225" s="301"/>
      <c r="AG225" s="301"/>
      <c r="AH225" s="301"/>
      <c r="AI225" s="359">
        <f t="shared" si="12"/>
        <v>0</v>
      </c>
      <c r="AJ225" s="315">
        <f t="shared" si="13"/>
        <v>0</v>
      </c>
      <c r="AK225" s="315"/>
      <c r="AL225" s="315"/>
      <c r="AM225" s="315"/>
    </row>
    <row r="226" spans="1:39" s="6" customFormat="1" ht="12.75" customHeight="1" thickBot="1" x14ac:dyDescent="0.25">
      <c r="B226" s="1125" t="s">
        <v>143</v>
      </c>
      <c r="C226" s="1125"/>
      <c r="D226" s="1125"/>
      <c r="E226" s="407"/>
      <c r="F226" s="423"/>
      <c r="G226" s="424"/>
      <c r="H226" s="1133"/>
      <c r="I226" s="299"/>
      <c r="J226" s="299"/>
      <c r="K226" s="321"/>
      <c r="L226" s="322"/>
      <c r="M226" s="328"/>
      <c r="N226" s="326"/>
      <c r="O226" s="467"/>
      <c r="P226" s="328"/>
      <c r="Q226" s="328"/>
      <c r="R226" s="433"/>
      <c r="S226" s="327"/>
      <c r="T226" s="328"/>
      <c r="U226" s="328"/>
      <c r="V226" s="326"/>
      <c r="W226" s="321"/>
      <c r="X226" s="322"/>
      <c r="Y226" s="322"/>
      <c r="Z226" s="330"/>
      <c r="AA226" s="327"/>
      <c r="AB226" s="322"/>
      <c r="AC226" s="322"/>
      <c r="AD226" s="330"/>
      <c r="AE226" s="301"/>
      <c r="AF226" s="301"/>
      <c r="AG226" s="301"/>
      <c r="AH226" s="301"/>
      <c r="AI226" s="359">
        <f t="shared" si="12"/>
        <v>0</v>
      </c>
      <c r="AJ226" s="315">
        <f t="shared" si="13"/>
        <v>0</v>
      </c>
      <c r="AK226" s="315"/>
      <c r="AL226" s="315"/>
      <c r="AM226" s="315"/>
    </row>
    <row r="227" spans="1:39" s="6" customFormat="1" ht="12.75" customHeight="1" thickBot="1" x14ac:dyDescent="0.25">
      <c r="B227" s="1125" t="s">
        <v>142</v>
      </c>
      <c r="C227" s="1125"/>
      <c r="D227" s="1125"/>
      <c r="E227" s="409">
        <v>0</v>
      </c>
      <c r="F227" s="338">
        <v>600</v>
      </c>
      <c r="G227" s="408">
        <v>600</v>
      </c>
      <c r="H227" s="1133"/>
      <c r="I227" s="299"/>
      <c r="J227" s="299"/>
      <c r="K227" s="321"/>
      <c r="L227" s="322"/>
      <c r="M227" s="328"/>
      <c r="N227" s="326"/>
      <c r="O227" s="467"/>
      <c r="P227" s="322"/>
      <c r="Q227" s="322"/>
      <c r="R227" s="468"/>
      <c r="S227" s="455">
        <v>300</v>
      </c>
      <c r="T227" s="455">
        <v>300</v>
      </c>
      <c r="U227" s="455">
        <v>300</v>
      </c>
      <c r="V227" s="326"/>
      <c r="W227" s="321"/>
      <c r="X227" s="322"/>
      <c r="Y227" s="322"/>
      <c r="Z227" s="330"/>
      <c r="AA227" s="327"/>
      <c r="AB227" s="322"/>
      <c r="AC227" s="322"/>
      <c r="AD227" s="330"/>
      <c r="AE227" s="301"/>
      <c r="AF227" s="301"/>
      <c r="AG227" s="301"/>
      <c r="AH227" s="301"/>
      <c r="AI227" s="359">
        <f t="shared" si="12"/>
        <v>900</v>
      </c>
      <c r="AJ227" s="315">
        <f t="shared" si="13"/>
        <v>300</v>
      </c>
      <c r="AK227" s="315"/>
      <c r="AL227" s="315"/>
      <c r="AM227" s="315"/>
    </row>
    <row r="228" spans="1:39" s="6" customFormat="1" ht="12.75" customHeight="1" thickBot="1" x14ac:dyDescent="0.25">
      <c r="B228" s="1122" t="s">
        <v>91</v>
      </c>
      <c r="C228" s="1122"/>
      <c r="D228" s="1122"/>
      <c r="E228" s="384">
        <v>0</v>
      </c>
      <c r="F228" s="387">
        <v>600</v>
      </c>
      <c r="G228" s="377">
        <v>600</v>
      </c>
      <c r="H228" s="1134"/>
      <c r="I228" s="299"/>
      <c r="J228" s="299"/>
      <c r="K228" s="474"/>
      <c r="L228" s="385"/>
      <c r="M228" s="486"/>
      <c r="N228" s="475"/>
      <c r="O228" s="673"/>
      <c r="P228" s="385"/>
      <c r="Q228" s="385"/>
      <c r="R228" s="674"/>
      <c r="S228" s="562"/>
      <c r="T228" s="486"/>
      <c r="U228" s="486"/>
      <c r="V228" s="475"/>
      <c r="W228" s="474"/>
      <c r="X228" s="385"/>
      <c r="Y228" s="385"/>
      <c r="Z228" s="477"/>
      <c r="AA228" s="562"/>
      <c r="AB228" s="385"/>
      <c r="AC228" s="385"/>
      <c r="AD228" s="477"/>
      <c r="AE228" s="304"/>
      <c r="AF228" s="304"/>
      <c r="AG228" s="304"/>
      <c r="AH228" s="304"/>
      <c r="AI228" s="359">
        <f t="shared" si="12"/>
        <v>0</v>
      </c>
      <c r="AJ228" s="315">
        <f t="shared" si="13"/>
        <v>-600</v>
      </c>
      <c r="AK228" s="315"/>
      <c r="AL228" s="315"/>
      <c r="AM228" s="315"/>
    </row>
    <row r="229" spans="1:39" s="244" customFormat="1" ht="12.75" customHeight="1" thickBot="1" x14ac:dyDescent="0.25">
      <c r="A229" s="135"/>
      <c r="B229" s="1127" t="s">
        <v>202</v>
      </c>
      <c r="C229" s="1212"/>
      <c r="D229" s="1212"/>
      <c r="E229" s="1212"/>
      <c r="F229" s="1212"/>
      <c r="G229" s="1212"/>
      <c r="H229" s="782"/>
      <c r="I229" s="782"/>
      <c r="J229" s="782"/>
      <c r="K229" s="1162">
        <f>SUM(K230:N234)</f>
        <v>0</v>
      </c>
      <c r="L229" s="1163"/>
      <c r="M229" s="1163"/>
      <c r="N229" s="1163"/>
      <c r="O229" s="1162">
        <f>SUM(O230:R234)</f>
        <v>0</v>
      </c>
      <c r="P229" s="1163"/>
      <c r="Q229" s="1163"/>
      <c r="R229" s="1163"/>
      <c r="S229" s="1162">
        <f>SUM(S230:V234)</f>
        <v>400</v>
      </c>
      <c r="T229" s="1163"/>
      <c r="U229" s="1163"/>
      <c r="V229" s="1163"/>
      <c r="W229" s="1162">
        <f>SUM(W230:Z234)</f>
        <v>0</v>
      </c>
      <c r="X229" s="1163"/>
      <c r="Y229" s="1163"/>
      <c r="Z229" s="1163"/>
      <c r="AA229" s="1162">
        <f>SUM(AA230:AD234)</f>
        <v>0</v>
      </c>
      <c r="AB229" s="1163"/>
      <c r="AC229" s="1163"/>
      <c r="AD229" s="1163"/>
      <c r="AE229" s="1162">
        <f>SUM(AE230:AH234)</f>
        <v>0</v>
      </c>
      <c r="AF229" s="1163"/>
      <c r="AG229" s="1163"/>
      <c r="AH229" s="1163"/>
      <c r="AI229" s="359">
        <f t="shared" ref="AI229:AI234" si="14">SUM(K229:AH229)</f>
        <v>400</v>
      </c>
      <c r="AJ229" s="315">
        <f t="shared" ref="AJ229:AJ234" si="15">AI229-G229</f>
        <v>400</v>
      </c>
      <c r="AK229" s="315"/>
      <c r="AL229" s="315"/>
      <c r="AM229" s="315"/>
    </row>
    <row r="230" spans="1:39" s="6" customFormat="1" ht="12.75" customHeight="1" thickBot="1" x14ac:dyDescent="0.25">
      <c r="B230" s="1126" t="s">
        <v>144</v>
      </c>
      <c r="C230" s="1126"/>
      <c r="D230" s="1126"/>
      <c r="E230" s="407"/>
      <c r="F230" s="423"/>
      <c r="G230" s="424"/>
      <c r="H230" s="1132" t="s">
        <v>109</v>
      </c>
      <c r="I230" s="299"/>
      <c r="J230" s="299"/>
      <c r="K230" s="621"/>
      <c r="L230" s="599"/>
      <c r="M230" s="561"/>
      <c r="N230" s="595"/>
      <c r="O230" s="671"/>
      <c r="P230" s="565"/>
      <c r="Q230" s="561"/>
      <c r="R230" s="595"/>
      <c r="S230" s="672"/>
      <c r="T230" s="597"/>
      <c r="U230" s="597"/>
      <c r="V230" s="595"/>
      <c r="W230" s="621"/>
      <c r="X230" s="599"/>
      <c r="Y230" s="599"/>
      <c r="Z230" s="600"/>
      <c r="AA230" s="560"/>
      <c r="AB230" s="599"/>
      <c r="AC230" s="599"/>
      <c r="AD230" s="600"/>
      <c r="AE230" s="303"/>
      <c r="AF230" s="303"/>
      <c r="AG230" s="303"/>
      <c r="AH230" s="303"/>
      <c r="AI230" s="359">
        <f t="shared" si="14"/>
        <v>0</v>
      </c>
      <c r="AJ230" s="315">
        <f t="shared" si="15"/>
        <v>0</v>
      </c>
      <c r="AK230" s="315"/>
      <c r="AL230" s="315"/>
      <c r="AM230" s="315"/>
    </row>
    <row r="231" spans="1:39" s="6" customFormat="1" ht="12.75" customHeight="1" thickBot="1" x14ac:dyDescent="0.25">
      <c r="B231" s="1125" t="s">
        <v>94</v>
      </c>
      <c r="C231" s="1125"/>
      <c r="D231" s="1125"/>
      <c r="E231" s="407"/>
      <c r="F231" s="423"/>
      <c r="G231" s="424"/>
      <c r="H231" s="1133"/>
      <c r="I231" s="299"/>
      <c r="J231" s="299"/>
      <c r="K231" s="321"/>
      <c r="L231" s="322"/>
      <c r="M231" s="328"/>
      <c r="N231" s="326"/>
      <c r="O231" s="467"/>
      <c r="P231" s="427"/>
      <c r="Q231" s="428"/>
      <c r="R231" s="432"/>
      <c r="S231" s="327"/>
      <c r="T231" s="328"/>
      <c r="U231" s="328"/>
      <c r="V231" s="326"/>
      <c r="W231" s="321"/>
      <c r="X231" s="322"/>
      <c r="Y231" s="322"/>
      <c r="Z231" s="330"/>
      <c r="AA231" s="327"/>
      <c r="AB231" s="322"/>
      <c r="AC231" s="322"/>
      <c r="AD231" s="330"/>
      <c r="AE231" s="301"/>
      <c r="AF231" s="301"/>
      <c r="AG231" s="301"/>
      <c r="AH231" s="301"/>
      <c r="AI231" s="359">
        <f t="shared" si="14"/>
        <v>0</v>
      </c>
      <c r="AJ231" s="315">
        <f t="shared" si="15"/>
        <v>0</v>
      </c>
      <c r="AK231" s="315"/>
      <c r="AL231" s="315"/>
      <c r="AM231" s="315"/>
    </row>
    <row r="232" spans="1:39" s="6" customFormat="1" ht="12.75" customHeight="1" thickBot="1" x14ac:dyDescent="0.25">
      <c r="B232" s="1125" t="s">
        <v>143</v>
      </c>
      <c r="C232" s="1125"/>
      <c r="D232" s="1125"/>
      <c r="E232" s="407"/>
      <c r="F232" s="423"/>
      <c r="G232" s="424"/>
      <c r="H232" s="1133"/>
      <c r="I232" s="299"/>
      <c r="J232" s="299"/>
      <c r="K232" s="321"/>
      <c r="L232" s="322"/>
      <c r="M232" s="328"/>
      <c r="N232" s="326"/>
      <c r="O232" s="467"/>
      <c r="P232" s="328"/>
      <c r="Q232" s="328"/>
      <c r="R232" s="433"/>
      <c r="S232" s="327"/>
      <c r="T232" s="328"/>
      <c r="U232" s="328"/>
      <c r="V232" s="326"/>
      <c r="W232" s="321"/>
      <c r="X232" s="322"/>
      <c r="Y232" s="322"/>
      <c r="Z232" s="330"/>
      <c r="AA232" s="327"/>
      <c r="AB232" s="322"/>
      <c r="AC232" s="322"/>
      <c r="AD232" s="330"/>
      <c r="AE232" s="301"/>
      <c r="AF232" s="301"/>
      <c r="AG232" s="301"/>
      <c r="AH232" s="301"/>
      <c r="AI232" s="359">
        <f t="shared" si="14"/>
        <v>0</v>
      </c>
      <c r="AJ232" s="315">
        <f t="shared" si="15"/>
        <v>0</v>
      </c>
      <c r="AK232" s="315"/>
      <c r="AL232" s="315"/>
      <c r="AM232" s="315"/>
    </row>
    <row r="233" spans="1:39" s="6" customFormat="1" ht="12.75" customHeight="1" thickBot="1" x14ac:dyDescent="0.25">
      <c r="B233" s="1125" t="s">
        <v>142</v>
      </c>
      <c r="C233" s="1125"/>
      <c r="D233" s="1125"/>
      <c r="E233" s="409">
        <v>0</v>
      </c>
      <c r="F233" s="338">
        <v>400</v>
      </c>
      <c r="G233" s="408">
        <v>400</v>
      </c>
      <c r="H233" s="1133"/>
      <c r="I233" s="299"/>
      <c r="J233" s="299"/>
      <c r="K233" s="321"/>
      <c r="L233" s="322"/>
      <c r="M233" s="328"/>
      <c r="N233" s="326"/>
      <c r="O233" s="467"/>
      <c r="P233" s="322"/>
      <c r="Q233" s="322"/>
      <c r="R233" s="468"/>
      <c r="S233" s="455">
        <v>400</v>
      </c>
      <c r="T233" s="458"/>
      <c r="U233" s="458"/>
      <c r="V233" s="326"/>
      <c r="W233" s="321"/>
      <c r="X233" s="322"/>
      <c r="Y233" s="322"/>
      <c r="Z233" s="330"/>
      <c r="AA233" s="327"/>
      <c r="AB233" s="322"/>
      <c r="AC233" s="322"/>
      <c r="AD233" s="330"/>
      <c r="AE233" s="301"/>
      <c r="AF233" s="301"/>
      <c r="AG233" s="301"/>
      <c r="AH233" s="301"/>
      <c r="AI233" s="359">
        <f t="shared" si="14"/>
        <v>400</v>
      </c>
      <c r="AJ233" s="315">
        <f t="shared" si="15"/>
        <v>0</v>
      </c>
      <c r="AK233" s="315"/>
      <c r="AL233" s="315"/>
      <c r="AM233" s="315"/>
    </row>
    <row r="234" spans="1:39" s="6" customFormat="1" ht="12.75" customHeight="1" thickBot="1" x14ac:dyDescent="0.25">
      <c r="B234" s="1122" t="s">
        <v>91</v>
      </c>
      <c r="C234" s="1122"/>
      <c r="D234" s="1122"/>
      <c r="E234" s="384">
        <v>0</v>
      </c>
      <c r="F234" s="387">
        <v>400</v>
      </c>
      <c r="G234" s="377">
        <v>400</v>
      </c>
      <c r="H234" s="1134"/>
      <c r="I234" s="299"/>
      <c r="J234" s="299"/>
      <c r="K234" s="474"/>
      <c r="L234" s="385"/>
      <c r="M234" s="486"/>
      <c r="N234" s="475"/>
      <c r="O234" s="673"/>
      <c r="P234" s="385"/>
      <c r="Q234" s="385"/>
      <c r="R234" s="674"/>
      <c r="S234" s="562"/>
      <c r="T234" s="486"/>
      <c r="U234" s="486"/>
      <c r="V234" s="475"/>
      <c r="W234" s="474"/>
      <c r="X234" s="385"/>
      <c r="Y234" s="385"/>
      <c r="Z234" s="477"/>
      <c r="AA234" s="562"/>
      <c r="AB234" s="385"/>
      <c r="AC234" s="385"/>
      <c r="AD234" s="477"/>
      <c r="AE234" s="304"/>
      <c r="AF234" s="304"/>
      <c r="AG234" s="304"/>
      <c r="AH234" s="304"/>
      <c r="AI234" s="359">
        <f t="shared" si="14"/>
        <v>0</v>
      </c>
      <c r="AJ234" s="315">
        <f t="shared" si="15"/>
        <v>-400</v>
      </c>
      <c r="AK234" s="315"/>
      <c r="AL234" s="315"/>
      <c r="AM234" s="315"/>
    </row>
    <row r="235" spans="1:39" s="244" customFormat="1" ht="12.75" customHeight="1" thickBot="1" x14ac:dyDescent="0.25">
      <c r="A235" s="135"/>
      <c r="B235" s="1127" t="s">
        <v>51</v>
      </c>
      <c r="C235" s="1212"/>
      <c r="D235" s="1212"/>
      <c r="E235" s="1212"/>
      <c r="F235" s="799"/>
      <c r="G235" s="782"/>
      <c r="H235" s="782"/>
      <c r="I235" s="782"/>
      <c r="J235" s="782"/>
      <c r="K235" s="1162">
        <f>SUM(K236:N240)</f>
        <v>0</v>
      </c>
      <c r="L235" s="1163"/>
      <c r="M235" s="1163"/>
      <c r="N235" s="1163"/>
      <c r="O235" s="1162">
        <f>SUM(O236:R240)</f>
        <v>0</v>
      </c>
      <c r="P235" s="1163"/>
      <c r="Q235" s="1163"/>
      <c r="R235" s="1163"/>
      <c r="S235" s="1162">
        <f>SUM(S236:V240)</f>
        <v>600</v>
      </c>
      <c r="T235" s="1163"/>
      <c r="U235" s="1163"/>
      <c r="V235" s="1163"/>
      <c r="W235" s="1162">
        <f>SUM(W236:Z240)</f>
        <v>0</v>
      </c>
      <c r="X235" s="1163"/>
      <c r="Y235" s="1163"/>
      <c r="Z235" s="1163"/>
      <c r="AA235" s="1162">
        <f>SUM(AA236:AD240)</f>
        <v>0</v>
      </c>
      <c r="AB235" s="1163"/>
      <c r="AC235" s="1163"/>
      <c r="AD235" s="1163"/>
      <c r="AE235" s="1162">
        <f>SUM(AE236:AH240)</f>
        <v>0</v>
      </c>
      <c r="AF235" s="1163"/>
      <c r="AG235" s="1163"/>
      <c r="AH235" s="1163"/>
      <c r="AI235" s="359">
        <f t="shared" si="12"/>
        <v>600</v>
      </c>
      <c r="AJ235" s="315">
        <f t="shared" si="13"/>
        <v>600</v>
      </c>
      <c r="AK235" s="315"/>
      <c r="AL235" s="315"/>
      <c r="AM235" s="315"/>
    </row>
    <row r="236" spans="1:39" s="6" customFormat="1" ht="12.75" customHeight="1" thickBot="1" x14ac:dyDescent="0.25">
      <c r="B236" s="1126" t="s">
        <v>144</v>
      </c>
      <c r="C236" s="1126"/>
      <c r="D236" s="1126"/>
      <c r="E236" s="409"/>
      <c r="F236" s="338"/>
      <c r="G236" s="408"/>
      <c r="H236" s="1132" t="s">
        <v>109</v>
      </c>
      <c r="I236" s="299"/>
      <c r="J236" s="299"/>
      <c r="K236" s="621"/>
      <c r="L236" s="599"/>
      <c r="M236" s="561"/>
      <c r="N236" s="595"/>
      <c r="O236" s="560"/>
      <c r="P236" s="565"/>
      <c r="Q236" s="561"/>
      <c r="R236" s="595"/>
      <c r="S236" s="672"/>
      <c r="T236" s="597"/>
      <c r="U236" s="597"/>
      <c r="AA236" s="621"/>
      <c r="AB236" s="599"/>
      <c r="AC236" s="599"/>
      <c r="AD236" s="600"/>
      <c r="AI236" s="359">
        <f t="shared" si="12"/>
        <v>0</v>
      </c>
      <c r="AJ236" s="315">
        <f t="shared" si="13"/>
        <v>0</v>
      </c>
      <c r="AK236" s="315"/>
      <c r="AL236" s="315"/>
      <c r="AM236" s="315"/>
    </row>
    <row r="237" spans="1:39" s="6" customFormat="1" ht="12.75" customHeight="1" thickBot="1" x14ac:dyDescent="0.25">
      <c r="B237" s="1125" t="s">
        <v>94</v>
      </c>
      <c r="C237" s="1125"/>
      <c r="D237" s="1125"/>
      <c r="E237" s="409"/>
      <c r="F237" s="338"/>
      <c r="G237" s="408"/>
      <c r="H237" s="1133"/>
      <c r="I237" s="299"/>
      <c r="J237" s="299"/>
      <c r="K237" s="321"/>
      <c r="L237" s="322"/>
      <c r="M237" s="328"/>
      <c r="N237" s="326"/>
      <c r="O237" s="327"/>
      <c r="P237" s="427"/>
      <c r="Q237" s="428"/>
      <c r="R237" s="432"/>
      <c r="S237" s="327"/>
      <c r="T237" s="328"/>
      <c r="U237" s="328"/>
      <c r="AA237" s="321"/>
      <c r="AB237" s="322"/>
      <c r="AC237" s="322"/>
      <c r="AD237" s="330"/>
      <c r="AI237" s="359">
        <f t="shared" si="12"/>
        <v>0</v>
      </c>
      <c r="AJ237" s="315">
        <f t="shared" si="13"/>
        <v>0</v>
      </c>
      <c r="AK237" s="315"/>
      <c r="AL237" s="315"/>
      <c r="AM237" s="315"/>
    </row>
    <row r="238" spans="1:39" s="6" customFormat="1" ht="12.75" customHeight="1" thickBot="1" x14ac:dyDescent="0.25">
      <c r="B238" s="1125" t="s">
        <v>143</v>
      </c>
      <c r="C238" s="1125"/>
      <c r="D238" s="1125"/>
      <c r="E238" s="409"/>
      <c r="F238" s="338"/>
      <c r="G238" s="408"/>
      <c r="H238" s="1133"/>
      <c r="I238" s="299"/>
      <c r="J238" s="299"/>
      <c r="K238" s="321"/>
      <c r="L238" s="322"/>
      <c r="M238" s="328"/>
      <c r="N238" s="326"/>
      <c r="O238" s="327"/>
      <c r="P238" s="328"/>
      <c r="Q238" s="328"/>
      <c r="R238" s="433"/>
      <c r="S238" s="327"/>
      <c r="T238" s="328"/>
      <c r="U238" s="328"/>
      <c r="AA238" s="321"/>
      <c r="AB238" s="322"/>
      <c r="AC238" s="322"/>
      <c r="AD238" s="330"/>
      <c r="AI238" s="359">
        <f t="shared" si="12"/>
        <v>0</v>
      </c>
      <c r="AJ238" s="315">
        <f t="shared" si="13"/>
        <v>0</v>
      </c>
      <c r="AK238" s="315"/>
      <c r="AL238" s="315"/>
      <c r="AM238" s="315"/>
    </row>
    <row r="239" spans="1:39" s="6" customFormat="1" ht="12.75" customHeight="1" thickBot="1" x14ac:dyDescent="0.25">
      <c r="B239" s="1125" t="s">
        <v>142</v>
      </c>
      <c r="C239" s="1125"/>
      <c r="D239" s="1125"/>
      <c r="E239" s="409">
        <v>0</v>
      </c>
      <c r="F239" s="338">
        <v>600</v>
      </c>
      <c r="G239" s="352">
        <v>600</v>
      </c>
      <c r="H239" s="1133"/>
      <c r="I239" s="299"/>
      <c r="J239" s="299"/>
      <c r="K239" s="321"/>
      <c r="L239" s="322"/>
      <c r="M239" s="328"/>
      <c r="N239" s="326"/>
      <c r="O239" s="327"/>
      <c r="P239" s="328"/>
      <c r="Q239" s="328"/>
      <c r="R239" s="468"/>
      <c r="S239" s="455">
        <v>300</v>
      </c>
      <c r="T239" s="455">
        <v>300</v>
      </c>
      <c r="U239" s="458"/>
      <c r="AA239" s="321"/>
      <c r="AB239" s="322"/>
      <c r="AC239" s="322"/>
      <c r="AD239" s="330"/>
      <c r="AI239" s="359">
        <f t="shared" si="12"/>
        <v>600</v>
      </c>
      <c r="AJ239" s="315">
        <f t="shared" si="13"/>
        <v>0</v>
      </c>
      <c r="AK239" s="315"/>
      <c r="AL239" s="315"/>
      <c r="AM239" s="315"/>
    </row>
    <row r="240" spans="1:39" s="6" customFormat="1" ht="12.75" customHeight="1" thickBot="1" x14ac:dyDescent="0.25">
      <c r="B240" s="1122" t="s">
        <v>91</v>
      </c>
      <c r="C240" s="1122"/>
      <c r="D240" s="1122"/>
      <c r="E240" s="384">
        <v>0</v>
      </c>
      <c r="F240" s="387">
        <v>600</v>
      </c>
      <c r="G240" s="377">
        <v>600</v>
      </c>
      <c r="H240" s="1134"/>
      <c r="I240" s="299"/>
      <c r="J240" s="299"/>
      <c r="K240" s="474"/>
      <c r="L240" s="385"/>
      <c r="M240" s="486"/>
      <c r="N240" s="475"/>
      <c r="O240" s="562"/>
      <c r="P240" s="486"/>
      <c r="Q240" s="486"/>
      <c r="R240" s="674"/>
      <c r="S240" s="562"/>
      <c r="T240" s="486"/>
      <c r="U240" s="486"/>
      <c r="V240" s="475"/>
      <c r="W240" s="474"/>
      <c r="X240" s="385"/>
      <c r="Y240" s="385"/>
      <c r="Z240" s="477"/>
      <c r="AA240" s="474"/>
      <c r="AB240" s="385"/>
      <c r="AC240" s="385"/>
      <c r="AD240" s="477"/>
      <c r="AE240" s="304"/>
      <c r="AF240" s="304"/>
      <c r="AG240" s="304"/>
      <c r="AH240" s="304"/>
      <c r="AI240" s="359">
        <f t="shared" si="12"/>
        <v>0</v>
      </c>
      <c r="AJ240" s="315">
        <f t="shared" si="13"/>
        <v>-600</v>
      </c>
      <c r="AK240" s="315"/>
      <c r="AL240" s="315"/>
      <c r="AM240" s="315"/>
    </row>
    <row r="241" spans="1:39" s="6" customFormat="1" ht="13.5" thickBot="1" x14ac:dyDescent="0.25">
      <c r="B241" s="1229" t="s">
        <v>31</v>
      </c>
      <c r="C241" s="1212"/>
      <c r="D241" s="1230"/>
      <c r="E241" s="663">
        <f>E247+E253+E259+E265</f>
        <v>0</v>
      </c>
      <c r="F241" s="803">
        <f>F247+F253+F259+F265</f>
        <v>8200</v>
      </c>
      <c r="G241" s="663">
        <f>G247+G253+G259+G265</f>
        <v>8200</v>
      </c>
      <c r="H241" s="663"/>
      <c r="I241" s="663"/>
      <c r="J241" s="663"/>
      <c r="K241" s="1135">
        <f>K242+K248+K254+K260</f>
        <v>0</v>
      </c>
      <c r="L241" s="1136"/>
      <c r="M241" s="1136"/>
      <c r="N241" s="1137"/>
      <c r="O241" s="1135">
        <f>O242+O248+O254+O260</f>
        <v>0</v>
      </c>
      <c r="P241" s="1136"/>
      <c r="Q241" s="1136"/>
      <c r="R241" s="1137"/>
      <c r="S241" s="1135">
        <f>S242+S248+S254+S260</f>
        <v>7275</v>
      </c>
      <c r="T241" s="1136"/>
      <c r="U241" s="1136"/>
      <c r="V241" s="1137"/>
      <c r="W241" s="1135">
        <f>W242+W248+W254+W260</f>
        <v>675</v>
      </c>
      <c r="X241" s="1136"/>
      <c r="Y241" s="1136"/>
      <c r="Z241" s="1137"/>
      <c r="AA241" s="1135">
        <f>AA242+AA248+AA254+AA260</f>
        <v>250</v>
      </c>
      <c r="AB241" s="1136"/>
      <c r="AC241" s="1136"/>
      <c r="AD241" s="1137"/>
      <c r="AE241" s="1135">
        <f>AE242+AE248+AE254+AE260</f>
        <v>0</v>
      </c>
      <c r="AF241" s="1136"/>
      <c r="AG241" s="1136"/>
      <c r="AH241" s="1137"/>
      <c r="AI241" s="359">
        <f t="shared" si="12"/>
        <v>8200</v>
      </c>
      <c r="AJ241" s="315">
        <f t="shared" si="13"/>
        <v>0</v>
      </c>
      <c r="AK241" s="315"/>
      <c r="AL241" s="315">
        <f>G247+G253+G259+G265</f>
        <v>8200</v>
      </c>
      <c r="AM241" s="315"/>
    </row>
    <row r="242" spans="1:39" s="244" customFormat="1" ht="12.75" customHeight="1" thickBot="1" x14ac:dyDescent="0.25">
      <c r="A242" s="135"/>
      <c r="B242" s="1127" t="s">
        <v>52</v>
      </c>
      <c r="C242" s="1128"/>
      <c r="D242" s="1128"/>
      <c r="E242" s="782"/>
      <c r="F242" s="782"/>
      <c r="G242" s="782"/>
      <c r="H242" s="782"/>
      <c r="I242" s="782"/>
      <c r="J242" s="782"/>
      <c r="K242" s="1162">
        <f>SUM(K243:N247)</f>
        <v>0</v>
      </c>
      <c r="L242" s="1163"/>
      <c r="M242" s="1163"/>
      <c r="N242" s="1163"/>
      <c r="O242" s="1162">
        <f>SUM(O243:R247)</f>
        <v>0</v>
      </c>
      <c r="P242" s="1163"/>
      <c r="Q242" s="1163"/>
      <c r="R242" s="1163"/>
      <c r="S242" s="1162">
        <f>SUM(S243:V247)</f>
        <v>0</v>
      </c>
      <c r="T242" s="1163"/>
      <c r="U242" s="1163"/>
      <c r="V242" s="1163"/>
      <c r="W242" s="1162">
        <f>SUM(W243:Z247)</f>
        <v>200</v>
      </c>
      <c r="X242" s="1163"/>
      <c r="Y242" s="1163"/>
      <c r="Z242" s="1163"/>
      <c r="AA242" s="1162">
        <f>SUM(AA243:AD247)</f>
        <v>0</v>
      </c>
      <c r="AB242" s="1163"/>
      <c r="AC242" s="1163"/>
      <c r="AD242" s="1163"/>
      <c r="AE242" s="1162">
        <f>SUM(AE243:AH247)</f>
        <v>0</v>
      </c>
      <c r="AF242" s="1163"/>
      <c r="AG242" s="1163"/>
      <c r="AH242" s="1163"/>
      <c r="AI242" s="359">
        <f t="shared" si="12"/>
        <v>200</v>
      </c>
      <c r="AJ242" s="315">
        <f t="shared" si="13"/>
        <v>200</v>
      </c>
      <c r="AK242" s="315"/>
      <c r="AL242" s="315"/>
      <c r="AM242" s="315"/>
    </row>
    <row r="243" spans="1:39" s="6" customFormat="1" ht="12.75" customHeight="1" thickBot="1" x14ac:dyDescent="0.25">
      <c r="B243" s="1126" t="s">
        <v>144</v>
      </c>
      <c r="C243" s="1126"/>
      <c r="D243" s="1126"/>
      <c r="E243" s="407"/>
      <c r="F243" s="423"/>
      <c r="G243" s="424"/>
      <c r="H243" s="1132" t="s">
        <v>109</v>
      </c>
      <c r="I243" s="306"/>
      <c r="J243" s="306"/>
      <c r="K243" s="621"/>
      <c r="L243" s="599"/>
      <c r="M243" s="599"/>
      <c r="N243" s="600"/>
      <c r="O243" s="621"/>
      <c r="U243" s="565"/>
      <c r="V243" s="561"/>
      <c r="W243" s="595"/>
      <c r="X243" s="672"/>
      <c r="Y243" s="597"/>
      <c r="Z243" s="600"/>
      <c r="AA243" s="621"/>
      <c r="AB243" s="599"/>
      <c r="AC243" s="599"/>
      <c r="AD243" s="600"/>
      <c r="AE243" s="303"/>
      <c r="AF243" s="303"/>
      <c r="AG243" s="303"/>
      <c r="AH243" s="303"/>
      <c r="AI243" s="359">
        <f t="shared" si="12"/>
        <v>0</v>
      </c>
      <c r="AJ243" s="315">
        <f t="shared" si="13"/>
        <v>0</v>
      </c>
      <c r="AK243" s="315"/>
      <c r="AL243" s="315"/>
      <c r="AM243" s="315"/>
    </row>
    <row r="244" spans="1:39" s="6" customFormat="1" ht="12.75" customHeight="1" thickBot="1" x14ac:dyDescent="0.25">
      <c r="B244" s="1125" t="s">
        <v>94</v>
      </c>
      <c r="C244" s="1125"/>
      <c r="D244" s="1125"/>
      <c r="E244" s="407"/>
      <c r="F244" s="423"/>
      <c r="G244" s="424"/>
      <c r="H244" s="1133"/>
      <c r="I244" s="299"/>
      <c r="J244" s="299"/>
      <c r="K244" s="321"/>
      <c r="L244" s="322"/>
      <c r="M244" s="322"/>
      <c r="N244" s="330"/>
      <c r="O244" s="321"/>
      <c r="U244" s="427"/>
      <c r="V244" s="428"/>
      <c r="W244" s="432"/>
      <c r="X244" s="327"/>
      <c r="Y244" s="328"/>
      <c r="Z244" s="330"/>
      <c r="AA244" s="321"/>
      <c r="AB244" s="322"/>
      <c r="AC244" s="322"/>
      <c r="AD244" s="330"/>
      <c r="AE244" s="301"/>
      <c r="AF244" s="301"/>
      <c r="AG244" s="301"/>
      <c r="AH244" s="301"/>
      <c r="AI244" s="359">
        <f t="shared" si="12"/>
        <v>0</v>
      </c>
      <c r="AJ244" s="315">
        <f t="shared" si="13"/>
        <v>0</v>
      </c>
      <c r="AK244" s="315"/>
      <c r="AL244" s="315"/>
      <c r="AM244" s="315"/>
    </row>
    <row r="245" spans="1:39" s="6" customFormat="1" ht="12.75" customHeight="1" thickBot="1" x14ac:dyDescent="0.25">
      <c r="B245" s="1125" t="s">
        <v>143</v>
      </c>
      <c r="C245" s="1125"/>
      <c r="D245" s="1125"/>
      <c r="E245" s="407"/>
      <c r="F245" s="423"/>
      <c r="G245" s="424"/>
      <c r="H245" s="1133"/>
      <c r="I245" s="299"/>
      <c r="J245" s="299"/>
      <c r="K245" s="321"/>
      <c r="L245" s="322"/>
      <c r="M245" s="322"/>
      <c r="N245" s="330"/>
      <c r="O245" s="321"/>
      <c r="U245" s="328"/>
      <c r="V245" s="328"/>
      <c r="W245" s="433"/>
      <c r="X245" s="327"/>
      <c r="Y245" s="328"/>
      <c r="Z245" s="330"/>
      <c r="AA245" s="321"/>
      <c r="AB245" s="322"/>
      <c r="AC245" s="322"/>
      <c r="AD245" s="330"/>
      <c r="AE245" s="301"/>
      <c r="AF245" s="301"/>
      <c r="AG245" s="301"/>
      <c r="AH245" s="301"/>
      <c r="AI245" s="359">
        <f t="shared" si="12"/>
        <v>0</v>
      </c>
      <c r="AJ245" s="315">
        <f t="shared" si="13"/>
        <v>0</v>
      </c>
      <c r="AK245" s="315"/>
      <c r="AL245" s="315"/>
      <c r="AM245" s="315"/>
    </row>
    <row r="246" spans="1:39" s="6" customFormat="1" ht="12.75" customHeight="1" thickBot="1" x14ac:dyDescent="0.25">
      <c r="B246" s="1125" t="s">
        <v>142</v>
      </c>
      <c r="C246" s="1125"/>
      <c r="D246" s="1125"/>
      <c r="E246" s="409"/>
      <c r="F246" s="338">
        <v>200</v>
      </c>
      <c r="G246" s="408">
        <v>200</v>
      </c>
      <c r="H246" s="1133"/>
      <c r="I246" s="299"/>
      <c r="J246" s="299"/>
      <c r="K246" s="321"/>
      <c r="L246" s="322"/>
      <c r="M246" s="322"/>
      <c r="N246" s="330"/>
      <c r="O246" s="321"/>
      <c r="U246" s="328"/>
      <c r="V246" s="328"/>
      <c r="W246" s="326"/>
      <c r="X246" s="455">
        <v>100</v>
      </c>
      <c r="Y246" s="455">
        <v>100</v>
      </c>
      <c r="Z246" s="330"/>
      <c r="AA246" s="321"/>
      <c r="AB246" s="322"/>
      <c r="AC246" s="322"/>
      <c r="AD246" s="330"/>
      <c r="AE246" s="301"/>
      <c r="AF246" s="301"/>
      <c r="AG246" s="301"/>
      <c r="AH246" s="301"/>
      <c r="AI246" s="359">
        <f t="shared" si="12"/>
        <v>200</v>
      </c>
      <c r="AJ246" s="315">
        <f t="shared" si="13"/>
        <v>0</v>
      </c>
      <c r="AK246" s="315"/>
      <c r="AL246" s="315"/>
      <c r="AM246" s="315"/>
    </row>
    <row r="247" spans="1:39" s="6" customFormat="1" ht="12.75" customHeight="1" thickBot="1" x14ac:dyDescent="0.25">
      <c r="B247" s="1122" t="s">
        <v>91</v>
      </c>
      <c r="C247" s="1122"/>
      <c r="D247" s="1122"/>
      <c r="E247" s="384"/>
      <c r="F247" s="387">
        <v>200</v>
      </c>
      <c r="G247" s="377">
        <v>200</v>
      </c>
      <c r="H247" s="1134"/>
      <c r="I247" s="299"/>
      <c r="J247" s="299"/>
      <c r="K247" s="474"/>
      <c r="L247" s="385"/>
      <c r="M247" s="385"/>
      <c r="N247" s="477"/>
      <c r="O247" s="474"/>
      <c r="P247" s="486"/>
      <c r="Q247" s="486"/>
      <c r="R247" s="475"/>
      <c r="S247" s="562"/>
      <c r="T247" s="486"/>
      <c r="U247" s="385"/>
      <c r="V247" s="477"/>
      <c r="W247" s="474"/>
      <c r="X247" s="602"/>
      <c r="Y247" s="385"/>
      <c r="Z247" s="477"/>
      <c r="AA247" s="474"/>
      <c r="AB247" s="385"/>
      <c r="AC247" s="385"/>
      <c r="AD247" s="477"/>
      <c r="AE247" s="304"/>
      <c r="AF247" s="304"/>
      <c r="AG247" s="304"/>
      <c r="AH247" s="304"/>
      <c r="AI247" s="359">
        <f t="shared" si="12"/>
        <v>0</v>
      </c>
      <c r="AJ247" s="315">
        <f t="shared" si="13"/>
        <v>-200</v>
      </c>
      <c r="AK247" s="315"/>
      <c r="AL247" s="315"/>
      <c r="AM247" s="315"/>
    </row>
    <row r="248" spans="1:39" s="244" customFormat="1" ht="28.5" customHeight="1" thickBot="1" x14ac:dyDescent="0.25">
      <c r="A248" s="135"/>
      <c r="B248" s="1231" t="s">
        <v>159</v>
      </c>
      <c r="C248" s="1232"/>
      <c r="D248" s="1232"/>
      <c r="E248" s="786"/>
      <c r="F248" s="786"/>
      <c r="G248" s="786"/>
      <c r="H248" s="786"/>
      <c r="I248" s="786"/>
      <c r="J248" s="786"/>
      <c r="K248" s="1162">
        <f>SUM(K249:N253)</f>
        <v>0</v>
      </c>
      <c r="L248" s="1163"/>
      <c r="M248" s="1163"/>
      <c r="N248" s="1163"/>
      <c r="O248" s="1162">
        <f>SUM(O249:R253)</f>
        <v>0</v>
      </c>
      <c r="P248" s="1163"/>
      <c r="Q248" s="1163"/>
      <c r="R248" s="1163"/>
      <c r="S248" s="1162">
        <f>SUM(S249:V253)</f>
        <v>7000</v>
      </c>
      <c r="T248" s="1163"/>
      <c r="U248" s="1163"/>
      <c r="V248" s="1163"/>
      <c r="W248" s="1162">
        <f>SUM(W249:Z253)</f>
        <v>0</v>
      </c>
      <c r="X248" s="1163"/>
      <c r="Y248" s="1163"/>
      <c r="Z248" s="1163"/>
      <c r="AA248" s="1162">
        <f>SUM(AA249:AD253)</f>
        <v>0</v>
      </c>
      <c r="AB248" s="1163"/>
      <c r="AC248" s="1163"/>
      <c r="AD248" s="1163"/>
      <c r="AE248" s="1162">
        <f>SUM(AE249:AH253)</f>
        <v>0</v>
      </c>
      <c r="AF248" s="1163"/>
      <c r="AG248" s="1163"/>
      <c r="AH248" s="1163"/>
      <c r="AI248" s="359">
        <f t="shared" si="12"/>
        <v>7000</v>
      </c>
      <c r="AJ248" s="315">
        <f t="shared" si="13"/>
        <v>7000</v>
      </c>
      <c r="AK248" s="315"/>
      <c r="AL248" s="315"/>
      <c r="AM248" s="315"/>
    </row>
    <row r="249" spans="1:39" s="6" customFormat="1" ht="12.75" customHeight="1" thickBot="1" x14ac:dyDescent="0.25">
      <c r="B249" s="1126" t="s">
        <v>144</v>
      </c>
      <c r="C249" s="1126"/>
      <c r="D249" s="1126"/>
      <c r="E249" s="407"/>
      <c r="F249" s="423"/>
      <c r="G249" s="424"/>
      <c r="H249" s="1132" t="s">
        <v>109</v>
      </c>
      <c r="I249" s="299"/>
      <c r="J249" s="299"/>
      <c r="K249" s="621"/>
      <c r="L249" s="599"/>
      <c r="P249" s="565"/>
      <c r="Q249" s="595"/>
      <c r="R249" s="560"/>
      <c r="S249" s="561"/>
      <c r="T249" s="561"/>
      <c r="U249" s="595"/>
      <c r="X249" s="669"/>
      <c r="Y249" s="599"/>
      <c r="Z249" s="600"/>
      <c r="AA249" s="621"/>
      <c r="AB249" s="599"/>
      <c r="AC249" s="599"/>
      <c r="AD249" s="600"/>
      <c r="AE249" s="303"/>
      <c r="AF249" s="303"/>
      <c r="AG249" s="303"/>
      <c r="AH249" s="303"/>
      <c r="AI249" s="359">
        <f t="shared" si="12"/>
        <v>0</v>
      </c>
      <c r="AJ249" s="315">
        <f t="shared" si="13"/>
        <v>0</v>
      </c>
      <c r="AK249" s="315"/>
      <c r="AL249" s="315"/>
      <c r="AM249" s="315"/>
    </row>
    <row r="250" spans="1:39" s="6" customFormat="1" ht="12.75" customHeight="1" thickBot="1" x14ac:dyDescent="0.25">
      <c r="B250" s="1125" t="s">
        <v>94</v>
      </c>
      <c r="C250" s="1125"/>
      <c r="D250" s="1125"/>
      <c r="E250" s="407"/>
      <c r="F250" s="423"/>
      <c r="G250" s="424"/>
      <c r="H250" s="1133"/>
      <c r="I250" s="299"/>
      <c r="J250" s="299"/>
      <c r="K250" s="321"/>
      <c r="L250" s="322"/>
      <c r="P250" s="427"/>
      <c r="Q250" s="454"/>
      <c r="R250" s="447"/>
      <c r="S250" s="328"/>
      <c r="T250" s="328"/>
      <c r="U250" s="326"/>
      <c r="X250" s="325"/>
      <c r="Y250" s="322"/>
      <c r="Z250" s="330"/>
      <c r="AA250" s="321"/>
      <c r="AB250" s="322"/>
      <c r="AC250" s="322"/>
      <c r="AD250" s="330"/>
      <c r="AE250" s="301"/>
      <c r="AF250" s="301"/>
      <c r="AG250" s="301"/>
      <c r="AH250" s="301"/>
      <c r="AI250" s="359">
        <f t="shared" si="12"/>
        <v>0</v>
      </c>
      <c r="AJ250" s="315">
        <f t="shared" si="13"/>
        <v>0</v>
      </c>
      <c r="AK250" s="315"/>
      <c r="AL250" s="315"/>
      <c r="AM250" s="315"/>
    </row>
    <row r="251" spans="1:39" s="6" customFormat="1" ht="12.75" customHeight="1" thickBot="1" x14ac:dyDescent="0.25">
      <c r="B251" s="1125" t="s">
        <v>143</v>
      </c>
      <c r="C251" s="1125"/>
      <c r="D251" s="1125"/>
      <c r="E251" s="407"/>
      <c r="F251" s="423"/>
      <c r="G251" s="424"/>
      <c r="H251" s="1133"/>
      <c r="I251" s="299"/>
      <c r="J251" s="299"/>
      <c r="K251" s="321"/>
      <c r="L251" s="322"/>
      <c r="P251" s="328"/>
      <c r="Q251" s="326"/>
      <c r="R251" s="351"/>
      <c r="S251" s="328"/>
      <c r="T251" s="328"/>
      <c r="U251" s="326"/>
      <c r="X251" s="325"/>
      <c r="Y251" s="322"/>
      <c r="Z251" s="330"/>
      <c r="AA251" s="321"/>
      <c r="AB251" s="322"/>
      <c r="AC251" s="322"/>
      <c r="AD251" s="330"/>
      <c r="AE251" s="301"/>
      <c r="AF251" s="301"/>
      <c r="AG251" s="301"/>
      <c r="AH251" s="301"/>
      <c r="AI251" s="359">
        <f t="shared" si="12"/>
        <v>0</v>
      </c>
      <c r="AJ251" s="315">
        <f t="shared" si="13"/>
        <v>0</v>
      </c>
      <c r="AK251" s="315"/>
      <c r="AL251" s="315"/>
      <c r="AM251" s="315"/>
    </row>
    <row r="252" spans="1:39" s="6" customFormat="1" ht="12.75" customHeight="1" thickBot="1" x14ac:dyDescent="0.25">
      <c r="B252" s="1125" t="s">
        <v>142</v>
      </c>
      <c r="C252" s="1125"/>
      <c r="D252" s="1125"/>
      <c r="E252" s="409"/>
      <c r="F252" s="338">
        <v>7000</v>
      </c>
      <c r="G252" s="408">
        <v>7000</v>
      </c>
      <c r="H252" s="1133"/>
      <c r="I252" s="299"/>
      <c r="J252" s="299"/>
      <c r="K252" s="321"/>
      <c r="L252" s="322"/>
      <c r="P252" s="322"/>
      <c r="Q252" s="330"/>
      <c r="R252" s="327"/>
      <c r="S252" s="455">
        <v>1000</v>
      </c>
      <c r="T252" s="455">
        <v>3000</v>
      </c>
      <c r="U252" s="455">
        <v>2000</v>
      </c>
      <c r="V252" s="455">
        <v>1000</v>
      </c>
      <c r="X252" s="325"/>
      <c r="Y252" s="322"/>
      <c r="Z252" s="330"/>
      <c r="AA252" s="321"/>
      <c r="AB252" s="322"/>
      <c r="AC252" s="322"/>
      <c r="AD252" s="330"/>
      <c r="AE252" s="301"/>
      <c r="AF252" s="301"/>
      <c r="AG252" s="301"/>
      <c r="AH252" s="301"/>
      <c r="AI252" s="359">
        <f t="shared" si="12"/>
        <v>7000</v>
      </c>
      <c r="AJ252" s="315">
        <f t="shared" si="13"/>
        <v>0</v>
      </c>
      <c r="AK252" s="315"/>
      <c r="AL252" s="315"/>
      <c r="AM252" s="315"/>
    </row>
    <row r="253" spans="1:39" s="6" customFormat="1" ht="12.75" customHeight="1" thickBot="1" x14ac:dyDescent="0.25">
      <c r="B253" s="1122" t="s">
        <v>91</v>
      </c>
      <c r="C253" s="1122"/>
      <c r="D253" s="1122"/>
      <c r="E253" s="384"/>
      <c r="F253" s="387">
        <v>7000</v>
      </c>
      <c r="G253" s="377">
        <v>7000</v>
      </c>
      <c r="H253" s="1134"/>
      <c r="I253" s="299"/>
      <c r="J253" s="299"/>
      <c r="K253" s="474"/>
      <c r="L253" s="385"/>
      <c r="M253" s="385"/>
      <c r="N253" s="477"/>
      <c r="O253" s="562"/>
      <c r="P253" s="486"/>
      <c r="Q253" s="486"/>
      <c r="R253" s="475"/>
      <c r="S253" s="562"/>
      <c r="T253" s="677"/>
      <c r="U253" s="385"/>
      <c r="V253" s="477"/>
      <c r="W253" s="474"/>
      <c r="X253" s="602"/>
      <c r="Y253" s="385"/>
      <c r="Z253" s="477"/>
      <c r="AA253" s="474"/>
      <c r="AB253" s="385"/>
      <c r="AC253" s="385"/>
      <c r="AD253" s="477"/>
      <c r="AE253" s="304"/>
      <c r="AF253" s="304"/>
      <c r="AG253" s="304"/>
      <c r="AH253" s="304"/>
      <c r="AI253" s="359">
        <f t="shared" si="12"/>
        <v>0</v>
      </c>
      <c r="AJ253" s="315">
        <f t="shared" si="13"/>
        <v>-7000</v>
      </c>
      <c r="AK253" s="315"/>
      <c r="AL253" s="315"/>
      <c r="AM253" s="315"/>
    </row>
    <row r="254" spans="1:39" s="244" customFormat="1" ht="12.75" customHeight="1" thickBot="1" x14ac:dyDescent="0.25">
      <c r="A254" s="135"/>
      <c r="B254" s="1127" t="s">
        <v>54</v>
      </c>
      <c r="C254" s="1128"/>
      <c r="D254" s="1128"/>
      <c r="E254" s="782"/>
      <c r="F254" s="782"/>
      <c r="G254" s="782"/>
      <c r="H254" s="782"/>
      <c r="I254" s="782"/>
      <c r="J254" s="782"/>
      <c r="K254" s="1162">
        <f>SUM(K255:N259)</f>
        <v>0</v>
      </c>
      <c r="L254" s="1163"/>
      <c r="M254" s="1163"/>
      <c r="N254" s="1163"/>
      <c r="O254" s="1162">
        <f>SUM(O255:R259)</f>
        <v>0</v>
      </c>
      <c r="P254" s="1163"/>
      <c r="Q254" s="1163"/>
      <c r="R254" s="1163"/>
      <c r="S254" s="1162">
        <f>SUM(S255:V259)</f>
        <v>150</v>
      </c>
      <c r="T254" s="1163"/>
      <c r="U254" s="1163"/>
      <c r="V254" s="1163"/>
      <c r="W254" s="1162">
        <f>SUM(W255:Z259)</f>
        <v>350</v>
      </c>
      <c r="X254" s="1163"/>
      <c r="Y254" s="1163"/>
      <c r="Z254" s="1163"/>
      <c r="AA254" s="1162">
        <f>SUM(AA255:AD259)</f>
        <v>0</v>
      </c>
      <c r="AB254" s="1163"/>
      <c r="AC254" s="1163"/>
      <c r="AD254" s="1163"/>
      <c r="AE254" s="1162">
        <f>SUM(AE255:AH259)</f>
        <v>0</v>
      </c>
      <c r="AF254" s="1163"/>
      <c r="AG254" s="1163"/>
      <c r="AH254" s="1163"/>
      <c r="AI254" s="359">
        <f t="shared" si="12"/>
        <v>500</v>
      </c>
      <c r="AJ254" s="315">
        <f t="shared" si="13"/>
        <v>500</v>
      </c>
      <c r="AK254" s="315"/>
      <c r="AL254" s="315"/>
      <c r="AM254" s="315"/>
    </row>
    <row r="255" spans="1:39" s="6" customFormat="1" ht="12.75" customHeight="1" thickBot="1" x14ac:dyDescent="0.25">
      <c r="B255" s="1126" t="s">
        <v>144</v>
      </c>
      <c r="C255" s="1126"/>
      <c r="D255" s="1126"/>
      <c r="E255" s="407"/>
      <c r="F255" s="423"/>
      <c r="G255" s="424"/>
      <c r="H255" s="1132" t="s">
        <v>109</v>
      </c>
      <c r="I255" s="299"/>
      <c r="J255" s="299"/>
      <c r="K255" s="621"/>
      <c r="L255" s="599"/>
      <c r="M255" s="599"/>
      <c r="S255" s="566"/>
      <c r="T255" s="560"/>
      <c r="U255" s="561"/>
      <c r="V255" s="561"/>
      <c r="W255" s="595"/>
      <c r="X255" s="560"/>
      <c r="Y255" s="676"/>
      <c r="Z255" s="600"/>
      <c r="AA255" s="621"/>
      <c r="AB255" s="599"/>
      <c r="AC255" s="599"/>
      <c r="AD255" s="600"/>
      <c r="AE255" s="303"/>
      <c r="AF255" s="303"/>
      <c r="AG255" s="303"/>
      <c r="AH255" s="303"/>
      <c r="AI255" s="359">
        <f t="shared" si="12"/>
        <v>0</v>
      </c>
      <c r="AJ255" s="315">
        <f t="shared" si="13"/>
        <v>0</v>
      </c>
      <c r="AK255" s="315"/>
      <c r="AL255" s="315"/>
      <c r="AM255" s="315"/>
    </row>
    <row r="256" spans="1:39" s="6" customFormat="1" ht="12.75" customHeight="1" thickBot="1" x14ac:dyDescent="0.25">
      <c r="B256" s="1125" t="s">
        <v>94</v>
      </c>
      <c r="C256" s="1125"/>
      <c r="D256" s="1125"/>
      <c r="E256" s="407"/>
      <c r="F256" s="423"/>
      <c r="G256" s="424"/>
      <c r="H256" s="1133"/>
      <c r="I256" s="299"/>
      <c r="J256" s="299"/>
      <c r="K256" s="321"/>
      <c r="L256" s="322"/>
      <c r="M256" s="322"/>
      <c r="S256" s="437"/>
      <c r="T256" s="441"/>
      <c r="U256" s="429"/>
      <c r="V256" s="328"/>
      <c r="W256" s="326"/>
      <c r="X256" s="327"/>
      <c r="Y256" s="469"/>
      <c r="Z256" s="330"/>
      <c r="AA256" s="321"/>
      <c r="AB256" s="322"/>
      <c r="AC256" s="322"/>
      <c r="AD256" s="330"/>
      <c r="AE256" s="301"/>
      <c r="AF256" s="301"/>
      <c r="AG256" s="301"/>
      <c r="AH256" s="301"/>
      <c r="AI256" s="359">
        <f t="shared" si="12"/>
        <v>0</v>
      </c>
      <c r="AJ256" s="315">
        <f t="shared" si="13"/>
        <v>0</v>
      </c>
      <c r="AK256" s="315"/>
      <c r="AL256" s="315"/>
      <c r="AM256" s="315"/>
    </row>
    <row r="257" spans="1:39" s="6" customFormat="1" ht="12.75" customHeight="1" thickBot="1" x14ac:dyDescent="0.25">
      <c r="B257" s="1125" t="s">
        <v>143</v>
      </c>
      <c r="C257" s="1125"/>
      <c r="D257" s="1125"/>
      <c r="E257" s="407"/>
      <c r="F257" s="423"/>
      <c r="G257" s="424"/>
      <c r="H257" s="1133"/>
      <c r="I257" s="299"/>
      <c r="J257" s="299"/>
      <c r="K257" s="321"/>
      <c r="L257" s="322"/>
      <c r="M257" s="322"/>
      <c r="S257" s="326"/>
      <c r="T257" s="327"/>
      <c r="U257" s="323"/>
      <c r="V257" s="328"/>
      <c r="W257" s="326"/>
      <c r="X257" s="327"/>
      <c r="Y257" s="469"/>
      <c r="Z257" s="330"/>
      <c r="AA257" s="321"/>
      <c r="AB257" s="322"/>
      <c r="AC257" s="322"/>
      <c r="AD257" s="330"/>
      <c r="AE257" s="301"/>
      <c r="AF257" s="301"/>
      <c r="AG257" s="301"/>
      <c r="AH257" s="301"/>
      <c r="AI257" s="359">
        <f t="shared" si="12"/>
        <v>0</v>
      </c>
      <c r="AJ257" s="315">
        <f t="shared" si="13"/>
        <v>0</v>
      </c>
      <c r="AK257" s="315"/>
      <c r="AL257" s="315"/>
      <c r="AM257" s="315"/>
    </row>
    <row r="258" spans="1:39" s="6" customFormat="1" ht="12.75" customHeight="1" thickBot="1" x14ac:dyDescent="0.25">
      <c r="B258" s="1125" t="s">
        <v>142</v>
      </c>
      <c r="C258" s="1125"/>
      <c r="D258" s="1125"/>
      <c r="E258" s="409"/>
      <c r="F258" s="338">
        <v>500</v>
      </c>
      <c r="G258" s="408">
        <v>500</v>
      </c>
      <c r="H258" s="1133"/>
      <c r="I258" s="299"/>
      <c r="J258" s="299"/>
      <c r="K258" s="321"/>
      <c r="L258" s="322"/>
      <c r="M258" s="322"/>
      <c r="S258" s="330"/>
      <c r="T258" s="321"/>
      <c r="U258" s="328"/>
      <c r="V258" s="455">
        <v>150</v>
      </c>
      <c r="W258" s="455">
        <v>150</v>
      </c>
      <c r="X258" s="455">
        <v>200</v>
      </c>
      <c r="Y258" s="469"/>
      <c r="Z258" s="330"/>
      <c r="AA258" s="321"/>
      <c r="AB258" s="322"/>
      <c r="AC258" s="322"/>
      <c r="AD258" s="330"/>
      <c r="AE258" s="301"/>
      <c r="AF258" s="301"/>
      <c r="AG258" s="301"/>
      <c r="AH258" s="301"/>
      <c r="AI258" s="359">
        <f t="shared" si="12"/>
        <v>500</v>
      </c>
      <c r="AJ258" s="315">
        <f t="shared" si="13"/>
        <v>0</v>
      </c>
      <c r="AK258" s="315"/>
      <c r="AL258" s="315"/>
      <c r="AM258" s="315"/>
    </row>
    <row r="259" spans="1:39" s="6" customFormat="1" ht="12.75" customHeight="1" thickBot="1" x14ac:dyDescent="0.25">
      <c r="B259" s="1122" t="s">
        <v>91</v>
      </c>
      <c r="C259" s="1122"/>
      <c r="D259" s="1122"/>
      <c r="E259" s="384"/>
      <c r="F259" s="387">
        <v>500</v>
      </c>
      <c r="G259" s="377">
        <v>500</v>
      </c>
      <c r="H259" s="1134"/>
      <c r="I259" s="299"/>
      <c r="J259" s="299"/>
      <c r="K259" s="474"/>
      <c r="L259" s="385"/>
      <c r="M259" s="385"/>
      <c r="N259" s="477"/>
      <c r="O259" s="474"/>
      <c r="P259" s="486"/>
      <c r="Q259" s="486"/>
      <c r="R259" s="475"/>
      <c r="S259" s="562"/>
      <c r="T259" s="677"/>
      <c r="U259" s="385"/>
      <c r="V259" s="477"/>
      <c r="W259" s="474"/>
      <c r="X259" s="602"/>
      <c r="Y259" s="385"/>
      <c r="Z259" s="477"/>
      <c r="AA259" s="474"/>
      <c r="AB259" s="385"/>
      <c r="AC259" s="385"/>
      <c r="AD259" s="477"/>
      <c r="AE259" s="304"/>
      <c r="AF259" s="304"/>
      <c r="AG259" s="304"/>
      <c r="AH259" s="304"/>
      <c r="AI259" s="359">
        <f t="shared" si="12"/>
        <v>0</v>
      </c>
      <c r="AJ259" s="315">
        <f t="shared" si="13"/>
        <v>-500</v>
      </c>
      <c r="AK259" s="315"/>
      <c r="AL259" s="315"/>
      <c r="AM259" s="315"/>
    </row>
    <row r="260" spans="1:39" s="244" customFormat="1" ht="12.75" customHeight="1" thickBot="1" x14ac:dyDescent="0.25">
      <c r="A260" s="135"/>
      <c r="B260" s="1127" t="s">
        <v>55</v>
      </c>
      <c r="C260" s="1128"/>
      <c r="D260" s="1128"/>
      <c r="E260" s="782"/>
      <c r="F260" s="782"/>
      <c r="G260" s="782"/>
      <c r="H260" s="782"/>
      <c r="I260" s="782"/>
      <c r="J260" s="782"/>
      <c r="K260" s="1162">
        <f>SUM(K261:N265)</f>
        <v>0</v>
      </c>
      <c r="L260" s="1163"/>
      <c r="M260" s="1163"/>
      <c r="N260" s="1163"/>
      <c r="O260" s="1162">
        <f>SUM(O261:R265)</f>
        <v>0</v>
      </c>
      <c r="P260" s="1163"/>
      <c r="Q260" s="1163"/>
      <c r="R260" s="1163"/>
      <c r="S260" s="1162">
        <f>SUM(S261:V265)</f>
        <v>125</v>
      </c>
      <c r="T260" s="1163"/>
      <c r="U260" s="1163"/>
      <c r="V260" s="1163"/>
      <c r="W260" s="1162">
        <f>SUM(W261:Z265)</f>
        <v>125</v>
      </c>
      <c r="X260" s="1163"/>
      <c r="Y260" s="1163"/>
      <c r="Z260" s="1163"/>
      <c r="AA260" s="1162">
        <f>SUM(AA261:AD265)</f>
        <v>250</v>
      </c>
      <c r="AB260" s="1163"/>
      <c r="AC260" s="1163"/>
      <c r="AD260" s="1163"/>
      <c r="AE260" s="1162">
        <f>SUM(AE261:AH265)</f>
        <v>0</v>
      </c>
      <c r="AF260" s="1163"/>
      <c r="AG260" s="1163"/>
      <c r="AH260" s="1163"/>
      <c r="AI260" s="359">
        <f t="shared" si="12"/>
        <v>500</v>
      </c>
      <c r="AJ260" s="315">
        <f t="shared" si="13"/>
        <v>500</v>
      </c>
      <c r="AK260" s="315"/>
      <c r="AL260" s="315"/>
      <c r="AM260" s="315"/>
    </row>
    <row r="261" spans="1:39" s="6" customFormat="1" ht="12.75" customHeight="1" thickBot="1" x14ac:dyDescent="0.25">
      <c r="B261" s="1126" t="s">
        <v>144</v>
      </c>
      <c r="C261" s="1126"/>
      <c r="D261" s="1126"/>
      <c r="E261" s="409"/>
      <c r="F261" s="338"/>
      <c r="G261" s="408"/>
      <c r="H261" s="1132" t="s">
        <v>109</v>
      </c>
      <c r="I261" s="299"/>
      <c r="J261" s="299"/>
      <c r="K261" s="621"/>
      <c r="L261" s="599"/>
      <c r="M261" s="599"/>
      <c r="N261" s="600"/>
      <c r="O261" s="621"/>
      <c r="P261" s="565"/>
      <c r="Q261" s="561"/>
      <c r="R261" s="595"/>
      <c r="S261" s="560"/>
      <c r="T261" s="565"/>
      <c r="U261" s="561"/>
      <c r="V261" s="595"/>
      <c r="W261" s="672"/>
      <c r="X261" s="565"/>
      <c r="Y261" s="561"/>
      <c r="Z261" s="595"/>
      <c r="AA261" s="672"/>
      <c r="AB261" s="597"/>
      <c r="AC261" s="561"/>
      <c r="AD261" s="595"/>
      <c r="AE261" s="735"/>
      <c r="AF261" s="735"/>
      <c r="AG261" s="735"/>
      <c r="AH261" s="735"/>
      <c r="AI261" s="359">
        <f t="shared" si="12"/>
        <v>0</v>
      </c>
      <c r="AJ261" s="315">
        <f t="shared" si="13"/>
        <v>0</v>
      </c>
      <c r="AK261" s="315"/>
      <c r="AL261" s="315"/>
      <c r="AM261" s="315"/>
    </row>
    <row r="262" spans="1:39" s="6" customFormat="1" ht="12.75" customHeight="1" thickBot="1" x14ac:dyDescent="0.25">
      <c r="B262" s="1125" t="s">
        <v>94</v>
      </c>
      <c r="C262" s="1125"/>
      <c r="D262" s="1125"/>
      <c r="E262" s="409"/>
      <c r="F262" s="338"/>
      <c r="G262" s="408"/>
      <c r="H262" s="1133"/>
      <c r="I262" s="299"/>
      <c r="J262" s="299"/>
      <c r="K262" s="321"/>
      <c r="L262" s="322"/>
      <c r="M262" s="322"/>
      <c r="N262" s="330"/>
      <c r="O262" s="321"/>
      <c r="P262" s="427"/>
      <c r="Q262" s="428"/>
      <c r="R262" s="432"/>
      <c r="S262" s="327"/>
      <c r="T262" s="427"/>
      <c r="U262" s="428"/>
      <c r="V262" s="432"/>
      <c r="W262" s="327"/>
      <c r="X262" s="427"/>
      <c r="Y262" s="428"/>
      <c r="Z262" s="432"/>
      <c r="AA262" s="327"/>
      <c r="AB262" s="328"/>
      <c r="AC262" s="328"/>
      <c r="AD262" s="326"/>
      <c r="AE262" s="742"/>
      <c r="AF262" s="742"/>
      <c r="AG262" s="742"/>
      <c r="AH262" s="742"/>
      <c r="AI262" s="359">
        <f t="shared" si="12"/>
        <v>0</v>
      </c>
      <c r="AJ262" s="315">
        <f t="shared" si="13"/>
        <v>0</v>
      </c>
      <c r="AK262" s="315"/>
      <c r="AL262" s="315"/>
      <c r="AM262" s="315"/>
    </row>
    <row r="263" spans="1:39" s="6" customFormat="1" ht="12.75" customHeight="1" thickBot="1" x14ac:dyDescent="0.25">
      <c r="B263" s="1125" t="s">
        <v>143</v>
      </c>
      <c r="C263" s="1125"/>
      <c r="D263" s="1125"/>
      <c r="E263" s="409"/>
      <c r="F263" s="338"/>
      <c r="G263" s="408"/>
      <c r="H263" s="1133"/>
      <c r="I263" s="299"/>
      <c r="J263" s="299"/>
      <c r="K263" s="321"/>
      <c r="L263" s="322"/>
      <c r="M263" s="322"/>
      <c r="N263" s="330"/>
      <c r="O263" s="321"/>
      <c r="P263" s="328"/>
      <c r="Q263" s="328"/>
      <c r="R263" s="433"/>
      <c r="S263" s="327"/>
      <c r="T263" s="328"/>
      <c r="U263" s="328"/>
      <c r="V263" s="433"/>
      <c r="W263" s="327"/>
      <c r="X263" s="328"/>
      <c r="Y263" s="328"/>
      <c r="Z263" s="433"/>
      <c r="AA263" s="327"/>
      <c r="AB263" s="328"/>
      <c r="AC263" s="328"/>
      <c r="AD263" s="326"/>
      <c r="AE263" s="732"/>
      <c r="AF263" s="732"/>
      <c r="AG263" s="732"/>
      <c r="AH263" s="732"/>
      <c r="AI263" s="359">
        <f t="shared" si="12"/>
        <v>0</v>
      </c>
      <c r="AJ263" s="315">
        <f t="shared" si="13"/>
        <v>0</v>
      </c>
      <c r="AK263" s="315"/>
      <c r="AL263" s="315"/>
      <c r="AM263" s="315"/>
    </row>
    <row r="264" spans="1:39" s="6" customFormat="1" ht="12.75" customHeight="1" thickBot="1" x14ac:dyDescent="0.25">
      <c r="B264" s="1125" t="s">
        <v>142</v>
      </c>
      <c r="C264" s="1125"/>
      <c r="D264" s="1125"/>
      <c r="E264" s="409"/>
      <c r="F264" s="338">
        <v>500</v>
      </c>
      <c r="G264" s="408">
        <v>500</v>
      </c>
      <c r="H264" s="1133"/>
      <c r="I264" s="299"/>
      <c r="J264" s="299"/>
      <c r="K264" s="321"/>
      <c r="L264" s="322"/>
      <c r="M264" s="322"/>
      <c r="N264" s="330"/>
      <c r="O264" s="327"/>
      <c r="P264" s="328"/>
      <c r="Q264" s="328"/>
      <c r="R264" s="326"/>
      <c r="S264" s="455">
        <v>60</v>
      </c>
      <c r="T264" s="455">
        <v>65</v>
      </c>
      <c r="U264" s="458"/>
      <c r="V264" s="326"/>
      <c r="W264" s="455">
        <v>60</v>
      </c>
      <c r="X264" s="455">
        <v>65</v>
      </c>
      <c r="Y264" s="322"/>
      <c r="Z264" s="326"/>
      <c r="AA264" s="455">
        <v>250</v>
      </c>
      <c r="AB264" s="455">
        <v>0</v>
      </c>
      <c r="AC264" s="328"/>
      <c r="AD264" s="326"/>
      <c r="AE264" s="732"/>
      <c r="AF264" s="732"/>
      <c r="AG264" s="732"/>
      <c r="AH264" s="732"/>
      <c r="AI264" s="359">
        <f t="shared" ref="AI264:AI321" si="16">SUM(K264:AH264)</f>
        <v>500</v>
      </c>
      <c r="AJ264" s="315">
        <f t="shared" si="13"/>
        <v>0</v>
      </c>
      <c r="AK264" s="315"/>
      <c r="AL264" s="315"/>
      <c r="AM264" s="315"/>
    </row>
    <row r="265" spans="1:39" s="6" customFormat="1" ht="12.75" customHeight="1" thickBot="1" x14ac:dyDescent="0.25">
      <c r="B265" s="1122" t="s">
        <v>91</v>
      </c>
      <c r="C265" s="1122"/>
      <c r="D265" s="1122"/>
      <c r="E265" s="384"/>
      <c r="F265" s="387">
        <v>500</v>
      </c>
      <c r="G265" s="377">
        <v>500</v>
      </c>
      <c r="H265" s="1134"/>
      <c r="I265" s="299"/>
      <c r="J265" s="299"/>
      <c r="K265" s="474"/>
      <c r="L265" s="385"/>
      <c r="M265" s="385"/>
      <c r="N265" s="477"/>
      <c r="O265" s="562"/>
      <c r="P265" s="486"/>
      <c r="Q265" s="486"/>
      <c r="R265" s="475"/>
      <c r="S265" s="562"/>
      <c r="T265" s="486"/>
      <c r="U265" s="385"/>
      <c r="V265" s="475"/>
      <c r="W265" s="562"/>
      <c r="X265" s="486"/>
      <c r="Y265" s="385"/>
      <c r="Z265" s="475"/>
      <c r="AA265" s="562"/>
      <c r="AB265" s="486"/>
      <c r="AC265" s="486"/>
      <c r="AD265" s="475"/>
      <c r="AE265" s="731"/>
      <c r="AF265" s="731"/>
      <c r="AG265" s="731"/>
      <c r="AH265" s="731"/>
      <c r="AI265" s="359">
        <f t="shared" si="16"/>
        <v>0</v>
      </c>
      <c r="AJ265" s="315">
        <f t="shared" si="13"/>
        <v>-500</v>
      </c>
      <c r="AK265" s="315"/>
      <c r="AL265" s="315"/>
      <c r="AM265" s="315"/>
    </row>
    <row r="266" spans="1:39" s="6" customFormat="1" x14ac:dyDescent="0.2">
      <c r="B266" s="783" t="s">
        <v>56</v>
      </c>
      <c r="C266" s="784"/>
      <c r="D266" s="785"/>
      <c r="E266" s="803">
        <f>E272+E278+E284+E290</f>
        <v>0</v>
      </c>
      <c r="F266" s="820">
        <f t="shared" ref="F266:AJ266" si="17">F272+F278+F284+F290</f>
        <v>400</v>
      </c>
      <c r="G266" s="820">
        <f t="shared" si="17"/>
        <v>400</v>
      </c>
      <c r="H266" s="820">
        <f t="shared" si="17"/>
        <v>0</v>
      </c>
      <c r="I266" s="820">
        <f t="shared" si="17"/>
        <v>0</v>
      </c>
      <c r="J266" s="820">
        <f t="shared" si="17"/>
        <v>0</v>
      </c>
      <c r="K266" s="820">
        <f t="shared" si="17"/>
        <v>0</v>
      </c>
      <c r="L266" s="820">
        <f t="shared" si="17"/>
        <v>0</v>
      </c>
      <c r="M266" s="820">
        <f t="shared" si="17"/>
        <v>0</v>
      </c>
      <c r="N266" s="820">
        <f t="shared" si="17"/>
        <v>0</v>
      </c>
      <c r="O266" s="820">
        <f t="shared" si="17"/>
        <v>0</v>
      </c>
      <c r="P266" s="820">
        <f t="shared" si="17"/>
        <v>0</v>
      </c>
      <c r="Q266" s="820">
        <f t="shared" si="17"/>
        <v>0</v>
      </c>
      <c r="R266" s="820">
        <f t="shared" si="17"/>
        <v>0</v>
      </c>
      <c r="S266" s="820">
        <f t="shared" si="17"/>
        <v>0</v>
      </c>
      <c r="T266" s="820">
        <f t="shared" si="17"/>
        <v>0</v>
      </c>
      <c r="U266" s="820">
        <f t="shared" si="17"/>
        <v>0</v>
      </c>
      <c r="V266" s="820">
        <f t="shared" si="17"/>
        <v>0</v>
      </c>
      <c r="W266" s="820">
        <f t="shared" si="17"/>
        <v>0</v>
      </c>
      <c r="X266" s="820">
        <f t="shared" si="17"/>
        <v>0</v>
      </c>
      <c r="Y266" s="820">
        <f t="shared" si="17"/>
        <v>0</v>
      </c>
      <c r="Z266" s="820">
        <f t="shared" si="17"/>
        <v>0</v>
      </c>
      <c r="AA266" s="820">
        <f t="shared" si="17"/>
        <v>0</v>
      </c>
      <c r="AB266" s="820">
        <f t="shared" si="17"/>
        <v>0</v>
      </c>
      <c r="AC266" s="820">
        <f t="shared" si="17"/>
        <v>0</v>
      </c>
      <c r="AD266" s="820">
        <f t="shared" si="17"/>
        <v>0</v>
      </c>
      <c r="AE266" s="820">
        <f t="shared" si="17"/>
        <v>0</v>
      </c>
      <c r="AF266" s="820">
        <f t="shared" si="17"/>
        <v>0</v>
      </c>
      <c r="AG266" s="820">
        <f t="shared" si="17"/>
        <v>0</v>
      </c>
      <c r="AH266" s="820">
        <f t="shared" si="17"/>
        <v>0</v>
      </c>
      <c r="AI266" s="820">
        <f t="shared" si="17"/>
        <v>0</v>
      </c>
      <c r="AJ266" s="820">
        <f t="shared" si="17"/>
        <v>-400</v>
      </c>
      <c r="AK266" s="315"/>
      <c r="AL266" s="315" t="e">
        <f>G272+G278+G284+G290+#REF!</f>
        <v>#REF!</v>
      </c>
      <c r="AM266" s="315"/>
    </row>
    <row r="267" spans="1:39" s="244" customFormat="1" ht="12.75" customHeight="1" thickBot="1" x14ac:dyDescent="0.25">
      <c r="A267" s="135"/>
      <c r="B267" s="1127" t="s">
        <v>158</v>
      </c>
      <c r="C267" s="1128"/>
      <c r="D267" s="1128"/>
      <c r="E267" s="782"/>
      <c r="F267" s="782"/>
      <c r="G267" s="782"/>
      <c r="H267" s="782"/>
      <c r="I267" s="782"/>
      <c r="J267" s="782"/>
      <c r="K267" s="1162">
        <f>SUM(K268:N272)</f>
        <v>0</v>
      </c>
      <c r="L267" s="1163"/>
      <c r="M267" s="1163"/>
      <c r="N267" s="1163"/>
      <c r="O267" s="1162">
        <f>SUM(O268:R272)</f>
        <v>100</v>
      </c>
      <c r="P267" s="1163"/>
      <c r="Q267" s="1163"/>
      <c r="R267" s="1163"/>
      <c r="S267" s="1162">
        <f>SUM(S268:V272)</f>
        <v>0</v>
      </c>
      <c r="T267" s="1163"/>
      <c r="U267" s="1163"/>
      <c r="V267" s="1163"/>
      <c r="W267" s="1162">
        <f>SUM(W268:Z272)</f>
        <v>0</v>
      </c>
      <c r="X267" s="1163"/>
      <c r="Y267" s="1163"/>
      <c r="Z267" s="1163"/>
      <c r="AA267" s="1162">
        <f>SUM(AA268:AD272)</f>
        <v>0</v>
      </c>
      <c r="AB267" s="1163"/>
      <c r="AC267" s="1163"/>
      <c r="AD267" s="1163"/>
      <c r="AE267" s="1162">
        <f>SUM(AE268:AH272)</f>
        <v>0</v>
      </c>
      <c r="AF267" s="1163"/>
      <c r="AG267" s="1163"/>
      <c r="AH267" s="1163"/>
      <c r="AI267" s="359">
        <f t="shared" si="16"/>
        <v>100</v>
      </c>
      <c r="AJ267" s="315">
        <f t="shared" ref="AJ267:AJ324" si="18">AI267-G267</f>
        <v>100</v>
      </c>
      <c r="AK267" s="315"/>
      <c r="AL267" s="315"/>
      <c r="AM267" s="315"/>
    </row>
    <row r="268" spans="1:39" s="135" customFormat="1" ht="13.5" customHeight="1" thickBot="1" x14ac:dyDescent="0.25">
      <c r="A268" s="6"/>
      <c r="B268" s="1126" t="s">
        <v>144</v>
      </c>
      <c r="C268" s="1126"/>
      <c r="D268" s="1126"/>
      <c r="E268" s="369"/>
      <c r="F268" s="368"/>
      <c r="G268" s="424"/>
      <c r="H268" s="1132" t="s">
        <v>149</v>
      </c>
      <c r="I268" s="299"/>
      <c r="J268" s="299"/>
      <c r="K268" s="481"/>
      <c r="L268" s="482"/>
      <c r="M268" s="482"/>
      <c r="N268" s="678"/>
      <c r="O268" s="596"/>
      <c r="P268" s="561"/>
      <c r="Q268" s="595"/>
      <c r="R268" s="484"/>
      <c r="S268" s="679"/>
      <c r="T268" s="483"/>
      <c r="U268" s="482"/>
      <c r="V268" s="678"/>
      <c r="W268" s="680"/>
      <c r="X268" s="681"/>
      <c r="Y268" s="681"/>
      <c r="Z268" s="682"/>
      <c r="AA268" s="680"/>
      <c r="AB268" s="681"/>
      <c r="AC268" s="681"/>
      <c r="AD268" s="682"/>
      <c r="AE268" s="367"/>
      <c r="AF268" s="367"/>
      <c r="AG268" s="367"/>
      <c r="AH268" s="367"/>
      <c r="AI268" s="359">
        <f t="shared" si="16"/>
        <v>0</v>
      </c>
      <c r="AJ268" s="315">
        <f t="shared" si="18"/>
        <v>0</v>
      </c>
      <c r="AK268" s="315"/>
      <c r="AL268" s="315"/>
      <c r="AM268" s="315"/>
    </row>
    <row r="269" spans="1:39" s="135" customFormat="1" ht="13.5" thickBot="1" x14ac:dyDescent="0.25">
      <c r="A269" s="6"/>
      <c r="B269" s="1125" t="s">
        <v>94</v>
      </c>
      <c r="C269" s="1125"/>
      <c r="D269" s="1125"/>
      <c r="E269" s="369"/>
      <c r="F269" s="368"/>
      <c r="G269" s="424"/>
      <c r="H269" s="1133"/>
      <c r="I269" s="299"/>
      <c r="J269" s="299"/>
      <c r="K269" s="472"/>
      <c r="L269" s="386"/>
      <c r="M269" s="386"/>
      <c r="N269" s="473"/>
      <c r="O269" s="446"/>
      <c r="P269" s="428"/>
      <c r="Q269" s="432"/>
      <c r="R269" s="478"/>
      <c r="S269" s="479"/>
      <c r="T269" s="357"/>
      <c r="U269" s="367"/>
      <c r="V269" s="480"/>
      <c r="W269" s="299"/>
      <c r="X269" s="299"/>
      <c r="Y269" s="299"/>
      <c r="Z269" s="356"/>
      <c r="AA269" s="299"/>
      <c r="AB269" s="299"/>
      <c r="AC269" s="299"/>
      <c r="AD269" s="356"/>
      <c r="AE269" s="299"/>
      <c r="AF269" s="299"/>
      <c r="AG269" s="299"/>
      <c r="AH269" s="299"/>
      <c r="AI269" s="359">
        <f t="shared" si="16"/>
        <v>0</v>
      </c>
      <c r="AJ269" s="315">
        <f t="shared" si="18"/>
        <v>0</v>
      </c>
      <c r="AK269" s="315"/>
      <c r="AL269" s="315"/>
      <c r="AM269" s="315"/>
    </row>
    <row r="270" spans="1:39" s="135" customFormat="1" ht="13.5" thickBot="1" x14ac:dyDescent="0.25">
      <c r="A270" s="6"/>
      <c r="B270" s="1125" t="s">
        <v>143</v>
      </c>
      <c r="C270" s="1125"/>
      <c r="D270" s="1125"/>
      <c r="E270" s="369"/>
      <c r="F270" s="368"/>
      <c r="G270" s="424"/>
      <c r="H270" s="1133"/>
      <c r="I270" s="299"/>
      <c r="J270" s="299"/>
      <c r="K270" s="472"/>
      <c r="L270" s="386"/>
      <c r="M270" s="386"/>
      <c r="N270" s="473"/>
      <c r="O270" s="327"/>
      <c r="P270" s="328"/>
      <c r="Q270" s="433"/>
      <c r="R270" s="478"/>
      <c r="S270" s="479"/>
      <c r="T270" s="357"/>
      <c r="U270" s="367"/>
      <c r="V270" s="480"/>
      <c r="W270" s="299"/>
      <c r="X270" s="299"/>
      <c r="Y270" s="299"/>
      <c r="Z270" s="356"/>
      <c r="AA270" s="299"/>
      <c r="AB270" s="299"/>
      <c r="AC270" s="299"/>
      <c r="AD270" s="356"/>
      <c r="AE270" s="299"/>
      <c r="AF270" s="299"/>
      <c r="AG270" s="299"/>
      <c r="AH270" s="299"/>
      <c r="AI270" s="359">
        <f t="shared" si="16"/>
        <v>0</v>
      </c>
      <c r="AJ270" s="315">
        <f t="shared" si="18"/>
        <v>0</v>
      </c>
      <c r="AK270" s="315"/>
      <c r="AL270" s="315"/>
      <c r="AM270" s="315"/>
    </row>
    <row r="271" spans="1:39" s="135" customFormat="1" ht="13.5" thickBot="1" x14ac:dyDescent="0.25">
      <c r="A271" s="6"/>
      <c r="B271" s="1125" t="s">
        <v>142</v>
      </c>
      <c r="C271" s="1125"/>
      <c r="D271" s="1125"/>
      <c r="E271" s="370"/>
      <c r="F271" s="490">
        <v>100</v>
      </c>
      <c r="G271" s="491">
        <v>100</v>
      </c>
      <c r="H271" s="1133"/>
      <c r="I271" s="299"/>
      <c r="J271" s="299"/>
      <c r="K271" s="472"/>
      <c r="L271" s="386"/>
      <c r="M271" s="386"/>
      <c r="N271" s="473"/>
      <c r="O271" s="472"/>
      <c r="P271" s="386"/>
      <c r="Q271" s="346"/>
      <c r="R271" s="455">
        <v>100</v>
      </c>
      <c r="S271" s="438"/>
      <c r="T271" s="439"/>
      <c r="U271" s="367"/>
      <c r="V271" s="480"/>
      <c r="W271" s="299"/>
      <c r="X271" s="299"/>
      <c r="Y271" s="299"/>
      <c r="Z271" s="356"/>
      <c r="AA271" s="299"/>
      <c r="AB271" s="299"/>
      <c r="AC271" s="299"/>
      <c r="AD271" s="356"/>
      <c r="AE271" s="299"/>
      <c r="AF271" s="299"/>
      <c r="AG271" s="299"/>
      <c r="AH271" s="299"/>
      <c r="AI271" s="359">
        <f t="shared" si="16"/>
        <v>100</v>
      </c>
      <c r="AJ271" s="315">
        <f t="shared" si="18"/>
        <v>0</v>
      </c>
      <c r="AK271" s="315"/>
      <c r="AL271" s="315"/>
      <c r="AM271" s="315"/>
    </row>
    <row r="272" spans="1:39" s="135" customFormat="1" ht="13.5" thickBot="1" x14ac:dyDescent="0.25">
      <c r="A272" s="6"/>
      <c r="B272" s="1122" t="s">
        <v>91</v>
      </c>
      <c r="C272" s="1122"/>
      <c r="D272" s="1122"/>
      <c r="E272" s="369"/>
      <c r="F272" s="368">
        <v>100</v>
      </c>
      <c r="G272" s="683">
        <v>100</v>
      </c>
      <c r="H272" s="1134"/>
      <c r="I272" s="299"/>
      <c r="J272" s="299"/>
      <c r="K272" s="472"/>
      <c r="L272" s="386"/>
      <c r="M272" s="386"/>
      <c r="N272" s="473"/>
      <c r="O272" s="472"/>
      <c r="P272" s="386"/>
      <c r="Q272" s="346"/>
      <c r="R272" s="478"/>
      <c r="S272" s="354"/>
      <c r="T272" s="345"/>
      <c r="U272" s="299"/>
      <c r="V272" s="356"/>
      <c r="W272" s="299"/>
      <c r="X272" s="299"/>
      <c r="Y272" s="299"/>
      <c r="Z272" s="356"/>
      <c r="AA272" s="299"/>
      <c r="AB272" s="299"/>
      <c r="AC272" s="299"/>
      <c r="AD272" s="356"/>
      <c r="AE272" s="299"/>
      <c r="AF272" s="299"/>
      <c r="AG272" s="299"/>
      <c r="AH272" s="299"/>
      <c r="AI272" s="359">
        <f t="shared" si="16"/>
        <v>0</v>
      </c>
      <c r="AJ272" s="315">
        <f t="shared" si="18"/>
        <v>-100</v>
      </c>
      <c r="AK272" s="315"/>
      <c r="AL272" s="315"/>
      <c r="AM272" s="315"/>
    </row>
    <row r="273" spans="1:39" s="244" customFormat="1" ht="12.75" customHeight="1" thickBot="1" x14ac:dyDescent="0.25">
      <c r="A273" s="135"/>
      <c r="B273" s="1127" t="s">
        <v>150</v>
      </c>
      <c r="C273" s="1128"/>
      <c r="D273" s="1128"/>
      <c r="E273" s="782"/>
      <c r="F273" s="782"/>
      <c r="G273" s="782"/>
      <c r="H273" s="782"/>
      <c r="I273" s="782"/>
      <c r="J273" s="782"/>
      <c r="K273" s="1162">
        <f>SUM(K274:N278)</f>
        <v>0</v>
      </c>
      <c r="L273" s="1163"/>
      <c r="M273" s="1163"/>
      <c r="N273" s="1163"/>
      <c r="O273" s="1162">
        <f>SUM(O274:R278)</f>
        <v>0</v>
      </c>
      <c r="P273" s="1163"/>
      <c r="Q273" s="1163"/>
      <c r="R273" s="1163"/>
      <c r="S273" s="1162">
        <f>SUM(S274:V278)</f>
        <v>100</v>
      </c>
      <c r="T273" s="1163"/>
      <c r="U273" s="1163"/>
      <c r="V273" s="1163"/>
      <c r="W273" s="1162">
        <f>SUM(W274:Z278)</f>
        <v>0</v>
      </c>
      <c r="X273" s="1163"/>
      <c r="Y273" s="1163"/>
      <c r="Z273" s="1163"/>
      <c r="AA273" s="1162">
        <f>SUM(AA274:AD278)</f>
        <v>0</v>
      </c>
      <c r="AB273" s="1163"/>
      <c r="AC273" s="1163"/>
      <c r="AD273" s="1163"/>
      <c r="AE273" s="1162">
        <f>SUM(AE274:AH278)</f>
        <v>0</v>
      </c>
      <c r="AF273" s="1163"/>
      <c r="AG273" s="1163"/>
      <c r="AH273" s="1163"/>
      <c r="AI273" s="359">
        <f t="shared" si="16"/>
        <v>100</v>
      </c>
      <c r="AJ273" s="315">
        <f t="shared" si="18"/>
        <v>100</v>
      </c>
      <c r="AK273" s="315"/>
      <c r="AL273" s="315"/>
      <c r="AM273" s="315"/>
    </row>
    <row r="274" spans="1:39" s="135" customFormat="1" ht="13.5" customHeight="1" thickBot="1" x14ac:dyDescent="0.25">
      <c r="A274" s="6"/>
      <c r="B274" s="1126" t="s">
        <v>144</v>
      </c>
      <c r="C274" s="1126"/>
      <c r="D274" s="1126"/>
      <c r="E274" s="369"/>
      <c r="F274" s="368"/>
      <c r="G274" s="424"/>
      <c r="H274" s="1132" t="s">
        <v>149</v>
      </c>
      <c r="I274" s="299"/>
      <c r="J274" s="299"/>
      <c r="K274" s="481"/>
      <c r="L274" s="482"/>
      <c r="M274" s="482"/>
      <c r="N274" s="678"/>
      <c r="S274" s="596"/>
      <c r="T274" s="561"/>
      <c r="U274" s="595"/>
      <c r="V274" s="484"/>
      <c r="W274" s="680"/>
      <c r="X274" s="681"/>
      <c r="Y274" s="681"/>
      <c r="Z274" s="682"/>
      <c r="AA274" s="680"/>
      <c r="AB274" s="681"/>
      <c r="AC274" s="681"/>
      <c r="AD274" s="682"/>
      <c r="AE274" s="367"/>
      <c r="AF274" s="367"/>
      <c r="AG274" s="367"/>
      <c r="AH274" s="367"/>
      <c r="AI274" s="359">
        <f t="shared" si="16"/>
        <v>0</v>
      </c>
      <c r="AJ274" s="315">
        <f t="shared" si="18"/>
        <v>0</v>
      </c>
      <c r="AK274" s="315"/>
      <c r="AL274" s="315"/>
      <c r="AM274" s="315"/>
    </row>
    <row r="275" spans="1:39" s="135" customFormat="1" ht="13.5" thickBot="1" x14ac:dyDescent="0.25">
      <c r="A275" s="6"/>
      <c r="B275" s="1125" t="s">
        <v>94</v>
      </c>
      <c r="C275" s="1125"/>
      <c r="D275" s="1125"/>
      <c r="E275" s="369"/>
      <c r="F275" s="368"/>
      <c r="G275" s="424"/>
      <c r="H275" s="1133"/>
      <c r="I275" s="299"/>
      <c r="J275" s="299"/>
      <c r="K275" s="472"/>
      <c r="L275" s="386"/>
      <c r="M275" s="386"/>
      <c r="N275" s="473"/>
      <c r="S275" s="446"/>
      <c r="T275" s="428"/>
      <c r="U275" s="432"/>
      <c r="V275" s="478"/>
      <c r="W275" s="299"/>
      <c r="X275" s="299"/>
      <c r="Y275" s="299"/>
      <c r="Z275" s="356"/>
      <c r="AA275" s="299"/>
      <c r="AB275" s="299"/>
      <c r="AC275" s="299"/>
      <c r="AD275" s="356"/>
      <c r="AE275" s="299"/>
      <c r="AF275" s="299"/>
      <c r="AG275" s="299"/>
      <c r="AH275" s="299"/>
      <c r="AI275" s="359">
        <f t="shared" si="16"/>
        <v>0</v>
      </c>
      <c r="AJ275" s="315">
        <f t="shared" si="18"/>
        <v>0</v>
      </c>
      <c r="AK275" s="315"/>
      <c r="AL275" s="315"/>
      <c r="AM275" s="315"/>
    </row>
    <row r="276" spans="1:39" s="135" customFormat="1" ht="13.5" thickBot="1" x14ac:dyDescent="0.25">
      <c r="A276" s="6"/>
      <c r="B276" s="1125" t="s">
        <v>143</v>
      </c>
      <c r="C276" s="1125"/>
      <c r="D276" s="1125"/>
      <c r="E276" s="369"/>
      <c r="F276" s="368"/>
      <c r="G276" s="424"/>
      <c r="H276" s="1133"/>
      <c r="I276" s="299"/>
      <c r="J276" s="299"/>
      <c r="K276" s="472"/>
      <c r="L276" s="386"/>
      <c r="M276" s="386"/>
      <c r="N276" s="473"/>
      <c r="S276" s="327"/>
      <c r="T276" s="328"/>
      <c r="U276" s="433"/>
      <c r="V276" s="478"/>
      <c r="W276" s="299"/>
      <c r="X276" s="299"/>
      <c r="Y276" s="299"/>
      <c r="Z276" s="356"/>
      <c r="AA276" s="299"/>
      <c r="AB276" s="299"/>
      <c r="AC276" s="299"/>
      <c r="AD276" s="356"/>
      <c r="AE276" s="299"/>
      <c r="AF276" s="299"/>
      <c r="AG276" s="299"/>
      <c r="AH276" s="299"/>
      <c r="AI276" s="359">
        <f t="shared" si="16"/>
        <v>0</v>
      </c>
      <c r="AJ276" s="315">
        <f t="shared" si="18"/>
        <v>0</v>
      </c>
      <c r="AK276" s="315"/>
      <c r="AL276" s="315"/>
      <c r="AM276" s="315"/>
    </row>
    <row r="277" spans="1:39" s="135" customFormat="1" ht="13.5" thickBot="1" x14ac:dyDescent="0.25">
      <c r="A277" s="6"/>
      <c r="B277" s="1125" t="s">
        <v>142</v>
      </c>
      <c r="C277" s="1125"/>
      <c r="D277" s="1125"/>
      <c r="E277" s="370"/>
      <c r="F277" s="490">
        <v>100</v>
      </c>
      <c r="G277" s="491">
        <v>100</v>
      </c>
      <c r="H277" s="1133"/>
      <c r="I277" s="299"/>
      <c r="J277" s="299"/>
      <c r="K277" s="472"/>
      <c r="L277" s="386"/>
      <c r="M277" s="386"/>
      <c r="N277" s="473"/>
      <c r="S277" s="472"/>
      <c r="T277" s="386"/>
      <c r="U277" s="346"/>
      <c r="V277" s="455">
        <v>100</v>
      </c>
      <c r="W277" s="299"/>
      <c r="X277" s="299"/>
      <c r="Y277" s="299"/>
      <c r="Z277" s="356"/>
      <c r="AA277" s="299"/>
      <c r="AB277" s="299"/>
      <c r="AC277" s="299"/>
      <c r="AD277" s="356"/>
      <c r="AE277" s="299"/>
      <c r="AF277" s="299"/>
      <c r="AG277" s="299"/>
      <c r="AH277" s="299"/>
      <c r="AI277" s="359">
        <f t="shared" si="16"/>
        <v>100</v>
      </c>
      <c r="AJ277" s="315">
        <f t="shared" si="18"/>
        <v>0</v>
      </c>
      <c r="AK277" s="315"/>
      <c r="AL277" s="315"/>
      <c r="AM277" s="315"/>
    </row>
    <row r="278" spans="1:39" s="135" customFormat="1" ht="13.5" thickBot="1" x14ac:dyDescent="0.25">
      <c r="A278" s="6"/>
      <c r="B278" s="1122" t="s">
        <v>91</v>
      </c>
      <c r="C278" s="1122"/>
      <c r="D278" s="1122"/>
      <c r="E278" s="369"/>
      <c r="F278" s="368">
        <v>100</v>
      </c>
      <c r="G278" s="683">
        <v>100</v>
      </c>
      <c r="H278" s="1134"/>
      <c r="I278" s="299"/>
      <c r="J278" s="299"/>
      <c r="K278" s="472"/>
      <c r="L278" s="386"/>
      <c r="M278" s="386"/>
      <c r="N278" s="473"/>
      <c r="S278" s="472"/>
      <c r="T278" s="386"/>
      <c r="U278" s="346"/>
      <c r="V278" s="478"/>
      <c r="W278" s="299"/>
      <c r="X278" s="299"/>
      <c r="Y278" s="299"/>
      <c r="Z278" s="356"/>
      <c r="AA278" s="299"/>
      <c r="AB278" s="299"/>
      <c r="AC278" s="299"/>
      <c r="AD278" s="356"/>
      <c r="AE278" s="299"/>
      <c r="AF278" s="299"/>
      <c r="AG278" s="299"/>
      <c r="AH278" s="299"/>
      <c r="AI278" s="359">
        <f t="shared" si="16"/>
        <v>0</v>
      </c>
      <c r="AJ278" s="315">
        <f t="shared" si="18"/>
        <v>-100</v>
      </c>
      <c r="AK278" s="315"/>
      <c r="AL278" s="315"/>
      <c r="AM278" s="315"/>
    </row>
    <row r="279" spans="1:39" s="244" customFormat="1" ht="12.75" customHeight="1" thickBot="1" x14ac:dyDescent="0.25">
      <c r="A279" s="135"/>
      <c r="B279" s="1127" t="s">
        <v>151</v>
      </c>
      <c r="C279" s="1128"/>
      <c r="D279" s="1128"/>
      <c r="E279" s="782"/>
      <c r="F279" s="782"/>
      <c r="G279" s="782"/>
      <c r="H279" s="782"/>
      <c r="I279" s="782"/>
      <c r="J279" s="782"/>
      <c r="K279" s="1162">
        <f>SUM(K280:N284)</f>
        <v>0</v>
      </c>
      <c r="L279" s="1163"/>
      <c r="M279" s="1163"/>
      <c r="N279" s="1163"/>
      <c r="O279" s="1162">
        <f>SUM(O280:R284)</f>
        <v>0</v>
      </c>
      <c r="P279" s="1163"/>
      <c r="Q279" s="1163"/>
      <c r="R279" s="1163"/>
      <c r="S279" s="1162">
        <f>SUM(S280:V284)</f>
        <v>100</v>
      </c>
      <c r="T279" s="1163"/>
      <c r="U279" s="1163"/>
      <c r="V279" s="1163"/>
      <c r="W279" s="1162">
        <f>SUM(W280:Z284)</f>
        <v>0</v>
      </c>
      <c r="X279" s="1163"/>
      <c r="Y279" s="1163"/>
      <c r="Z279" s="1163"/>
      <c r="AA279" s="1162">
        <f>SUM(AA280:AD284)</f>
        <v>0</v>
      </c>
      <c r="AB279" s="1163"/>
      <c r="AC279" s="1163"/>
      <c r="AD279" s="1163"/>
      <c r="AE279" s="1162">
        <f>SUM(AE280:AH284)</f>
        <v>0</v>
      </c>
      <c r="AF279" s="1163"/>
      <c r="AG279" s="1163"/>
      <c r="AH279" s="1163"/>
      <c r="AI279" s="359">
        <f t="shared" si="16"/>
        <v>100</v>
      </c>
      <c r="AJ279" s="315">
        <f t="shared" si="18"/>
        <v>100</v>
      </c>
      <c r="AK279" s="315"/>
      <c r="AL279" s="315"/>
      <c r="AM279" s="315"/>
    </row>
    <row r="280" spans="1:39" s="135" customFormat="1" ht="13.5" customHeight="1" thickBot="1" x14ac:dyDescent="0.25">
      <c r="A280" s="6"/>
      <c r="B280" s="1126" t="s">
        <v>144</v>
      </c>
      <c r="C280" s="1126"/>
      <c r="D280" s="1126"/>
      <c r="E280" s="369"/>
      <c r="F280" s="368"/>
      <c r="G280" s="424"/>
      <c r="H280" s="1132" t="s">
        <v>149</v>
      </c>
      <c r="I280" s="299"/>
      <c r="J280" s="299"/>
      <c r="K280" s="481"/>
      <c r="L280" s="482"/>
      <c r="M280" s="482"/>
      <c r="N280" s="678"/>
      <c r="S280" s="596"/>
      <c r="T280" s="561"/>
      <c r="U280" s="595"/>
      <c r="V280" s="484"/>
      <c r="W280" s="680"/>
      <c r="X280" s="681"/>
      <c r="Y280" s="681"/>
      <c r="Z280" s="682"/>
      <c r="AA280" s="680"/>
      <c r="AB280" s="681"/>
      <c r="AC280" s="681"/>
      <c r="AD280" s="682"/>
      <c r="AE280" s="367"/>
      <c r="AF280" s="367"/>
      <c r="AG280" s="367"/>
      <c r="AH280" s="367"/>
      <c r="AI280" s="359">
        <f t="shared" si="16"/>
        <v>0</v>
      </c>
      <c r="AJ280" s="315">
        <f t="shared" si="18"/>
        <v>0</v>
      </c>
      <c r="AK280" s="315"/>
      <c r="AL280" s="315"/>
      <c r="AM280" s="315"/>
    </row>
    <row r="281" spans="1:39" s="135" customFormat="1" ht="13.5" thickBot="1" x14ac:dyDescent="0.25">
      <c r="A281" s="6"/>
      <c r="B281" s="1125" t="s">
        <v>94</v>
      </c>
      <c r="C281" s="1125"/>
      <c r="D281" s="1125"/>
      <c r="E281" s="369"/>
      <c r="F281" s="368"/>
      <c r="G281" s="424"/>
      <c r="H281" s="1133"/>
      <c r="I281" s="299"/>
      <c r="J281" s="299"/>
      <c r="K281" s="472"/>
      <c r="L281" s="386"/>
      <c r="M281" s="386"/>
      <c r="N281" s="473"/>
      <c r="S281" s="446"/>
      <c r="T281" s="428"/>
      <c r="U281" s="432"/>
      <c r="V281" s="478"/>
      <c r="W281" s="299"/>
      <c r="X281" s="299"/>
      <c r="Y281" s="299"/>
      <c r="Z281" s="356"/>
      <c r="AA281" s="299"/>
      <c r="AB281" s="299"/>
      <c r="AC281" s="299"/>
      <c r="AD281" s="356"/>
      <c r="AE281" s="299"/>
      <c r="AF281" s="299"/>
      <c r="AG281" s="299"/>
      <c r="AH281" s="299"/>
      <c r="AI281" s="359">
        <f t="shared" si="16"/>
        <v>0</v>
      </c>
      <c r="AJ281" s="315">
        <f t="shared" si="18"/>
        <v>0</v>
      </c>
      <c r="AK281" s="315"/>
      <c r="AL281" s="315"/>
      <c r="AM281" s="315"/>
    </row>
    <row r="282" spans="1:39" s="135" customFormat="1" ht="13.5" thickBot="1" x14ac:dyDescent="0.25">
      <c r="A282" s="6"/>
      <c r="B282" s="1125" t="s">
        <v>143</v>
      </c>
      <c r="C282" s="1125"/>
      <c r="D282" s="1125"/>
      <c r="E282" s="369"/>
      <c r="F282" s="368"/>
      <c r="G282" s="424"/>
      <c r="H282" s="1133"/>
      <c r="I282" s="299"/>
      <c r="J282" s="299"/>
      <c r="K282" s="472"/>
      <c r="L282" s="386"/>
      <c r="M282" s="386"/>
      <c r="N282" s="473"/>
      <c r="S282" s="327"/>
      <c r="T282" s="328"/>
      <c r="U282" s="433"/>
      <c r="V282" s="478"/>
      <c r="W282" s="299"/>
      <c r="X282" s="299"/>
      <c r="Y282" s="299"/>
      <c r="Z282" s="356"/>
      <c r="AA282" s="299"/>
      <c r="AB282" s="299"/>
      <c r="AC282" s="299"/>
      <c r="AD282" s="356"/>
      <c r="AE282" s="299"/>
      <c r="AF282" s="299"/>
      <c r="AG282" s="299"/>
      <c r="AH282" s="299"/>
      <c r="AI282" s="359">
        <f t="shared" si="16"/>
        <v>0</v>
      </c>
      <c r="AJ282" s="315">
        <f t="shared" si="18"/>
        <v>0</v>
      </c>
      <c r="AK282" s="315"/>
      <c r="AL282" s="315"/>
      <c r="AM282" s="315"/>
    </row>
    <row r="283" spans="1:39" s="135" customFormat="1" ht="13.5" thickBot="1" x14ac:dyDescent="0.25">
      <c r="A283" s="6"/>
      <c r="B283" s="1125" t="s">
        <v>142</v>
      </c>
      <c r="C283" s="1125"/>
      <c r="D283" s="1125"/>
      <c r="E283" s="370"/>
      <c r="F283" s="490">
        <v>100</v>
      </c>
      <c r="G283" s="491">
        <v>100</v>
      </c>
      <c r="H283" s="1133"/>
      <c r="I283" s="299"/>
      <c r="J283" s="299"/>
      <c r="K283" s="472"/>
      <c r="L283" s="386"/>
      <c r="M283" s="386"/>
      <c r="N283" s="473"/>
      <c r="S283" s="472"/>
      <c r="T283" s="386"/>
      <c r="U283" s="346"/>
      <c r="V283" s="455">
        <v>100</v>
      </c>
      <c r="W283" s="299"/>
      <c r="X283" s="299"/>
      <c r="Y283" s="299"/>
      <c r="Z283" s="356"/>
      <c r="AA283" s="299"/>
      <c r="AB283" s="299"/>
      <c r="AC283" s="299"/>
      <c r="AD283" s="356"/>
      <c r="AE283" s="299"/>
      <c r="AF283" s="299"/>
      <c r="AG283" s="299"/>
      <c r="AH283" s="299"/>
      <c r="AI283" s="359">
        <f t="shared" si="16"/>
        <v>100</v>
      </c>
      <c r="AJ283" s="315">
        <f t="shared" si="18"/>
        <v>0</v>
      </c>
      <c r="AK283" s="315"/>
      <c r="AL283" s="315"/>
      <c r="AM283" s="315"/>
    </row>
    <row r="284" spans="1:39" s="135" customFormat="1" ht="13.5" thickBot="1" x14ac:dyDescent="0.25">
      <c r="A284" s="6"/>
      <c r="B284" s="1122" t="s">
        <v>91</v>
      </c>
      <c r="C284" s="1122"/>
      <c r="D284" s="1122"/>
      <c r="E284" s="369"/>
      <c r="F284" s="368">
        <v>100</v>
      </c>
      <c r="G284" s="683">
        <v>100</v>
      </c>
      <c r="H284" s="1134"/>
      <c r="I284" s="299"/>
      <c r="J284" s="299"/>
      <c r="K284" s="472"/>
      <c r="L284" s="386"/>
      <c r="M284" s="386"/>
      <c r="N284" s="473"/>
      <c r="S284" s="472"/>
      <c r="T284" s="386"/>
      <c r="U284" s="346"/>
      <c r="V284" s="478"/>
      <c r="W284" s="299"/>
      <c r="X284" s="299"/>
      <c r="Y284" s="299"/>
      <c r="Z284" s="356"/>
      <c r="AA284" s="299"/>
      <c r="AB284" s="299"/>
      <c r="AC284" s="299"/>
      <c r="AD284" s="356"/>
      <c r="AE284" s="299"/>
      <c r="AF284" s="299"/>
      <c r="AG284" s="299"/>
      <c r="AH284" s="299"/>
      <c r="AI284" s="359">
        <f t="shared" si="16"/>
        <v>0</v>
      </c>
      <c r="AJ284" s="315">
        <f t="shared" si="18"/>
        <v>-100</v>
      </c>
      <c r="AK284" s="315"/>
      <c r="AL284" s="315"/>
      <c r="AM284" s="315"/>
    </row>
    <row r="285" spans="1:39" s="244" customFormat="1" ht="12.75" customHeight="1" thickBot="1" x14ac:dyDescent="0.25">
      <c r="A285" s="135"/>
      <c r="B285" s="1127" t="s">
        <v>152</v>
      </c>
      <c r="C285" s="1128"/>
      <c r="D285" s="1128"/>
      <c r="E285" s="782"/>
      <c r="F285" s="782"/>
      <c r="G285" s="782"/>
      <c r="H285" s="782"/>
      <c r="I285" s="782"/>
      <c r="J285" s="782"/>
      <c r="K285" s="1162">
        <f>SUM(K286:N290)</f>
        <v>0</v>
      </c>
      <c r="L285" s="1163"/>
      <c r="M285" s="1163"/>
      <c r="N285" s="1163"/>
      <c r="O285" s="1162">
        <f>SUM(O286:R290)</f>
        <v>0</v>
      </c>
      <c r="P285" s="1163"/>
      <c r="Q285" s="1163"/>
      <c r="R285" s="1163"/>
      <c r="S285" s="1162">
        <f>SUM(S286:V290)</f>
        <v>100</v>
      </c>
      <c r="T285" s="1163"/>
      <c r="U285" s="1163"/>
      <c r="V285" s="1163"/>
      <c r="W285" s="1162">
        <f>SUM(W286:Z290)</f>
        <v>0</v>
      </c>
      <c r="X285" s="1163"/>
      <c r="Y285" s="1163"/>
      <c r="Z285" s="1163"/>
      <c r="AA285" s="1162">
        <f>SUM(AA286:AD290)</f>
        <v>0</v>
      </c>
      <c r="AB285" s="1163"/>
      <c r="AC285" s="1163"/>
      <c r="AD285" s="1163"/>
      <c r="AE285" s="1162">
        <f>SUM(AE286:AH290)</f>
        <v>0</v>
      </c>
      <c r="AF285" s="1163"/>
      <c r="AG285" s="1163"/>
      <c r="AH285" s="1163"/>
      <c r="AI285" s="359">
        <f t="shared" si="16"/>
        <v>100</v>
      </c>
      <c r="AJ285" s="315">
        <f t="shared" si="18"/>
        <v>100</v>
      </c>
      <c r="AK285" s="315"/>
      <c r="AL285" s="315"/>
      <c r="AM285" s="315"/>
    </row>
    <row r="286" spans="1:39" s="135" customFormat="1" ht="13.5" customHeight="1" thickBot="1" x14ac:dyDescent="0.25">
      <c r="A286" s="6"/>
      <c r="B286" s="1126" t="s">
        <v>144</v>
      </c>
      <c r="C286" s="1126"/>
      <c r="D286" s="1126"/>
      <c r="E286" s="369"/>
      <c r="F286" s="368"/>
      <c r="G286" s="424"/>
      <c r="H286" s="1132" t="s">
        <v>149</v>
      </c>
      <c r="I286" s="299"/>
      <c r="J286" s="299"/>
      <c r="K286" s="481"/>
      <c r="L286" s="482"/>
      <c r="M286" s="482"/>
      <c r="N286" s="678"/>
      <c r="S286" s="596"/>
      <c r="T286" s="561"/>
      <c r="U286" s="595"/>
      <c r="V286" s="484"/>
      <c r="W286" s="680"/>
      <c r="X286" s="681"/>
      <c r="Y286" s="681"/>
      <c r="Z286" s="682"/>
      <c r="AA286" s="680"/>
      <c r="AB286" s="681"/>
      <c r="AC286" s="681"/>
      <c r="AD286" s="682"/>
      <c r="AE286" s="367"/>
      <c r="AF286" s="367"/>
      <c r="AG286" s="367"/>
      <c r="AH286" s="367"/>
      <c r="AI286" s="359">
        <f t="shared" si="16"/>
        <v>0</v>
      </c>
      <c r="AJ286" s="315">
        <f t="shared" si="18"/>
        <v>0</v>
      </c>
      <c r="AK286" s="315"/>
      <c r="AL286" s="315"/>
      <c r="AM286" s="315"/>
    </row>
    <row r="287" spans="1:39" s="135" customFormat="1" ht="13.5" thickBot="1" x14ac:dyDescent="0.25">
      <c r="A287" s="6"/>
      <c r="B287" s="1125" t="s">
        <v>94</v>
      </c>
      <c r="C287" s="1125"/>
      <c r="D287" s="1125"/>
      <c r="E287" s="369"/>
      <c r="F287" s="368"/>
      <c r="G287" s="424"/>
      <c r="H287" s="1133"/>
      <c r="I287" s="299"/>
      <c r="J287" s="299"/>
      <c r="K287" s="472"/>
      <c r="L287" s="386"/>
      <c r="M287" s="386"/>
      <c r="N287" s="473"/>
      <c r="S287" s="446"/>
      <c r="T287" s="428"/>
      <c r="U287" s="432"/>
      <c r="V287" s="478"/>
      <c r="W287" s="299"/>
      <c r="X287" s="299"/>
      <c r="Y287" s="299"/>
      <c r="Z287" s="356"/>
      <c r="AA287" s="299"/>
      <c r="AB287" s="299"/>
      <c r="AC287" s="299"/>
      <c r="AD287" s="356"/>
      <c r="AE287" s="299"/>
      <c r="AF287" s="299"/>
      <c r="AG287" s="299"/>
      <c r="AH287" s="299"/>
      <c r="AI287" s="359">
        <f t="shared" si="16"/>
        <v>0</v>
      </c>
      <c r="AJ287" s="315">
        <f t="shared" si="18"/>
        <v>0</v>
      </c>
      <c r="AK287" s="315"/>
      <c r="AL287" s="315"/>
      <c r="AM287" s="315"/>
    </row>
    <row r="288" spans="1:39" s="135" customFormat="1" ht="13.5" thickBot="1" x14ac:dyDescent="0.25">
      <c r="A288" s="6"/>
      <c r="B288" s="1125" t="s">
        <v>143</v>
      </c>
      <c r="C288" s="1125"/>
      <c r="D288" s="1125"/>
      <c r="E288" s="369"/>
      <c r="F288" s="368"/>
      <c r="G288" s="424"/>
      <c r="H288" s="1133"/>
      <c r="I288" s="299"/>
      <c r="J288" s="299"/>
      <c r="K288" s="472"/>
      <c r="L288" s="386"/>
      <c r="M288" s="386"/>
      <c r="N288" s="473"/>
      <c r="S288" s="327"/>
      <c r="T288" s="328"/>
      <c r="U288" s="433"/>
      <c r="V288" s="478"/>
      <c r="W288" s="299"/>
      <c r="X288" s="299"/>
      <c r="Y288" s="299"/>
      <c r="Z288" s="356"/>
      <c r="AA288" s="299"/>
      <c r="AB288" s="299"/>
      <c r="AC288" s="299"/>
      <c r="AD288" s="356"/>
      <c r="AE288" s="299"/>
      <c r="AF288" s="299"/>
      <c r="AG288" s="299"/>
      <c r="AH288" s="299"/>
      <c r="AI288" s="359">
        <f t="shared" si="16"/>
        <v>0</v>
      </c>
      <c r="AJ288" s="315">
        <f t="shared" si="18"/>
        <v>0</v>
      </c>
      <c r="AK288" s="315"/>
      <c r="AL288" s="315"/>
      <c r="AM288" s="315"/>
    </row>
    <row r="289" spans="1:39" s="135" customFormat="1" ht="13.5" thickBot="1" x14ac:dyDescent="0.25">
      <c r="A289" s="6"/>
      <c r="B289" s="1125" t="s">
        <v>142</v>
      </c>
      <c r="C289" s="1125"/>
      <c r="D289" s="1125"/>
      <c r="E289" s="370"/>
      <c r="F289" s="490">
        <v>100</v>
      </c>
      <c r="G289" s="491">
        <v>100</v>
      </c>
      <c r="H289" s="1133"/>
      <c r="I289" s="299"/>
      <c r="J289" s="299"/>
      <c r="K289" s="472"/>
      <c r="L289" s="386"/>
      <c r="M289" s="386"/>
      <c r="N289" s="473"/>
      <c r="S289" s="472"/>
      <c r="T289" s="386"/>
      <c r="U289" s="346"/>
      <c r="V289" s="455">
        <v>100</v>
      </c>
      <c r="W289" s="299"/>
      <c r="X289" s="299"/>
      <c r="Y289" s="299"/>
      <c r="Z289" s="356"/>
      <c r="AA289" s="299"/>
      <c r="AB289" s="299"/>
      <c r="AC289" s="299"/>
      <c r="AD289" s="356"/>
      <c r="AE289" s="299"/>
      <c r="AF289" s="299"/>
      <c r="AG289" s="299"/>
      <c r="AH289" s="299"/>
      <c r="AI289" s="359">
        <f t="shared" si="16"/>
        <v>100</v>
      </c>
      <c r="AJ289" s="315">
        <f t="shared" si="18"/>
        <v>0</v>
      </c>
      <c r="AK289" s="315"/>
      <c r="AL289" s="315"/>
      <c r="AM289" s="315"/>
    </row>
    <row r="290" spans="1:39" s="135" customFormat="1" ht="13.5" thickBot="1" x14ac:dyDescent="0.25">
      <c r="A290" s="6"/>
      <c r="B290" s="1122" t="s">
        <v>91</v>
      </c>
      <c r="C290" s="1122"/>
      <c r="D290" s="1122"/>
      <c r="E290" s="369"/>
      <c r="F290" s="368">
        <v>100</v>
      </c>
      <c r="G290" s="683">
        <v>100</v>
      </c>
      <c r="H290" s="1134"/>
      <c r="I290" s="299"/>
      <c r="J290" s="299"/>
      <c r="K290" s="472"/>
      <c r="L290" s="386"/>
      <c r="M290" s="386"/>
      <c r="N290" s="473"/>
      <c r="S290" s="472"/>
      <c r="T290" s="386"/>
      <c r="U290" s="346"/>
      <c r="V290" s="478"/>
      <c r="W290" s="299"/>
      <c r="X290" s="299"/>
      <c r="Y290" s="299"/>
      <c r="Z290" s="356"/>
      <c r="AA290" s="299"/>
      <c r="AB290" s="299"/>
      <c r="AC290" s="299"/>
      <c r="AD290" s="356"/>
      <c r="AE290" s="299"/>
      <c r="AF290" s="299"/>
      <c r="AG290" s="299"/>
      <c r="AH290" s="299"/>
      <c r="AI290" s="359">
        <f t="shared" si="16"/>
        <v>0</v>
      </c>
      <c r="AJ290" s="315">
        <f t="shared" si="18"/>
        <v>-100</v>
      </c>
      <c r="AK290" s="315"/>
      <c r="AL290" s="315"/>
      <c r="AM290" s="315"/>
    </row>
    <row r="291" spans="1:39" s="6" customFormat="1" ht="12.75" customHeight="1" x14ac:dyDescent="0.2">
      <c r="B291" s="783" t="s">
        <v>204</v>
      </c>
      <c r="C291" s="787"/>
      <c r="D291" s="788"/>
      <c r="E291" s="663">
        <f>E297+E303+E309+E315+E321+E327</f>
        <v>0</v>
      </c>
      <c r="F291" s="803">
        <f>F297+F303+F309+F315+F321+F327</f>
        <v>510</v>
      </c>
      <c r="G291" s="726">
        <f>G297+G303+G309+G315+G321+G327</f>
        <v>510</v>
      </c>
      <c r="H291" s="663"/>
      <c r="I291" s="663"/>
      <c r="J291" s="663"/>
      <c r="K291" s="1135">
        <f>K292+K298+K304+K310+K316+K322</f>
        <v>0</v>
      </c>
      <c r="L291" s="1136"/>
      <c r="M291" s="1136"/>
      <c r="N291" s="1137"/>
      <c r="O291" s="1135">
        <f>O292+O298+O304+O310+O316+O322</f>
        <v>112</v>
      </c>
      <c r="P291" s="1136"/>
      <c r="Q291" s="1136"/>
      <c r="R291" s="1137"/>
      <c r="S291" s="1135">
        <f>S292+S298+S304+S310+S316+S322</f>
        <v>128</v>
      </c>
      <c r="T291" s="1136"/>
      <c r="U291" s="1136"/>
      <c r="V291" s="1137"/>
      <c r="W291" s="1135">
        <f>W292+W298+W304+W310+W316+W322</f>
        <v>115</v>
      </c>
      <c r="X291" s="1136"/>
      <c r="Y291" s="1136"/>
      <c r="Z291" s="1137"/>
      <c r="AA291" s="1135">
        <f>AA292+AA298+AA304+AA310+AA316+AA322</f>
        <v>89</v>
      </c>
      <c r="AB291" s="1136"/>
      <c r="AC291" s="1136"/>
      <c r="AD291" s="1137"/>
      <c r="AE291" s="1135">
        <f>AE292+AE298+AE304+AE310+AE316+AE322+AE322</f>
        <v>79</v>
      </c>
      <c r="AF291" s="1136"/>
      <c r="AG291" s="1136"/>
      <c r="AH291" s="1137"/>
      <c r="AI291" s="811">
        <f>AI292+AI298+AI304+AI310+AI316+AI322</f>
        <v>510</v>
      </c>
      <c r="AJ291" s="315">
        <f t="shared" si="18"/>
        <v>0</v>
      </c>
      <c r="AK291" s="315">
        <f>AI292+AI298+AI304+AI310+AI316+AI322</f>
        <v>510</v>
      </c>
      <c r="AL291" s="315"/>
      <c r="AM291" s="315"/>
    </row>
    <row r="292" spans="1:39" s="244" customFormat="1" ht="12.75" customHeight="1" thickBot="1" x14ac:dyDescent="0.25">
      <c r="A292" s="6"/>
      <c r="B292" s="781" t="s">
        <v>110</v>
      </c>
      <c r="C292" s="782"/>
      <c r="D292" s="782"/>
      <c r="E292" s="782"/>
      <c r="F292" s="782"/>
      <c r="G292" s="782"/>
      <c r="H292" s="782"/>
      <c r="I292" s="782"/>
      <c r="J292" s="782"/>
      <c r="K292" s="1162">
        <f>SUM(K293:N297)</f>
        <v>0</v>
      </c>
      <c r="L292" s="1163"/>
      <c r="M292" s="1163"/>
      <c r="N292" s="1163"/>
      <c r="O292" s="1162">
        <f>SUM(O293:R297)</f>
        <v>25</v>
      </c>
      <c r="P292" s="1163"/>
      <c r="Q292" s="1163"/>
      <c r="R292" s="1163"/>
      <c r="S292" s="1162">
        <f>SUM(S293:V297)</f>
        <v>25</v>
      </c>
      <c r="T292" s="1163"/>
      <c r="U292" s="1163"/>
      <c r="V292" s="1163"/>
      <c r="W292" s="1162">
        <f>SUM(W293:Z297)</f>
        <v>25</v>
      </c>
      <c r="X292" s="1163"/>
      <c r="Y292" s="1163"/>
      <c r="Z292" s="1163"/>
      <c r="AA292" s="1162">
        <f>SUM(AA293:AD297)</f>
        <v>13</v>
      </c>
      <c r="AB292" s="1163"/>
      <c r="AC292" s="1163"/>
      <c r="AD292" s="1163"/>
      <c r="AE292" s="1162">
        <f>SUM(AE293:AH297)</f>
        <v>12</v>
      </c>
      <c r="AF292" s="1163"/>
      <c r="AG292" s="1163"/>
      <c r="AH292" s="1163"/>
      <c r="AI292" s="359">
        <f t="shared" si="16"/>
        <v>100</v>
      </c>
      <c r="AJ292" s="315">
        <f t="shared" si="18"/>
        <v>100</v>
      </c>
      <c r="AK292" s="315"/>
      <c r="AL292" s="315"/>
      <c r="AM292" s="315"/>
    </row>
    <row r="293" spans="1:39" s="135" customFormat="1" ht="13.5" thickBot="1" x14ac:dyDescent="0.25">
      <c r="A293" s="6"/>
      <c r="B293" s="1126" t="s">
        <v>144</v>
      </c>
      <c r="C293" s="1126"/>
      <c r="D293" s="1126"/>
      <c r="E293" s="369"/>
      <c r="F293" s="423"/>
      <c r="G293" s="424"/>
      <c r="H293" s="1132" t="s">
        <v>109</v>
      </c>
      <c r="I293" s="299"/>
      <c r="J293" s="299"/>
      <c r="K293" s="621"/>
      <c r="L293" s="599"/>
      <c r="M293" s="596"/>
      <c r="N293" s="561"/>
      <c r="O293" s="595"/>
      <c r="P293" s="561"/>
      <c r="Q293" s="596"/>
      <c r="R293" s="561"/>
      <c r="S293" s="595"/>
      <c r="T293" s="561"/>
      <c r="U293" s="596"/>
      <c r="V293" s="561"/>
      <c r="W293" s="595"/>
      <c r="X293" s="561"/>
      <c r="Z293" s="596"/>
      <c r="AA293" s="561"/>
      <c r="AB293" s="595"/>
      <c r="AC293" s="561"/>
      <c r="AD293" s="595"/>
      <c r="AE293" s="596"/>
      <c r="AF293" s="561"/>
      <c r="AG293" s="595"/>
      <c r="AH293" s="793"/>
      <c r="AI293" s="359">
        <f t="shared" si="16"/>
        <v>0</v>
      </c>
      <c r="AJ293" s="315">
        <f t="shared" si="18"/>
        <v>0</v>
      </c>
      <c r="AK293" s="315"/>
      <c r="AL293" s="315"/>
      <c r="AM293" s="315"/>
    </row>
    <row r="294" spans="1:39" s="135" customFormat="1" ht="13.5" thickBot="1" x14ac:dyDescent="0.25">
      <c r="A294" s="6"/>
      <c r="B294" s="1125" t="s">
        <v>94</v>
      </c>
      <c r="C294" s="1125"/>
      <c r="D294" s="1125"/>
      <c r="E294" s="369"/>
      <c r="F294" s="423"/>
      <c r="G294" s="424"/>
      <c r="H294" s="1133"/>
      <c r="I294" s="299"/>
      <c r="J294" s="299"/>
      <c r="K294" s="321"/>
      <c r="L294" s="322"/>
      <c r="M294" s="446"/>
      <c r="N294" s="428"/>
      <c r="O294" s="432"/>
      <c r="P294" s="328"/>
      <c r="Q294" s="446"/>
      <c r="R294" s="428"/>
      <c r="S294" s="432"/>
      <c r="T294" s="328"/>
      <c r="U294" s="446"/>
      <c r="V294" s="428"/>
      <c r="W294" s="432"/>
      <c r="X294" s="328"/>
      <c r="Z294" s="446"/>
      <c r="AA294" s="428"/>
      <c r="AB294" s="432"/>
      <c r="AC294" s="328"/>
      <c r="AD294" s="326"/>
      <c r="AE294" s="446"/>
      <c r="AF294" s="428"/>
      <c r="AG294" s="432"/>
      <c r="AH294" s="743"/>
      <c r="AI294" s="359">
        <f t="shared" si="16"/>
        <v>0</v>
      </c>
      <c r="AJ294" s="315">
        <f t="shared" si="18"/>
        <v>0</v>
      </c>
      <c r="AK294" s="315"/>
      <c r="AL294" s="315"/>
      <c r="AM294" s="315"/>
    </row>
    <row r="295" spans="1:39" s="135" customFormat="1" ht="13.5" thickBot="1" x14ac:dyDescent="0.25">
      <c r="B295" s="1125" t="s">
        <v>143</v>
      </c>
      <c r="C295" s="1125"/>
      <c r="D295" s="1125"/>
      <c r="E295" s="369"/>
      <c r="F295" s="423"/>
      <c r="G295" s="424"/>
      <c r="H295" s="1133"/>
      <c r="I295" s="299"/>
      <c r="J295" s="299"/>
      <c r="K295" s="321"/>
      <c r="L295" s="322"/>
      <c r="M295" s="327"/>
      <c r="N295" s="328"/>
      <c r="O295" s="433"/>
      <c r="P295" s="328"/>
      <c r="Q295" s="327"/>
      <c r="R295" s="328"/>
      <c r="S295" s="433"/>
      <c r="T295" s="328"/>
      <c r="U295" s="327"/>
      <c r="V295" s="328"/>
      <c r="W295" s="433"/>
      <c r="X295" s="328"/>
      <c r="Z295" s="327"/>
      <c r="AA295" s="328"/>
      <c r="AB295" s="433"/>
      <c r="AC295" s="328"/>
      <c r="AD295" s="326"/>
      <c r="AE295" s="327"/>
      <c r="AF295" s="328"/>
      <c r="AG295" s="433"/>
      <c r="AH295" s="336"/>
      <c r="AI295" s="359">
        <f t="shared" si="16"/>
        <v>0</v>
      </c>
      <c r="AJ295" s="315">
        <f t="shared" si="18"/>
        <v>0</v>
      </c>
      <c r="AK295" s="315"/>
      <c r="AL295" s="315"/>
      <c r="AM295" s="315"/>
    </row>
    <row r="296" spans="1:39" s="135" customFormat="1" ht="13.5" thickBot="1" x14ac:dyDescent="0.25">
      <c r="B296" s="1125" t="s">
        <v>142</v>
      </c>
      <c r="C296" s="1125"/>
      <c r="D296" s="1125"/>
      <c r="E296" s="370"/>
      <c r="F296" s="423">
        <v>100</v>
      </c>
      <c r="G296" s="424">
        <v>100</v>
      </c>
      <c r="H296" s="1133"/>
      <c r="I296" s="299"/>
      <c r="J296" s="299"/>
      <c r="K296" s="321"/>
      <c r="L296" s="322"/>
      <c r="M296" s="322"/>
      <c r="N296" s="330"/>
      <c r="O296" s="327"/>
      <c r="P296" s="455">
        <v>25</v>
      </c>
      <c r="Q296" s="458"/>
      <c r="R296" s="326"/>
      <c r="S296" s="485"/>
      <c r="T296" s="455">
        <v>25</v>
      </c>
      <c r="U296" s="458"/>
      <c r="V296" s="326"/>
      <c r="W296" s="485"/>
      <c r="X296" s="455">
        <v>25</v>
      </c>
      <c r="Z296" s="458"/>
      <c r="AA296" s="326"/>
      <c r="AB296" s="485"/>
      <c r="AC296" s="455">
        <v>13</v>
      </c>
      <c r="AD296" s="326"/>
      <c r="AE296" s="744"/>
      <c r="AF296" s="744"/>
      <c r="AG296" s="744"/>
      <c r="AH296" s="455">
        <v>12</v>
      </c>
      <c r="AI296" s="359">
        <f>SUM(K296:AH296)</f>
        <v>100</v>
      </c>
      <c r="AJ296" s="315">
        <f t="shared" si="18"/>
        <v>0</v>
      </c>
      <c r="AK296" s="315"/>
      <c r="AL296" s="315"/>
      <c r="AM296" s="315"/>
    </row>
    <row r="297" spans="1:39" s="135" customFormat="1" ht="13.5" thickBot="1" x14ac:dyDescent="0.25">
      <c r="A297" s="6"/>
      <c r="B297" s="1122" t="s">
        <v>91</v>
      </c>
      <c r="C297" s="1122"/>
      <c r="D297" s="1122"/>
      <c r="E297" s="684"/>
      <c r="F297" s="805">
        <v>100</v>
      </c>
      <c r="G297" s="686">
        <v>100</v>
      </c>
      <c r="H297" s="1134"/>
      <c r="I297" s="299"/>
      <c r="J297" s="299"/>
      <c r="K297" s="474"/>
      <c r="L297" s="385"/>
      <c r="M297" s="385"/>
      <c r="N297" s="477"/>
      <c r="O297" s="562"/>
      <c r="P297" s="486"/>
      <c r="Q297" s="486"/>
      <c r="R297" s="475"/>
      <c r="S297" s="687"/>
      <c r="T297" s="486"/>
      <c r="U297" s="486"/>
      <c r="V297" s="475"/>
      <c r="W297" s="687"/>
      <c r="X297" s="486"/>
      <c r="Y297" s="486"/>
      <c r="Z297" s="475"/>
      <c r="AA297" s="687"/>
      <c r="AB297" s="486"/>
      <c r="AC297" s="486"/>
      <c r="AD297" s="475"/>
      <c r="AE297" s="731"/>
      <c r="AF297" s="731"/>
      <c r="AG297" s="731"/>
      <c r="AH297" s="731"/>
      <c r="AI297" s="359">
        <f t="shared" si="16"/>
        <v>0</v>
      </c>
      <c r="AJ297" s="315">
        <f t="shared" si="18"/>
        <v>-100</v>
      </c>
      <c r="AK297" s="315"/>
      <c r="AL297" s="315"/>
      <c r="AM297" s="315"/>
    </row>
    <row r="298" spans="1:39" s="244" customFormat="1" ht="12.75" customHeight="1" thickBot="1" x14ac:dyDescent="0.25">
      <c r="A298" s="6"/>
      <c r="B298" s="781" t="s">
        <v>111</v>
      </c>
      <c r="C298" s="782"/>
      <c r="D298" s="782"/>
      <c r="E298" s="782"/>
      <c r="F298" s="782"/>
      <c r="G298" s="782"/>
      <c r="H298" s="782"/>
      <c r="I298" s="782"/>
      <c r="J298" s="782"/>
      <c r="K298" s="1162">
        <f>SUM(K299:N303)</f>
        <v>0</v>
      </c>
      <c r="L298" s="1163"/>
      <c r="M298" s="1163"/>
      <c r="N298" s="1163"/>
      <c r="O298" s="1162">
        <f>SUM(O299:R303)</f>
        <v>13</v>
      </c>
      <c r="P298" s="1163"/>
      <c r="Q298" s="1163"/>
      <c r="R298" s="1163"/>
      <c r="S298" s="1162">
        <f>SUM(S299:V303)</f>
        <v>12</v>
      </c>
      <c r="T298" s="1163"/>
      <c r="U298" s="1163"/>
      <c r="V298" s="1163"/>
      <c r="W298" s="1162">
        <f>SUM(W299:Z303)</f>
        <v>13</v>
      </c>
      <c r="X298" s="1163"/>
      <c r="Y298" s="1163"/>
      <c r="Z298" s="1163"/>
      <c r="AA298" s="1162">
        <f>SUM(AA299:AD303)</f>
        <v>12</v>
      </c>
      <c r="AB298" s="1163"/>
      <c r="AC298" s="1163"/>
      <c r="AD298" s="1163"/>
      <c r="AE298" s="1162">
        <f>SUM(AE299:AH303)</f>
        <v>0</v>
      </c>
      <c r="AF298" s="1163"/>
      <c r="AG298" s="1163"/>
      <c r="AH298" s="1163"/>
      <c r="AI298" s="359">
        <f t="shared" si="16"/>
        <v>50</v>
      </c>
      <c r="AJ298" s="315">
        <f t="shared" si="18"/>
        <v>50</v>
      </c>
      <c r="AK298" s="315"/>
      <c r="AL298" s="315"/>
      <c r="AM298" s="315"/>
    </row>
    <row r="299" spans="1:39" s="135" customFormat="1" ht="13.5" thickBot="1" x14ac:dyDescent="0.25">
      <c r="A299" s="6"/>
      <c r="B299" s="1126" t="s">
        <v>144</v>
      </c>
      <c r="C299" s="1126"/>
      <c r="D299" s="1126"/>
      <c r="E299" s="369"/>
      <c r="F299" s="371"/>
      <c r="G299" s="373"/>
      <c r="H299" s="1132" t="s">
        <v>109</v>
      </c>
      <c r="I299" s="299"/>
      <c r="J299" s="299"/>
      <c r="K299" s="621"/>
      <c r="L299" s="599"/>
      <c r="M299" s="596"/>
      <c r="N299" s="561"/>
      <c r="O299" s="595"/>
      <c r="P299" s="561"/>
      <c r="Q299" s="596"/>
      <c r="R299" s="561"/>
      <c r="S299" s="595"/>
      <c r="T299" s="561"/>
      <c r="U299" s="596"/>
      <c r="V299" s="561"/>
      <c r="W299" s="595"/>
      <c r="X299" s="561"/>
      <c r="Z299" s="596"/>
      <c r="AA299" s="561"/>
      <c r="AB299" s="595"/>
      <c r="AC299" s="561"/>
      <c r="AD299" s="688"/>
      <c r="AE299" s="793"/>
      <c r="AF299" s="793"/>
      <c r="AG299" s="793"/>
      <c r="AH299" s="793"/>
      <c r="AI299" s="359">
        <f t="shared" si="16"/>
        <v>0</v>
      </c>
      <c r="AJ299" s="315">
        <f t="shared" si="18"/>
        <v>0</v>
      </c>
      <c r="AK299" s="315"/>
      <c r="AL299" s="315"/>
      <c r="AM299" s="315"/>
    </row>
    <row r="300" spans="1:39" s="135" customFormat="1" ht="13.5" thickBot="1" x14ac:dyDescent="0.25">
      <c r="A300" s="6"/>
      <c r="B300" s="1125" t="s">
        <v>94</v>
      </c>
      <c r="C300" s="1125"/>
      <c r="D300" s="1125"/>
      <c r="E300" s="369"/>
      <c r="F300" s="371"/>
      <c r="G300" s="373"/>
      <c r="H300" s="1133"/>
      <c r="I300" s="299"/>
      <c r="J300" s="299"/>
      <c r="K300" s="321"/>
      <c r="L300" s="322"/>
      <c r="M300" s="446"/>
      <c r="N300" s="428"/>
      <c r="O300" s="432"/>
      <c r="P300" s="328"/>
      <c r="Q300" s="446"/>
      <c r="R300" s="428"/>
      <c r="S300" s="432"/>
      <c r="T300" s="328"/>
      <c r="U300" s="446"/>
      <c r="V300" s="428"/>
      <c r="W300" s="432"/>
      <c r="X300" s="328"/>
      <c r="Z300" s="446"/>
      <c r="AA300" s="428"/>
      <c r="AB300" s="432"/>
      <c r="AC300" s="328"/>
      <c r="AD300" s="471"/>
      <c r="AE300" s="743"/>
      <c r="AF300" s="743"/>
      <c r="AG300" s="743"/>
      <c r="AH300" s="743"/>
      <c r="AI300" s="359">
        <f t="shared" si="16"/>
        <v>0</v>
      </c>
      <c r="AJ300" s="315">
        <f t="shared" si="18"/>
        <v>0</v>
      </c>
      <c r="AK300" s="315"/>
      <c r="AL300" s="315"/>
      <c r="AM300" s="315"/>
    </row>
    <row r="301" spans="1:39" s="135" customFormat="1" ht="13.5" thickBot="1" x14ac:dyDescent="0.25">
      <c r="A301" s="6"/>
      <c r="B301" s="1125" t="s">
        <v>143</v>
      </c>
      <c r="C301" s="1125"/>
      <c r="D301" s="1125"/>
      <c r="E301" s="369"/>
      <c r="F301" s="371"/>
      <c r="G301" s="373"/>
      <c r="H301" s="1133"/>
      <c r="I301" s="299"/>
      <c r="J301" s="299"/>
      <c r="K301" s="321"/>
      <c r="L301" s="322"/>
      <c r="M301" s="327"/>
      <c r="N301" s="328"/>
      <c r="O301" s="433"/>
      <c r="P301" s="328"/>
      <c r="Q301" s="327"/>
      <c r="R301" s="328"/>
      <c r="S301" s="433"/>
      <c r="T301" s="328"/>
      <c r="U301" s="327"/>
      <c r="V301" s="328"/>
      <c r="W301" s="433"/>
      <c r="X301" s="328"/>
      <c r="Z301" s="471"/>
      <c r="AA301" s="327"/>
      <c r="AB301" s="323"/>
      <c r="AC301" s="328"/>
      <c r="AD301" s="471"/>
      <c r="AE301" s="745"/>
      <c r="AF301" s="745"/>
      <c r="AG301" s="745"/>
      <c r="AH301" s="745"/>
      <c r="AI301" s="359">
        <f t="shared" si="16"/>
        <v>0</v>
      </c>
      <c r="AJ301" s="315">
        <f t="shared" si="18"/>
        <v>0</v>
      </c>
      <c r="AK301" s="315"/>
      <c r="AL301" s="315"/>
      <c r="AM301" s="315"/>
    </row>
    <row r="302" spans="1:39" s="135" customFormat="1" ht="13.5" thickBot="1" x14ac:dyDescent="0.25">
      <c r="B302" s="1125" t="s">
        <v>142</v>
      </c>
      <c r="C302" s="1125"/>
      <c r="D302" s="1125"/>
      <c r="E302" s="370"/>
      <c r="F302" s="372">
        <v>50</v>
      </c>
      <c r="G302" s="374">
        <v>50</v>
      </c>
      <c r="H302" s="1133"/>
      <c r="I302" s="299"/>
      <c r="J302" s="299"/>
      <c r="K302" s="321"/>
      <c r="L302" s="322"/>
      <c r="M302" s="330"/>
      <c r="N302" s="321"/>
      <c r="O302" s="328"/>
      <c r="P302" s="455">
        <v>13</v>
      </c>
      <c r="Q302" s="432"/>
      <c r="R302" s="327"/>
      <c r="S302" s="328"/>
      <c r="T302" s="455">
        <v>12</v>
      </c>
      <c r="U302" s="326"/>
      <c r="V302" s="327"/>
      <c r="W302" s="328"/>
      <c r="X302" s="455">
        <v>13</v>
      </c>
      <c r="Z302" s="471"/>
      <c r="AA302" s="327"/>
      <c r="AB302" s="328"/>
      <c r="AC302" s="455">
        <v>12</v>
      </c>
      <c r="AD302" s="471"/>
      <c r="AE302" s="745"/>
      <c r="AF302" s="745"/>
      <c r="AG302" s="745"/>
      <c r="AH302" s="745"/>
      <c r="AI302" s="359">
        <f t="shared" si="16"/>
        <v>50</v>
      </c>
      <c r="AJ302" s="315">
        <f t="shared" si="18"/>
        <v>0</v>
      </c>
      <c r="AK302" s="315"/>
      <c r="AL302" s="315"/>
      <c r="AM302" s="315"/>
    </row>
    <row r="303" spans="1:39" s="135" customFormat="1" ht="13.5" thickBot="1" x14ac:dyDescent="0.25">
      <c r="B303" s="1122" t="s">
        <v>91</v>
      </c>
      <c r="C303" s="1122"/>
      <c r="D303" s="1122"/>
      <c r="E303" s="684"/>
      <c r="F303" s="805">
        <v>50</v>
      </c>
      <c r="G303" s="686">
        <v>50</v>
      </c>
      <c r="H303" s="1134"/>
      <c r="I303" s="299"/>
      <c r="J303" s="299"/>
      <c r="K303" s="474"/>
      <c r="L303" s="385"/>
      <c r="M303" s="385"/>
      <c r="N303" s="477"/>
      <c r="O303" s="474"/>
      <c r="P303" s="486"/>
      <c r="Q303" s="486"/>
      <c r="R303" s="689"/>
      <c r="S303" s="562"/>
      <c r="T303" s="486"/>
      <c r="U303" s="486"/>
      <c r="V303" s="475"/>
      <c r="W303" s="562"/>
      <c r="X303" s="486"/>
      <c r="Y303" s="486"/>
      <c r="Z303" s="690"/>
      <c r="AA303" s="562"/>
      <c r="AB303" s="486"/>
      <c r="AC303" s="486"/>
      <c r="AD303" s="690"/>
      <c r="AE303" s="746"/>
      <c r="AF303" s="746"/>
      <c r="AG303" s="746"/>
      <c r="AH303" s="746"/>
      <c r="AI303" s="359">
        <f t="shared" si="16"/>
        <v>0</v>
      </c>
      <c r="AJ303" s="315">
        <f t="shared" si="18"/>
        <v>-50</v>
      </c>
      <c r="AK303" s="315"/>
      <c r="AL303" s="315"/>
      <c r="AM303" s="315"/>
    </row>
    <row r="304" spans="1:39" s="244" customFormat="1" ht="12.75" customHeight="1" thickBot="1" x14ac:dyDescent="0.25">
      <c r="A304" s="135"/>
      <c r="B304" s="781" t="s">
        <v>112</v>
      </c>
      <c r="C304" s="782"/>
      <c r="D304" s="782"/>
      <c r="E304" s="782"/>
      <c r="F304" s="782"/>
      <c r="G304" s="782"/>
      <c r="H304" s="782"/>
      <c r="I304" s="782"/>
      <c r="J304" s="782"/>
      <c r="K304" s="1162">
        <f>SUM(K305:N309)</f>
        <v>0</v>
      </c>
      <c r="L304" s="1163"/>
      <c r="M304" s="1163"/>
      <c r="N304" s="1163"/>
      <c r="O304" s="1162">
        <f>SUM(O305:R309)</f>
        <v>13</v>
      </c>
      <c r="P304" s="1163"/>
      <c r="Q304" s="1163"/>
      <c r="R304" s="1163"/>
      <c r="S304" s="1162">
        <f>SUM(S305:V309)</f>
        <v>28</v>
      </c>
      <c r="T304" s="1163"/>
      <c r="U304" s="1163"/>
      <c r="V304" s="1163"/>
      <c r="W304" s="1162">
        <f>SUM(W305:Z309)</f>
        <v>13</v>
      </c>
      <c r="X304" s="1163"/>
      <c r="Y304" s="1163"/>
      <c r="Z304" s="1163"/>
      <c r="AA304" s="1162">
        <f>SUM(AA305:AD309)</f>
        <v>13</v>
      </c>
      <c r="AB304" s="1163"/>
      <c r="AC304" s="1163"/>
      <c r="AD304" s="1163"/>
      <c r="AE304" s="1162">
        <f>SUM(AE305:AH309)</f>
        <v>13</v>
      </c>
      <c r="AF304" s="1163"/>
      <c r="AG304" s="1163"/>
      <c r="AH304" s="1163"/>
      <c r="AI304" s="359">
        <f>SUM(K304:AH304)</f>
        <v>80</v>
      </c>
      <c r="AJ304" s="315">
        <f t="shared" si="18"/>
        <v>80</v>
      </c>
      <c r="AK304" s="315"/>
      <c r="AL304" s="315"/>
      <c r="AM304" s="315"/>
    </row>
    <row r="305" spans="1:39" s="135" customFormat="1" ht="13.5" thickBot="1" x14ac:dyDescent="0.25">
      <c r="B305" s="1126" t="s">
        <v>144</v>
      </c>
      <c r="C305" s="1126"/>
      <c r="D305" s="1126"/>
      <c r="E305" s="369"/>
      <c r="F305" s="371"/>
      <c r="G305" s="373"/>
      <c r="H305" s="1132" t="s">
        <v>109</v>
      </c>
      <c r="I305" s="299"/>
      <c r="J305" s="299"/>
      <c r="K305" s="621"/>
      <c r="L305" s="599"/>
      <c r="M305" s="596"/>
      <c r="N305" s="561"/>
      <c r="O305" s="595"/>
      <c r="P305" s="561"/>
      <c r="Q305" s="596"/>
      <c r="R305" s="561"/>
      <c r="S305" s="595"/>
      <c r="U305" s="596"/>
      <c r="V305" s="561"/>
      <c r="W305" s="595"/>
      <c r="Z305" s="596"/>
      <c r="AA305" s="561"/>
      <c r="AB305" s="595"/>
      <c r="AD305" s="595"/>
      <c r="AE305" s="596"/>
      <c r="AF305" s="561"/>
      <c r="AG305" s="595"/>
      <c r="AI305" s="359">
        <f t="shared" si="16"/>
        <v>0</v>
      </c>
      <c r="AJ305" s="315">
        <f t="shared" si="18"/>
        <v>0</v>
      </c>
      <c r="AK305" s="315"/>
      <c r="AL305" s="315"/>
      <c r="AM305" s="315"/>
    </row>
    <row r="306" spans="1:39" s="135" customFormat="1" ht="13.5" thickBot="1" x14ac:dyDescent="0.25">
      <c r="B306" s="1125" t="s">
        <v>94</v>
      </c>
      <c r="C306" s="1125"/>
      <c r="D306" s="1125"/>
      <c r="E306" s="369"/>
      <c r="F306" s="371"/>
      <c r="G306" s="373"/>
      <c r="H306" s="1133"/>
      <c r="I306" s="299"/>
      <c r="J306" s="299"/>
      <c r="K306" s="321"/>
      <c r="L306" s="322"/>
      <c r="M306" s="446"/>
      <c r="N306" s="428"/>
      <c r="O306" s="432"/>
      <c r="P306" s="328"/>
      <c r="Q306" s="446"/>
      <c r="R306" s="428"/>
      <c r="S306" s="432"/>
      <c r="U306" s="446"/>
      <c r="V306" s="428"/>
      <c r="W306" s="432"/>
      <c r="Y306" s="328"/>
      <c r="Z306" s="446"/>
      <c r="AA306" s="428"/>
      <c r="AB306" s="432"/>
      <c r="AC306" s="328"/>
      <c r="AD306" s="326"/>
      <c r="AE306" s="446"/>
      <c r="AF306" s="428"/>
      <c r="AG306" s="432"/>
      <c r="AH306" s="328"/>
      <c r="AI306" s="359">
        <f t="shared" si="16"/>
        <v>0</v>
      </c>
      <c r="AJ306" s="315">
        <f t="shared" si="18"/>
        <v>0</v>
      </c>
      <c r="AK306" s="315"/>
      <c r="AL306" s="315"/>
      <c r="AM306" s="315"/>
    </row>
    <row r="307" spans="1:39" s="135" customFormat="1" ht="13.5" thickBot="1" x14ac:dyDescent="0.25">
      <c r="B307" s="1125" t="s">
        <v>143</v>
      </c>
      <c r="C307" s="1125"/>
      <c r="D307" s="1125"/>
      <c r="E307" s="369"/>
      <c r="F307" s="371"/>
      <c r="G307" s="373"/>
      <c r="H307" s="1133"/>
      <c r="I307" s="299"/>
      <c r="J307" s="299"/>
      <c r="K307" s="321"/>
      <c r="L307" s="322"/>
      <c r="M307" s="327"/>
      <c r="N307" s="328"/>
      <c r="O307" s="433"/>
      <c r="P307" s="328"/>
      <c r="Q307" s="327"/>
      <c r="R307" s="328"/>
      <c r="S307" s="433"/>
      <c r="U307" s="327"/>
      <c r="V307" s="328"/>
      <c r="W307" s="433"/>
      <c r="Y307" s="328"/>
      <c r="Z307" s="327"/>
      <c r="AA307" s="328"/>
      <c r="AB307" s="433"/>
      <c r="AC307" s="328"/>
      <c r="AD307" s="326"/>
      <c r="AE307" s="327"/>
      <c r="AF307" s="328"/>
      <c r="AG307" s="433"/>
      <c r="AH307" s="328"/>
      <c r="AI307" s="359">
        <f t="shared" si="16"/>
        <v>0</v>
      </c>
      <c r="AJ307" s="315">
        <f t="shared" si="18"/>
        <v>0</v>
      </c>
      <c r="AK307" s="315"/>
      <c r="AL307" s="315"/>
      <c r="AM307" s="315"/>
    </row>
    <row r="308" spans="1:39" s="135" customFormat="1" ht="13.5" thickBot="1" x14ac:dyDescent="0.25">
      <c r="B308" s="1125" t="s">
        <v>142</v>
      </c>
      <c r="C308" s="1125"/>
      <c r="D308" s="1125"/>
      <c r="E308" s="370"/>
      <c r="F308" s="372">
        <v>80</v>
      </c>
      <c r="G308" s="374">
        <v>80</v>
      </c>
      <c r="H308" s="1133"/>
      <c r="I308" s="299"/>
      <c r="J308" s="299"/>
      <c r="K308" s="321"/>
      <c r="L308" s="322"/>
      <c r="M308" s="330"/>
      <c r="N308" s="447"/>
      <c r="O308" s="328"/>
      <c r="P308" s="455">
        <v>13</v>
      </c>
      <c r="R308" s="330"/>
      <c r="S308" s="327"/>
      <c r="T308" s="455">
        <v>13</v>
      </c>
      <c r="U308" s="455">
        <v>15</v>
      </c>
      <c r="W308" s="327"/>
      <c r="X308" s="455">
        <v>13</v>
      </c>
      <c r="Y308" s="458"/>
      <c r="AA308" s="327"/>
      <c r="AB308" s="328"/>
      <c r="AC308" s="455">
        <v>13</v>
      </c>
      <c r="AD308" s="326"/>
      <c r="AF308" s="327"/>
      <c r="AG308" s="328"/>
      <c r="AH308" s="455">
        <v>13</v>
      </c>
      <c r="AI308" s="359">
        <f>SUM(K308:AH308)</f>
        <v>80</v>
      </c>
      <c r="AJ308" s="315">
        <f t="shared" si="18"/>
        <v>0</v>
      </c>
      <c r="AK308" s="315"/>
      <c r="AL308" s="315"/>
      <c r="AM308" s="315"/>
    </row>
    <row r="309" spans="1:39" s="135" customFormat="1" ht="13.5" thickBot="1" x14ac:dyDescent="0.25">
      <c r="B309" s="1122" t="s">
        <v>91</v>
      </c>
      <c r="C309" s="1122"/>
      <c r="D309" s="1122"/>
      <c r="E309" s="492"/>
      <c r="F309" s="691">
        <v>80</v>
      </c>
      <c r="G309" s="692">
        <v>80</v>
      </c>
      <c r="H309" s="1134"/>
      <c r="I309" s="299"/>
      <c r="J309" s="299"/>
      <c r="K309" s="474"/>
      <c r="L309" s="385"/>
      <c r="M309" s="385"/>
      <c r="N309" s="477"/>
      <c r="O309" s="693"/>
      <c r="P309" s="486"/>
      <c r="Q309" s="486"/>
      <c r="R309" s="477"/>
      <c r="S309" s="562"/>
      <c r="T309" s="486"/>
      <c r="U309" s="486"/>
      <c r="V309" s="475"/>
      <c r="W309" s="562"/>
      <c r="X309" s="486"/>
      <c r="Y309" s="486"/>
      <c r="Z309" s="475"/>
      <c r="AA309" s="562"/>
      <c r="AB309" s="486"/>
      <c r="AC309" s="486"/>
      <c r="AD309" s="475"/>
      <c r="AE309" s="731"/>
      <c r="AF309" s="731"/>
      <c r="AG309" s="731"/>
      <c r="AH309" s="731"/>
      <c r="AI309" s="359">
        <f t="shared" si="16"/>
        <v>0</v>
      </c>
      <c r="AJ309" s="315">
        <f t="shared" si="18"/>
        <v>-80</v>
      </c>
      <c r="AK309" s="315"/>
      <c r="AL309" s="315"/>
      <c r="AM309" s="315"/>
    </row>
    <row r="310" spans="1:39" s="244" customFormat="1" ht="12.75" customHeight="1" thickBot="1" x14ac:dyDescent="0.25">
      <c r="A310" s="135"/>
      <c r="B310" s="781" t="s">
        <v>113</v>
      </c>
      <c r="C310" s="782"/>
      <c r="D310" s="782"/>
      <c r="E310" s="782"/>
      <c r="F310" s="782"/>
      <c r="G310" s="782"/>
      <c r="H310" s="782"/>
      <c r="I310" s="782"/>
      <c r="J310" s="782"/>
      <c r="K310" s="1162">
        <f>SUM(K311:N315)</f>
        <v>0</v>
      </c>
      <c r="L310" s="1163"/>
      <c r="M310" s="1163"/>
      <c r="N310" s="1163"/>
      <c r="O310" s="1162">
        <f>SUM(O311:R315)</f>
        <v>23</v>
      </c>
      <c r="P310" s="1163"/>
      <c r="Q310" s="1163"/>
      <c r="R310" s="1163"/>
      <c r="S310" s="1162">
        <f>SUM(S311:V315)</f>
        <v>25</v>
      </c>
      <c r="T310" s="1163"/>
      <c r="U310" s="1163"/>
      <c r="V310" s="1163"/>
      <c r="W310" s="1162">
        <f>SUM(W311:Z315)</f>
        <v>26</v>
      </c>
      <c r="X310" s="1163"/>
      <c r="Y310" s="1163"/>
      <c r="Z310" s="1163"/>
      <c r="AA310" s="1162">
        <f>SUM(AA311:AD315)</f>
        <v>13</v>
      </c>
      <c r="AB310" s="1163"/>
      <c r="AC310" s="1163"/>
      <c r="AD310" s="1163"/>
      <c r="AE310" s="1162">
        <f>SUM(AE311:AH315)</f>
        <v>13</v>
      </c>
      <c r="AF310" s="1163"/>
      <c r="AG310" s="1163"/>
      <c r="AH310" s="1163"/>
      <c r="AI310" s="359">
        <f>SUM(K310:AH310)</f>
        <v>100</v>
      </c>
      <c r="AJ310" s="315">
        <f t="shared" si="18"/>
        <v>100</v>
      </c>
      <c r="AK310" s="315"/>
      <c r="AL310" s="315"/>
      <c r="AM310" s="315"/>
    </row>
    <row r="311" spans="1:39" s="135" customFormat="1" ht="13.5" thickBot="1" x14ac:dyDescent="0.25">
      <c r="B311" s="1126" t="s">
        <v>144</v>
      </c>
      <c r="C311" s="1126"/>
      <c r="D311" s="1126"/>
      <c r="E311" s="369"/>
      <c r="F311" s="371"/>
      <c r="G311" s="373"/>
      <c r="H311" s="1132" t="s">
        <v>109</v>
      </c>
      <c r="I311" s="299"/>
      <c r="J311" s="299"/>
      <c r="K311" s="621"/>
      <c r="L311" s="599"/>
      <c r="M311" s="596"/>
      <c r="N311" s="561"/>
      <c r="O311" s="595"/>
      <c r="Q311" s="596"/>
      <c r="R311" s="561"/>
      <c r="S311" s="595"/>
      <c r="U311" s="596"/>
      <c r="V311" s="561"/>
      <c r="W311" s="595"/>
      <c r="Z311" s="596"/>
      <c r="AA311" s="561"/>
      <c r="AB311" s="595"/>
      <c r="AE311" s="596"/>
      <c r="AF311" s="561"/>
      <c r="AG311" s="595"/>
      <c r="AH311" s="793"/>
      <c r="AI311" s="359">
        <f t="shared" si="16"/>
        <v>0</v>
      </c>
      <c r="AJ311" s="315">
        <f t="shared" si="18"/>
        <v>0</v>
      </c>
      <c r="AK311" s="315"/>
      <c r="AL311" s="315"/>
      <c r="AM311" s="315"/>
    </row>
    <row r="312" spans="1:39" s="135" customFormat="1" ht="13.5" thickBot="1" x14ac:dyDescent="0.25">
      <c r="B312" s="1125" t="s">
        <v>94</v>
      </c>
      <c r="C312" s="1125"/>
      <c r="D312" s="1125"/>
      <c r="E312" s="369"/>
      <c r="F312" s="371"/>
      <c r="G312" s="373"/>
      <c r="H312" s="1133"/>
      <c r="I312" s="299"/>
      <c r="J312" s="299"/>
      <c r="K312" s="321"/>
      <c r="L312" s="322"/>
      <c r="M312" s="446"/>
      <c r="N312" s="428"/>
      <c r="O312" s="432"/>
      <c r="P312" s="328"/>
      <c r="Q312" s="446"/>
      <c r="R312" s="428"/>
      <c r="S312" s="432"/>
      <c r="T312" s="328"/>
      <c r="U312" s="446"/>
      <c r="V312" s="428"/>
      <c r="W312" s="432"/>
      <c r="X312" s="328"/>
      <c r="Z312" s="446"/>
      <c r="AA312" s="428"/>
      <c r="AB312" s="432"/>
      <c r="AC312" s="470"/>
      <c r="AD312" s="326"/>
      <c r="AE312" s="446"/>
      <c r="AF312" s="428"/>
      <c r="AG312" s="432"/>
      <c r="AH312" s="743"/>
      <c r="AI312" s="359">
        <f t="shared" si="16"/>
        <v>0</v>
      </c>
      <c r="AJ312" s="315">
        <f t="shared" si="18"/>
        <v>0</v>
      </c>
      <c r="AK312" s="315"/>
      <c r="AL312" s="315"/>
      <c r="AM312" s="315"/>
    </row>
    <row r="313" spans="1:39" s="135" customFormat="1" ht="13.5" thickBot="1" x14ac:dyDescent="0.25">
      <c r="B313" s="1125" t="s">
        <v>143</v>
      </c>
      <c r="C313" s="1125"/>
      <c r="D313" s="1125"/>
      <c r="E313" s="369"/>
      <c r="F313" s="371"/>
      <c r="G313" s="373"/>
      <c r="H313" s="1133"/>
      <c r="I313" s="299"/>
      <c r="J313" s="299"/>
      <c r="K313" s="321"/>
      <c r="L313" s="322"/>
      <c r="M313" s="327"/>
      <c r="N313" s="328"/>
      <c r="O313" s="433"/>
      <c r="P313" s="328"/>
      <c r="Q313" s="327"/>
      <c r="R313" s="328"/>
      <c r="S313" s="433"/>
      <c r="T313" s="328"/>
      <c r="U313" s="327"/>
      <c r="V313" s="328"/>
      <c r="W313" s="433"/>
      <c r="X313" s="328"/>
      <c r="Z313" s="327"/>
      <c r="AA313" s="328"/>
      <c r="AB313" s="433"/>
      <c r="AC313" s="470"/>
      <c r="AD313" s="326"/>
      <c r="AE313" s="327"/>
      <c r="AF313" s="328"/>
      <c r="AG313" s="433"/>
      <c r="AH313" s="336"/>
      <c r="AI313" s="359">
        <f t="shared" si="16"/>
        <v>0</v>
      </c>
      <c r="AJ313" s="315">
        <f t="shared" si="18"/>
        <v>0</v>
      </c>
      <c r="AK313" s="315"/>
      <c r="AL313" s="315"/>
      <c r="AM313" s="315"/>
    </row>
    <row r="314" spans="1:39" s="135" customFormat="1" ht="13.5" thickBot="1" x14ac:dyDescent="0.25">
      <c r="B314" s="1125" t="s">
        <v>142</v>
      </c>
      <c r="C314" s="1125"/>
      <c r="D314" s="1125"/>
      <c r="E314" s="370"/>
      <c r="F314" s="372">
        <v>100</v>
      </c>
      <c r="G314" s="374">
        <v>100</v>
      </c>
      <c r="H314" s="1133"/>
      <c r="I314" s="299"/>
      <c r="J314" s="299"/>
      <c r="K314" s="321"/>
      <c r="L314" s="322"/>
      <c r="M314" s="322"/>
      <c r="N314" s="330"/>
      <c r="O314" s="327"/>
      <c r="P314" s="455">
        <v>13</v>
      </c>
      <c r="Q314" s="455">
        <v>10</v>
      </c>
      <c r="R314" s="326"/>
      <c r="S314" s="327"/>
      <c r="T314" s="455">
        <v>12</v>
      </c>
      <c r="U314" s="455">
        <v>13</v>
      </c>
      <c r="V314" s="326"/>
      <c r="W314" s="327"/>
      <c r="X314" s="455">
        <v>13</v>
      </c>
      <c r="Y314" s="458"/>
      <c r="Z314" s="455">
        <v>13</v>
      </c>
      <c r="AA314" s="327"/>
      <c r="AC314" s="455">
        <v>13</v>
      </c>
      <c r="AE314" s="458"/>
      <c r="AF314" s="458"/>
      <c r="AG314" s="458"/>
      <c r="AH314" s="455">
        <v>13</v>
      </c>
      <c r="AI314" s="359">
        <f>SUM(K314:AH314)</f>
        <v>100</v>
      </c>
      <c r="AJ314" s="315">
        <f t="shared" si="18"/>
        <v>0</v>
      </c>
      <c r="AK314" s="315"/>
      <c r="AL314" s="315"/>
      <c r="AM314" s="315"/>
    </row>
    <row r="315" spans="1:39" s="135" customFormat="1" ht="13.5" thickBot="1" x14ac:dyDescent="0.25">
      <c r="B315" s="1122" t="s">
        <v>91</v>
      </c>
      <c r="C315" s="1122"/>
      <c r="D315" s="1122"/>
      <c r="E315" s="492"/>
      <c r="F315" s="691">
        <v>100</v>
      </c>
      <c r="G315" s="692">
        <v>100</v>
      </c>
      <c r="H315" s="1134"/>
      <c r="I315" s="299"/>
      <c r="J315" s="299"/>
      <c r="K315" s="474"/>
      <c r="L315" s="385"/>
      <c r="M315" s="385"/>
      <c r="N315" s="477"/>
      <c r="O315" s="562"/>
      <c r="P315" s="486"/>
      <c r="Q315" s="694"/>
      <c r="R315" s="475"/>
      <c r="S315" s="562"/>
      <c r="T315" s="486"/>
      <c r="U315" s="694"/>
      <c r="V315" s="475"/>
      <c r="W315" s="562"/>
      <c r="X315" s="486"/>
      <c r="Y315" s="694"/>
      <c r="Z315" s="475"/>
      <c r="AA315" s="562"/>
      <c r="AB315" s="486"/>
      <c r="AC315" s="694"/>
      <c r="AD315" s="475"/>
      <c r="AE315" s="731"/>
      <c r="AF315" s="731"/>
      <c r="AG315" s="731"/>
      <c r="AH315" s="731"/>
      <c r="AI315" s="359">
        <f t="shared" si="16"/>
        <v>0</v>
      </c>
      <c r="AJ315" s="315">
        <f t="shared" si="18"/>
        <v>-100</v>
      </c>
      <c r="AK315" s="315"/>
      <c r="AL315" s="315"/>
      <c r="AM315" s="315"/>
    </row>
    <row r="316" spans="1:39" s="244" customFormat="1" ht="12.75" customHeight="1" thickBot="1" x14ac:dyDescent="0.25">
      <c r="A316" s="135"/>
      <c r="B316" s="781" t="s">
        <v>114</v>
      </c>
      <c r="C316" s="782"/>
      <c r="D316" s="782"/>
      <c r="E316" s="782"/>
      <c r="F316" s="782"/>
      <c r="G316" s="782"/>
      <c r="H316" s="782"/>
      <c r="I316" s="782"/>
      <c r="J316" s="782"/>
      <c r="K316" s="1162">
        <f>SUM(K317:N321)</f>
        <v>0</v>
      </c>
      <c r="L316" s="1163"/>
      <c r="M316" s="1163"/>
      <c r="N316" s="1163"/>
      <c r="O316" s="1162">
        <f>SUM(O317:R321)</f>
        <v>13</v>
      </c>
      <c r="P316" s="1163"/>
      <c r="Q316" s="1163"/>
      <c r="R316" s="1163"/>
      <c r="S316" s="1162">
        <f>SUM(S317:V321)</f>
        <v>13</v>
      </c>
      <c r="T316" s="1163"/>
      <c r="U316" s="1163"/>
      <c r="V316" s="1163"/>
      <c r="W316" s="1162">
        <f>SUM(W317:Z321)</f>
        <v>13</v>
      </c>
      <c r="X316" s="1163"/>
      <c r="Y316" s="1163"/>
      <c r="Z316" s="1163"/>
      <c r="AA316" s="1162">
        <f>SUM(AA317:AD321)</f>
        <v>26</v>
      </c>
      <c r="AB316" s="1163"/>
      <c r="AC316" s="1163"/>
      <c r="AD316" s="1163"/>
      <c r="AE316" s="1162">
        <f>SUM(AE317:AH321)</f>
        <v>15</v>
      </c>
      <c r="AF316" s="1163"/>
      <c r="AG316" s="1163"/>
      <c r="AH316" s="1163"/>
      <c r="AI316" s="359">
        <f t="shared" si="16"/>
        <v>80</v>
      </c>
      <c r="AJ316" s="315">
        <f t="shared" si="18"/>
        <v>80</v>
      </c>
      <c r="AK316" s="315"/>
      <c r="AL316" s="315"/>
      <c r="AM316" s="315"/>
    </row>
    <row r="317" spans="1:39" s="135" customFormat="1" ht="13.5" thickBot="1" x14ac:dyDescent="0.25">
      <c r="B317" s="1126" t="s">
        <v>144</v>
      </c>
      <c r="C317" s="1126"/>
      <c r="D317" s="1126"/>
      <c r="E317" s="369"/>
      <c r="F317" s="371"/>
      <c r="G317" s="373"/>
      <c r="H317" s="1132" t="s">
        <v>109</v>
      </c>
      <c r="I317" s="299"/>
      <c r="J317" s="299"/>
      <c r="K317" s="621"/>
      <c r="L317" s="599"/>
      <c r="M317" s="596"/>
      <c r="N317" s="561"/>
      <c r="O317" s="595"/>
      <c r="Q317" s="596"/>
      <c r="R317" s="561"/>
      <c r="S317" s="595"/>
      <c r="U317" s="596"/>
      <c r="V317" s="561"/>
      <c r="W317" s="595"/>
      <c r="Z317" s="596"/>
      <c r="AA317" s="561"/>
      <c r="AB317" s="595"/>
      <c r="AE317" s="596"/>
      <c r="AF317" s="561"/>
      <c r="AG317" s="595"/>
      <c r="AH317" s="793"/>
      <c r="AI317" s="359">
        <f t="shared" si="16"/>
        <v>0</v>
      </c>
      <c r="AJ317" s="315">
        <f t="shared" si="18"/>
        <v>0</v>
      </c>
      <c r="AK317" s="315"/>
      <c r="AL317" s="315"/>
      <c r="AM317" s="315"/>
    </row>
    <row r="318" spans="1:39" s="135" customFormat="1" ht="13.5" thickBot="1" x14ac:dyDescent="0.25">
      <c r="B318" s="1125" t="s">
        <v>94</v>
      </c>
      <c r="C318" s="1125"/>
      <c r="D318" s="1125"/>
      <c r="E318" s="369"/>
      <c r="F318" s="371"/>
      <c r="G318" s="373"/>
      <c r="H318" s="1133"/>
      <c r="I318" s="299"/>
      <c r="J318" s="299"/>
      <c r="K318" s="321"/>
      <c r="L318" s="322"/>
      <c r="M318" s="446"/>
      <c r="N318" s="428"/>
      <c r="O318" s="432"/>
      <c r="Q318" s="446"/>
      <c r="R318" s="428"/>
      <c r="S318" s="432"/>
      <c r="T318" s="328"/>
      <c r="U318" s="446"/>
      <c r="V318" s="428"/>
      <c r="W318" s="432"/>
      <c r="Z318" s="446"/>
      <c r="AA318" s="428"/>
      <c r="AB318" s="432"/>
      <c r="AC318" s="328"/>
      <c r="AD318" s="328"/>
      <c r="AE318" s="446"/>
      <c r="AF318" s="428"/>
      <c r="AG318" s="432"/>
      <c r="AH318" s="743"/>
      <c r="AI318" s="359">
        <f t="shared" si="16"/>
        <v>0</v>
      </c>
      <c r="AJ318" s="315">
        <f t="shared" si="18"/>
        <v>0</v>
      </c>
      <c r="AK318" s="315"/>
      <c r="AL318" s="315"/>
      <c r="AM318" s="315"/>
    </row>
    <row r="319" spans="1:39" s="135" customFormat="1" ht="13.5" thickBot="1" x14ac:dyDescent="0.25">
      <c r="B319" s="1125" t="s">
        <v>143</v>
      </c>
      <c r="C319" s="1125"/>
      <c r="D319" s="1125"/>
      <c r="E319" s="369"/>
      <c r="F319" s="371"/>
      <c r="G319" s="373"/>
      <c r="H319" s="1133"/>
      <c r="I319" s="299"/>
      <c r="J319" s="299"/>
      <c r="K319" s="321"/>
      <c r="L319" s="322"/>
      <c r="M319" s="327"/>
      <c r="N319" s="328"/>
      <c r="O319" s="433"/>
      <c r="Q319" s="327"/>
      <c r="R319" s="328"/>
      <c r="S319" s="433"/>
      <c r="T319" s="328"/>
      <c r="U319" s="327"/>
      <c r="V319" s="328"/>
      <c r="W319" s="433"/>
      <c r="Z319" s="327"/>
      <c r="AA319" s="328"/>
      <c r="AB319" s="433"/>
      <c r="AC319" s="328"/>
      <c r="AD319" s="328"/>
      <c r="AE319" s="327"/>
      <c r="AF319" s="328"/>
      <c r="AG319" s="433"/>
      <c r="AH319" s="336"/>
      <c r="AI319" s="359">
        <f t="shared" si="16"/>
        <v>0</v>
      </c>
      <c r="AJ319" s="315">
        <f t="shared" si="18"/>
        <v>0</v>
      </c>
      <c r="AK319" s="315"/>
      <c r="AL319" s="315"/>
      <c r="AM319" s="315"/>
    </row>
    <row r="320" spans="1:39" s="135" customFormat="1" ht="13.5" thickBot="1" x14ac:dyDescent="0.25">
      <c r="B320" s="1125" t="s">
        <v>142</v>
      </c>
      <c r="C320" s="1125"/>
      <c r="D320" s="1125"/>
      <c r="E320" s="370"/>
      <c r="F320" s="372">
        <v>80</v>
      </c>
      <c r="G320" s="374">
        <v>80</v>
      </c>
      <c r="H320" s="1133"/>
      <c r="I320" s="299"/>
      <c r="J320" s="299"/>
      <c r="K320" s="321"/>
      <c r="L320" s="322"/>
      <c r="M320" s="322"/>
      <c r="N320" s="324"/>
      <c r="O320" s="447"/>
      <c r="P320" s="455">
        <v>13</v>
      </c>
      <c r="R320" s="326"/>
      <c r="S320" s="327"/>
      <c r="T320" s="455">
        <v>13</v>
      </c>
      <c r="U320" s="326"/>
      <c r="V320" s="447"/>
      <c r="W320" s="328"/>
      <c r="X320" s="455">
        <v>13</v>
      </c>
      <c r="AA320" s="326"/>
      <c r="AB320" s="327"/>
      <c r="AC320" s="455">
        <v>13</v>
      </c>
      <c r="AD320" s="455">
        <v>13</v>
      </c>
      <c r="AH320" s="455">
        <v>15</v>
      </c>
      <c r="AI320" s="359">
        <f>SUM(K320:AH320)</f>
        <v>80</v>
      </c>
      <c r="AJ320" s="315">
        <f t="shared" si="18"/>
        <v>0</v>
      </c>
      <c r="AK320" s="315"/>
      <c r="AL320" s="315"/>
      <c r="AM320" s="315"/>
    </row>
    <row r="321" spans="1:39" s="135" customFormat="1" ht="13.5" thickBot="1" x14ac:dyDescent="0.25">
      <c r="B321" s="1122" t="s">
        <v>91</v>
      </c>
      <c r="C321" s="1122"/>
      <c r="D321" s="1122"/>
      <c r="E321" s="492"/>
      <c r="F321" s="691">
        <v>80</v>
      </c>
      <c r="G321" s="692">
        <v>80</v>
      </c>
      <c r="H321" s="1134"/>
      <c r="I321" s="299"/>
      <c r="J321" s="299"/>
      <c r="K321" s="474"/>
      <c r="L321" s="385"/>
      <c r="M321" s="385"/>
      <c r="N321" s="601"/>
      <c r="O321" s="693"/>
      <c r="P321" s="486"/>
      <c r="Q321" s="486"/>
      <c r="R321" s="475"/>
      <c r="S321" s="562"/>
      <c r="T321" s="486"/>
      <c r="U321" s="486"/>
      <c r="V321" s="475"/>
      <c r="W321" s="693"/>
      <c r="X321" s="486"/>
      <c r="Y321" s="486"/>
      <c r="Z321" s="475"/>
      <c r="AA321" s="562"/>
      <c r="AB321" s="486"/>
      <c r="AC321" s="486"/>
      <c r="AD321" s="475"/>
      <c r="AE321" s="731"/>
      <c r="AF321" s="731"/>
      <c r="AG321" s="731"/>
      <c r="AH321" s="731"/>
      <c r="AI321" s="359">
        <f t="shared" si="16"/>
        <v>0</v>
      </c>
      <c r="AJ321" s="315">
        <f t="shared" si="18"/>
        <v>-80</v>
      </c>
      <c r="AK321" s="315"/>
      <c r="AL321" s="315"/>
      <c r="AM321" s="315"/>
    </row>
    <row r="322" spans="1:39" s="244" customFormat="1" ht="12.75" customHeight="1" thickBot="1" x14ac:dyDescent="0.25">
      <c r="A322" s="135"/>
      <c r="B322" s="781" t="s">
        <v>115</v>
      </c>
      <c r="C322" s="782"/>
      <c r="D322" s="782"/>
      <c r="E322" s="782"/>
      <c r="F322" s="782"/>
      <c r="G322" s="782"/>
      <c r="H322" s="782"/>
      <c r="I322" s="782"/>
      <c r="J322" s="782"/>
      <c r="K322" s="1162">
        <f>SUM(K323:N327)</f>
        <v>0</v>
      </c>
      <c r="L322" s="1163"/>
      <c r="M322" s="1163"/>
      <c r="N322" s="1163"/>
      <c r="O322" s="1162">
        <f>SUM(O323:R327)</f>
        <v>25</v>
      </c>
      <c r="P322" s="1163"/>
      <c r="Q322" s="1163"/>
      <c r="R322" s="1163"/>
      <c r="S322" s="1162">
        <f>SUM(S323:V327)</f>
        <v>25</v>
      </c>
      <c r="T322" s="1163"/>
      <c r="U322" s="1163"/>
      <c r="V322" s="1163"/>
      <c r="W322" s="1162">
        <f>SUM(W323:Z327)</f>
        <v>25</v>
      </c>
      <c r="X322" s="1163"/>
      <c r="Y322" s="1163"/>
      <c r="Z322" s="1163"/>
      <c r="AA322" s="1162">
        <f>SUM(AA323:AD327)</f>
        <v>12</v>
      </c>
      <c r="AB322" s="1163"/>
      <c r="AC322" s="1163"/>
      <c r="AD322" s="1163"/>
      <c r="AE322" s="1162">
        <f>SUM(AE323:AH327)</f>
        <v>13</v>
      </c>
      <c r="AF322" s="1163"/>
      <c r="AG322" s="1163"/>
      <c r="AH322" s="1163"/>
      <c r="AI322" s="359">
        <f t="shared" ref="AI322:AI371" si="19">SUM(K322:AH322)</f>
        <v>100</v>
      </c>
      <c r="AJ322" s="315">
        <f t="shared" si="18"/>
        <v>100</v>
      </c>
      <c r="AK322" s="315"/>
      <c r="AL322" s="315"/>
      <c r="AM322" s="315"/>
    </row>
    <row r="323" spans="1:39" s="135" customFormat="1" ht="13.5" thickBot="1" x14ac:dyDescent="0.25">
      <c r="B323" s="1126" t="s">
        <v>144</v>
      </c>
      <c r="C323" s="1126"/>
      <c r="D323" s="1126"/>
      <c r="E323" s="493"/>
      <c r="F323" s="371"/>
      <c r="G323" s="373"/>
      <c r="H323" s="1132" t="s">
        <v>109</v>
      </c>
      <c r="I323" s="299"/>
      <c r="J323" s="299"/>
      <c r="K323" s="481"/>
      <c r="L323" s="482"/>
      <c r="M323" s="596"/>
      <c r="N323" s="561"/>
      <c r="O323" s="595"/>
      <c r="Q323" s="596"/>
      <c r="R323" s="561"/>
      <c r="S323" s="595"/>
      <c r="U323" s="596"/>
      <c r="V323" s="561"/>
      <c r="W323" s="595"/>
      <c r="Z323" s="596"/>
      <c r="AA323" s="561"/>
      <c r="AB323" s="595"/>
      <c r="AE323" s="596"/>
      <c r="AF323" s="561"/>
      <c r="AG323" s="595"/>
      <c r="AH323" s="793"/>
      <c r="AI323" s="359">
        <f t="shared" si="19"/>
        <v>0</v>
      </c>
      <c r="AJ323" s="315">
        <f t="shared" si="18"/>
        <v>0</v>
      </c>
      <c r="AK323" s="315"/>
      <c r="AL323" s="315"/>
      <c r="AM323" s="315"/>
    </row>
    <row r="324" spans="1:39" s="135" customFormat="1" ht="13.5" thickBot="1" x14ac:dyDescent="0.25">
      <c r="B324" s="1125" t="s">
        <v>94</v>
      </c>
      <c r="C324" s="1125"/>
      <c r="D324" s="1125"/>
      <c r="E324" s="493"/>
      <c r="F324" s="371"/>
      <c r="G324" s="373"/>
      <c r="H324" s="1133"/>
      <c r="I324" s="299"/>
      <c r="J324" s="299"/>
      <c r="K324" s="472"/>
      <c r="L324" s="386"/>
      <c r="M324" s="446"/>
      <c r="N324" s="428"/>
      <c r="O324" s="432"/>
      <c r="P324" s="346"/>
      <c r="Q324" s="446"/>
      <c r="R324" s="428"/>
      <c r="S324" s="432"/>
      <c r="T324" s="345"/>
      <c r="U324" s="446"/>
      <c r="V324" s="428"/>
      <c r="W324" s="432"/>
      <c r="X324" s="346"/>
      <c r="Z324" s="446"/>
      <c r="AA324" s="428"/>
      <c r="AB324" s="432"/>
      <c r="AC324" s="346"/>
      <c r="AD324" s="347"/>
      <c r="AE324" s="446"/>
      <c r="AF324" s="428"/>
      <c r="AG324" s="432"/>
      <c r="AH324" s="743"/>
      <c r="AI324" s="359">
        <f t="shared" si="19"/>
        <v>0</v>
      </c>
      <c r="AJ324" s="315">
        <f t="shared" si="18"/>
        <v>0</v>
      </c>
      <c r="AK324" s="315"/>
      <c r="AL324" s="315"/>
      <c r="AM324" s="315"/>
    </row>
    <row r="325" spans="1:39" s="135" customFormat="1" ht="13.5" thickBot="1" x14ac:dyDescent="0.25">
      <c r="B325" s="1125" t="s">
        <v>143</v>
      </c>
      <c r="C325" s="1125"/>
      <c r="D325" s="1125"/>
      <c r="E325" s="493"/>
      <c r="F325" s="371"/>
      <c r="G325" s="373"/>
      <c r="H325" s="1133"/>
      <c r="I325" s="299"/>
      <c r="J325" s="299"/>
      <c r="K325" s="472"/>
      <c r="L325" s="386"/>
      <c r="M325" s="327"/>
      <c r="N325" s="328"/>
      <c r="O325" s="433"/>
      <c r="P325" s="346"/>
      <c r="Q325" s="327"/>
      <c r="R325" s="328"/>
      <c r="S325" s="433"/>
      <c r="T325" s="345"/>
      <c r="U325" s="327"/>
      <c r="V325" s="328"/>
      <c r="W325" s="433"/>
      <c r="X325" s="346"/>
      <c r="Z325" s="327"/>
      <c r="AA325" s="328"/>
      <c r="AB325" s="433"/>
      <c r="AC325" s="346"/>
      <c r="AD325" s="347"/>
      <c r="AE325" s="327"/>
      <c r="AF325" s="328"/>
      <c r="AG325" s="433"/>
      <c r="AH325" s="336"/>
      <c r="AI325" s="359">
        <f t="shared" si="19"/>
        <v>0</v>
      </c>
      <c r="AJ325" s="315">
        <f t="shared" ref="AJ325:AJ374" si="20">AI325-G325</f>
        <v>0</v>
      </c>
      <c r="AK325" s="315"/>
      <c r="AL325" s="315"/>
      <c r="AM325" s="315"/>
    </row>
    <row r="326" spans="1:39" s="135" customFormat="1" ht="13.5" thickBot="1" x14ac:dyDescent="0.25">
      <c r="B326" s="1125" t="s">
        <v>142</v>
      </c>
      <c r="C326" s="1125"/>
      <c r="D326" s="1125"/>
      <c r="E326" s="494"/>
      <c r="F326" s="372">
        <v>100</v>
      </c>
      <c r="G326" s="374">
        <v>100</v>
      </c>
      <c r="H326" s="1133"/>
      <c r="I326" s="299"/>
      <c r="J326" s="299"/>
      <c r="K326" s="472"/>
      <c r="L326" s="386"/>
      <c r="M326" s="386"/>
      <c r="N326" s="473"/>
      <c r="O326" s="348"/>
      <c r="P326" s="455">
        <v>13</v>
      </c>
      <c r="Q326" s="439"/>
      <c r="R326" s="455">
        <v>12</v>
      </c>
      <c r="S326" s="438"/>
      <c r="T326" s="455">
        <v>13</v>
      </c>
      <c r="U326" s="439"/>
      <c r="V326" s="455">
        <v>12</v>
      </c>
      <c r="W326" s="438"/>
      <c r="X326" s="455">
        <v>12</v>
      </c>
      <c r="Y326" s="439"/>
      <c r="Z326" s="455">
        <v>13</v>
      </c>
      <c r="AA326" s="438"/>
      <c r="AC326" s="455">
        <v>12</v>
      </c>
      <c r="AE326" s="650"/>
      <c r="AF326" s="650"/>
      <c r="AG326" s="650"/>
      <c r="AH326" s="455">
        <v>13</v>
      </c>
      <c r="AI326" s="359">
        <f>SUM(K326:AH326)</f>
        <v>100</v>
      </c>
      <c r="AJ326" s="315">
        <f t="shared" si="20"/>
        <v>0</v>
      </c>
      <c r="AK326" s="315"/>
      <c r="AL326" s="315"/>
      <c r="AM326" s="315"/>
    </row>
    <row r="327" spans="1:39" s="135" customFormat="1" ht="13.5" thickBot="1" x14ac:dyDescent="0.25">
      <c r="B327" s="1122" t="s">
        <v>91</v>
      </c>
      <c r="C327" s="1122"/>
      <c r="D327" s="1122"/>
      <c r="E327" s="492"/>
      <c r="F327" s="691">
        <v>100</v>
      </c>
      <c r="G327" s="692">
        <v>100</v>
      </c>
      <c r="H327" s="1134"/>
      <c r="I327" s="299"/>
      <c r="J327" s="299"/>
      <c r="K327" s="472"/>
      <c r="L327" s="386"/>
      <c r="M327" s="386"/>
      <c r="N327" s="473"/>
      <c r="O327" s="348"/>
      <c r="P327" s="346"/>
      <c r="Q327" s="346"/>
      <c r="R327" s="347"/>
      <c r="S327" s="354"/>
      <c r="T327" s="345"/>
      <c r="U327" s="345"/>
      <c r="V327" s="355"/>
      <c r="W327" s="348"/>
      <c r="X327" s="346"/>
      <c r="Y327" s="346"/>
      <c r="Z327" s="347"/>
      <c r="AA327" s="348"/>
      <c r="AB327" s="346"/>
      <c r="AC327" s="346"/>
      <c r="AD327" s="347"/>
      <c r="AE327" s="345"/>
      <c r="AF327" s="345"/>
      <c r="AG327" s="345"/>
      <c r="AH327" s="345"/>
      <c r="AI327" s="359">
        <f t="shared" si="19"/>
        <v>0</v>
      </c>
      <c r="AJ327" s="315">
        <f t="shared" si="20"/>
        <v>-100</v>
      </c>
      <c r="AK327" s="315"/>
      <c r="AL327" s="315"/>
      <c r="AM327" s="315"/>
    </row>
    <row r="328" spans="1:39" s="6" customFormat="1" ht="13.5" thickBot="1" x14ac:dyDescent="0.25">
      <c r="A328" s="579"/>
      <c r="B328" s="783" t="s">
        <v>65</v>
      </c>
      <c r="C328" s="784"/>
      <c r="D328" s="785"/>
      <c r="E328" s="667">
        <f>E334+E340+E346+E348+E360+E354+E366+E372</f>
        <v>7108</v>
      </c>
      <c r="F328" s="804">
        <f>F334+F340+F346+F348+F360+F354+F366+F372</f>
        <v>2800</v>
      </c>
      <c r="G328" s="727">
        <f>G334+G340+G346+G348+G360+G354+G366+G372</f>
        <v>9908</v>
      </c>
      <c r="H328" s="667">
        <f>SUM(H336:H372)</f>
        <v>0</v>
      </c>
      <c r="I328" s="667"/>
      <c r="J328" s="667"/>
      <c r="K328" s="1144">
        <f>K329+K335+K341+K347+K349+K355+K361+K367</f>
        <v>5308</v>
      </c>
      <c r="L328" s="1145"/>
      <c r="M328" s="1145"/>
      <c r="N328" s="1146"/>
      <c r="O328" s="1144">
        <f>O329+O335+O341+O347+O349+O355+O361+O367</f>
        <v>1900</v>
      </c>
      <c r="P328" s="1145"/>
      <c r="Q328" s="1145"/>
      <c r="R328" s="1146"/>
      <c r="S328" s="1144">
        <f>S329+S335+S341+S347+S349+S355+S361+S367</f>
        <v>1100</v>
      </c>
      <c r="T328" s="1145"/>
      <c r="U328" s="1145"/>
      <c r="V328" s="1146"/>
      <c r="W328" s="1144">
        <f>W329+W335+W341+W347+W349+W355+W361+W367</f>
        <v>1500</v>
      </c>
      <c r="X328" s="1145"/>
      <c r="Y328" s="1145"/>
      <c r="Z328" s="1146"/>
      <c r="AA328" s="1144">
        <f>AA329+AA335+AA341+AA347+AA349+AA355+AA361+AA367</f>
        <v>100</v>
      </c>
      <c r="AB328" s="1145"/>
      <c r="AC328" s="1145"/>
      <c r="AD328" s="1146"/>
      <c r="AE328" s="1144">
        <f>AE329+AE335+AE341+AE347+AE349+AE355+AE361+AE367+SUM(AE348:AH348)</f>
        <v>0</v>
      </c>
      <c r="AF328" s="1145"/>
      <c r="AG328" s="1145"/>
      <c r="AH328" s="1146"/>
      <c r="AI328" s="359">
        <f t="shared" si="19"/>
        <v>9908</v>
      </c>
      <c r="AJ328" s="315">
        <f t="shared" si="20"/>
        <v>0</v>
      </c>
      <c r="AK328" s="315"/>
      <c r="AL328" s="315"/>
      <c r="AM328" s="315"/>
    </row>
    <row r="329" spans="1:39" s="699" customFormat="1" ht="12.75" customHeight="1" thickBot="1" x14ac:dyDescent="0.25">
      <c r="A329" s="629"/>
      <c r="B329" s="1127" t="s">
        <v>83</v>
      </c>
      <c r="C329" s="1128"/>
      <c r="D329" s="1128"/>
      <c r="E329" s="782"/>
      <c r="F329" s="782"/>
      <c r="G329" s="782"/>
      <c r="H329" s="782"/>
      <c r="I329" s="782"/>
      <c r="J329" s="782"/>
      <c r="K329" s="1162">
        <f>SUM(K330:N334)</f>
        <v>3808</v>
      </c>
      <c r="L329" s="1163"/>
      <c r="M329" s="1163"/>
      <c r="N329" s="1163"/>
      <c r="O329" s="1162">
        <f>SUM(O330:R334)</f>
        <v>0</v>
      </c>
      <c r="P329" s="1163"/>
      <c r="Q329" s="1163"/>
      <c r="R329" s="1163"/>
      <c r="S329" s="1162">
        <f>SUM(S330:V334)</f>
        <v>0</v>
      </c>
      <c r="T329" s="1163"/>
      <c r="U329" s="1163"/>
      <c r="V329" s="1163"/>
      <c r="W329" s="1162">
        <f>SUM(W330:Z334)</f>
        <v>0</v>
      </c>
      <c r="X329" s="1163"/>
      <c r="Y329" s="1163"/>
      <c r="Z329" s="1163"/>
      <c r="AA329" s="1162">
        <f>SUM(AA330:AD334)</f>
        <v>0</v>
      </c>
      <c r="AB329" s="1163"/>
      <c r="AC329" s="1163"/>
      <c r="AD329" s="1163"/>
      <c r="AE329" s="1162">
        <f>SUM(AE330:AH334)</f>
        <v>0</v>
      </c>
      <c r="AF329" s="1163"/>
      <c r="AG329" s="1163"/>
      <c r="AH329" s="1163"/>
      <c r="AI329" s="359">
        <f t="shared" si="19"/>
        <v>3808</v>
      </c>
      <c r="AJ329" s="315">
        <f t="shared" si="20"/>
        <v>3808</v>
      </c>
      <c r="AK329" s="315">
        <f>G334+G340+G346+G348+G354+G360+G366+G372</f>
        <v>9908</v>
      </c>
      <c r="AL329" s="315"/>
      <c r="AM329" s="315"/>
    </row>
    <row r="330" spans="1:39" s="6" customFormat="1" ht="13.5" customHeight="1" thickBot="1" x14ac:dyDescent="0.25">
      <c r="A330" s="135"/>
      <c r="B330" s="1126" t="s">
        <v>144</v>
      </c>
      <c r="C330" s="1126"/>
      <c r="D330" s="1126"/>
      <c r="E330" s="369"/>
      <c r="F330" s="371"/>
      <c r="G330" s="373"/>
      <c r="H330" s="1239" t="s">
        <v>97</v>
      </c>
      <c r="I330" s="695"/>
      <c r="J330" s="695"/>
      <c r="K330" s="621"/>
      <c r="L330" s="561"/>
      <c r="M330" s="561"/>
      <c r="N330" s="670"/>
      <c r="O330" s="598"/>
      <c r="P330" s="599"/>
      <c r="Q330" s="669"/>
      <c r="R330" s="670"/>
      <c r="S330" s="621"/>
      <c r="T330" s="599"/>
      <c r="U330" s="599"/>
      <c r="V330" s="600"/>
      <c r="W330" s="621"/>
      <c r="X330" s="599"/>
      <c r="Y330" s="599"/>
      <c r="Z330" s="600"/>
      <c r="AA330" s="621"/>
      <c r="AB330" s="599"/>
      <c r="AC330" s="599"/>
      <c r="AD330" s="600"/>
      <c r="AE330" s="303"/>
      <c r="AF330" s="303"/>
      <c r="AG330" s="303"/>
      <c r="AH330" s="303"/>
      <c r="AI330" s="359">
        <f t="shared" si="19"/>
        <v>0</v>
      </c>
      <c r="AJ330" s="315">
        <f t="shared" si="20"/>
        <v>0</v>
      </c>
      <c r="AK330" s="315"/>
      <c r="AL330" s="315"/>
      <c r="AM330" s="315"/>
    </row>
    <row r="331" spans="1:39" s="6" customFormat="1" ht="13.5" thickBot="1" x14ac:dyDescent="0.25">
      <c r="A331" s="135"/>
      <c r="B331" s="1125" t="s">
        <v>94</v>
      </c>
      <c r="C331" s="1125"/>
      <c r="D331" s="1125"/>
      <c r="E331" s="370"/>
      <c r="F331" s="372"/>
      <c r="G331" s="374"/>
      <c r="H331" s="1240"/>
      <c r="I331" s="307"/>
      <c r="J331" s="307"/>
      <c r="K331" s="321"/>
      <c r="L331" s="328"/>
      <c r="M331" s="328"/>
      <c r="N331" s="324"/>
      <c r="O331" s="329"/>
      <c r="P331" s="322"/>
      <c r="Q331" s="325"/>
      <c r="R331" s="324"/>
      <c r="S331" s="321"/>
      <c r="T331" s="322"/>
      <c r="U331" s="322"/>
      <c r="V331" s="330"/>
      <c r="W331" s="321"/>
      <c r="X331" s="322"/>
      <c r="Y331" s="322"/>
      <c r="Z331" s="330"/>
      <c r="AA331" s="321"/>
      <c r="AB331" s="322"/>
      <c r="AC331" s="322"/>
      <c r="AD331" s="330"/>
      <c r="AE331" s="301"/>
      <c r="AF331" s="301"/>
      <c r="AG331" s="301"/>
      <c r="AH331" s="301"/>
      <c r="AI331" s="359">
        <f t="shared" si="19"/>
        <v>0</v>
      </c>
      <c r="AJ331" s="315">
        <f t="shared" si="20"/>
        <v>0</v>
      </c>
      <c r="AK331" s="315"/>
      <c r="AL331" s="315"/>
      <c r="AM331" s="315"/>
    </row>
    <row r="332" spans="1:39" s="6" customFormat="1" ht="13.5" thickBot="1" x14ac:dyDescent="0.25">
      <c r="A332" s="135"/>
      <c r="B332" s="1125" t="s">
        <v>143</v>
      </c>
      <c r="C332" s="1125"/>
      <c r="D332" s="1125"/>
      <c r="E332" s="369"/>
      <c r="F332" s="371"/>
      <c r="G332" s="373"/>
      <c r="H332" s="1240"/>
      <c r="I332" s="307"/>
      <c r="J332" s="307"/>
      <c r="K332" s="433"/>
      <c r="L332" s="328"/>
      <c r="M332" s="328"/>
      <c r="N332" s="324"/>
      <c r="O332" s="329"/>
      <c r="P332" s="322"/>
      <c r="Q332" s="325"/>
      <c r="R332" s="324"/>
      <c r="S332" s="321"/>
      <c r="T332" s="322"/>
      <c r="U332" s="322"/>
      <c r="V332" s="330"/>
      <c r="W332" s="321"/>
      <c r="X332" s="322"/>
      <c r="Y332" s="322"/>
      <c r="Z332" s="330"/>
      <c r="AA332" s="321"/>
      <c r="AB332" s="322"/>
      <c r="AC332" s="322"/>
      <c r="AD332" s="330"/>
      <c r="AE332" s="301"/>
      <c r="AF332" s="301"/>
      <c r="AG332" s="301"/>
      <c r="AH332" s="301"/>
      <c r="AI332" s="359">
        <f t="shared" si="19"/>
        <v>0</v>
      </c>
      <c r="AJ332" s="315">
        <f t="shared" si="20"/>
        <v>0</v>
      </c>
      <c r="AK332" s="315"/>
      <c r="AL332" s="315"/>
      <c r="AM332" s="315"/>
    </row>
    <row r="333" spans="1:39" s="6" customFormat="1" ht="13.5" thickBot="1" x14ac:dyDescent="0.25">
      <c r="A333" s="135"/>
      <c r="B333" s="1125" t="s">
        <v>142</v>
      </c>
      <c r="C333" s="1125"/>
      <c r="D333" s="1125"/>
      <c r="E333" s="370">
        <v>3808</v>
      </c>
      <c r="F333" s="372"/>
      <c r="G333" s="374">
        <v>3808</v>
      </c>
      <c r="H333" s="1240"/>
      <c r="I333" s="307"/>
      <c r="J333" s="307"/>
      <c r="K333" s="321"/>
      <c r="L333" s="455">
        <v>3808</v>
      </c>
      <c r="M333" s="328"/>
      <c r="N333" s="324"/>
      <c r="O333" s="329"/>
      <c r="P333" s="322"/>
      <c r="Q333" s="325"/>
      <c r="R333" s="324"/>
      <c r="S333" s="321"/>
      <c r="T333" s="322"/>
      <c r="U333" s="322"/>
      <c r="V333" s="330"/>
      <c r="W333" s="321"/>
      <c r="X333" s="322"/>
      <c r="Y333" s="322"/>
      <c r="Z333" s="330"/>
      <c r="AA333" s="321"/>
      <c r="AB333" s="322"/>
      <c r="AC333" s="322"/>
      <c r="AD333" s="330"/>
      <c r="AE333" s="301"/>
      <c r="AF333" s="301"/>
      <c r="AG333" s="301"/>
      <c r="AH333" s="301"/>
      <c r="AI333" s="359">
        <f t="shared" si="19"/>
        <v>3808</v>
      </c>
      <c r="AJ333" s="315">
        <f t="shared" si="20"/>
        <v>0</v>
      </c>
      <c r="AK333" s="315"/>
      <c r="AL333" s="315"/>
      <c r="AM333" s="315"/>
    </row>
    <row r="334" spans="1:39" s="6" customFormat="1" ht="13.5" thickBot="1" x14ac:dyDescent="0.25">
      <c r="B334" s="1122" t="s">
        <v>91</v>
      </c>
      <c r="C334" s="1122"/>
      <c r="D334" s="1122"/>
      <c r="E334" s="370">
        <v>3808</v>
      </c>
      <c r="F334" s="372"/>
      <c r="G334" s="374">
        <v>3808</v>
      </c>
      <c r="H334" s="1241"/>
      <c r="I334" s="701"/>
      <c r="J334" s="701"/>
      <c r="K334" s="474"/>
      <c r="L334" s="486"/>
      <c r="M334" s="486"/>
      <c r="N334" s="601"/>
      <c r="O334" s="603"/>
      <c r="P334" s="385"/>
      <c r="Q334" s="602"/>
      <c r="R334" s="601"/>
      <c r="S334" s="474"/>
      <c r="T334" s="385"/>
      <c r="U334" s="385"/>
      <c r="V334" s="477"/>
      <c r="W334" s="474"/>
      <c r="X334" s="385"/>
      <c r="Y334" s="385"/>
      <c r="Z334" s="477"/>
      <c r="AA334" s="474"/>
      <c r="AB334" s="385"/>
      <c r="AC334" s="385"/>
      <c r="AD334" s="477"/>
      <c r="AE334" s="304"/>
      <c r="AF334" s="304"/>
      <c r="AG334" s="304"/>
      <c r="AH334" s="304"/>
      <c r="AI334" s="359">
        <f t="shared" si="19"/>
        <v>0</v>
      </c>
      <c r="AJ334" s="315">
        <f t="shared" si="20"/>
        <v>-3808</v>
      </c>
      <c r="AK334" s="315"/>
      <c r="AL334" s="315"/>
      <c r="AM334" s="315"/>
    </row>
    <row r="335" spans="1:39" s="244" customFormat="1" ht="12.75" customHeight="1" thickBot="1" x14ac:dyDescent="0.25">
      <c r="A335" s="6"/>
      <c r="B335" s="1127" t="s">
        <v>165</v>
      </c>
      <c r="C335" s="1128"/>
      <c r="D335" s="1128"/>
      <c r="E335" s="782"/>
      <c r="F335" s="782"/>
      <c r="G335" s="782"/>
      <c r="H335" s="782"/>
      <c r="I335" s="782"/>
      <c r="J335" s="782"/>
      <c r="K335" s="1162">
        <f>SUM(K336:N340)</f>
        <v>0</v>
      </c>
      <c r="L335" s="1163"/>
      <c r="M335" s="1163"/>
      <c r="N335" s="1163"/>
      <c r="O335" s="1162">
        <f>SUM(O336:R340)</f>
        <v>0</v>
      </c>
      <c r="P335" s="1163"/>
      <c r="Q335" s="1163"/>
      <c r="R335" s="1163"/>
      <c r="S335" s="1162">
        <f>SUM(S336:V340)</f>
        <v>1000</v>
      </c>
      <c r="T335" s="1163"/>
      <c r="U335" s="1163"/>
      <c r="V335" s="1163"/>
      <c r="W335" s="1162">
        <f>SUM(W336:Z340)</f>
        <v>0</v>
      </c>
      <c r="X335" s="1163"/>
      <c r="Y335" s="1163"/>
      <c r="Z335" s="1163"/>
      <c r="AA335" s="1162">
        <f>SUM(AA336:AD340)</f>
        <v>0</v>
      </c>
      <c r="AB335" s="1163"/>
      <c r="AC335" s="1163"/>
      <c r="AD335" s="1163"/>
      <c r="AE335" s="1162">
        <f>SUM(AE336:AH340)</f>
        <v>0</v>
      </c>
      <c r="AF335" s="1163"/>
      <c r="AG335" s="1163"/>
      <c r="AH335" s="1163"/>
      <c r="AI335" s="359">
        <f t="shared" si="19"/>
        <v>1000</v>
      </c>
      <c r="AJ335" s="315">
        <f t="shared" si="20"/>
        <v>1000</v>
      </c>
      <c r="AK335" s="315"/>
      <c r="AL335" s="315"/>
      <c r="AM335" s="315"/>
    </row>
    <row r="336" spans="1:39" s="6" customFormat="1" ht="13.5" customHeight="1" thickBot="1" x14ac:dyDescent="0.25">
      <c r="A336" s="135"/>
      <c r="B336" s="1126" t="s">
        <v>144</v>
      </c>
      <c r="C336" s="1126"/>
      <c r="D336" s="1126"/>
      <c r="E336" s="369"/>
      <c r="F336" s="371"/>
      <c r="G336" s="373"/>
      <c r="H336" s="1226" t="s">
        <v>97</v>
      </c>
      <c r="I336" s="695"/>
      <c r="J336" s="695"/>
      <c r="K336" s="621"/>
      <c r="L336" s="561"/>
      <c r="M336" s="561"/>
      <c r="N336" s="670"/>
      <c r="O336" s="598"/>
      <c r="P336" s="599"/>
      <c r="Q336" s="669"/>
      <c r="R336" s="670"/>
      <c r="S336" s="621"/>
      <c r="T336" s="599"/>
      <c r="U336" s="599"/>
      <c r="V336" s="600"/>
      <c r="W336" s="621"/>
      <c r="X336" s="599"/>
      <c r="Y336" s="599"/>
      <c r="Z336" s="600"/>
      <c r="AA336" s="621"/>
      <c r="AB336" s="599"/>
      <c r="AC336" s="599"/>
      <c r="AD336" s="600"/>
      <c r="AE336" s="303"/>
      <c r="AF336" s="303"/>
      <c r="AG336" s="303"/>
      <c r="AH336" s="303"/>
      <c r="AI336" s="359">
        <f t="shared" si="19"/>
        <v>0</v>
      </c>
      <c r="AJ336" s="315">
        <f t="shared" si="20"/>
        <v>0</v>
      </c>
      <c r="AK336" s="315"/>
      <c r="AL336" s="315"/>
      <c r="AM336" s="315"/>
    </row>
    <row r="337" spans="1:39" s="6" customFormat="1" ht="13.5" thickBot="1" x14ac:dyDescent="0.25">
      <c r="A337" s="135"/>
      <c r="B337" s="1125" t="s">
        <v>94</v>
      </c>
      <c r="C337" s="1125"/>
      <c r="D337" s="1125"/>
      <c r="E337" s="369"/>
      <c r="F337" s="371"/>
      <c r="G337" s="373"/>
      <c r="H337" s="1227"/>
      <c r="I337" s="307"/>
      <c r="J337" s="307"/>
      <c r="K337" s="321"/>
      <c r="L337" s="328"/>
      <c r="M337" s="328"/>
      <c r="N337" s="324"/>
      <c r="O337" s="329"/>
      <c r="P337" s="322"/>
      <c r="Q337" s="325"/>
      <c r="R337" s="324"/>
      <c r="S337" s="321"/>
      <c r="T337" s="322"/>
      <c r="U337" s="322"/>
      <c r="V337" s="330"/>
      <c r="W337" s="321"/>
      <c r="X337" s="322"/>
      <c r="Y337" s="322"/>
      <c r="Z337" s="330"/>
      <c r="AA337" s="321"/>
      <c r="AB337" s="322"/>
      <c r="AC337" s="322"/>
      <c r="AD337" s="330"/>
      <c r="AE337" s="301"/>
      <c r="AF337" s="301"/>
      <c r="AG337" s="301"/>
      <c r="AH337" s="301"/>
      <c r="AI337" s="359">
        <f t="shared" si="19"/>
        <v>0</v>
      </c>
      <c r="AJ337" s="315">
        <f t="shared" si="20"/>
        <v>0</v>
      </c>
      <c r="AK337" s="315"/>
      <c r="AL337" s="315"/>
      <c r="AM337" s="315"/>
    </row>
    <row r="338" spans="1:39" s="6" customFormat="1" ht="13.5" thickBot="1" x14ac:dyDescent="0.25">
      <c r="A338" s="135"/>
      <c r="B338" s="1125" t="s">
        <v>143</v>
      </c>
      <c r="C338" s="1125"/>
      <c r="D338" s="1125"/>
      <c r="E338" s="369"/>
      <c r="F338" s="371"/>
      <c r="G338" s="373"/>
      <c r="H338" s="1227"/>
      <c r="I338" s="307"/>
      <c r="J338" s="307"/>
      <c r="M338" s="328"/>
      <c r="N338" s="324"/>
      <c r="O338" s="329"/>
      <c r="P338" s="322"/>
      <c r="Q338" s="325"/>
      <c r="R338" s="324"/>
      <c r="S338" s="321"/>
      <c r="T338" s="322"/>
      <c r="U338" s="433"/>
      <c r="V338" s="328"/>
      <c r="W338" s="321"/>
      <c r="X338" s="322"/>
      <c r="Y338" s="322"/>
      <c r="Z338" s="330"/>
      <c r="AA338" s="321"/>
      <c r="AB338" s="322"/>
      <c r="AC338" s="322"/>
      <c r="AD338" s="330"/>
      <c r="AE338" s="301"/>
      <c r="AF338" s="301"/>
      <c r="AG338" s="301"/>
      <c r="AH338" s="301"/>
      <c r="AI338" s="359">
        <f t="shared" si="19"/>
        <v>0</v>
      </c>
      <c r="AJ338" s="315">
        <f t="shared" si="20"/>
        <v>0</v>
      </c>
      <c r="AK338" s="315"/>
      <c r="AL338" s="315"/>
      <c r="AM338" s="315"/>
    </row>
    <row r="339" spans="1:39" s="6" customFormat="1" ht="13.5" thickBot="1" x14ac:dyDescent="0.25">
      <c r="A339" s="135"/>
      <c r="B339" s="1125" t="s">
        <v>142</v>
      </c>
      <c r="C339" s="1125"/>
      <c r="D339" s="1125"/>
      <c r="E339" s="370">
        <v>1000</v>
      </c>
      <c r="F339" s="372"/>
      <c r="G339" s="374">
        <v>1000</v>
      </c>
      <c r="H339" s="1227"/>
      <c r="I339" s="307"/>
      <c r="J339" s="307"/>
      <c r="M339" s="328"/>
      <c r="N339" s="324"/>
      <c r="O339" s="329"/>
      <c r="P339" s="322"/>
      <c r="Q339" s="325"/>
      <c r="R339" s="324"/>
      <c r="S339" s="321"/>
      <c r="T339" s="322"/>
      <c r="U339" s="321"/>
      <c r="V339" s="455">
        <v>1000</v>
      </c>
      <c r="W339" s="321"/>
      <c r="X339" s="322"/>
      <c r="Y339" s="322"/>
      <c r="Z339" s="330"/>
      <c r="AA339" s="321"/>
      <c r="AB339" s="322"/>
      <c r="AC339" s="322"/>
      <c r="AD339" s="330"/>
      <c r="AE339" s="301"/>
      <c r="AF339" s="301"/>
      <c r="AG339" s="301"/>
      <c r="AH339" s="301"/>
      <c r="AI339" s="359">
        <f t="shared" si="19"/>
        <v>1000</v>
      </c>
      <c r="AJ339" s="315">
        <f t="shared" si="20"/>
        <v>0</v>
      </c>
      <c r="AK339" s="315"/>
      <c r="AL339" s="315"/>
      <c r="AM339" s="315"/>
    </row>
    <row r="340" spans="1:39" s="6" customFormat="1" ht="13.5" thickBot="1" x14ac:dyDescent="0.25">
      <c r="B340" s="1122" t="s">
        <v>91</v>
      </c>
      <c r="C340" s="1122"/>
      <c r="D340" s="1122"/>
      <c r="E340" s="654">
        <v>1000</v>
      </c>
      <c r="F340" s="685"/>
      <c r="G340" s="700">
        <v>1000</v>
      </c>
      <c r="H340" s="1228"/>
      <c r="I340" s="701"/>
      <c r="J340" s="701"/>
      <c r="K340" s="474"/>
      <c r="L340" s="486"/>
      <c r="M340" s="486"/>
      <c r="N340" s="601"/>
      <c r="O340" s="603"/>
      <c r="P340" s="385"/>
      <c r="Q340" s="602"/>
      <c r="R340" s="601"/>
      <c r="S340" s="474"/>
      <c r="T340" s="385"/>
      <c r="U340" s="385"/>
      <c r="V340" s="477"/>
      <c r="W340" s="474"/>
      <c r="X340" s="385"/>
      <c r="Y340" s="385"/>
      <c r="Z340" s="477"/>
      <c r="AA340" s="474"/>
      <c r="AB340" s="385"/>
      <c r="AC340" s="385"/>
      <c r="AD340" s="477"/>
      <c r="AE340" s="304"/>
      <c r="AF340" s="304"/>
      <c r="AG340" s="304"/>
      <c r="AH340" s="304"/>
      <c r="AI340" s="359">
        <f t="shared" si="19"/>
        <v>0</v>
      </c>
      <c r="AJ340" s="315">
        <f t="shared" si="20"/>
        <v>-1000</v>
      </c>
      <c r="AK340" s="315"/>
      <c r="AL340" s="315"/>
      <c r="AM340" s="315"/>
    </row>
    <row r="341" spans="1:39" s="244" customFormat="1" ht="12.75" customHeight="1" thickBot="1" x14ac:dyDescent="0.25">
      <c r="A341" s="6"/>
      <c r="B341" s="1127" t="s">
        <v>66</v>
      </c>
      <c r="C341" s="1128"/>
      <c r="D341" s="1128"/>
      <c r="E341" s="782"/>
      <c r="F341" s="782"/>
      <c r="G341" s="782"/>
      <c r="H341" s="782"/>
      <c r="I341" s="782"/>
      <c r="J341" s="782"/>
      <c r="K341" s="1162">
        <f>SUM(K342:N346)</f>
        <v>0</v>
      </c>
      <c r="L341" s="1163"/>
      <c r="M341" s="1163"/>
      <c r="N341" s="1163"/>
      <c r="O341" s="1162">
        <f>SUM(O342:R346)</f>
        <v>100</v>
      </c>
      <c r="P341" s="1163"/>
      <c r="Q341" s="1163"/>
      <c r="R341" s="1163"/>
      <c r="S341" s="1162">
        <f>SUM(S342:V346)</f>
        <v>100</v>
      </c>
      <c r="T341" s="1163"/>
      <c r="U341" s="1163"/>
      <c r="V341" s="1163"/>
      <c r="W341" s="1162">
        <f>SUM(W342:Z346)</f>
        <v>100</v>
      </c>
      <c r="X341" s="1163"/>
      <c r="Y341" s="1163"/>
      <c r="Z341" s="1163"/>
      <c r="AA341" s="1162">
        <f>SUM(AA342:AD346)</f>
        <v>100</v>
      </c>
      <c r="AB341" s="1163"/>
      <c r="AC341" s="1163"/>
      <c r="AD341" s="1163"/>
      <c r="AE341" s="1162">
        <f>SUM(AE342:AH346)</f>
        <v>0</v>
      </c>
      <c r="AF341" s="1163"/>
      <c r="AG341" s="1163"/>
      <c r="AH341" s="1163"/>
      <c r="AI341" s="359">
        <f t="shared" si="19"/>
        <v>400</v>
      </c>
      <c r="AJ341" s="315">
        <f t="shared" si="20"/>
        <v>400</v>
      </c>
      <c r="AK341" s="315"/>
      <c r="AL341" s="315"/>
      <c r="AM341" s="315"/>
    </row>
    <row r="342" spans="1:39" s="6" customFormat="1" ht="13.5" customHeight="1" thickBot="1" x14ac:dyDescent="0.25">
      <c r="B342" s="1126" t="s">
        <v>144</v>
      </c>
      <c r="C342" s="1126"/>
      <c r="D342" s="1126"/>
      <c r="E342" s="369"/>
      <c r="F342" s="371"/>
      <c r="G342" s="373"/>
      <c r="H342" s="1132" t="s">
        <v>109</v>
      </c>
      <c r="I342" s="308"/>
      <c r="J342" s="308"/>
      <c r="K342" s="621"/>
      <c r="L342" s="599"/>
      <c r="M342" s="596"/>
      <c r="N342" s="561"/>
      <c r="O342" s="595"/>
      <c r="P342" s="561"/>
      <c r="Q342" s="596"/>
      <c r="R342" s="561"/>
      <c r="S342" s="595"/>
      <c r="T342" s="596"/>
      <c r="U342" s="561"/>
      <c r="V342" s="595"/>
      <c r="W342" s="561"/>
      <c r="X342" s="596"/>
      <c r="Y342" s="561"/>
      <c r="Z342" s="595"/>
      <c r="AA342" s="561"/>
      <c r="AB342" s="599"/>
      <c r="AC342" s="599"/>
      <c r="AD342" s="600"/>
      <c r="AE342" s="747"/>
      <c r="AF342" s="747"/>
      <c r="AG342" s="747"/>
      <c r="AH342" s="747"/>
      <c r="AI342" s="359">
        <f t="shared" si="19"/>
        <v>0</v>
      </c>
      <c r="AJ342" s="315">
        <f t="shared" si="20"/>
        <v>0</v>
      </c>
      <c r="AK342" s="315"/>
      <c r="AL342" s="315"/>
      <c r="AM342" s="315"/>
    </row>
    <row r="343" spans="1:39" s="6" customFormat="1" ht="13.5" thickBot="1" x14ac:dyDescent="0.25">
      <c r="B343" s="1125" t="s">
        <v>94</v>
      </c>
      <c r="C343" s="1125"/>
      <c r="D343" s="1125"/>
      <c r="E343" s="369"/>
      <c r="F343" s="371"/>
      <c r="G343" s="373"/>
      <c r="H343" s="1133"/>
      <c r="I343" s="308"/>
      <c r="J343" s="308"/>
      <c r="K343" s="321"/>
      <c r="L343" s="322"/>
      <c r="M343" s="446"/>
      <c r="N343" s="428"/>
      <c r="O343" s="432"/>
      <c r="P343" s="328"/>
      <c r="Q343" s="446"/>
      <c r="R343" s="428"/>
      <c r="S343" s="432"/>
      <c r="T343" s="446"/>
      <c r="U343" s="428"/>
      <c r="V343" s="432"/>
      <c r="W343" s="328"/>
      <c r="X343" s="446"/>
      <c r="Y343" s="428"/>
      <c r="Z343" s="432"/>
      <c r="AA343" s="328"/>
      <c r="AB343" s="322"/>
      <c r="AC343" s="322"/>
      <c r="AD343" s="330"/>
      <c r="AE343" s="748"/>
      <c r="AF343" s="748"/>
      <c r="AG343" s="748"/>
      <c r="AH343" s="748"/>
      <c r="AI343" s="359">
        <f t="shared" si="19"/>
        <v>0</v>
      </c>
      <c r="AJ343" s="315">
        <f t="shared" si="20"/>
        <v>0</v>
      </c>
      <c r="AK343" s="315"/>
      <c r="AL343" s="315"/>
      <c r="AM343" s="315"/>
    </row>
    <row r="344" spans="1:39" s="6" customFormat="1" ht="13.5" thickBot="1" x14ac:dyDescent="0.25">
      <c r="B344" s="1125" t="s">
        <v>143</v>
      </c>
      <c r="C344" s="1125"/>
      <c r="D344" s="1125"/>
      <c r="E344" s="369"/>
      <c r="F344" s="371"/>
      <c r="G344" s="373"/>
      <c r="H344" s="1133"/>
      <c r="I344" s="308"/>
      <c r="J344" s="308"/>
      <c r="K344" s="321"/>
      <c r="L344" s="322"/>
      <c r="M344" s="327"/>
      <c r="N344" s="328"/>
      <c r="O344" s="433"/>
      <c r="P344" s="328"/>
      <c r="Q344" s="327"/>
      <c r="R344" s="328"/>
      <c r="S344" s="433"/>
      <c r="T344" s="327"/>
      <c r="U344" s="328"/>
      <c r="V344" s="433"/>
      <c r="W344" s="328"/>
      <c r="X344" s="327"/>
      <c r="Y344" s="328"/>
      <c r="Z344" s="433"/>
      <c r="AA344" s="328"/>
      <c r="AB344" s="322"/>
      <c r="AC344" s="322"/>
      <c r="AD344" s="330"/>
      <c r="AE344" s="740"/>
      <c r="AF344" s="740"/>
      <c r="AG344" s="740"/>
      <c r="AH344" s="740"/>
      <c r="AI344" s="359">
        <f t="shared" si="19"/>
        <v>0</v>
      </c>
      <c r="AJ344" s="315">
        <f t="shared" si="20"/>
        <v>0</v>
      </c>
      <c r="AK344" s="315"/>
      <c r="AL344" s="315"/>
      <c r="AM344" s="315"/>
    </row>
    <row r="345" spans="1:39" s="6" customFormat="1" ht="13.5" thickBot="1" x14ac:dyDescent="0.25">
      <c r="A345" s="135"/>
      <c r="B345" s="1125" t="s">
        <v>142</v>
      </c>
      <c r="C345" s="1125"/>
      <c r="D345" s="1125"/>
      <c r="E345" s="370"/>
      <c r="F345" s="372">
        <v>400</v>
      </c>
      <c r="G345" s="374">
        <v>400</v>
      </c>
      <c r="H345" s="1133"/>
      <c r="I345" s="308"/>
      <c r="J345" s="308"/>
      <c r="K345" s="321"/>
      <c r="L345" s="322"/>
      <c r="M345" s="322"/>
      <c r="N345" s="330"/>
      <c r="O345" s="327"/>
      <c r="P345" s="455">
        <v>100</v>
      </c>
      <c r="Q345" s="322"/>
      <c r="R345" s="330"/>
      <c r="S345" s="327"/>
      <c r="T345" s="723">
        <v>100</v>
      </c>
      <c r="U345" s="330"/>
      <c r="V345" s="327"/>
      <c r="W345" s="455">
        <v>100</v>
      </c>
      <c r="X345" s="322"/>
      <c r="Y345" s="330"/>
      <c r="Z345" s="327"/>
      <c r="AA345" s="455">
        <v>100</v>
      </c>
      <c r="AB345" s="322"/>
      <c r="AC345" s="322"/>
      <c r="AD345" s="330"/>
      <c r="AE345" s="327"/>
      <c r="AF345" s="327"/>
      <c r="AG345" s="327"/>
      <c r="AH345" s="327"/>
      <c r="AI345" s="359">
        <f t="shared" si="19"/>
        <v>400</v>
      </c>
      <c r="AJ345" s="315">
        <f t="shared" si="20"/>
        <v>0</v>
      </c>
      <c r="AK345" s="315"/>
      <c r="AL345" s="315"/>
      <c r="AM345" s="315"/>
    </row>
    <row r="346" spans="1:39" s="6" customFormat="1" ht="13.5" thickBot="1" x14ac:dyDescent="0.25">
      <c r="B346" s="1122" t="s">
        <v>91</v>
      </c>
      <c r="C346" s="1122"/>
      <c r="D346" s="1122"/>
      <c r="E346" s="409"/>
      <c r="F346" s="338">
        <v>400</v>
      </c>
      <c r="G346" s="408">
        <v>400</v>
      </c>
      <c r="H346" s="1134"/>
      <c r="I346" s="308"/>
      <c r="J346" s="308"/>
      <c r="K346" s="474"/>
      <c r="L346" s="385"/>
      <c r="M346" s="385"/>
      <c r="N346" s="477"/>
      <c r="O346" s="562"/>
      <c r="P346" s="486"/>
      <c r="Q346" s="486"/>
      <c r="R346" s="475"/>
      <c r="S346" s="562"/>
      <c r="T346" s="486"/>
      <c r="U346" s="486"/>
      <c r="V346" s="477"/>
      <c r="W346" s="474"/>
      <c r="X346" s="385"/>
      <c r="Y346" s="385"/>
      <c r="Z346" s="477"/>
      <c r="AA346" s="474"/>
      <c r="AB346" s="385"/>
      <c r="AC346" s="385"/>
      <c r="AD346" s="477"/>
      <c r="AE346" s="304"/>
      <c r="AF346" s="304"/>
      <c r="AG346" s="304"/>
      <c r="AH346" s="304"/>
      <c r="AI346" s="359">
        <f t="shared" si="19"/>
        <v>0</v>
      </c>
      <c r="AJ346" s="315">
        <f t="shared" si="20"/>
        <v>-400</v>
      </c>
      <c r="AK346" s="315"/>
      <c r="AL346" s="315"/>
      <c r="AM346" s="315"/>
    </row>
    <row r="347" spans="1:39" s="244" customFormat="1" ht="13.5" thickBot="1" x14ac:dyDescent="0.25">
      <c r="A347" s="6"/>
      <c r="B347" s="1219" t="s">
        <v>162</v>
      </c>
      <c r="C347" s="1220"/>
      <c r="D347" s="1220"/>
      <c r="E347" s="789"/>
      <c r="F347" s="789"/>
      <c r="G347" s="789"/>
      <c r="H347" s="789"/>
      <c r="I347" s="789"/>
      <c r="J347" s="789"/>
      <c r="K347" s="1162">
        <f>SUM(K348:N348)</f>
        <v>0</v>
      </c>
      <c r="L347" s="1163"/>
      <c r="M347" s="1163"/>
      <c r="N347" s="1163"/>
      <c r="O347" s="1162">
        <f>SUM(O348:R348)</f>
        <v>300</v>
      </c>
      <c r="P347" s="1163"/>
      <c r="Q347" s="1163"/>
      <c r="R347" s="1163"/>
      <c r="S347" s="1162">
        <f>SUM(S348:V348)</f>
        <v>0</v>
      </c>
      <c r="T347" s="1163"/>
      <c r="U347" s="1163"/>
      <c r="V347" s="1163"/>
      <c r="W347" s="1162">
        <f>SUM(W348:Z348)</f>
        <v>0</v>
      </c>
      <c r="X347" s="1163"/>
      <c r="Y347" s="1163"/>
      <c r="Z347" s="1163"/>
      <c r="AA347" s="1162">
        <f>SUM(AA348:AD348)</f>
        <v>0</v>
      </c>
      <c r="AB347" s="1163"/>
      <c r="AC347" s="1163"/>
      <c r="AD347" s="1163"/>
      <c r="AE347" s="1162">
        <f>SUM(AE348:AH352)</f>
        <v>0</v>
      </c>
      <c r="AF347" s="1163"/>
      <c r="AG347" s="1163"/>
      <c r="AH347" s="1163"/>
      <c r="AI347" s="359">
        <f t="shared" si="19"/>
        <v>300</v>
      </c>
      <c r="AJ347" s="315">
        <f t="shared" si="20"/>
        <v>300</v>
      </c>
      <c r="AK347" s="315"/>
      <c r="AL347" s="315"/>
      <c r="AM347" s="315"/>
    </row>
    <row r="348" spans="1:39" s="6" customFormat="1" ht="13.5" thickBot="1" x14ac:dyDescent="0.25">
      <c r="C348" s="143"/>
      <c r="D348" s="309"/>
      <c r="E348" s="409">
        <v>300</v>
      </c>
      <c r="F348" s="338"/>
      <c r="G348" s="408">
        <v>300</v>
      </c>
      <c r="H348" s="320"/>
      <c r="I348" s="309"/>
      <c r="J348" s="309"/>
      <c r="K348" s="472"/>
      <c r="L348" s="702"/>
      <c r="M348" s="703"/>
      <c r="N348" s="473"/>
      <c r="O348" s="704">
        <v>150</v>
      </c>
      <c r="P348" s="704">
        <v>150</v>
      </c>
      <c r="Q348" s="346"/>
      <c r="R348" s="347"/>
      <c r="S348" s="644"/>
      <c r="T348" s="346"/>
      <c r="U348" s="346"/>
      <c r="V348" s="473"/>
      <c r="W348" s="472"/>
      <c r="X348" s="386"/>
      <c r="Y348" s="386"/>
      <c r="Z348" s="473"/>
      <c r="AA348" s="472"/>
      <c r="AB348" s="386"/>
      <c r="AC348" s="386"/>
      <c r="AD348" s="473"/>
      <c r="AE348" s="299"/>
      <c r="AF348" s="299"/>
      <c r="AG348" s="299"/>
      <c r="AH348" s="299"/>
      <c r="AI348" s="359">
        <f t="shared" si="19"/>
        <v>300</v>
      </c>
      <c r="AJ348" s="315">
        <f t="shared" si="20"/>
        <v>0</v>
      </c>
      <c r="AK348" s="315"/>
      <c r="AL348" s="315"/>
      <c r="AM348" s="315"/>
    </row>
    <row r="349" spans="1:39" s="244" customFormat="1" ht="12.75" customHeight="1" thickBot="1" x14ac:dyDescent="0.25">
      <c r="A349" s="6"/>
      <c r="B349" s="1127" t="s">
        <v>176</v>
      </c>
      <c r="C349" s="1128"/>
      <c r="D349" s="1128"/>
      <c r="E349" s="782"/>
      <c r="F349" s="782"/>
      <c r="G349" s="782"/>
      <c r="H349" s="782"/>
      <c r="I349" s="782"/>
      <c r="J349" s="782"/>
      <c r="K349" s="1162">
        <f>SUM(K350:N354)</f>
        <v>0</v>
      </c>
      <c r="L349" s="1163"/>
      <c r="M349" s="1163"/>
      <c r="N349" s="1163"/>
      <c r="O349" s="1162">
        <f>SUM(O350:R354)</f>
        <v>0</v>
      </c>
      <c r="P349" s="1163"/>
      <c r="Q349" s="1163"/>
      <c r="R349" s="1163"/>
      <c r="S349" s="1162">
        <f>SUM(S350:V354)</f>
        <v>0</v>
      </c>
      <c r="T349" s="1163"/>
      <c r="U349" s="1163"/>
      <c r="V349" s="1163"/>
      <c r="W349" s="1162">
        <f>SUM(W350:Z354)</f>
        <v>1400</v>
      </c>
      <c r="X349" s="1163"/>
      <c r="Y349" s="1163"/>
      <c r="Z349" s="1163"/>
      <c r="AA349" s="1162">
        <f>SUM(AA350:AD354)</f>
        <v>0</v>
      </c>
      <c r="AB349" s="1163"/>
      <c r="AC349" s="1163"/>
      <c r="AD349" s="1163"/>
      <c r="AE349" s="1162">
        <f>SUM(AE350:AH354)</f>
        <v>0</v>
      </c>
      <c r="AF349" s="1163"/>
      <c r="AG349" s="1163"/>
      <c r="AH349" s="1163"/>
      <c r="AI349" s="359">
        <f t="shared" si="19"/>
        <v>1400</v>
      </c>
      <c r="AJ349" s="315">
        <f t="shared" si="20"/>
        <v>1400</v>
      </c>
      <c r="AK349" s="315"/>
      <c r="AL349" s="315"/>
      <c r="AM349" s="315"/>
    </row>
    <row r="350" spans="1:39" s="6" customFormat="1" ht="13.5" customHeight="1" thickBot="1" x14ac:dyDescent="0.25">
      <c r="B350" s="1126" t="s">
        <v>144</v>
      </c>
      <c r="C350" s="1126"/>
      <c r="D350" s="1126"/>
      <c r="E350" s="369"/>
      <c r="F350" s="371"/>
      <c r="G350" s="373"/>
      <c r="H350" s="1132"/>
      <c r="I350" s="309"/>
      <c r="J350" s="309"/>
      <c r="K350" s="621"/>
      <c r="L350" s="669"/>
      <c r="U350" s="596"/>
      <c r="V350" s="561"/>
      <c r="W350" s="595"/>
      <c r="Z350" s="600"/>
      <c r="AA350" s="621"/>
      <c r="AB350" s="599"/>
      <c r="AC350" s="599"/>
      <c r="AD350" s="600"/>
      <c r="AE350" s="303"/>
      <c r="AF350" s="303"/>
      <c r="AG350" s="303"/>
      <c r="AH350" s="303"/>
      <c r="AI350" s="359">
        <f t="shared" si="19"/>
        <v>0</v>
      </c>
      <c r="AJ350" s="315">
        <f t="shared" si="20"/>
        <v>0</v>
      </c>
      <c r="AK350" s="315"/>
      <c r="AL350" s="315"/>
      <c r="AM350" s="315"/>
    </row>
    <row r="351" spans="1:39" s="6" customFormat="1" ht="13.5" thickBot="1" x14ac:dyDescent="0.25">
      <c r="A351" s="135"/>
      <c r="B351" s="1125" t="s">
        <v>94</v>
      </c>
      <c r="C351" s="1125"/>
      <c r="D351" s="1125"/>
      <c r="E351" s="369"/>
      <c r="F351" s="371"/>
      <c r="G351" s="373"/>
      <c r="H351" s="1133"/>
      <c r="I351" s="309"/>
      <c r="J351" s="309"/>
      <c r="K351" s="321"/>
      <c r="L351" s="325"/>
      <c r="R351" s="326"/>
      <c r="S351" s="327"/>
      <c r="T351" s="328"/>
      <c r="U351" s="446"/>
      <c r="V351" s="428"/>
      <c r="W351" s="432"/>
      <c r="X351" s="328"/>
      <c r="Y351" s="328"/>
      <c r="Z351" s="330"/>
      <c r="AA351" s="321"/>
      <c r="AB351" s="322"/>
      <c r="AC351" s="322"/>
      <c r="AD351" s="330"/>
      <c r="AE351" s="301"/>
      <c r="AF351" s="301"/>
      <c r="AG351" s="301"/>
      <c r="AH351" s="301"/>
      <c r="AI351" s="359">
        <f t="shared" si="19"/>
        <v>0</v>
      </c>
      <c r="AJ351" s="315">
        <f t="shared" si="20"/>
        <v>0</v>
      </c>
      <c r="AK351" s="315"/>
      <c r="AL351" s="315"/>
      <c r="AM351" s="315"/>
    </row>
    <row r="352" spans="1:39" s="6" customFormat="1" ht="13.5" thickBot="1" x14ac:dyDescent="0.25">
      <c r="B352" s="1125" t="s">
        <v>143</v>
      </c>
      <c r="C352" s="1125"/>
      <c r="D352" s="1125"/>
      <c r="E352" s="369"/>
      <c r="F352" s="371"/>
      <c r="G352" s="373"/>
      <c r="H352" s="1133"/>
      <c r="I352" s="309"/>
      <c r="J352" s="309"/>
      <c r="K352" s="321"/>
      <c r="L352" s="325"/>
      <c r="R352" s="326"/>
      <c r="S352" s="327"/>
      <c r="T352" s="328"/>
      <c r="U352" s="327"/>
      <c r="V352" s="328"/>
      <c r="W352" s="433"/>
      <c r="X352" s="328"/>
      <c r="Y352" s="328"/>
      <c r="Z352" s="330"/>
      <c r="AA352" s="321"/>
      <c r="AB352" s="322"/>
      <c r="AC352" s="322"/>
      <c r="AD352" s="330"/>
      <c r="AE352" s="301"/>
      <c r="AF352" s="301"/>
      <c r="AG352" s="301"/>
      <c r="AH352" s="301"/>
      <c r="AI352" s="359">
        <f t="shared" si="19"/>
        <v>0</v>
      </c>
      <c r="AJ352" s="315">
        <f t="shared" si="20"/>
        <v>0</v>
      </c>
      <c r="AK352" s="315"/>
      <c r="AL352" s="315"/>
      <c r="AM352" s="315"/>
    </row>
    <row r="353" spans="1:39" s="6" customFormat="1" ht="13.5" thickBot="1" x14ac:dyDescent="0.25">
      <c r="A353" s="135"/>
      <c r="B353" s="1125" t="s">
        <v>142</v>
      </c>
      <c r="C353" s="1125"/>
      <c r="D353" s="1125"/>
      <c r="E353" s="370">
        <v>0</v>
      </c>
      <c r="F353" s="372">
        <v>1400</v>
      </c>
      <c r="G353" s="374">
        <v>1400</v>
      </c>
      <c r="H353" s="1133"/>
      <c r="I353" s="309"/>
      <c r="J353" s="309"/>
      <c r="K353" s="321"/>
      <c r="L353" s="325"/>
      <c r="R353" s="326"/>
      <c r="S353" s="327"/>
      <c r="T353" s="328"/>
      <c r="U353" s="325"/>
      <c r="V353" s="330"/>
      <c r="W353" s="327"/>
      <c r="X353" s="455">
        <v>1000</v>
      </c>
      <c r="Y353" s="455">
        <v>400</v>
      </c>
      <c r="Z353" s="330"/>
      <c r="AA353" s="321"/>
      <c r="AB353" s="322"/>
      <c r="AC353" s="322"/>
      <c r="AD353" s="330"/>
      <c r="AE353" s="301"/>
      <c r="AF353" s="301"/>
      <c r="AG353" s="301"/>
      <c r="AH353" s="301"/>
      <c r="AI353" s="359">
        <f t="shared" si="19"/>
        <v>1400</v>
      </c>
      <c r="AJ353" s="315">
        <f t="shared" si="20"/>
        <v>0</v>
      </c>
      <c r="AK353" s="315"/>
      <c r="AL353" s="315"/>
      <c r="AM353" s="315"/>
    </row>
    <row r="354" spans="1:39" s="6" customFormat="1" ht="13.5" thickBot="1" x14ac:dyDescent="0.25">
      <c r="B354" s="1122" t="s">
        <v>91</v>
      </c>
      <c r="C354" s="1122"/>
      <c r="D354" s="1122"/>
      <c r="E354" s="409">
        <v>0</v>
      </c>
      <c r="F354" s="338">
        <v>1400</v>
      </c>
      <c r="G354" s="408">
        <v>1400</v>
      </c>
      <c r="H354" s="1134"/>
      <c r="I354" s="309"/>
      <c r="J354" s="309"/>
      <c r="K354" s="474"/>
      <c r="L354" s="602"/>
      <c r="M354" s="602"/>
      <c r="N354" s="477"/>
      <c r="O354" s="562"/>
      <c r="P354" s="486"/>
      <c r="Q354" s="486"/>
      <c r="R354" s="475"/>
      <c r="S354" s="562"/>
      <c r="T354" s="486"/>
      <c r="U354" s="486"/>
      <c r="V354" s="475"/>
      <c r="W354" s="562"/>
      <c r="X354" s="385"/>
      <c r="Y354" s="385"/>
      <c r="Z354" s="477"/>
      <c r="AA354" s="474"/>
      <c r="AB354" s="385"/>
      <c r="AC354" s="385"/>
      <c r="AD354" s="477"/>
      <c r="AE354" s="304"/>
      <c r="AF354" s="304"/>
      <c r="AG354" s="304"/>
      <c r="AH354" s="304"/>
      <c r="AI354" s="359">
        <f t="shared" si="19"/>
        <v>0</v>
      </c>
      <c r="AJ354" s="315">
        <f t="shared" si="20"/>
        <v>-1400</v>
      </c>
      <c r="AK354" s="315"/>
      <c r="AL354" s="315"/>
      <c r="AM354" s="315"/>
    </row>
    <row r="355" spans="1:39" s="244" customFormat="1" ht="12.75" customHeight="1" thickBot="1" x14ac:dyDescent="0.25">
      <c r="A355" s="6"/>
      <c r="B355" s="1127" t="s">
        <v>69</v>
      </c>
      <c r="C355" s="1128"/>
      <c r="D355" s="1128"/>
      <c r="E355" s="782"/>
      <c r="F355" s="782"/>
      <c r="G355" s="782"/>
      <c r="H355" s="782"/>
      <c r="I355" s="782"/>
      <c r="J355" s="782"/>
      <c r="K355" s="1162">
        <f>SUM(K356:N360)</f>
        <v>500</v>
      </c>
      <c r="L355" s="1163"/>
      <c r="M355" s="1163"/>
      <c r="N355" s="1163"/>
      <c r="O355" s="1162">
        <f>SUM(O356:R360)</f>
        <v>1500</v>
      </c>
      <c r="P355" s="1163"/>
      <c r="Q355" s="1163"/>
      <c r="R355" s="1163"/>
      <c r="S355" s="1162">
        <f>SUM(S356:V360)</f>
        <v>0</v>
      </c>
      <c r="T355" s="1163"/>
      <c r="U355" s="1163"/>
      <c r="V355" s="1163"/>
      <c r="W355" s="1162">
        <f>SUM(W356:Z360)</f>
        <v>0</v>
      </c>
      <c r="X355" s="1163"/>
      <c r="Y355" s="1163"/>
      <c r="Z355" s="1163"/>
      <c r="AA355" s="1162">
        <f>SUM(AA356:AD360)</f>
        <v>0</v>
      </c>
      <c r="AB355" s="1163"/>
      <c r="AC355" s="1163"/>
      <c r="AD355" s="1163"/>
      <c r="AE355" s="1162">
        <f>SUM(AE356:AH360)</f>
        <v>0</v>
      </c>
      <c r="AF355" s="1163"/>
      <c r="AG355" s="1163"/>
      <c r="AH355" s="1163"/>
      <c r="AI355" s="359">
        <f t="shared" si="19"/>
        <v>2000</v>
      </c>
      <c r="AJ355" s="315">
        <f t="shared" si="20"/>
        <v>2000</v>
      </c>
      <c r="AK355" s="315"/>
      <c r="AL355" s="315"/>
      <c r="AM355" s="315"/>
    </row>
    <row r="356" spans="1:39" s="6" customFormat="1" ht="13.5" customHeight="1" thickBot="1" x14ac:dyDescent="0.25">
      <c r="B356" s="1126" t="s">
        <v>144</v>
      </c>
      <c r="C356" s="1126"/>
      <c r="D356" s="1126"/>
      <c r="E356" s="369"/>
      <c r="F356" s="371"/>
      <c r="G356" s="373"/>
      <c r="H356" s="1132" t="s">
        <v>109</v>
      </c>
      <c r="I356" s="309"/>
      <c r="J356" s="309"/>
      <c r="K356" s="596"/>
      <c r="L356" s="561"/>
      <c r="M356" s="595"/>
      <c r="P356" s="599"/>
      <c r="Q356" s="599"/>
      <c r="R356" s="600"/>
      <c r="S356" s="621"/>
      <c r="T356" s="599"/>
      <c r="U356" s="599"/>
      <c r="V356" s="600"/>
      <c r="W356" s="621"/>
      <c r="X356" s="599"/>
      <c r="Y356" s="599"/>
      <c r="Z356" s="600"/>
      <c r="AA356" s="621"/>
      <c r="AB356" s="599"/>
      <c r="AC356" s="599"/>
      <c r="AD356" s="600"/>
      <c r="AE356" s="303"/>
      <c r="AF356" s="303"/>
      <c r="AG356" s="303"/>
      <c r="AH356" s="303"/>
      <c r="AI356" s="359">
        <f t="shared" si="19"/>
        <v>0</v>
      </c>
      <c r="AJ356" s="315">
        <f t="shared" si="20"/>
        <v>0</v>
      </c>
      <c r="AK356" s="315"/>
      <c r="AL356" s="315"/>
      <c r="AM356" s="315"/>
    </row>
    <row r="357" spans="1:39" s="6" customFormat="1" ht="13.5" thickBot="1" x14ac:dyDescent="0.25">
      <c r="B357" s="1125" t="s">
        <v>94</v>
      </c>
      <c r="C357" s="1125"/>
      <c r="D357" s="1125"/>
      <c r="E357" s="369"/>
      <c r="F357" s="371"/>
      <c r="G357" s="373"/>
      <c r="H357" s="1133"/>
      <c r="I357" s="309"/>
      <c r="J357" s="309"/>
      <c r="K357" s="446"/>
      <c r="L357" s="428"/>
      <c r="M357" s="432"/>
      <c r="N357" s="326"/>
      <c r="O357" s="327"/>
      <c r="P357" s="322"/>
      <c r="Q357" s="322"/>
      <c r="R357" s="330"/>
      <c r="S357" s="321"/>
      <c r="T357" s="322"/>
      <c r="U357" s="322"/>
      <c r="V357" s="330"/>
      <c r="W357" s="321"/>
      <c r="X357" s="322"/>
      <c r="Y357" s="322"/>
      <c r="Z357" s="330"/>
      <c r="AA357" s="321"/>
      <c r="AB357" s="322"/>
      <c r="AC357" s="322"/>
      <c r="AD357" s="330"/>
      <c r="AE357" s="301"/>
      <c r="AF357" s="301"/>
      <c r="AG357" s="301"/>
      <c r="AH357" s="301"/>
      <c r="AI357" s="359">
        <f t="shared" si="19"/>
        <v>0</v>
      </c>
      <c r="AJ357" s="315">
        <f t="shared" si="20"/>
        <v>0</v>
      </c>
      <c r="AK357" s="315"/>
      <c r="AL357" s="315"/>
      <c r="AM357" s="315"/>
    </row>
    <row r="358" spans="1:39" s="6" customFormat="1" ht="13.5" thickBot="1" x14ac:dyDescent="0.25">
      <c r="B358" s="1125" t="s">
        <v>143</v>
      </c>
      <c r="C358" s="1125"/>
      <c r="D358" s="1125"/>
      <c r="E358" s="369"/>
      <c r="F358" s="371"/>
      <c r="G358" s="373"/>
      <c r="H358" s="1133"/>
      <c r="I358" s="309"/>
      <c r="J358" s="309"/>
      <c r="K358" s="327"/>
      <c r="L358" s="328"/>
      <c r="M358" s="433"/>
      <c r="N358" s="326"/>
      <c r="O358" s="327"/>
      <c r="P358" s="322"/>
      <c r="Q358" s="322"/>
      <c r="R358" s="330"/>
      <c r="S358" s="321"/>
      <c r="T358" s="322"/>
      <c r="U358" s="322"/>
      <c r="V358" s="330"/>
      <c r="W358" s="321"/>
      <c r="X358" s="322"/>
      <c r="Y358" s="322"/>
      <c r="Z358" s="330"/>
      <c r="AA358" s="321"/>
      <c r="AB358" s="322"/>
      <c r="AC358" s="322"/>
      <c r="AD358" s="330"/>
      <c r="AE358" s="301"/>
      <c r="AF358" s="301"/>
      <c r="AG358" s="301"/>
      <c r="AH358" s="301"/>
      <c r="AI358" s="359">
        <f t="shared" si="19"/>
        <v>0</v>
      </c>
      <c r="AJ358" s="315">
        <f t="shared" si="20"/>
        <v>0</v>
      </c>
      <c r="AK358" s="315"/>
      <c r="AL358" s="315"/>
      <c r="AM358" s="315"/>
    </row>
    <row r="359" spans="1:39" s="6" customFormat="1" ht="13.5" thickBot="1" x14ac:dyDescent="0.25">
      <c r="A359" s="135"/>
      <c r="B359" s="1125" t="s">
        <v>142</v>
      </c>
      <c r="C359" s="1125"/>
      <c r="D359" s="1125"/>
      <c r="E359" s="370">
        <v>2000</v>
      </c>
      <c r="F359" s="372"/>
      <c r="G359" s="374">
        <v>2000</v>
      </c>
      <c r="H359" s="1133"/>
      <c r="I359" s="309"/>
      <c r="J359" s="309"/>
      <c r="K359" s="321"/>
      <c r="L359" s="322"/>
      <c r="M359" s="328"/>
      <c r="N359" s="455">
        <v>500</v>
      </c>
      <c r="O359" s="455">
        <v>1500</v>
      </c>
      <c r="P359" s="322"/>
      <c r="Q359" s="322"/>
      <c r="R359" s="330"/>
      <c r="S359" s="321"/>
      <c r="T359" s="322"/>
      <c r="U359" s="322"/>
      <c r="V359" s="330"/>
      <c r="W359" s="321"/>
      <c r="X359" s="322"/>
      <c r="Y359" s="322"/>
      <c r="Z359" s="330"/>
      <c r="AA359" s="321"/>
      <c r="AB359" s="322"/>
      <c r="AC359" s="322"/>
      <c r="AD359" s="330"/>
      <c r="AE359" s="301"/>
      <c r="AF359" s="301"/>
      <c r="AG359" s="301"/>
      <c r="AH359" s="301"/>
      <c r="AI359" s="359">
        <f t="shared" si="19"/>
        <v>2000</v>
      </c>
      <c r="AJ359" s="315">
        <f t="shared" si="20"/>
        <v>0</v>
      </c>
      <c r="AK359" s="315"/>
      <c r="AL359" s="315"/>
      <c r="AM359" s="315"/>
    </row>
    <row r="360" spans="1:39" s="6" customFormat="1" ht="13.5" thickBot="1" x14ac:dyDescent="0.25">
      <c r="B360" s="1122" t="s">
        <v>91</v>
      </c>
      <c r="C360" s="1122"/>
      <c r="D360" s="1122"/>
      <c r="E360" s="409">
        <v>2000</v>
      </c>
      <c r="F360" s="338"/>
      <c r="G360" s="408">
        <v>2000</v>
      </c>
      <c r="H360" s="1134"/>
      <c r="I360" s="309"/>
      <c r="J360" s="309"/>
      <c r="K360" s="474"/>
      <c r="L360" s="385"/>
      <c r="M360" s="486"/>
      <c r="N360" s="475"/>
      <c r="O360" s="562"/>
      <c r="P360" s="385"/>
      <c r="Q360" s="385"/>
      <c r="R360" s="477"/>
      <c r="S360" s="474"/>
      <c r="T360" s="385"/>
      <c r="U360" s="385"/>
      <c r="V360" s="477"/>
      <c r="W360" s="474"/>
      <c r="X360" s="385"/>
      <c r="Y360" s="385"/>
      <c r="Z360" s="477"/>
      <c r="AA360" s="474"/>
      <c r="AB360" s="385"/>
      <c r="AC360" s="385"/>
      <c r="AD360" s="477"/>
      <c r="AE360" s="304"/>
      <c r="AF360" s="304"/>
      <c r="AG360" s="304"/>
      <c r="AH360" s="304"/>
      <c r="AI360" s="359">
        <f t="shared" si="19"/>
        <v>0</v>
      </c>
      <c r="AJ360" s="315">
        <f t="shared" si="20"/>
        <v>-2000</v>
      </c>
      <c r="AK360" s="315"/>
      <c r="AL360" s="315"/>
      <c r="AM360" s="315"/>
    </row>
    <row r="361" spans="1:39" s="244" customFormat="1" ht="13.5" thickBot="1" x14ac:dyDescent="0.25">
      <c r="A361" s="6"/>
      <c r="B361" s="1127" t="s">
        <v>70</v>
      </c>
      <c r="C361" s="1128"/>
      <c r="D361" s="1128"/>
      <c r="E361" s="782"/>
      <c r="F361" s="782"/>
      <c r="G361" s="782"/>
      <c r="H361" s="782"/>
      <c r="I361" s="782"/>
      <c r="J361" s="782"/>
      <c r="K361" s="1162">
        <f>SUM(K362:N366)</f>
        <v>900</v>
      </c>
      <c r="L361" s="1163"/>
      <c r="M361" s="1163"/>
      <c r="N361" s="1163"/>
      <c r="O361" s="1162">
        <f>SUM(O362:R366)</f>
        <v>0</v>
      </c>
      <c r="P361" s="1163"/>
      <c r="Q361" s="1163"/>
      <c r="R361" s="1163"/>
      <c r="S361" s="1162">
        <f>SUM(S362:V366)</f>
        <v>0</v>
      </c>
      <c r="T361" s="1163"/>
      <c r="U361" s="1163"/>
      <c r="V361" s="1163"/>
      <c r="W361" s="1162">
        <f>SUM(W362:Z366)</f>
        <v>0</v>
      </c>
      <c r="X361" s="1163"/>
      <c r="Y361" s="1163"/>
      <c r="Z361" s="1163"/>
      <c r="AA361" s="1162">
        <f>SUM(AA362:AD366)</f>
        <v>0</v>
      </c>
      <c r="AB361" s="1163"/>
      <c r="AC361" s="1163"/>
      <c r="AD361" s="1163"/>
      <c r="AE361" s="1162">
        <f>SUM(AE362:AH366)</f>
        <v>0</v>
      </c>
      <c r="AF361" s="1163"/>
      <c r="AG361" s="1163"/>
      <c r="AH361" s="1163"/>
      <c r="AI361" s="359">
        <f t="shared" si="19"/>
        <v>900</v>
      </c>
      <c r="AJ361" s="315">
        <f t="shared" si="20"/>
        <v>900</v>
      </c>
      <c r="AK361" s="315"/>
      <c r="AL361" s="315"/>
      <c r="AM361" s="315"/>
    </row>
    <row r="362" spans="1:39" s="6" customFormat="1" ht="13.5" thickBot="1" x14ac:dyDescent="0.25">
      <c r="B362" s="1126" t="s">
        <v>144</v>
      </c>
      <c r="C362" s="1126"/>
      <c r="D362" s="1126"/>
      <c r="E362" s="369"/>
      <c r="F362" s="371"/>
      <c r="G362" s="373"/>
      <c r="H362" s="1226" t="s">
        <v>163</v>
      </c>
      <c r="I362" s="309"/>
      <c r="J362" s="309"/>
      <c r="K362" s="596"/>
      <c r="L362" s="561"/>
      <c r="M362" s="595"/>
      <c r="P362" s="599"/>
      <c r="Q362" s="669"/>
      <c r="R362" s="670"/>
      <c r="S362" s="621"/>
      <c r="T362" s="599"/>
      <c r="U362" s="599"/>
      <c r="V362" s="600"/>
      <c r="W362" s="621"/>
      <c r="X362" s="599"/>
      <c r="Y362" s="599"/>
      <c r="Z362" s="600"/>
      <c r="AA362" s="621"/>
      <c r="AB362" s="599"/>
      <c r="AC362" s="599"/>
      <c r="AD362" s="600"/>
      <c r="AE362" s="303"/>
      <c r="AF362" s="303"/>
      <c r="AG362" s="303"/>
      <c r="AH362" s="303"/>
      <c r="AI362" s="359">
        <f t="shared" si="19"/>
        <v>0</v>
      </c>
      <c r="AJ362" s="315">
        <f t="shared" si="20"/>
        <v>0</v>
      </c>
      <c r="AK362" s="315"/>
      <c r="AL362" s="315"/>
      <c r="AM362" s="315"/>
    </row>
    <row r="363" spans="1:39" s="6" customFormat="1" ht="13.5" thickBot="1" x14ac:dyDescent="0.25">
      <c r="B363" s="1125" t="s">
        <v>94</v>
      </c>
      <c r="C363" s="1125"/>
      <c r="D363" s="1125"/>
      <c r="E363" s="369"/>
      <c r="F363" s="371"/>
      <c r="G363" s="373"/>
      <c r="H363" s="1227"/>
      <c r="I363" s="309"/>
      <c r="J363" s="309"/>
      <c r="K363" s="446"/>
      <c r="L363" s="428"/>
      <c r="M363" s="432"/>
      <c r="N363" s="326"/>
      <c r="O363" s="327"/>
      <c r="P363" s="322"/>
      <c r="Q363" s="325"/>
      <c r="R363" s="324"/>
      <c r="S363" s="321"/>
      <c r="T363" s="322"/>
      <c r="U363" s="322"/>
      <c r="V363" s="330"/>
      <c r="W363" s="321"/>
      <c r="X363" s="322"/>
      <c r="Y363" s="322"/>
      <c r="Z363" s="330"/>
      <c r="AA363" s="321"/>
      <c r="AB363" s="322"/>
      <c r="AC363" s="322"/>
      <c r="AD363" s="330"/>
      <c r="AE363" s="301"/>
      <c r="AF363" s="301"/>
      <c r="AG363" s="301"/>
      <c r="AH363" s="301"/>
      <c r="AI363" s="359">
        <f t="shared" si="19"/>
        <v>0</v>
      </c>
      <c r="AJ363" s="315">
        <f t="shared" si="20"/>
        <v>0</v>
      </c>
      <c r="AK363" s="315"/>
      <c r="AL363" s="315"/>
      <c r="AM363" s="315"/>
    </row>
    <row r="364" spans="1:39" s="6" customFormat="1" ht="13.5" thickBot="1" x14ac:dyDescent="0.25">
      <c r="B364" s="1125" t="s">
        <v>143</v>
      </c>
      <c r="C364" s="1125"/>
      <c r="D364" s="1125"/>
      <c r="E364" s="369"/>
      <c r="F364" s="371"/>
      <c r="G364" s="373"/>
      <c r="H364" s="1227"/>
      <c r="I364" s="309"/>
      <c r="J364" s="309"/>
      <c r="K364" s="327"/>
      <c r="L364" s="328"/>
      <c r="M364" s="433"/>
      <c r="N364" s="326"/>
      <c r="O364" s="327"/>
      <c r="P364" s="322"/>
      <c r="Q364" s="325"/>
      <c r="R364" s="324"/>
      <c r="S364" s="321"/>
      <c r="T364" s="322"/>
      <c r="U364" s="322"/>
      <c r="V364" s="330"/>
      <c r="W364" s="321"/>
      <c r="X364" s="322"/>
      <c r="Y364" s="322"/>
      <c r="Z364" s="330"/>
      <c r="AA364" s="321"/>
      <c r="AB364" s="322"/>
      <c r="AC364" s="322"/>
      <c r="AD364" s="330"/>
      <c r="AE364" s="301"/>
      <c r="AF364" s="301"/>
      <c r="AG364" s="301"/>
      <c r="AH364" s="301"/>
      <c r="AI364" s="359">
        <f t="shared" si="19"/>
        <v>0</v>
      </c>
      <c r="AJ364" s="315">
        <f t="shared" si="20"/>
        <v>0</v>
      </c>
      <c r="AK364" s="315"/>
      <c r="AL364" s="315"/>
      <c r="AM364" s="315"/>
    </row>
    <row r="365" spans="1:39" s="6" customFormat="1" ht="13.5" thickBot="1" x14ac:dyDescent="0.25">
      <c r="A365" s="135"/>
      <c r="B365" s="1125" t="s">
        <v>142</v>
      </c>
      <c r="C365" s="1125"/>
      <c r="D365" s="1125"/>
      <c r="E365" s="370">
        <v>0</v>
      </c>
      <c r="F365" s="372">
        <v>900</v>
      </c>
      <c r="G365" s="374">
        <v>900</v>
      </c>
      <c r="H365" s="1227"/>
      <c r="I365" s="309"/>
      <c r="J365" s="309"/>
      <c r="K365" s="321"/>
      <c r="L365" s="322"/>
      <c r="M365" s="328"/>
      <c r="N365" s="455">
        <v>900</v>
      </c>
      <c r="O365" s="327"/>
      <c r="P365" s="322"/>
      <c r="Q365" s="325"/>
      <c r="R365" s="324"/>
      <c r="S365" s="321"/>
      <c r="T365" s="322"/>
      <c r="U365" s="322"/>
      <c r="V365" s="330"/>
      <c r="W365" s="321"/>
      <c r="X365" s="322"/>
      <c r="Y365" s="322"/>
      <c r="Z365" s="330"/>
      <c r="AA365" s="321"/>
      <c r="AB365" s="322"/>
      <c r="AC365" s="322"/>
      <c r="AD365" s="330"/>
      <c r="AE365" s="301"/>
      <c r="AF365" s="301"/>
      <c r="AG365" s="301"/>
      <c r="AH365" s="301"/>
      <c r="AI365" s="359">
        <f t="shared" si="19"/>
        <v>900</v>
      </c>
      <c r="AJ365" s="315">
        <f t="shared" si="20"/>
        <v>0</v>
      </c>
      <c r="AK365" s="315"/>
      <c r="AL365" s="315"/>
      <c r="AM365" s="315"/>
    </row>
    <row r="366" spans="1:39" s="6" customFormat="1" ht="13.5" thickBot="1" x14ac:dyDescent="0.25">
      <c r="B366" s="1122" t="s">
        <v>91</v>
      </c>
      <c r="C366" s="1122"/>
      <c r="D366" s="1122"/>
      <c r="E366" s="409">
        <v>0</v>
      </c>
      <c r="F366" s="338">
        <v>900</v>
      </c>
      <c r="G366" s="408">
        <v>900</v>
      </c>
      <c r="H366" s="1228"/>
      <c r="I366" s="309"/>
      <c r="J366" s="309"/>
      <c r="K366" s="474"/>
      <c r="L366" s="385"/>
      <c r="M366" s="486"/>
      <c r="N366" s="475"/>
      <c r="O366" s="562"/>
      <c r="P366" s="385"/>
      <c r="Q366" s="602"/>
      <c r="R366" s="601"/>
      <c r="S366" s="474"/>
      <c r="T366" s="385"/>
      <c r="U366" s="385"/>
      <c r="V366" s="477"/>
      <c r="W366" s="474"/>
      <c r="X366" s="385"/>
      <c r="Y366" s="385"/>
      <c r="Z366" s="477"/>
      <c r="AA366" s="474"/>
      <c r="AB366" s="385"/>
      <c r="AC366" s="385"/>
      <c r="AD366" s="477"/>
      <c r="AE366" s="304"/>
      <c r="AF366" s="304"/>
      <c r="AG366" s="304"/>
      <c r="AH366" s="304"/>
      <c r="AI366" s="359">
        <f t="shared" si="19"/>
        <v>0</v>
      </c>
      <c r="AJ366" s="315">
        <f t="shared" si="20"/>
        <v>-900</v>
      </c>
      <c r="AK366" s="315"/>
      <c r="AL366" s="315"/>
      <c r="AM366" s="315"/>
    </row>
    <row r="367" spans="1:39" s="244" customFormat="1" ht="12.75" customHeight="1" thickBot="1" x14ac:dyDescent="0.25">
      <c r="A367" s="6"/>
      <c r="B367" s="1127" t="s">
        <v>164</v>
      </c>
      <c r="C367" s="1128"/>
      <c r="D367" s="1128"/>
      <c r="E367" s="782"/>
      <c r="F367" s="782"/>
      <c r="G367" s="782"/>
      <c r="H367" s="782"/>
      <c r="I367" s="782"/>
      <c r="J367" s="782"/>
      <c r="K367" s="1162">
        <f>SUM(K368:N372)</f>
        <v>100</v>
      </c>
      <c r="L367" s="1163"/>
      <c r="M367" s="1163"/>
      <c r="N367" s="1163"/>
      <c r="O367" s="1162">
        <f>SUM(O368:R372)</f>
        <v>0</v>
      </c>
      <c r="P367" s="1163"/>
      <c r="Q367" s="1163"/>
      <c r="R367" s="1163"/>
      <c r="S367" s="1162">
        <f>SUM(S368:V372)</f>
        <v>0</v>
      </c>
      <c r="T367" s="1163"/>
      <c r="U367" s="1163"/>
      <c r="V367" s="1163"/>
      <c r="W367" s="1162">
        <f>SUM(W368:Z372)</f>
        <v>0</v>
      </c>
      <c r="X367" s="1163"/>
      <c r="Y367" s="1163"/>
      <c r="Z367" s="1163"/>
      <c r="AA367" s="1162">
        <f>SUM(AA368:AD372)</f>
        <v>0</v>
      </c>
      <c r="AB367" s="1163"/>
      <c r="AC367" s="1163"/>
      <c r="AD367" s="1163"/>
      <c r="AE367" s="1162">
        <f>SUM(AE368:AH372)</f>
        <v>0</v>
      </c>
      <c r="AF367" s="1163"/>
      <c r="AG367" s="1163"/>
      <c r="AH367" s="1163"/>
      <c r="AI367" s="359">
        <f t="shared" si="19"/>
        <v>100</v>
      </c>
      <c r="AJ367" s="315">
        <f t="shared" si="20"/>
        <v>100</v>
      </c>
      <c r="AK367" s="315"/>
      <c r="AL367" s="315"/>
      <c r="AM367" s="315"/>
    </row>
    <row r="368" spans="1:39" s="6" customFormat="1" ht="13.5" customHeight="1" thickBot="1" x14ac:dyDescent="0.25">
      <c r="B368" s="1126" t="s">
        <v>144</v>
      </c>
      <c r="C368" s="1126"/>
      <c r="D368" s="1126"/>
      <c r="E368" s="369"/>
      <c r="F368" s="806"/>
      <c r="G368" s="697"/>
      <c r="H368" s="1150" t="s">
        <v>163</v>
      </c>
      <c r="I368" s="696"/>
      <c r="J368" s="696"/>
      <c r="K368" s="596"/>
      <c r="L368" s="561"/>
      <c r="M368" s="595"/>
      <c r="P368" s="482"/>
      <c r="Q368" s="482"/>
      <c r="R368" s="678"/>
      <c r="S368" s="481"/>
      <c r="T368" s="482"/>
      <c r="U368" s="482"/>
      <c r="V368" s="678"/>
      <c r="W368" s="481"/>
      <c r="X368" s="482"/>
      <c r="Y368" s="482"/>
      <c r="Z368" s="678"/>
      <c r="AA368" s="481"/>
      <c r="AB368" s="482"/>
      <c r="AC368" s="482"/>
      <c r="AD368" s="678"/>
      <c r="AE368" s="367"/>
      <c r="AF368" s="367"/>
      <c r="AG368" s="367"/>
      <c r="AH368" s="367"/>
      <c r="AI368" s="359">
        <f t="shared" si="19"/>
        <v>0</v>
      </c>
      <c r="AJ368" s="315">
        <f t="shared" si="20"/>
        <v>0</v>
      </c>
      <c r="AK368" s="315"/>
      <c r="AL368" s="315"/>
      <c r="AM368" s="315"/>
    </row>
    <row r="369" spans="1:39" s="6" customFormat="1" ht="13.5" thickBot="1" x14ac:dyDescent="0.25">
      <c r="B369" s="1125" t="s">
        <v>94</v>
      </c>
      <c r="C369" s="1125"/>
      <c r="D369" s="1125"/>
      <c r="E369" s="369"/>
      <c r="F369" s="806"/>
      <c r="G369" s="697"/>
      <c r="H369" s="1151"/>
      <c r="I369" s="309"/>
      <c r="J369" s="309"/>
      <c r="K369" s="446"/>
      <c r="L369" s="428"/>
      <c r="M369" s="432"/>
      <c r="N369" s="475"/>
      <c r="O369" s="476"/>
      <c r="P369" s="385"/>
      <c r="Q369" s="385"/>
      <c r="R369" s="477"/>
      <c r="S369" s="353"/>
      <c r="T369" s="299"/>
      <c r="U369" s="299"/>
      <c r="V369" s="356"/>
      <c r="W369" s="474"/>
      <c r="X369" s="385"/>
      <c r="Y369" s="385"/>
      <c r="Z369" s="477"/>
      <c r="AA369" s="474"/>
      <c r="AB369" s="385"/>
      <c r="AC369" s="385"/>
      <c r="AD369" s="477"/>
      <c r="AE369" s="304"/>
      <c r="AF369" s="304"/>
      <c r="AG369" s="304"/>
      <c r="AH369" s="304"/>
      <c r="AI369" s="359">
        <f t="shared" si="19"/>
        <v>0</v>
      </c>
      <c r="AJ369" s="315">
        <f t="shared" si="20"/>
        <v>0</v>
      </c>
      <c r="AK369" s="315"/>
      <c r="AL369" s="315"/>
      <c r="AM369" s="315"/>
    </row>
    <row r="370" spans="1:39" s="6" customFormat="1" ht="13.5" thickBot="1" x14ac:dyDescent="0.25">
      <c r="B370" s="1125" t="s">
        <v>143</v>
      </c>
      <c r="C370" s="1125"/>
      <c r="D370" s="1125"/>
      <c r="E370" s="369"/>
      <c r="F370" s="806"/>
      <c r="G370" s="697"/>
      <c r="H370" s="1151"/>
      <c r="I370" s="309"/>
      <c r="J370" s="309"/>
      <c r="K370" s="327"/>
      <c r="L370" s="328"/>
      <c r="M370" s="433"/>
      <c r="N370" s="475"/>
      <c r="O370" s="476"/>
      <c r="P370" s="385"/>
      <c r="Q370" s="385"/>
      <c r="R370" s="477"/>
      <c r="S370" s="353"/>
      <c r="T370" s="299"/>
      <c r="U370" s="299"/>
      <c r="V370" s="356"/>
      <c r="W370" s="474"/>
      <c r="X370" s="385"/>
      <c r="Y370" s="385"/>
      <c r="Z370" s="477"/>
      <c r="AA370" s="474"/>
      <c r="AB370" s="385"/>
      <c r="AC370" s="385"/>
      <c r="AD370" s="477"/>
      <c r="AE370" s="304"/>
      <c r="AF370" s="304"/>
      <c r="AG370" s="304"/>
      <c r="AH370" s="304"/>
      <c r="AI370" s="359">
        <f t="shared" si="19"/>
        <v>0</v>
      </c>
      <c r="AJ370" s="315">
        <f t="shared" si="20"/>
        <v>0</v>
      </c>
      <c r="AK370" s="315"/>
      <c r="AL370" s="315"/>
      <c r="AM370" s="315"/>
    </row>
    <row r="371" spans="1:39" s="6" customFormat="1" ht="13.5" thickBot="1" x14ac:dyDescent="0.25">
      <c r="A371" s="135"/>
      <c r="B371" s="1125" t="s">
        <v>142</v>
      </c>
      <c r="C371" s="1125"/>
      <c r="D371" s="1125"/>
      <c r="E371" s="370">
        <v>0</v>
      </c>
      <c r="F371" s="807">
        <v>100</v>
      </c>
      <c r="G371" s="698">
        <v>100</v>
      </c>
      <c r="H371" s="1151"/>
      <c r="I371" s="309"/>
      <c r="J371" s="309"/>
      <c r="K371" s="474"/>
      <c r="L371" s="385"/>
      <c r="M371" s="486"/>
      <c r="N371" s="455">
        <v>100</v>
      </c>
      <c r="O371" s="438"/>
      <c r="P371" s="385"/>
      <c r="Q371" s="385"/>
      <c r="R371" s="477"/>
      <c r="S371" s="353"/>
      <c r="T371" s="299"/>
      <c r="U371" s="299"/>
      <c r="V371" s="356"/>
      <c r="W371" s="474"/>
      <c r="X371" s="385"/>
      <c r="Y371" s="385"/>
      <c r="Z371" s="477"/>
      <c r="AA371" s="474"/>
      <c r="AB371" s="385"/>
      <c r="AC371" s="385"/>
      <c r="AD371" s="477"/>
      <c r="AE371" s="304"/>
      <c r="AF371" s="304"/>
      <c r="AG371" s="304"/>
      <c r="AH371" s="304"/>
      <c r="AI371" s="359">
        <f t="shared" si="19"/>
        <v>100</v>
      </c>
      <c r="AJ371" s="315">
        <f t="shared" si="20"/>
        <v>0</v>
      </c>
      <c r="AK371" s="315"/>
      <c r="AL371" s="315"/>
      <c r="AM371" s="315"/>
    </row>
    <row r="372" spans="1:39" s="6" customFormat="1" ht="13.5" thickBot="1" x14ac:dyDescent="0.25">
      <c r="B372" s="1122" t="s">
        <v>91</v>
      </c>
      <c r="C372" s="1122"/>
      <c r="D372" s="1122"/>
      <c r="E372" s="358">
        <v>0</v>
      </c>
      <c r="F372" s="808">
        <v>100</v>
      </c>
      <c r="G372" s="495">
        <v>100</v>
      </c>
      <c r="H372" s="1152"/>
      <c r="I372" s="309"/>
      <c r="J372" s="309"/>
      <c r="K372" s="474"/>
      <c r="L372" s="385"/>
      <c r="M372" s="486"/>
      <c r="N372" s="475"/>
      <c r="O372" s="476"/>
      <c r="P372" s="385"/>
      <c r="Q372" s="385"/>
      <c r="R372" s="477"/>
      <c r="S372" s="353"/>
      <c r="T372" s="299"/>
      <c r="U372" s="299"/>
      <c r="V372" s="356"/>
      <c r="W372" s="474"/>
      <c r="X372" s="385"/>
      <c r="Y372" s="385"/>
      <c r="Z372" s="477"/>
      <c r="AA372" s="474"/>
      <c r="AB372" s="385"/>
      <c r="AC372" s="385"/>
      <c r="AD372" s="477"/>
      <c r="AE372" s="304"/>
      <c r="AF372" s="304"/>
      <c r="AG372" s="304"/>
      <c r="AH372" s="304"/>
      <c r="AI372" s="359">
        <f>SUM(K372:AH372)</f>
        <v>0</v>
      </c>
      <c r="AJ372" s="315">
        <f t="shared" si="20"/>
        <v>-100</v>
      </c>
      <c r="AK372" s="315"/>
      <c r="AL372" s="315"/>
      <c r="AM372" s="315"/>
    </row>
    <row r="373" spans="1:39" ht="24.95" customHeight="1" thickBot="1" x14ac:dyDescent="0.25">
      <c r="A373" s="6"/>
      <c r="B373" s="577" t="s">
        <v>1</v>
      </c>
      <c r="C373" s="719"/>
      <c r="D373" s="578"/>
      <c r="E373" s="581">
        <f>E5+E38+E130+E196</f>
        <v>70237.715479999999</v>
      </c>
      <c r="F373" s="581">
        <f>F5+F38+F130+F196</f>
        <v>116375</v>
      </c>
      <c r="G373" s="581">
        <f>G5+G38+G130+G196</f>
        <v>186612.67472000001</v>
      </c>
      <c r="H373" s="581">
        <f>H5+H38+H130+H196</f>
        <v>0</v>
      </c>
      <c r="I373" s="498"/>
      <c r="J373" s="310"/>
      <c r="K373" s="1179">
        <f>K196+K130+K38+K5</f>
        <v>34068</v>
      </c>
      <c r="L373" s="1180" t="e">
        <f>L5+L115+L129+L130+L196</f>
        <v>#REF!</v>
      </c>
      <c r="M373" s="1180" t="e">
        <f>M5+M115+M129+M130+M196</f>
        <v>#REF!</v>
      </c>
      <c r="N373" s="1181" t="e">
        <f>N5+N115+N129+N130+N196</f>
        <v>#REF!</v>
      </c>
      <c r="O373" s="1179">
        <f>O196+O130+O38+O5</f>
        <v>29352</v>
      </c>
      <c r="P373" s="1180" t="e">
        <f>P5+P115+P129+P130+P196</f>
        <v>#REF!</v>
      </c>
      <c r="Q373" s="1180" t="e">
        <f>Q5+Q115+Q129+Q130+Q196</f>
        <v>#REF!</v>
      </c>
      <c r="R373" s="1181" t="e">
        <f>R5+R115+R129+R130+R196</f>
        <v>#REF!</v>
      </c>
      <c r="S373" s="1179">
        <f>S196+S130+S38+S5</f>
        <v>31219.5</v>
      </c>
      <c r="T373" s="1180" t="e">
        <f>T5+T115+T129+T130+T196</f>
        <v>#REF!</v>
      </c>
      <c r="U373" s="1180" t="e">
        <f>U5+U115+U129+U130+U196</f>
        <v>#REF!</v>
      </c>
      <c r="V373" s="1181" t="e">
        <f>V5+V115+V129+V130+V196</f>
        <v>#REF!</v>
      </c>
      <c r="W373" s="1179">
        <f>W196+W130+W38+W5</f>
        <v>36514</v>
      </c>
      <c r="X373" s="1180" t="e">
        <f>X5+X115+X129+X130+X196</f>
        <v>#REF!</v>
      </c>
      <c r="Y373" s="1180" t="e">
        <f>Y5+Y115+Y129+Y130+Y196</f>
        <v>#REF!</v>
      </c>
      <c r="Z373" s="1181" t="e">
        <f>Z5+Z115+Z129+Z130+Z196</f>
        <v>#REF!</v>
      </c>
      <c r="AA373" s="1179">
        <f>AA196+AA130+AA38+AA5</f>
        <v>31906</v>
      </c>
      <c r="AB373" s="1180" t="e">
        <f>AB5+AB115+AB129+AB130+AB196</f>
        <v>#REF!</v>
      </c>
      <c r="AC373" s="1180" t="e">
        <f>AC5+AC115+AC129+AC130+AC196</f>
        <v>#REF!</v>
      </c>
      <c r="AD373" s="1181" t="e">
        <f>AD5+AD115+AD129+AD130+AD196</f>
        <v>#REF!</v>
      </c>
      <c r="AE373" s="1179">
        <f>AE196+AE130+AE38+AE5</f>
        <v>2126</v>
      </c>
      <c r="AF373" s="1180" t="e">
        <f>AF5+AF115+AF129+AF130+AF196</f>
        <v>#REF!</v>
      </c>
      <c r="AG373" s="1180" t="e">
        <f>AG5+AG115+AG129+AG130+AG196</f>
        <v>#REF!</v>
      </c>
      <c r="AH373" s="1181" t="e">
        <f>AH5+AH115+AH129+AH130+AH196</f>
        <v>#REF!</v>
      </c>
      <c r="AI373" s="816">
        <f>AI196+AI130+AI38+AI5</f>
        <v>194872</v>
      </c>
      <c r="AJ373" s="315">
        <f t="shared" si="20"/>
        <v>8259.32527999999</v>
      </c>
      <c r="AK373" s="315"/>
      <c r="AL373" s="315"/>
      <c r="AM373" s="315"/>
    </row>
    <row r="374" spans="1:39" ht="12.75" customHeight="1" thickBot="1" x14ac:dyDescent="0.25">
      <c r="A374" s="6"/>
      <c r="B374" s="1117" t="s">
        <v>29</v>
      </c>
      <c r="C374" s="1118"/>
      <c r="D374" s="1119"/>
      <c r="E374" s="360">
        <f>106.636*1000</f>
        <v>106636</v>
      </c>
      <c r="F374" s="809">
        <f>E374*1.75</f>
        <v>186613</v>
      </c>
      <c r="G374" s="361"/>
      <c r="H374" s="362"/>
      <c r="I374" s="311"/>
      <c r="J374" s="311"/>
      <c r="K374" s="1182"/>
      <c r="L374" s="1183"/>
      <c r="M374" s="1184"/>
      <c r="N374" s="1185"/>
      <c r="O374" s="1177"/>
      <c r="P374" s="1178"/>
      <c r="Q374" s="1190"/>
      <c r="R374" s="1192"/>
      <c r="S374" s="1177"/>
      <c r="T374" s="1178"/>
      <c r="U374" s="1190"/>
      <c r="V374" s="1191"/>
      <c r="W374" s="1177"/>
      <c r="X374" s="1178"/>
      <c r="Y374" s="1190"/>
      <c r="Z374" s="1191"/>
      <c r="AA374" s="1177"/>
      <c r="AB374" s="1178"/>
      <c r="AC374" s="1190"/>
      <c r="AD374" s="1191"/>
      <c r="AE374" s="749"/>
      <c r="AF374" s="749"/>
      <c r="AG374" s="749"/>
      <c r="AH374" s="749"/>
      <c r="AI374" s="359">
        <f>SUM(K374:AH374)</f>
        <v>0</v>
      </c>
      <c r="AJ374" s="315">
        <f t="shared" si="20"/>
        <v>0</v>
      </c>
      <c r="AK374" s="315"/>
      <c r="AL374" s="315"/>
      <c r="AM374" s="315"/>
    </row>
    <row r="375" spans="1:39" ht="13.5" thickBot="1" x14ac:dyDescent="0.25">
      <c r="A375" s="6"/>
      <c r="E375" s="313">
        <v>70238</v>
      </c>
      <c r="F375" s="313">
        <v>116375</v>
      </c>
      <c r="G375" s="313">
        <f>F374-G373</f>
        <v>0.32527999999001622</v>
      </c>
      <c r="AJ375" s="315">
        <f t="shared" ref="AJ375:AJ390" si="21">SUM(K375:AH375)</f>
        <v>0</v>
      </c>
    </row>
    <row r="376" spans="1:39" ht="13.5" thickBot="1" x14ac:dyDescent="0.25">
      <c r="A376" s="6"/>
      <c r="E376" s="313">
        <f>E375/1.75</f>
        <v>40136</v>
      </c>
      <c r="F376" s="313">
        <f>F375/1.75</f>
        <v>66500</v>
      </c>
      <c r="G376" s="313">
        <f>F376+E376</f>
        <v>106636</v>
      </c>
      <c r="K376" s="363"/>
      <c r="L376" s="364" t="s">
        <v>27</v>
      </c>
      <c r="AI376" s="313">
        <f>AI373-G373</f>
        <v>8259.32527999999</v>
      </c>
      <c r="AJ376" s="315">
        <f t="shared" si="21"/>
        <v>0</v>
      </c>
    </row>
    <row r="377" spans="1:39" ht="13.5" thickBot="1" x14ac:dyDescent="0.25">
      <c r="A377" s="6"/>
      <c r="E377" s="365"/>
      <c r="F377" s="313">
        <f>F373+E373</f>
        <v>186612.71548000001</v>
      </c>
      <c r="K377" s="366"/>
      <c r="L377" s="364" t="s">
        <v>28</v>
      </c>
      <c r="AJ377" s="315">
        <f t="shared" si="21"/>
        <v>0</v>
      </c>
    </row>
    <row r="378" spans="1:39" x14ac:dyDescent="0.2">
      <c r="B378" s="5"/>
      <c r="C378" s="4"/>
      <c r="D378" s="312"/>
      <c r="E378" s="313">
        <f>E375-E373</f>
        <v>0.28452000000106636</v>
      </c>
      <c r="F378" s="313">
        <f>F375-F373</f>
        <v>0</v>
      </c>
      <c r="I378" s="312"/>
      <c r="J378" s="312"/>
      <c r="AJ378" s="315">
        <f t="shared" si="21"/>
        <v>0</v>
      </c>
    </row>
    <row r="379" spans="1:39" x14ac:dyDescent="0.2">
      <c r="B379" s="4"/>
      <c r="AJ379" s="315">
        <f t="shared" si="21"/>
        <v>0</v>
      </c>
    </row>
    <row r="380" spans="1:39" x14ac:dyDescent="0.2">
      <c r="F380" s="313">
        <f>F373+E373</f>
        <v>186612.71548000001</v>
      </c>
      <c r="AJ380" s="315">
        <f t="shared" si="21"/>
        <v>0</v>
      </c>
    </row>
    <row r="381" spans="1:39" x14ac:dyDescent="0.2">
      <c r="K381" s="299">
        <f>G381/1.75</f>
        <v>0</v>
      </c>
      <c r="AJ381" s="315">
        <f t="shared" si="21"/>
        <v>0</v>
      </c>
    </row>
    <row r="382" spans="1:39" x14ac:dyDescent="0.2">
      <c r="AJ382" s="315">
        <f t="shared" si="21"/>
        <v>0</v>
      </c>
    </row>
    <row r="383" spans="1:39" x14ac:dyDescent="0.2">
      <c r="AJ383" s="315">
        <f t="shared" si="21"/>
        <v>0</v>
      </c>
    </row>
    <row r="384" spans="1:39" x14ac:dyDescent="0.2">
      <c r="AJ384" s="315">
        <f t="shared" si="21"/>
        <v>0</v>
      </c>
    </row>
    <row r="385" spans="2:36" x14ac:dyDescent="0.2">
      <c r="B385" s="2" t="s">
        <v>171</v>
      </c>
      <c r="E385" s="313">
        <f>E5</f>
        <v>4871</v>
      </c>
      <c r="G385" s="313">
        <f>G5</f>
        <v>23239</v>
      </c>
      <c r="AJ385" s="315">
        <f t="shared" si="21"/>
        <v>0</v>
      </c>
    </row>
    <row r="386" spans="2:36" x14ac:dyDescent="0.2">
      <c r="B386" s="2" t="s">
        <v>15</v>
      </c>
      <c r="E386" s="313">
        <f>E38</f>
        <v>57108.715479999999</v>
      </c>
      <c r="G386" s="313">
        <f>G38</f>
        <v>131025.67472000001</v>
      </c>
      <c r="AJ386" s="315">
        <f t="shared" si="21"/>
        <v>0</v>
      </c>
    </row>
    <row r="387" spans="2:36" x14ac:dyDescent="0.2">
      <c r="B387" s="2" t="s">
        <v>153</v>
      </c>
      <c r="E387" s="313">
        <f>E130</f>
        <v>400</v>
      </c>
      <c r="G387" s="313">
        <f>G130</f>
        <v>5180</v>
      </c>
      <c r="AJ387" s="315">
        <f t="shared" si="21"/>
        <v>0</v>
      </c>
    </row>
    <row r="388" spans="2:36" x14ac:dyDescent="0.2">
      <c r="B388" s="2" t="s">
        <v>170</v>
      </c>
      <c r="C388" s="800"/>
      <c r="D388" s="801"/>
      <c r="AJ388" s="315">
        <f t="shared" si="21"/>
        <v>0</v>
      </c>
    </row>
    <row r="389" spans="2:36" x14ac:dyDescent="0.2">
      <c r="B389" s="802"/>
      <c r="C389" s="800"/>
      <c r="D389" s="801"/>
      <c r="E389" s="313">
        <f>E196</f>
        <v>7858</v>
      </c>
      <c r="G389" s="313">
        <f>G196</f>
        <v>27168</v>
      </c>
      <c r="AJ389" s="315">
        <f t="shared" si="21"/>
        <v>0</v>
      </c>
    </row>
    <row r="390" spans="2:36" x14ac:dyDescent="0.2">
      <c r="E390" s="313">
        <f>SUM(E385:E389)</f>
        <v>70237.715479999999</v>
      </c>
      <c r="G390" s="313">
        <f>SUM(G385:G389)</f>
        <v>186612.67472000001</v>
      </c>
      <c r="AJ390" s="315">
        <f t="shared" si="21"/>
        <v>0</v>
      </c>
    </row>
    <row r="391" spans="2:36" x14ac:dyDescent="0.2">
      <c r="E391" s="313">
        <f>E375-E390</f>
        <v>0.28452000000106636</v>
      </c>
    </row>
  </sheetData>
  <mergeCells count="883">
    <mergeCell ref="K172:N172"/>
    <mergeCell ref="O172:R172"/>
    <mergeCell ref="S172:V172"/>
    <mergeCell ref="W172:Z172"/>
    <mergeCell ref="AA172:AD172"/>
    <mergeCell ref="AE172:AH172"/>
    <mergeCell ref="S211:V211"/>
    <mergeCell ref="W211:Z211"/>
    <mergeCell ref="K205:N205"/>
    <mergeCell ref="O205:R205"/>
    <mergeCell ref="S205:V205"/>
    <mergeCell ref="W205:Z205"/>
    <mergeCell ref="K199:N199"/>
    <mergeCell ref="O199:R199"/>
    <mergeCell ref="S199:V199"/>
    <mergeCell ref="W199:Z199"/>
    <mergeCell ref="K190:N190"/>
    <mergeCell ref="K178:N178"/>
    <mergeCell ref="B176:D176"/>
    <mergeCell ref="H191:H195"/>
    <mergeCell ref="B190:D190"/>
    <mergeCell ref="B189:D189"/>
    <mergeCell ref="B180:D180"/>
    <mergeCell ref="H179:H183"/>
    <mergeCell ref="B178:D178"/>
    <mergeCell ref="AA211:AD211"/>
    <mergeCell ref="AE211:AH211"/>
    <mergeCell ref="AA205:AD205"/>
    <mergeCell ref="AE205:AH205"/>
    <mergeCell ref="AA199:AD199"/>
    <mergeCell ref="AE199:AH199"/>
    <mergeCell ref="S197:V197"/>
    <mergeCell ref="B230:D230"/>
    <mergeCell ref="H230:H234"/>
    <mergeCell ref="B231:D231"/>
    <mergeCell ref="B232:D232"/>
    <mergeCell ref="B233:D233"/>
    <mergeCell ref="B234:D234"/>
    <mergeCell ref="K223:N223"/>
    <mergeCell ref="O223:R223"/>
    <mergeCell ref="K211:N211"/>
    <mergeCell ref="O211:R211"/>
    <mergeCell ref="B229:G229"/>
    <mergeCell ref="K229:N229"/>
    <mergeCell ref="O229:R229"/>
    <mergeCell ref="AE341:AH341"/>
    <mergeCell ref="K335:N335"/>
    <mergeCell ref="O335:R335"/>
    <mergeCell ref="E157:E158"/>
    <mergeCell ref="I130:I131"/>
    <mergeCell ref="J130:J131"/>
    <mergeCell ref="E130:E131"/>
    <mergeCell ref="F130:F131"/>
    <mergeCell ref="G130:G131"/>
    <mergeCell ref="J157:J158"/>
    <mergeCell ref="I157:I158"/>
    <mergeCell ref="W165:Z165"/>
    <mergeCell ref="K159:N159"/>
    <mergeCell ref="S159:V159"/>
    <mergeCell ref="W159:Z159"/>
    <mergeCell ref="K132:N132"/>
    <mergeCell ref="K130:N131"/>
    <mergeCell ref="O130:R131"/>
    <mergeCell ref="S130:V131"/>
    <mergeCell ref="W130:Z131"/>
    <mergeCell ref="O133:R133"/>
    <mergeCell ref="S133:V133"/>
    <mergeCell ref="W133:Z133"/>
    <mergeCell ref="K171:N171"/>
    <mergeCell ref="AA130:AD131"/>
    <mergeCell ref="AE165:AH165"/>
    <mergeCell ref="O159:R159"/>
    <mergeCell ref="AE373:AH373"/>
    <mergeCell ref="K157:N158"/>
    <mergeCell ref="O157:R158"/>
    <mergeCell ref="S157:V158"/>
    <mergeCell ref="W157:Z158"/>
    <mergeCell ref="W361:Z361"/>
    <mergeCell ref="AA361:AD361"/>
    <mergeCell ref="AE361:AH361"/>
    <mergeCell ref="K355:N355"/>
    <mergeCell ref="AA171:AD171"/>
    <mergeCell ref="K361:N361"/>
    <mergeCell ref="O361:R361"/>
    <mergeCell ref="S361:V361"/>
    <mergeCell ref="W347:Z347"/>
    <mergeCell ref="AA347:AD347"/>
    <mergeCell ref="AE347:AH347"/>
    <mergeCell ref="K341:N341"/>
    <mergeCell ref="O341:R341"/>
    <mergeCell ref="S341:V341"/>
    <mergeCell ref="W341:Z341"/>
    <mergeCell ref="AA341:AD341"/>
    <mergeCell ref="W171:Z171"/>
    <mergeCell ref="S171:V171"/>
    <mergeCell ref="O171:R171"/>
    <mergeCell ref="O165:R165"/>
    <mergeCell ref="AA184:AD184"/>
    <mergeCell ref="AE184:AH184"/>
    <mergeCell ref="O190:R190"/>
    <mergeCell ref="S190:V190"/>
    <mergeCell ref="W190:Z190"/>
    <mergeCell ref="AA190:AD190"/>
    <mergeCell ref="AE190:AH190"/>
    <mergeCell ref="O184:R184"/>
    <mergeCell ref="S184:V184"/>
    <mergeCell ref="O178:R178"/>
    <mergeCell ref="S178:V178"/>
    <mergeCell ref="W178:Z178"/>
    <mergeCell ref="AA178:AD178"/>
    <mergeCell ref="AE178:AH178"/>
    <mergeCell ref="AE171:AH171"/>
    <mergeCell ref="K115:N115"/>
    <mergeCell ref="O115:R115"/>
    <mergeCell ref="S115:V115"/>
    <mergeCell ref="W115:Z115"/>
    <mergeCell ref="AA115:AD115"/>
    <mergeCell ref="AE115:AH115"/>
    <mergeCell ref="K128:N128"/>
    <mergeCell ref="K122:N122"/>
    <mergeCell ref="O122:R122"/>
    <mergeCell ref="S122:V122"/>
    <mergeCell ref="W122:Z122"/>
    <mergeCell ref="AA122:AD122"/>
    <mergeCell ref="AE122:AH122"/>
    <mergeCell ref="K116:N116"/>
    <mergeCell ref="O116:R116"/>
    <mergeCell ref="S116:V116"/>
    <mergeCell ref="W116:Z116"/>
    <mergeCell ref="AA116:AD116"/>
    <mergeCell ref="AE116:AH116"/>
    <mergeCell ref="O128:R128"/>
    <mergeCell ref="S128:V128"/>
    <mergeCell ref="W128:Z128"/>
    <mergeCell ref="AA128:AD128"/>
    <mergeCell ref="AE128:AH128"/>
    <mergeCell ref="AE53:AH53"/>
    <mergeCell ref="AE108:AH108"/>
    <mergeCell ref="AA157:AD158"/>
    <mergeCell ref="AE157:AH158"/>
    <mergeCell ref="W54:Z54"/>
    <mergeCell ref="K367:N367"/>
    <mergeCell ref="O367:R367"/>
    <mergeCell ref="S367:V367"/>
    <mergeCell ref="W367:Z367"/>
    <mergeCell ref="AA367:AD367"/>
    <mergeCell ref="AE367:AH367"/>
    <mergeCell ref="AA355:AD355"/>
    <mergeCell ref="AE355:AH355"/>
    <mergeCell ref="K349:N349"/>
    <mergeCell ref="O349:R349"/>
    <mergeCell ref="S349:V349"/>
    <mergeCell ref="W349:Z349"/>
    <mergeCell ref="AA349:AD349"/>
    <mergeCell ref="AE349:AH349"/>
    <mergeCell ref="K347:N347"/>
    <mergeCell ref="O347:R347"/>
    <mergeCell ref="S347:V347"/>
    <mergeCell ref="AA54:AD54"/>
    <mergeCell ref="AE54:AH54"/>
    <mergeCell ref="S335:V335"/>
    <mergeCell ref="W335:Z335"/>
    <mergeCell ref="AA335:AD335"/>
    <mergeCell ref="AE335:AH335"/>
    <mergeCell ref="K329:N329"/>
    <mergeCell ref="O329:R329"/>
    <mergeCell ref="S329:V329"/>
    <mergeCell ref="W329:Z329"/>
    <mergeCell ref="AA329:AD329"/>
    <mergeCell ref="AE329:AH329"/>
    <mergeCell ref="K322:N322"/>
    <mergeCell ref="O322:R322"/>
    <mergeCell ref="S322:V322"/>
    <mergeCell ref="W322:Z322"/>
    <mergeCell ref="AA322:AD322"/>
    <mergeCell ref="AE322:AH322"/>
    <mergeCell ref="K316:N316"/>
    <mergeCell ref="O316:R316"/>
    <mergeCell ref="S316:V316"/>
    <mergeCell ref="W316:Z316"/>
    <mergeCell ref="AA316:AD316"/>
    <mergeCell ref="AE316:AH316"/>
    <mergeCell ref="K310:N310"/>
    <mergeCell ref="O310:R310"/>
    <mergeCell ref="S310:V310"/>
    <mergeCell ref="W310:Z310"/>
    <mergeCell ref="AA310:AD310"/>
    <mergeCell ref="AE310:AH310"/>
    <mergeCell ref="K304:N304"/>
    <mergeCell ref="O304:R304"/>
    <mergeCell ref="S304:V304"/>
    <mergeCell ref="W304:Z304"/>
    <mergeCell ref="AA304:AD304"/>
    <mergeCell ref="AE304:AH304"/>
    <mergeCell ref="AA292:AD292"/>
    <mergeCell ref="AE292:AH292"/>
    <mergeCell ref="K298:N298"/>
    <mergeCell ref="O298:R298"/>
    <mergeCell ref="S298:V298"/>
    <mergeCell ref="W298:Z298"/>
    <mergeCell ref="AA298:AD298"/>
    <mergeCell ref="AE298:AH298"/>
    <mergeCell ref="K285:N285"/>
    <mergeCell ref="O285:R285"/>
    <mergeCell ref="S285:V285"/>
    <mergeCell ref="W285:Z285"/>
    <mergeCell ref="AA285:AD285"/>
    <mergeCell ref="AE285:AH285"/>
    <mergeCell ref="K291:N291"/>
    <mergeCell ref="AE291:AH291"/>
    <mergeCell ref="K279:N279"/>
    <mergeCell ref="O279:R279"/>
    <mergeCell ref="S279:V279"/>
    <mergeCell ref="W279:Z279"/>
    <mergeCell ref="AA279:AD279"/>
    <mergeCell ref="AE279:AH279"/>
    <mergeCell ref="AA267:AD267"/>
    <mergeCell ref="AE267:AH267"/>
    <mergeCell ref="K273:N273"/>
    <mergeCell ref="O273:R273"/>
    <mergeCell ref="S273:V273"/>
    <mergeCell ref="W273:Z273"/>
    <mergeCell ref="AA273:AD273"/>
    <mergeCell ref="AE273:AH273"/>
    <mergeCell ref="K260:N260"/>
    <mergeCell ref="O260:R260"/>
    <mergeCell ref="S260:V260"/>
    <mergeCell ref="W260:Z260"/>
    <mergeCell ref="AA260:AD260"/>
    <mergeCell ref="AE260:AH260"/>
    <mergeCell ref="K254:N254"/>
    <mergeCell ref="O254:R254"/>
    <mergeCell ref="S254:V254"/>
    <mergeCell ref="W254:Z254"/>
    <mergeCell ref="AA254:AD254"/>
    <mergeCell ref="AE254:AH254"/>
    <mergeCell ref="W248:Z248"/>
    <mergeCell ref="AA248:AD248"/>
    <mergeCell ref="AE248:AH248"/>
    <mergeCell ref="K242:N242"/>
    <mergeCell ref="O242:R242"/>
    <mergeCell ref="S242:V242"/>
    <mergeCell ref="W242:Z242"/>
    <mergeCell ref="AA242:AD242"/>
    <mergeCell ref="AE242:AH242"/>
    <mergeCell ref="AE235:AH235"/>
    <mergeCell ref="AA223:AD223"/>
    <mergeCell ref="AE223:AH223"/>
    <mergeCell ref="K217:N217"/>
    <mergeCell ref="O217:R217"/>
    <mergeCell ref="S217:V217"/>
    <mergeCell ref="W217:Z217"/>
    <mergeCell ref="AA217:AD217"/>
    <mergeCell ref="AE217:AH217"/>
    <mergeCell ref="S229:V229"/>
    <mergeCell ref="W229:Z229"/>
    <mergeCell ref="AA229:AD229"/>
    <mergeCell ref="AE229:AH229"/>
    <mergeCell ref="S223:V223"/>
    <mergeCell ref="W223:Z223"/>
    <mergeCell ref="AA159:AD159"/>
    <mergeCell ref="AE159:AH159"/>
    <mergeCell ref="K165:N165"/>
    <mergeCell ref="S165:V165"/>
    <mergeCell ref="AE133:AH133"/>
    <mergeCell ref="K139:N139"/>
    <mergeCell ref="O139:R139"/>
    <mergeCell ref="S139:V139"/>
    <mergeCell ref="W139:Z139"/>
    <mergeCell ref="AA139:AD139"/>
    <mergeCell ref="K151:N151"/>
    <mergeCell ref="O151:R151"/>
    <mergeCell ref="S151:V151"/>
    <mergeCell ref="W151:Z151"/>
    <mergeCell ref="AA151:AD151"/>
    <mergeCell ref="AE151:AH151"/>
    <mergeCell ref="AE139:AH139"/>
    <mergeCell ref="K145:N145"/>
    <mergeCell ref="O145:R145"/>
    <mergeCell ref="S145:V145"/>
    <mergeCell ref="W145:Z145"/>
    <mergeCell ref="AA145:AD145"/>
    <mergeCell ref="AE145:AH145"/>
    <mergeCell ref="K133:N133"/>
    <mergeCell ref="S109:V109"/>
    <mergeCell ref="W109:Z109"/>
    <mergeCell ref="AA109:AD109"/>
    <mergeCell ref="AE109:AH109"/>
    <mergeCell ref="AE96:AH96"/>
    <mergeCell ref="K102:N102"/>
    <mergeCell ref="O102:R102"/>
    <mergeCell ref="S102:V102"/>
    <mergeCell ref="W102:Z102"/>
    <mergeCell ref="AA102:AD102"/>
    <mergeCell ref="AE102:AH102"/>
    <mergeCell ref="K109:N109"/>
    <mergeCell ref="O109:R109"/>
    <mergeCell ref="AE84:AH84"/>
    <mergeCell ref="K72:N72"/>
    <mergeCell ref="O72:R72"/>
    <mergeCell ref="S72:V72"/>
    <mergeCell ref="W72:Z72"/>
    <mergeCell ref="AA72:AD72"/>
    <mergeCell ref="AE72:AH72"/>
    <mergeCell ref="O90:R90"/>
    <mergeCell ref="S90:V90"/>
    <mergeCell ref="W90:Z90"/>
    <mergeCell ref="AA90:AD90"/>
    <mergeCell ref="AE90:AH90"/>
    <mergeCell ref="AE66:AH66"/>
    <mergeCell ref="K60:N60"/>
    <mergeCell ref="O60:R60"/>
    <mergeCell ref="S60:V60"/>
    <mergeCell ref="W60:Z60"/>
    <mergeCell ref="AA60:AD60"/>
    <mergeCell ref="AE60:AH60"/>
    <mergeCell ref="AA78:AD78"/>
    <mergeCell ref="AE78:AH78"/>
    <mergeCell ref="AA32:AD32"/>
    <mergeCell ref="AE32:AH32"/>
    <mergeCell ref="W32:Z32"/>
    <mergeCell ref="AA39:AD39"/>
    <mergeCell ref="K38:N38"/>
    <mergeCell ref="O38:R38"/>
    <mergeCell ref="W38:Z38"/>
    <mergeCell ref="AA38:AD38"/>
    <mergeCell ref="K39:N39"/>
    <mergeCell ref="AA46:AD46"/>
    <mergeCell ref="AE46:AH46"/>
    <mergeCell ref="K40:N40"/>
    <mergeCell ref="O40:R40"/>
    <mergeCell ref="S40:V40"/>
    <mergeCell ref="W40:Z40"/>
    <mergeCell ref="AA40:AD40"/>
    <mergeCell ref="AE40:AH40"/>
    <mergeCell ref="AE39:AH39"/>
    <mergeCell ref="S6:V6"/>
    <mergeCell ref="W6:Z6"/>
    <mergeCell ref="AA6:AD6"/>
    <mergeCell ref="AE6:AH6"/>
    <mergeCell ref="AA12:AD12"/>
    <mergeCell ref="AE12:AH12"/>
    <mergeCell ref="K30:N30"/>
    <mergeCell ref="O30:R30"/>
    <mergeCell ref="S30:V30"/>
    <mergeCell ref="W30:Z30"/>
    <mergeCell ref="AA30:AD30"/>
    <mergeCell ref="AE30:AH30"/>
    <mergeCell ref="S18:V18"/>
    <mergeCell ref="W18:Z18"/>
    <mergeCell ref="AA18:AD18"/>
    <mergeCell ref="AE18:AH18"/>
    <mergeCell ref="O24:R24"/>
    <mergeCell ref="S24:V24"/>
    <mergeCell ref="W24:Z24"/>
    <mergeCell ref="AA24:AD24"/>
    <mergeCell ref="K12:N12"/>
    <mergeCell ref="O12:R12"/>
    <mergeCell ref="AE24:AH24"/>
    <mergeCell ref="B90:D90"/>
    <mergeCell ref="B91:D91"/>
    <mergeCell ref="B92:D92"/>
    <mergeCell ref="B73:D73"/>
    <mergeCell ref="B88:D88"/>
    <mergeCell ref="H61:H65"/>
    <mergeCell ref="H55:H59"/>
    <mergeCell ref="H47:H52"/>
    <mergeCell ref="H41:H45"/>
    <mergeCell ref="B52:D52"/>
    <mergeCell ref="B68:D68"/>
    <mergeCell ref="B64:D64"/>
    <mergeCell ref="B65:D65"/>
    <mergeCell ref="B67:D67"/>
    <mergeCell ref="B59:D59"/>
    <mergeCell ref="B70:D70"/>
    <mergeCell ref="B79:D79"/>
    <mergeCell ref="B80:D80"/>
    <mergeCell ref="B77:D77"/>
    <mergeCell ref="B74:D74"/>
    <mergeCell ref="B46:D46"/>
    <mergeCell ref="B51:D51"/>
    <mergeCell ref="B61:D61"/>
    <mergeCell ref="B62:D62"/>
    <mergeCell ref="B45:D45"/>
    <mergeCell ref="O39:R39"/>
    <mergeCell ref="W39:Z39"/>
    <mergeCell ref="S39:V39"/>
    <mergeCell ref="S38:V38"/>
    <mergeCell ref="K46:N46"/>
    <mergeCell ref="O46:R46"/>
    <mergeCell ref="S46:V46"/>
    <mergeCell ref="W46:Z46"/>
    <mergeCell ref="B72:D72"/>
    <mergeCell ref="B78:D78"/>
    <mergeCell ref="B84:D84"/>
    <mergeCell ref="K66:N66"/>
    <mergeCell ref="O66:R66"/>
    <mergeCell ref="S66:V66"/>
    <mergeCell ref="W66:Z66"/>
    <mergeCell ref="K84:N84"/>
    <mergeCell ref="O84:R84"/>
    <mergeCell ref="S84:V84"/>
    <mergeCell ref="W84:Z84"/>
    <mergeCell ref="H166:H170"/>
    <mergeCell ref="H152:H156"/>
    <mergeCell ref="H73:H77"/>
    <mergeCell ref="H85:H89"/>
    <mergeCell ref="H67:H71"/>
    <mergeCell ref="H157:H158"/>
    <mergeCell ref="H123:H127"/>
    <mergeCell ref="H117:H121"/>
    <mergeCell ref="H103:H107"/>
    <mergeCell ref="H97:H101"/>
    <mergeCell ref="H160:H164"/>
    <mergeCell ref="B149:D149"/>
    <mergeCell ref="B150:D150"/>
    <mergeCell ref="B159:D159"/>
    <mergeCell ref="B100:D100"/>
    <mergeCell ref="B105:D105"/>
    <mergeCell ref="B116:D116"/>
    <mergeCell ref="H79:H83"/>
    <mergeCell ref="B69:D69"/>
    <mergeCell ref="B120:D120"/>
    <mergeCell ref="H146:H150"/>
    <mergeCell ref="B151:G151"/>
    <mergeCell ref="B130:D131"/>
    <mergeCell ref="B132:D132"/>
    <mergeCell ref="H134:H138"/>
    <mergeCell ref="H140:H144"/>
    <mergeCell ref="B141:D141"/>
    <mergeCell ref="H130:H131"/>
    <mergeCell ref="B136:D136"/>
    <mergeCell ref="B133:D133"/>
    <mergeCell ref="B139:D139"/>
    <mergeCell ref="B148:D148"/>
    <mergeCell ref="B142:D142"/>
    <mergeCell ref="B143:D143"/>
    <mergeCell ref="B144:D144"/>
    <mergeCell ref="H368:H372"/>
    <mergeCell ref="H362:H366"/>
    <mergeCell ref="H356:H360"/>
    <mergeCell ref="H350:H354"/>
    <mergeCell ref="H323:H327"/>
    <mergeCell ref="H317:H321"/>
    <mergeCell ref="H330:H334"/>
    <mergeCell ref="H342:H346"/>
    <mergeCell ref="B350:D350"/>
    <mergeCell ref="B329:D329"/>
    <mergeCell ref="B335:D335"/>
    <mergeCell ref="B341:D341"/>
    <mergeCell ref="B343:D343"/>
    <mergeCell ref="B345:D345"/>
    <mergeCell ref="B346:D346"/>
    <mergeCell ref="B338:D338"/>
    <mergeCell ref="B333:D333"/>
    <mergeCell ref="B334:D334"/>
    <mergeCell ref="B319:D319"/>
    <mergeCell ref="B320:D320"/>
    <mergeCell ref="B321:D321"/>
    <mergeCell ref="B318:D318"/>
    <mergeCell ref="B355:D355"/>
    <mergeCell ref="B361:D361"/>
    <mergeCell ref="B307:D307"/>
    <mergeCell ref="B308:D308"/>
    <mergeCell ref="B309:D309"/>
    <mergeCell ref="B312:D312"/>
    <mergeCell ref="B313:D313"/>
    <mergeCell ref="B314:D314"/>
    <mergeCell ref="H173:H177"/>
    <mergeCell ref="B344:D344"/>
    <mergeCell ref="H280:H284"/>
    <mergeCell ref="H274:H278"/>
    <mergeCell ref="H224:H228"/>
    <mergeCell ref="B196:D197"/>
    <mergeCell ref="H311:H315"/>
    <mergeCell ref="H305:H309"/>
    <mergeCell ref="H299:H303"/>
    <mergeCell ref="B326:D326"/>
    <mergeCell ref="H206:H210"/>
    <mergeCell ref="B246:D246"/>
    <mergeCell ref="B263:D263"/>
    <mergeCell ref="B185:D185"/>
    <mergeCell ref="H185:H189"/>
    <mergeCell ref="B186:D186"/>
    <mergeCell ref="H243:H247"/>
    <mergeCell ref="H236:H240"/>
    <mergeCell ref="H255:H259"/>
    <mergeCell ref="H249:H253"/>
    <mergeCell ref="H293:H297"/>
    <mergeCell ref="B243:D243"/>
    <mergeCell ref="B224:D224"/>
    <mergeCell ref="B228:D228"/>
    <mergeCell ref="H218:H222"/>
    <mergeCell ref="H212:H216"/>
    <mergeCell ref="B293:D293"/>
    <mergeCell ref="B279:D279"/>
    <mergeCell ref="B295:D295"/>
    <mergeCell ref="B297:D297"/>
    <mergeCell ref="B276:D276"/>
    <mergeCell ref="B296:D296"/>
    <mergeCell ref="B284:D284"/>
    <mergeCell ref="B277:D277"/>
    <mergeCell ref="B278:D278"/>
    <mergeCell ref="B282:D282"/>
    <mergeCell ref="B283:D283"/>
    <mergeCell ref="B281:D281"/>
    <mergeCell ref="B235:E235"/>
    <mergeCell ref="B294:D294"/>
    <mergeCell ref="B245:D245"/>
    <mergeCell ref="B244:D244"/>
    <mergeCell ref="B169:D169"/>
    <mergeCell ref="B170:D170"/>
    <mergeCell ref="G157:G158"/>
    <mergeCell ref="F157:F158"/>
    <mergeCell ref="B342:D342"/>
    <mergeCell ref="H261:H265"/>
    <mergeCell ref="B323:D323"/>
    <mergeCell ref="B327:D327"/>
    <mergeCell ref="H336:H340"/>
    <mergeCell ref="H268:H272"/>
    <mergeCell ref="B211:E211"/>
    <mergeCell ref="B217:E217"/>
    <mergeCell ref="B223:G223"/>
    <mergeCell ref="B311:D311"/>
    <mergeCell ref="B306:D306"/>
    <mergeCell ref="B160:D160"/>
    <mergeCell ref="B241:D241"/>
    <mergeCell ref="B242:D242"/>
    <mergeCell ref="B248:D248"/>
    <mergeCell ref="B303:D303"/>
    <mergeCell ref="H286:H290"/>
    <mergeCell ref="B315:D315"/>
    <mergeCell ref="B324:D324"/>
    <mergeCell ref="B325:D325"/>
    <mergeCell ref="B302:D302"/>
    <mergeCell ref="B288:D288"/>
    <mergeCell ref="B289:D289"/>
    <mergeCell ref="B290:D290"/>
    <mergeCell ref="B317:D317"/>
    <mergeCell ref="B119:D119"/>
    <mergeCell ref="B260:D260"/>
    <mergeCell ref="B267:D267"/>
    <mergeCell ref="B273:D273"/>
    <mergeCell ref="B199:D199"/>
    <mergeCell ref="B122:D122"/>
    <mergeCell ref="B237:D237"/>
    <mergeCell ref="B145:D145"/>
    <mergeCell ref="B135:D135"/>
    <mergeCell ref="B188:D188"/>
    <mergeCell ref="B299:D299"/>
    <mergeCell ref="B300:D300"/>
    <mergeCell ref="B247:D247"/>
    <mergeCell ref="B252:D252"/>
    <mergeCell ref="B253:D253"/>
    <mergeCell ref="B255:D255"/>
    <mergeCell ref="B275:D275"/>
    <mergeCell ref="B254:D254"/>
    <mergeCell ref="B184:D184"/>
    <mergeCell ref="B347:D347"/>
    <mergeCell ref="B218:D218"/>
    <mergeCell ref="B259:D259"/>
    <mergeCell ref="B286:D286"/>
    <mergeCell ref="B287:D287"/>
    <mergeCell ref="B137:D137"/>
    <mergeCell ref="B227:D227"/>
    <mergeCell ref="B212:D212"/>
    <mergeCell ref="B301:D301"/>
    <mergeCell ref="B264:D264"/>
    <mergeCell ref="B220:D220"/>
    <mergeCell ref="B222:D222"/>
    <mergeCell ref="B175:D175"/>
    <mergeCell ref="B172:D172"/>
    <mergeCell ref="B280:D280"/>
    <mergeCell ref="B213:D213"/>
    <mergeCell ref="B214:D214"/>
    <mergeCell ref="B215:D215"/>
    <mergeCell ref="B216:D216"/>
    <mergeCell ref="B219:D219"/>
    <mergeCell ref="B340:D340"/>
    <mergeCell ref="B330:D330"/>
    <mergeCell ref="B331:D331"/>
    <mergeCell ref="B305:D305"/>
    <mergeCell ref="B258:D258"/>
    <mergeCell ref="B236:D236"/>
    <mergeCell ref="B238:D238"/>
    <mergeCell ref="B239:D239"/>
    <mergeCell ref="B240:D240"/>
    <mergeCell ref="B205:G205"/>
    <mergeCell ref="E3:E4"/>
    <mergeCell ref="H19:H23"/>
    <mergeCell ref="H13:H17"/>
    <mergeCell ref="H8:H11"/>
    <mergeCell ref="H33:H37"/>
    <mergeCell ref="H3:H4"/>
    <mergeCell ref="B102:D102"/>
    <mergeCell ref="B96:D96"/>
    <mergeCell ref="B55:D55"/>
    <mergeCell ref="B56:D56"/>
    <mergeCell ref="B57:D57"/>
    <mergeCell ref="B58:D58"/>
    <mergeCell ref="B81:D81"/>
    <mergeCell ref="B82:D82"/>
    <mergeCell ref="B83:D83"/>
    <mergeCell ref="B50:D50"/>
    <mergeCell ref="B75:D75"/>
    <mergeCell ref="B76:D76"/>
    <mergeCell ref="S5:V5"/>
    <mergeCell ref="K18:N18"/>
    <mergeCell ref="O18:R18"/>
    <mergeCell ref="H25:H29"/>
    <mergeCell ref="K32:N32"/>
    <mergeCell ref="O32:R32"/>
    <mergeCell ref="S32:V32"/>
    <mergeCell ref="AI3:AI4"/>
    <mergeCell ref="K5:N5"/>
    <mergeCell ref="O5:R5"/>
    <mergeCell ref="W5:Z5"/>
    <mergeCell ref="AA5:AD5"/>
    <mergeCell ref="K3:N3"/>
    <mergeCell ref="O3:R3"/>
    <mergeCell ref="AE5:AH5"/>
    <mergeCell ref="W3:Z3"/>
    <mergeCell ref="AA3:AD3"/>
    <mergeCell ref="AE3:AH3"/>
    <mergeCell ref="S3:V3"/>
    <mergeCell ref="S12:V12"/>
    <mergeCell ref="W12:Z12"/>
    <mergeCell ref="K24:N24"/>
    <mergeCell ref="K6:N6"/>
    <mergeCell ref="O6:R6"/>
    <mergeCell ref="K53:N53"/>
    <mergeCell ref="O53:R53"/>
    <mergeCell ref="W53:Z53"/>
    <mergeCell ref="AA53:AD53"/>
    <mergeCell ref="K108:N108"/>
    <mergeCell ref="O108:R108"/>
    <mergeCell ref="AA108:AD108"/>
    <mergeCell ref="K54:N54"/>
    <mergeCell ref="O54:R54"/>
    <mergeCell ref="S54:V54"/>
    <mergeCell ref="W108:Z108"/>
    <mergeCell ref="K78:N78"/>
    <mergeCell ref="O78:R78"/>
    <mergeCell ref="S78:V78"/>
    <mergeCell ref="W78:Z78"/>
    <mergeCell ref="K90:N90"/>
    <mergeCell ref="AA66:AD66"/>
    <mergeCell ref="AA84:AD84"/>
    <mergeCell ref="K96:N96"/>
    <mergeCell ref="O96:R96"/>
    <mergeCell ref="S96:V96"/>
    <mergeCell ref="W96:Z96"/>
    <mergeCell ref="AA96:AD96"/>
    <mergeCell ref="S53:V53"/>
    <mergeCell ref="AA328:AD328"/>
    <mergeCell ref="K241:N241"/>
    <mergeCell ref="O241:R241"/>
    <mergeCell ref="W241:Z241"/>
    <mergeCell ref="AA241:AD241"/>
    <mergeCell ref="W328:Z328"/>
    <mergeCell ref="S198:V198"/>
    <mergeCell ref="O328:R328"/>
    <mergeCell ref="O196:R196"/>
    <mergeCell ref="O197:R197"/>
    <mergeCell ref="S241:V241"/>
    <mergeCell ref="AA291:AD291"/>
    <mergeCell ref="W291:Z291"/>
    <mergeCell ref="AA196:AD196"/>
    <mergeCell ref="K198:N198"/>
    <mergeCell ref="K328:N328"/>
    <mergeCell ref="K235:N235"/>
    <mergeCell ref="O235:R235"/>
    <mergeCell ref="S235:V235"/>
    <mergeCell ref="W235:Z235"/>
    <mergeCell ref="AA235:AD235"/>
    <mergeCell ref="K248:N248"/>
    <mergeCell ref="O248:R248"/>
    <mergeCell ref="S248:V248"/>
    <mergeCell ref="AA133:AD133"/>
    <mergeCell ref="AA165:AD165"/>
    <mergeCell ref="AA374:AB374"/>
    <mergeCell ref="AC374:AD374"/>
    <mergeCell ref="K373:N373"/>
    <mergeCell ref="K267:N267"/>
    <mergeCell ref="O267:R267"/>
    <mergeCell ref="AA373:AD373"/>
    <mergeCell ref="K292:N292"/>
    <mergeCell ref="S292:V292"/>
    <mergeCell ref="S267:V267"/>
    <mergeCell ref="W267:Z267"/>
    <mergeCell ref="W373:Z373"/>
    <mergeCell ref="O292:R292"/>
    <mergeCell ref="W374:X374"/>
    <mergeCell ref="Y374:Z374"/>
    <mergeCell ref="W292:Z292"/>
    <mergeCell ref="O355:R355"/>
    <mergeCell ref="S355:V355"/>
    <mergeCell ref="W355:Z355"/>
    <mergeCell ref="U374:V374"/>
    <mergeCell ref="S328:V328"/>
    <mergeCell ref="O374:P374"/>
    <mergeCell ref="Q374:R374"/>
    <mergeCell ref="S374:T374"/>
    <mergeCell ref="O291:R291"/>
    <mergeCell ref="O373:R373"/>
    <mergeCell ref="S373:V373"/>
    <mergeCell ref="S291:V291"/>
    <mergeCell ref="K197:N197"/>
    <mergeCell ref="B257:D257"/>
    <mergeCell ref="B138:D138"/>
    <mergeCell ref="B140:D140"/>
    <mergeCell ref="B225:D225"/>
    <mergeCell ref="K374:L374"/>
    <mergeCell ref="M374:N374"/>
    <mergeCell ref="B349:D349"/>
    <mergeCell ref="B157:D158"/>
    <mergeCell ref="B165:D165"/>
    <mergeCell ref="B272:D272"/>
    <mergeCell ref="B265:D265"/>
    <mergeCell ref="B268:D268"/>
    <mergeCell ref="B249:D249"/>
    <mergeCell ref="B250:D250"/>
    <mergeCell ref="B251:D251"/>
    <mergeCell ref="B261:D261"/>
    <mergeCell ref="B262:D262"/>
    <mergeCell ref="B256:D256"/>
    <mergeCell ref="B269:D269"/>
    <mergeCell ref="B270:D270"/>
    <mergeCell ref="B112:D112"/>
    <mergeCell ref="B111:D111"/>
    <mergeCell ref="B127:D127"/>
    <mergeCell ref="B126:D126"/>
    <mergeCell ref="B114:D114"/>
    <mergeCell ref="B85:D85"/>
    <mergeCell ref="B86:D86"/>
    <mergeCell ref="B87:D87"/>
    <mergeCell ref="B110:D110"/>
    <mergeCell ref="B93:D93"/>
    <mergeCell ref="B94:D94"/>
    <mergeCell ref="B95:D95"/>
    <mergeCell ref="B97:D97"/>
    <mergeCell ref="B98:D98"/>
    <mergeCell ref="B99:D99"/>
    <mergeCell ref="B107:D107"/>
    <mergeCell ref="B118:D118"/>
    <mergeCell ref="B113:D113"/>
    <mergeCell ref="B106:D106"/>
    <mergeCell ref="B117:D117"/>
    <mergeCell ref="B89:D89"/>
    <mergeCell ref="B103:D103"/>
    <mergeCell ref="B4:D4"/>
    <mergeCell ref="B20:D20"/>
    <mergeCell ref="B21:D21"/>
    <mergeCell ref="B43:D43"/>
    <mergeCell ref="B44:D44"/>
    <mergeCell ref="B19:D19"/>
    <mergeCell ref="B35:D35"/>
    <mergeCell ref="B26:D26"/>
    <mergeCell ref="B38:D38"/>
    <mergeCell ref="B27:D27"/>
    <mergeCell ref="B33:D33"/>
    <mergeCell ref="B34:D34"/>
    <mergeCell ref="B36:D36"/>
    <mergeCell ref="B3:D3"/>
    <mergeCell ref="G3:G4"/>
    <mergeCell ref="B11:D11"/>
    <mergeCell ref="B63:D63"/>
    <mergeCell ref="B47:D47"/>
    <mergeCell ref="B48:D48"/>
    <mergeCell ref="B7:D7"/>
    <mergeCell ref="B9:D9"/>
    <mergeCell ref="B10:D10"/>
    <mergeCell ref="B49:D49"/>
    <mergeCell ref="B37:D37"/>
    <mergeCell ref="B41:D41"/>
    <mergeCell ref="B8:D8"/>
    <mergeCell ref="B13:D13"/>
    <mergeCell ref="B14:D14"/>
    <mergeCell ref="B15:D15"/>
    <mergeCell ref="B16:D16"/>
    <mergeCell ref="B28:D28"/>
    <mergeCell ref="B17:D17"/>
    <mergeCell ref="B29:D29"/>
    <mergeCell ref="B42:D42"/>
    <mergeCell ref="B22:D22"/>
    <mergeCell ref="B23:D23"/>
    <mergeCell ref="B25:D25"/>
    <mergeCell ref="AE132:AH132"/>
    <mergeCell ref="AA132:AD132"/>
    <mergeCell ref="H91:H95"/>
    <mergeCell ref="B104:D104"/>
    <mergeCell ref="B101:D101"/>
    <mergeCell ref="S132:V132"/>
    <mergeCell ref="W196:Z196"/>
    <mergeCell ref="AA198:AD198"/>
    <mergeCell ref="AA197:AD197"/>
    <mergeCell ref="AE130:AH131"/>
    <mergeCell ref="B152:D152"/>
    <mergeCell ref="B153:D153"/>
    <mergeCell ref="B154:D154"/>
    <mergeCell ref="B161:D161"/>
    <mergeCell ref="B162:D162"/>
    <mergeCell ref="B163:D163"/>
    <mergeCell ref="K184:N184"/>
    <mergeCell ref="W184:Z184"/>
    <mergeCell ref="B194:D194"/>
    <mergeCell ref="AE197:AH197"/>
    <mergeCell ref="AE198:AH198"/>
    <mergeCell ref="O198:R198"/>
    <mergeCell ref="W197:Z197"/>
    <mergeCell ref="K196:N196"/>
    <mergeCell ref="AE241:AH241"/>
    <mergeCell ref="AE196:AH196"/>
    <mergeCell ref="B195:D195"/>
    <mergeCell ref="B200:D200"/>
    <mergeCell ref="B201:D201"/>
    <mergeCell ref="B202:D202"/>
    <mergeCell ref="B203:D203"/>
    <mergeCell ref="W198:Z198"/>
    <mergeCell ref="B360:D360"/>
    <mergeCell ref="AE328:AH328"/>
    <mergeCell ref="B332:D332"/>
    <mergeCell ref="B354:D354"/>
    <mergeCell ref="B356:D356"/>
    <mergeCell ref="B357:D357"/>
    <mergeCell ref="B352:D352"/>
    <mergeCell ref="B351:D351"/>
    <mergeCell ref="B206:D206"/>
    <mergeCell ref="B207:D207"/>
    <mergeCell ref="B204:D204"/>
    <mergeCell ref="B208:D208"/>
    <mergeCell ref="B209:D209"/>
    <mergeCell ref="B210:D210"/>
    <mergeCell ref="B271:D271"/>
    <mergeCell ref="B274:D274"/>
    <mergeCell ref="B363:D363"/>
    <mergeCell ref="B367:D367"/>
    <mergeCell ref="W132:Z132"/>
    <mergeCell ref="B155:D155"/>
    <mergeCell ref="H200:H204"/>
    <mergeCell ref="B183:D183"/>
    <mergeCell ref="B191:D191"/>
    <mergeCell ref="B192:D192"/>
    <mergeCell ref="B193:D193"/>
    <mergeCell ref="B167:D167"/>
    <mergeCell ref="B156:D156"/>
    <mergeCell ref="B146:D146"/>
    <mergeCell ref="B147:D147"/>
    <mergeCell ref="O132:R132"/>
    <mergeCell ref="B179:D179"/>
    <mergeCell ref="B181:D181"/>
    <mergeCell ref="B173:D173"/>
    <mergeCell ref="B174:D174"/>
    <mergeCell ref="B168:D168"/>
    <mergeCell ref="B166:D166"/>
    <mergeCell ref="B177:D177"/>
    <mergeCell ref="B134:D134"/>
    <mergeCell ref="B226:D226"/>
    <mergeCell ref="B285:D285"/>
    <mergeCell ref="B374:D374"/>
    <mergeCell ref="B121:D121"/>
    <mergeCell ref="B123:D123"/>
    <mergeCell ref="B124:D124"/>
    <mergeCell ref="B125:D125"/>
    <mergeCell ref="B370:D370"/>
    <mergeCell ref="B371:D371"/>
    <mergeCell ref="B372:D372"/>
    <mergeCell ref="B359:D359"/>
    <mergeCell ref="B358:D358"/>
    <mergeCell ref="B164:D164"/>
    <mergeCell ref="B182:D182"/>
    <mergeCell ref="B187:D187"/>
    <mergeCell ref="B221:D221"/>
    <mergeCell ref="B336:D336"/>
    <mergeCell ref="B366:D366"/>
    <mergeCell ref="B353:D353"/>
    <mergeCell ref="B368:D368"/>
    <mergeCell ref="B369:D369"/>
    <mergeCell ref="B365:D365"/>
    <mergeCell ref="B337:D337"/>
    <mergeCell ref="B364:D364"/>
    <mergeCell ref="B339:D339"/>
    <mergeCell ref="B362:D362"/>
  </mergeCells>
  <printOptions horizontalCentered="1" verticalCentered="1"/>
  <pageMargins left="0.19685039370078741" right="0.19685039370078741" top="0.78740157480314965" bottom="0.78740157480314965" header="0" footer="0"/>
  <pageSetup paperSize="257" scale="12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workbookViewId="0">
      <selection activeCell="D43" sqref="D43"/>
    </sheetView>
  </sheetViews>
  <sheetFormatPr defaultRowHeight="12.75" x14ac:dyDescent="0.2"/>
  <cols>
    <col min="1" max="1" width="52.5703125" bestFit="1" customWidth="1"/>
  </cols>
  <sheetData>
    <row r="1" spans="1:36" ht="15.75" thickBot="1" x14ac:dyDescent="0.25">
      <c r="A1" s="1271" t="s">
        <v>117</v>
      </c>
      <c r="B1" s="1272"/>
      <c r="C1" s="1272"/>
      <c r="D1" s="1272"/>
      <c r="E1" s="1272"/>
      <c r="F1" s="1272"/>
      <c r="G1" s="1272"/>
      <c r="H1" s="1273"/>
    </row>
    <row r="2" spans="1:36" ht="13.5" thickBot="1" x14ac:dyDescent="0.25">
      <c r="A2" s="1274" t="s">
        <v>101</v>
      </c>
      <c r="B2" s="1275"/>
      <c r="C2" s="1275"/>
      <c r="D2" s="1275"/>
      <c r="E2" s="1275"/>
      <c r="F2" s="1275"/>
      <c r="G2" s="1275"/>
      <c r="H2" s="1276"/>
    </row>
    <row r="3" spans="1:36" ht="13.5" thickBot="1" x14ac:dyDescent="0.25">
      <c r="A3" s="1277" t="s">
        <v>102</v>
      </c>
      <c r="B3" s="1279" t="s">
        <v>103</v>
      </c>
      <c r="C3" s="1279"/>
      <c r="D3" s="1280"/>
      <c r="E3" s="1281" t="s">
        <v>104</v>
      </c>
      <c r="F3" s="1279"/>
      <c r="G3" s="1280"/>
      <c r="H3" s="1282" t="s">
        <v>2</v>
      </c>
    </row>
    <row r="4" spans="1:36" ht="13.5" thickBot="1" x14ac:dyDescent="0.25">
      <c r="A4" s="1278"/>
      <c r="B4" s="504" t="s">
        <v>86</v>
      </c>
      <c r="C4" s="504" t="s">
        <v>105</v>
      </c>
      <c r="D4" s="504" t="s">
        <v>106</v>
      </c>
      <c r="E4" s="504" t="s">
        <v>86</v>
      </c>
      <c r="F4" s="504" t="s">
        <v>105</v>
      </c>
      <c r="G4" s="505" t="s">
        <v>106</v>
      </c>
      <c r="H4" s="1283"/>
    </row>
    <row r="5" spans="1:36" x14ac:dyDescent="0.2">
      <c r="A5" s="506" t="s">
        <v>107</v>
      </c>
      <c r="B5" s="507">
        <f>'RESUMO R$'!C4</f>
        <v>13720</v>
      </c>
      <c r="C5" s="507">
        <f>'RESUMO R$'!D4</f>
        <v>5000</v>
      </c>
      <c r="D5" s="507">
        <f>'RESUMO R$'!E4</f>
        <v>18720</v>
      </c>
      <c r="E5" s="507">
        <f>B5/$C$30</f>
        <v>7840</v>
      </c>
      <c r="F5" s="507">
        <f>C5/$C$30</f>
        <v>2857.1428571428573</v>
      </c>
      <c r="G5" s="507">
        <f>D5/$C$30</f>
        <v>10697.142857142857</v>
      </c>
      <c r="H5" s="507">
        <f t="shared" ref="H5:H29" si="0">D5/$D$29*100</f>
        <v>15.488640875977003</v>
      </c>
      <c r="K5" s="501"/>
      <c r="L5" s="501"/>
      <c r="M5" s="501"/>
      <c r="N5" s="501"/>
      <c r="O5" s="501"/>
      <c r="P5" s="501"/>
      <c r="Q5" s="501"/>
      <c r="R5" s="501"/>
      <c r="S5" s="501"/>
      <c r="T5" s="501"/>
      <c r="U5" s="501"/>
      <c r="V5" s="501"/>
      <c r="W5" s="501"/>
      <c r="X5" s="501"/>
      <c r="Y5" s="501"/>
      <c r="Z5" s="501"/>
      <c r="AA5" s="501"/>
      <c r="AB5" s="501"/>
      <c r="AC5" s="501"/>
      <c r="AD5" s="501"/>
      <c r="AE5" s="501"/>
      <c r="AF5" s="501"/>
      <c r="AG5" s="501"/>
      <c r="AH5" s="501"/>
      <c r="AI5" s="501"/>
      <c r="AJ5" s="501"/>
    </row>
    <row r="6" spans="1:36" s="6" customFormat="1" ht="12" thickBot="1" x14ac:dyDescent="0.25">
      <c r="A6" s="508" t="s">
        <v>73</v>
      </c>
      <c r="B6" s="509">
        <v>3500</v>
      </c>
      <c r="C6" s="510"/>
      <c r="D6" s="511">
        <f>C6+B6</f>
        <v>3500</v>
      </c>
      <c r="E6" s="507">
        <f t="shared" ref="E6:E29" si="1">B6/$C$30</f>
        <v>2000</v>
      </c>
      <c r="F6" s="507">
        <f t="shared" ref="F6:F29" si="2">C6/$C$30</f>
        <v>0</v>
      </c>
      <c r="G6" s="507">
        <f t="shared" ref="G6:G29" si="3">D6/$C$30</f>
        <v>2000</v>
      </c>
      <c r="H6" s="507">
        <f t="shared" si="0"/>
        <v>2.8958463176239055</v>
      </c>
      <c r="I6" s="3"/>
      <c r="K6" s="297"/>
      <c r="L6" s="244"/>
      <c r="M6" s="297"/>
      <c r="N6" s="297"/>
      <c r="O6" s="244"/>
      <c r="P6" s="297"/>
      <c r="Q6" s="297"/>
      <c r="R6" s="244"/>
      <c r="S6" s="297"/>
      <c r="T6" s="297"/>
      <c r="U6" s="244"/>
      <c r="V6" s="297"/>
      <c r="W6" s="297"/>
      <c r="X6" s="297"/>
      <c r="Y6" s="244"/>
      <c r="Z6" s="297"/>
      <c r="AA6" s="297"/>
      <c r="AB6" s="297"/>
      <c r="AC6" s="244"/>
      <c r="AD6" s="244"/>
      <c r="AE6" s="244"/>
      <c r="AF6" s="244"/>
      <c r="AG6" s="244"/>
      <c r="AH6" s="244"/>
      <c r="AI6" s="244"/>
      <c r="AJ6" s="244"/>
    </row>
    <row r="7" spans="1:36" s="2" customFormat="1" ht="12" thickBot="1" x14ac:dyDescent="0.25">
      <c r="A7" s="512" t="s">
        <v>75</v>
      </c>
      <c r="B7" s="513">
        <v>5100</v>
      </c>
      <c r="C7" s="514">
        <v>0</v>
      </c>
      <c r="D7" s="511">
        <f>C7+B7</f>
        <v>5100</v>
      </c>
      <c r="E7" s="507">
        <f t="shared" si="1"/>
        <v>2914.2857142857142</v>
      </c>
      <c r="F7" s="507">
        <f t="shared" si="2"/>
        <v>0</v>
      </c>
      <c r="G7" s="507">
        <f t="shared" si="3"/>
        <v>2914.2857142857142</v>
      </c>
      <c r="H7" s="507">
        <f t="shared" si="0"/>
        <v>4.2196617771091187</v>
      </c>
      <c r="I7" s="297"/>
      <c r="K7" s="502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44"/>
      <c r="AD7" s="244"/>
      <c r="AE7" s="500"/>
      <c r="AF7" s="500"/>
      <c r="AG7" s="500"/>
      <c r="AH7" s="500"/>
      <c r="AI7" s="500"/>
      <c r="AJ7" s="500"/>
    </row>
    <row r="8" spans="1:36" s="2" customFormat="1" ht="12" thickBot="1" x14ac:dyDescent="0.25">
      <c r="A8" s="512" t="s">
        <v>74</v>
      </c>
      <c r="B8" s="513">
        <v>1750</v>
      </c>
      <c r="C8" s="514">
        <v>5000</v>
      </c>
      <c r="D8" s="511">
        <f>C8+B8</f>
        <v>6750</v>
      </c>
      <c r="E8" s="507">
        <f t="shared" si="1"/>
        <v>1000</v>
      </c>
      <c r="F8" s="507">
        <f t="shared" si="2"/>
        <v>2857.1428571428573</v>
      </c>
      <c r="G8" s="507">
        <f t="shared" si="3"/>
        <v>3857.1428571428573</v>
      </c>
      <c r="H8" s="507">
        <f t="shared" si="0"/>
        <v>5.5848464697032458</v>
      </c>
      <c r="I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44"/>
      <c r="AD8" s="244"/>
      <c r="AE8" s="500"/>
      <c r="AF8" s="500"/>
      <c r="AG8" s="500"/>
      <c r="AH8" s="500"/>
      <c r="AI8" s="500"/>
      <c r="AJ8" s="500"/>
    </row>
    <row r="9" spans="1:36" ht="13.5" thickBot="1" x14ac:dyDescent="0.25">
      <c r="A9" s="515" t="s">
        <v>108</v>
      </c>
      <c r="B9" s="516">
        <f>B10+B21+B22</f>
        <v>16682.76743</v>
      </c>
      <c r="C9" s="516">
        <f>C10+C21+C22</f>
        <v>85460</v>
      </c>
      <c r="D9" s="516">
        <f>D10+D21+D22</f>
        <v>121732.76743000001</v>
      </c>
      <c r="E9" s="507">
        <f t="shared" si="1"/>
        <v>9533.0099599999994</v>
      </c>
      <c r="F9" s="507">
        <f t="shared" si="2"/>
        <v>48834.285714285717</v>
      </c>
      <c r="G9" s="507">
        <f t="shared" si="3"/>
        <v>69561.581388571431</v>
      </c>
      <c r="H9" s="507">
        <f t="shared" si="0"/>
        <v>100.71982465609508</v>
      </c>
    </row>
    <row r="10" spans="1:36" ht="13.5" thickBot="1" x14ac:dyDescent="0.25">
      <c r="A10" s="517" t="s">
        <v>15</v>
      </c>
      <c r="B10" s="518">
        <f>B11+B14+B16+B18</f>
        <v>16682.76743</v>
      </c>
      <c r="C10" s="518">
        <f>C11+C14+C16+C18</f>
        <v>77210</v>
      </c>
      <c r="D10" s="518">
        <f>D11+D14+D16+D18</f>
        <v>93892.767430000007</v>
      </c>
      <c r="E10" s="507">
        <f t="shared" si="1"/>
        <v>9533.0099599999994</v>
      </c>
      <c r="F10" s="507">
        <f t="shared" si="2"/>
        <v>44120</v>
      </c>
      <c r="G10" s="507">
        <f t="shared" si="3"/>
        <v>53653.009960000003</v>
      </c>
      <c r="H10" s="507">
        <f t="shared" si="0"/>
        <v>77.685435661052367</v>
      </c>
    </row>
    <row r="11" spans="1:36" ht="13.5" thickBot="1" x14ac:dyDescent="0.25">
      <c r="A11" s="517" t="s">
        <v>127</v>
      </c>
      <c r="B11" s="518">
        <f>B12+B13</f>
        <v>8100</v>
      </c>
      <c r="C11" s="518">
        <f>C12+C13</f>
        <v>19336</v>
      </c>
      <c r="D11" s="518">
        <f>D12+D13</f>
        <v>27436</v>
      </c>
      <c r="E11" s="507">
        <f t="shared" si="1"/>
        <v>4628.5714285714284</v>
      </c>
      <c r="F11" s="507">
        <f t="shared" si="2"/>
        <v>11049.142857142857</v>
      </c>
      <c r="G11" s="507">
        <f t="shared" si="3"/>
        <v>15677.714285714286</v>
      </c>
      <c r="H11" s="507">
        <f t="shared" si="0"/>
        <v>22.700125591522706</v>
      </c>
    </row>
    <row r="12" spans="1:36" ht="13.5" thickBot="1" x14ac:dyDescent="0.25">
      <c r="A12" s="519" t="s">
        <v>128</v>
      </c>
      <c r="B12" s="520">
        <f>'RESUMO R$'!C12</f>
        <v>750</v>
      </c>
      <c r="C12" s="520">
        <v>19336</v>
      </c>
      <c r="D12" s="511">
        <f t="shared" ref="D12:D20" si="4">C12+B12</f>
        <v>20086</v>
      </c>
      <c r="E12" s="507">
        <f t="shared" si="1"/>
        <v>428.57142857142856</v>
      </c>
      <c r="F12" s="507">
        <f t="shared" si="2"/>
        <v>11049.142857142857</v>
      </c>
      <c r="G12" s="507">
        <f t="shared" si="3"/>
        <v>11477.714285714286</v>
      </c>
      <c r="H12" s="507">
        <f t="shared" si="0"/>
        <v>16.618848324512502</v>
      </c>
    </row>
    <row r="13" spans="1:36" ht="13.5" thickBot="1" x14ac:dyDescent="0.25">
      <c r="A13" s="519" t="s">
        <v>129</v>
      </c>
      <c r="B13" s="520">
        <v>7350</v>
      </c>
      <c r="C13" s="520"/>
      <c r="D13" s="511">
        <f t="shared" si="4"/>
        <v>7350</v>
      </c>
      <c r="E13" s="507">
        <f t="shared" si="1"/>
        <v>4200</v>
      </c>
      <c r="F13" s="507">
        <f t="shared" si="2"/>
        <v>0</v>
      </c>
      <c r="G13" s="507">
        <f t="shared" si="3"/>
        <v>4200</v>
      </c>
      <c r="H13" s="507">
        <f t="shared" si="0"/>
        <v>6.0812772670102007</v>
      </c>
    </row>
    <row r="14" spans="1:36" ht="13.5" thickBot="1" x14ac:dyDescent="0.25">
      <c r="A14" s="517" t="s">
        <v>130</v>
      </c>
      <c r="B14" s="518">
        <f>B15</f>
        <v>6731.7674299999999</v>
      </c>
      <c r="C14" s="518">
        <f>C15</f>
        <v>8957</v>
      </c>
      <c r="D14" s="518">
        <f>D15</f>
        <v>15688.76743</v>
      </c>
      <c r="E14" s="507">
        <f t="shared" si="1"/>
        <v>3846.7242457142856</v>
      </c>
      <c r="F14" s="507">
        <f t="shared" si="2"/>
        <v>5118.2857142857147</v>
      </c>
      <c r="G14" s="507">
        <f t="shared" si="3"/>
        <v>8965.0099599999994</v>
      </c>
      <c r="H14" s="507">
        <f t="shared" si="0"/>
        <v>12.980645540063819</v>
      </c>
    </row>
    <row r="15" spans="1:36" ht="13.5" thickBot="1" x14ac:dyDescent="0.25">
      <c r="A15" s="521" t="s">
        <v>131</v>
      </c>
      <c r="B15" s="522">
        <f>'RESUMO R$'!C22</f>
        <v>6731.7674299999999</v>
      </c>
      <c r="C15" s="522">
        <f>'RESUMO R$'!D22</f>
        <v>8957</v>
      </c>
      <c r="D15" s="511">
        <f t="shared" si="4"/>
        <v>15688.76743</v>
      </c>
      <c r="E15" s="507">
        <f t="shared" si="1"/>
        <v>3846.7242457142856</v>
      </c>
      <c r="F15" s="507">
        <f t="shared" si="2"/>
        <v>5118.2857142857147</v>
      </c>
      <c r="G15" s="507">
        <f t="shared" si="3"/>
        <v>8965.0099599999994</v>
      </c>
      <c r="H15" s="507">
        <f t="shared" si="0"/>
        <v>12.980645540063819</v>
      </c>
    </row>
    <row r="16" spans="1:36" ht="13.5" thickBot="1" x14ac:dyDescent="0.25">
      <c r="A16" s="517" t="s">
        <v>132</v>
      </c>
      <c r="B16" s="518">
        <f>B17</f>
        <v>0</v>
      </c>
      <c r="C16" s="518">
        <f>C17</f>
        <v>3917</v>
      </c>
      <c r="D16" s="518">
        <f>D17</f>
        <v>3917</v>
      </c>
      <c r="E16" s="507">
        <f t="shared" si="1"/>
        <v>0</v>
      </c>
      <c r="F16" s="507">
        <f t="shared" si="2"/>
        <v>2238.2857142857142</v>
      </c>
      <c r="G16" s="507">
        <f t="shared" si="3"/>
        <v>2238.2857142857142</v>
      </c>
      <c r="H16" s="507">
        <f t="shared" si="0"/>
        <v>3.2408657217522387</v>
      </c>
    </row>
    <row r="17" spans="1:8" ht="13.5" thickBot="1" x14ac:dyDescent="0.25">
      <c r="A17" s="523" t="s">
        <v>133</v>
      </c>
      <c r="B17" s="522"/>
      <c r="C17" s="524">
        <v>3917</v>
      </c>
      <c r="D17" s="511">
        <f t="shared" si="4"/>
        <v>3917</v>
      </c>
      <c r="E17" s="507">
        <f t="shared" si="1"/>
        <v>0</v>
      </c>
      <c r="F17" s="507">
        <f t="shared" si="2"/>
        <v>2238.2857142857142</v>
      </c>
      <c r="G17" s="507">
        <f t="shared" si="3"/>
        <v>2238.2857142857142</v>
      </c>
      <c r="H17" s="507">
        <f t="shared" si="0"/>
        <v>3.2408657217522387</v>
      </c>
    </row>
    <row r="18" spans="1:8" ht="13.5" thickBot="1" x14ac:dyDescent="0.25">
      <c r="A18" s="517" t="s">
        <v>134</v>
      </c>
      <c r="B18" s="518">
        <f>B19+B20</f>
        <v>1851</v>
      </c>
      <c r="C18" s="518">
        <f>C19+C20</f>
        <v>45000</v>
      </c>
      <c r="D18" s="518">
        <f>D19+D20</f>
        <v>46851</v>
      </c>
      <c r="E18" s="507">
        <f t="shared" si="1"/>
        <v>1057.7142857142858</v>
      </c>
      <c r="F18" s="507">
        <f t="shared" si="2"/>
        <v>25714.285714285714</v>
      </c>
      <c r="G18" s="507">
        <f t="shared" si="3"/>
        <v>26772</v>
      </c>
      <c r="H18" s="507">
        <f t="shared" si="0"/>
        <v>38.763798807713599</v>
      </c>
    </row>
    <row r="19" spans="1:8" ht="13.5" thickBot="1" x14ac:dyDescent="0.25">
      <c r="A19" s="523" t="s">
        <v>135</v>
      </c>
      <c r="B19" s="522">
        <f>'RESUMO R$'!C63</f>
        <v>1351</v>
      </c>
      <c r="C19" s="524">
        <f>'RESUMO R$'!D63</f>
        <v>25000</v>
      </c>
      <c r="D19" s="511">
        <f t="shared" si="4"/>
        <v>26351</v>
      </c>
      <c r="E19" s="507">
        <f t="shared" si="1"/>
        <v>772</v>
      </c>
      <c r="F19" s="507">
        <f t="shared" si="2"/>
        <v>14285.714285714286</v>
      </c>
      <c r="G19" s="507">
        <f t="shared" si="3"/>
        <v>15057.714285714286</v>
      </c>
      <c r="H19" s="507">
        <f t="shared" si="0"/>
        <v>21.802413233059294</v>
      </c>
    </row>
    <row r="20" spans="1:8" ht="13.5" thickBot="1" x14ac:dyDescent="0.25">
      <c r="A20" s="523" t="s">
        <v>136</v>
      </c>
      <c r="B20" s="522">
        <f>'RESUMO R$'!C67</f>
        <v>500</v>
      </c>
      <c r="C20" s="524">
        <f>'RESUMO R$'!D67</f>
        <v>20000</v>
      </c>
      <c r="D20" s="511">
        <f t="shared" si="4"/>
        <v>20500</v>
      </c>
      <c r="E20" s="507">
        <f t="shared" si="1"/>
        <v>285.71428571428572</v>
      </c>
      <c r="F20" s="507">
        <f t="shared" si="2"/>
        <v>11428.571428571429</v>
      </c>
      <c r="G20" s="507">
        <f t="shared" si="3"/>
        <v>11714.285714285714</v>
      </c>
      <c r="H20" s="507">
        <f t="shared" si="0"/>
        <v>16.961385574654305</v>
      </c>
    </row>
    <row r="21" spans="1:8" x14ac:dyDescent="0.2">
      <c r="A21" s="525" t="s">
        <v>80</v>
      </c>
      <c r="B21" s="526">
        <v>0</v>
      </c>
      <c r="C21" s="526">
        <v>0</v>
      </c>
      <c r="D21" s="526">
        <v>0</v>
      </c>
      <c r="E21" s="507">
        <f t="shared" si="1"/>
        <v>0</v>
      </c>
      <c r="F21" s="507">
        <f t="shared" si="2"/>
        <v>0</v>
      </c>
      <c r="G21" s="507">
        <f t="shared" si="3"/>
        <v>0</v>
      </c>
      <c r="H21" s="507">
        <f t="shared" si="0"/>
        <v>0</v>
      </c>
    </row>
    <row r="22" spans="1:8" ht="13.5" thickBot="1" x14ac:dyDescent="0.25">
      <c r="A22" s="527" t="s">
        <v>44</v>
      </c>
      <c r="B22" s="528">
        <f>B23+B45</f>
        <v>0</v>
      </c>
      <c r="C22" s="529">
        <f>C23+C45</f>
        <v>8250</v>
      </c>
      <c r="D22" s="529">
        <v>27840</v>
      </c>
      <c r="E22" s="507">
        <f t="shared" si="1"/>
        <v>0</v>
      </c>
      <c r="F22" s="507">
        <f t="shared" si="2"/>
        <v>4714.2857142857147</v>
      </c>
      <c r="G22" s="507">
        <f t="shared" si="3"/>
        <v>15908.571428571429</v>
      </c>
      <c r="H22" s="507">
        <f t="shared" si="0"/>
        <v>23.034388995042722</v>
      </c>
    </row>
    <row r="23" spans="1:8" ht="13.5" thickBot="1" x14ac:dyDescent="0.25">
      <c r="A23" s="530" t="s">
        <v>137</v>
      </c>
      <c r="B23" s="293">
        <f>B24+B31+B36+B38</f>
        <v>0</v>
      </c>
      <c r="C23" s="531">
        <f>C24+C31+C36+C38</f>
        <v>8250</v>
      </c>
      <c r="D23" s="511">
        <f t="shared" ref="D23:D28" si="5">C23+B23</f>
        <v>8250</v>
      </c>
      <c r="E23" s="507">
        <f t="shared" si="1"/>
        <v>0</v>
      </c>
      <c r="F23" s="507">
        <f t="shared" si="2"/>
        <v>4714.2857142857147</v>
      </c>
      <c r="G23" s="507">
        <f t="shared" si="3"/>
        <v>4714.2857142857147</v>
      </c>
      <c r="H23" s="507">
        <f t="shared" si="0"/>
        <v>6.8259234629706347</v>
      </c>
    </row>
    <row r="24" spans="1:8" ht="13.5" thickBot="1" x14ac:dyDescent="0.25">
      <c r="A24" s="530" t="s">
        <v>138</v>
      </c>
      <c r="B24" s="532">
        <f>'RESUMO R$'!C90</f>
        <v>0</v>
      </c>
      <c r="C24" s="518">
        <f>'RESUMO R$'!D90</f>
        <v>8250</v>
      </c>
      <c r="D24" s="511">
        <f t="shared" si="5"/>
        <v>8250</v>
      </c>
      <c r="E24" s="507">
        <f t="shared" si="1"/>
        <v>0</v>
      </c>
      <c r="F24" s="507">
        <f t="shared" si="2"/>
        <v>4714.2857142857147</v>
      </c>
      <c r="G24" s="507">
        <f t="shared" si="3"/>
        <v>4714.2857142857147</v>
      </c>
      <c r="H24" s="507">
        <f t="shared" si="0"/>
        <v>6.8259234629706347</v>
      </c>
    </row>
    <row r="25" spans="1:8" ht="13.5" thickBot="1" x14ac:dyDescent="0.25">
      <c r="A25" s="517" t="s">
        <v>139</v>
      </c>
      <c r="B25" s="533">
        <f>'RESUMO R$'!C97</f>
        <v>6600</v>
      </c>
      <c r="C25" s="518">
        <f>'RESUMO R$'!D97</f>
        <v>0</v>
      </c>
      <c r="D25" s="511">
        <f t="shared" si="5"/>
        <v>6600</v>
      </c>
      <c r="E25" s="507">
        <f t="shared" si="1"/>
        <v>3771.4285714285716</v>
      </c>
      <c r="F25" s="507">
        <f t="shared" si="2"/>
        <v>0</v>
      </c>
      <c r="G25" s="507">
        <f t="shared" si="3"/>
        <v>3771.4285714285716</v>
      </c>
      <c r="H25" s="507">
        <f t="shared" si="0"/>
        <v>5.4607387703765076</v>
      </c>
    </row>
    <row r="26" spans="1:8" ht="13.5" thickBot="1" x14ac:dyDescent="0.25">
      <c r="A26" s="517" t="s">
        <v>140</v>
      </c>
      <c r="B26" s="534">
        <f>'RESUMO R$'!C102</f>
        <v>0</v>
      </c>
      <c r="C26" s="535">
        <f>'RESUMO R$'!D103</f>
        <v>500</v>
      </c>
      <c r="D26" s="511">
        <f t="shared" si="5"/>
        <v>500</v>
      </c>
      <c r="E26" s="507">
        <f t="shared" si="1"/>
        <v>0</v>
      </c>
      <c r="F26" s="507">
        <f t="shared" si="2"/>
        <v>285.71428571428572</v>
      </c>
      <c r="G26" s="507">
        <f t="shared" si="3"/>
        <v>285.71428571428572</v>
      </c>
      <c r="H26" s="507">
        <f t="shared" si="0"/>
        <v>0.41369233108912934</v>
      </c>
    </row>
    <row r="27" spans="1:8" ht="13.5" thickBot="1" x14ac:dyDescent="0.25">
      <c r="A27" s="536" t="s">
        <v>58</v>
      </c>
      <c r="B27" s="533">
        <f>'RESUMO R$'!C104</f>
        <v>510</v>
      </c>
      <c r="C27" s="518">
        <f>'RESUMO R$'!D104</f>
        <v>0</v>
      </c>
      <c r="D27" s="511">
        <f t="shared" si="5"/>
        <v>510</v>
      </c>
      <c r="E27" s="507">
        <f t="shared" si="1"/>
        <v>291.42857142857144</v>
      </c>
      <c r="F27" s="507">
        <f t="shared" si="2"/>
        <v>0</v>
      </c>
      <c r="G27" s="507">
        <f t="shared" si="3"/>
        <v>291.42857142857144</v>
      </c>
      <c r="H27" s="507">
        <f t="shared" si="0"/>
        <v>0.42196617771091188</v>
      </c>
    </row>
    <row r="28" spans="1:8" ht="13.5" thickBot="1" x14ac:dyDescent="0.25">
      <c r="A28" s="517" t="s">
        <v>65</v>
      </c>
      <c r="B28" s="533">
        <f>'RESUMO R$'!C111</f>
        <v>3050</v>
      </c>
      <c r="C28" s="533">
        <f>'RESUMO R$'!D111</f>
        <v>8930</v>
      </c>
      <c r="D28" s="511">
        <f t="shared" si="5"/>
        <v>11980</v>
      </c>
      <c r="E28" s="507">
        <f t="shared" si="1"/>
        <v>1742.8571428571429</v>
      </c>
      <c r="F28" s="507">
        <f t="shared" si="2"/>
        <v>5102.8571428571431</v>
      </c>
      <c r="G28" s="507">
        <f t="shared" si="3"/>
        <v>6845.7142857142853</v>
      </c>
      <c r="H28" s="507">
        <f t="shared" si="0"/>
        <v>9.9120682528955388</v>
      </c>
    </row>
    <row r="29" spans="1:8" ht="13.5" thickBot="1" x14ac:dyDescent="0.25">
      <c r="A29" s="400" t="s">
        <v>106</v>
      </c>
      <c r="B29" s="402">
        <f>B22+B21+B10+B5</f>
        <v>30402.76743</v>
      </c>
      <c r="C29" s="402">
        <f>C22+C21+C10+C5</f>
        <v>90460</v>
      </c>
      <c r="D29" s="402">
        <f>C29+B29</f>
        <v>120862.76743000001</v>
      </c>
      <c r="E29" s="399">
        <f t="shared" si="1"/>
        <v>17373.009959999999</v>
      </c>
      <c r="F29" s="399">
        <f t="shared" si="2"/>
        <v>51691.428571428572</v>
      </c>
      <c r="G29" s="399">
        <f t="shared" si="3"/>
        <v>69064.438531428576</v>
      </c>
      <c r="H29" s="399">
        <f t="shared" si="0"/>
        <v>100</v>
      </c>
    </row>
    <row r="30" spans="1:8" ht="13.5" thickBot="1" x14ac:dyDescent="0.25">
      <c r="A30" s="401" t="s">
        <v>2</v>
      </c>
      <c r="B30" s="404">
        <v>1</v>
      </c>
      <c r="C30" s="405">
        <v>1.75</v>
      </c>
      <c r="D30" s="406"/>
      <c r="E30" s="406"/>
    </row>
    <row r="31" spans="1:8" x14ac:dyDescent="0.2">
      <c r="A31" s="403"/>
    </row>
  </sheetData>
  <mergeCells count="6">
    <mergeCell ref="A1:H1"/>
    <mergeCell ref="A2:H2"/>
    <mergeCell ref="A3:A4"/>
    <mergeCell ref="B3:D3"/>
    <mergeCell ref="E3:G3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99"/>
  <sheetViews>
    <sheetView workbookViewId="0">
      <selection activeCell="A98" sqref="A98"/>
    </sheetView>
  </sheetViews>
  <sheetFormatPr defaultRowHeight="12.75" x14ac:dyDescent="0.2"/>
  <cols>
    <col min="1" max="1" width="1.85546875" style="2" customWidth="1"/>
    <col min="2" max="2" width="15.140625" style="2" customWidth="1"/>
    <col min="3" max="3" width="13.5703125" style="3" hidden="1" customWidth="1"/>
    <col min="4" max="4" width="22.7109375" style="299" customWidth="1"/>
    <col min="5" max="5" width="8.42578125" style="313" bestFit="1" customWidth="1"/>
    <col min="6" max="6" width="10" style="313" customWidth="1"/>
    <col min="7" max="7" width="5.7109375" style="313" bestFit="1" customWidth="1"/>
    <col min="8" max="8" width="5.140625" style="314" bestFit="1" customWidth="1"/>
    <col min="9" max="9" width="3.5703125" style="314" bestFit="1" customWidth="1"/>
    <col min="10" max="10" width="4.28515625" style="314" bestFit="1" customWidth="1"/>
    <col min="11" max="11" width="9.140625" style="299" bestFit="1" customWidth="1"/>
    <col min="12" max="12" width="5.42578125" style="299" customWidth="1"/>
    <col min="13" max="14" width="4.28515625" style="299" bestFit="1" customWidth="1"/>
    <col min="15" max="15" width="8.42578125" style="924" bestFit="1" customWidth="1"/>
    <col min="16" max="17" width="5.28515625" style="299" customWidth="1"/>
    <col min="18" max="18" width="2.140625" style="299" bestFit="1" customWidth="1"/>
    <col min="19" max="20" width="2.140625" style="314" bestFit="1" customWidth="1"/>
    <col min="21" max="21" width="8.7109375" style="299" bestFit="1" customWidth="1"/>
    <col min="22" max="24" width="4.28515625" style="299" bestFit="1" customWidth="1"/>
    <col min="25" max="25" width="8.42578125" style="299" bestFit="1" customWidth="1"/>
    <col min="26" max="26" width="5.7109375" style="299" bestFit="1" customWidth="1"/>
    <col min="27" max="27" width="6" style="299" bestFit="1" customWidth="1"/>
    <col min="28" max="28" width="2.140625" style="299" bestFit="1" customWidth="1"/>
    <col min="29" max="30" width="2.140625" style="314" bestFit="1" customWidth="1"/>
    <col min="31" max="31" width="5" style="299" bestFit="1" customWidth="1"/>
    <col min="32" max="34" width="4.85546875" style="299" bestFit="1" customWidth="1"/>
    <col min="35" max="35" width="8.42578125" style="299" bestFit="1" customWidth="1"/>
    <col min="36" max="36" width="5.7109375" style="299" bestFit="1" customWidth="1"/>
    <col min="37" max="37" width="6.5703125" style="299" bestFit="1" customWidth="1"/>
    <col min="38" max="38" width="2.140625" style="299" bestFit="1" customWidth="1"/>
    <col min="39" max="40" width="2.140625" style="314" bestFit="1" customWidth="1"/>
    <col min="41" max="41" width="5" style="299" bestFit="1" customWidth="1"/>
    <col min="42" max="42" width="4.85546875" style="299" bestFit="1" customWidth="1"/>
    <col min="43" max="43" width="4.28515625" style="299" bestFit="1" customWidth="1"/>
    <col min="44" max="44" width="5" style="299" bestFit="1" customWidth="1"/>
    <col min="45" max="45" width="8.42578125" style="299" bestFit="1" customWidth="1"/>
    <col min="46" max="46" width="5.28515625" style="299" customWidth="1"/>
    <col min="47" max="47" width="6" style="299" bestFit="1" customWidth="1"/>
    <col min="48" max="48" width="2.140625" style="299" bestFit="1" customWidth="1"/>
    <col min="49" max="50" width="2.140625" style="314" bestFit="1" customWidth="1"/>
    <col min="51" max="51" width="5" style="299" bestFit="1" customWidth="1"/>
    <col min="52" max="53" width="4.28515625" style="299" bestFit="1" customWidth="1"/>
    <col min="54" max="54" width="3.140625" style="299" bestFit="1" customWidth="1"/>
    <col min="55" max="55" width="8.42578125" style="299" bestFit="1" customWidth="1"/>
    <col min="56" max="56" width="5.7109375" style="299" bestFit="1" customWidth="1"/>
    <col min="57" max="57" width="6" style="299" bestFit="1" customWidth="1"/>
    <col min="58" max="58" width="2.140625" style="299" bestFit="1" customWidth="1"/>
    <col min="59" max="60" width="2.140625" style="314" bestFit="1" customWidth="1"/>
    <col min="61" max="61" width="4.85546875" style="299" bestFit="1" customWidth="1"/>
    <col min="62" max="64" width="4.28515625" style="299" customWidth="1"/>
    <col min="65" max="65" width="8.42578125" style="299" bestFit="1" customWidth="1"/>
    <col min="66" max="67" width="5.28515625" style="299" customWidth="1"/>
    <col min="68" max="68" width="2.140625" style="299" bestFit="1" customWidth="1"/>
    <col min="69" max="70" width="2.140625" style="314" bestFit="1" customWidth="1"/>
    <col min="71" max="71" width="6" style="313" bestFit="1" customWidth="1"/>
    <col min="72" max="72" width="6.7109375" style="313" bestFit="1" customWidth="1"/>
    <col min="73" max="73" width="9.140625" style="313"/>
    <col min="74" max="16384" width="9.140625" style="2"/>
  </cols>
  <sheetData>
    <row r="1" spans="1:82" ht="16.5" customHeight="1" x14ac:dyDescent="0.2">
      <c r="B1" s="790" t="s">
        <v>81</v>
      </c>
      <c r="C1" s="791"/>
      <c r="D1" s="791"/>
      <c r="E1" s="791"/>
      <c r="F1" s="791"/>
      <c r="G1" s="791"/>
      <c r="H1" s="883"/>
      <c r="I1" s="883"/>
      <c r="J1" s="791"/>
      <c r="K1" s="791"/>
      <c r="L1" s="791"/>
      <c r="M1" s="791"/>
      <c r="N1" s="791"/>
      <c r="O1" s="907"/>
      <c r="P1" s="791"/>
      <c r="Q1" s="791"/>
      <c r="R1" s="791"/>
      <c r="S1" s="791"/>
      <c r="T1" s="791"/>
      <c r="U1" s="791"/>
      <c r="V1" s="791"/>
      <c r="W1" s="791"/>
      <c r="X1" s="791"/>
      <c r="Y1" s="791"/>
      <c r="Z1" s="791"/>
      <c r="AA1" s="791"/>
      <c r="AB1" s="791"/>
      <c r="AC1" s="791"/>
      <c r="AD1" s="791"/>
      <c r="AE1" s="791"/>
      <c r="AF1" s="791"/>
      <c r="AG1" s="791"/>
      <c r="AH1" s="791"/>
      <c r="AI1" s="791"/>
      <c r="AJ1" s="791"/>
      <c r="AK1" s="791"/>
      <c r="AL1" s="791"/>
      <c r="AM1" s="791"/>
      <c r="AN1" s="791"/>
      <c r="AO1" s="791"/>
      <c r="AP1" s="791"/>
      <c r="AQ1" s="791"/>
      <c r="AR1" s="791"/>
      <c r="AS1" s="791"/>
      <c r="AT1" s="791"/>
      <c r="AU1" s="791"/>
      <c r="AV1" s="791"/>
      <c r="AW1" s="791"/>
      <c r="AX1" s="791"/>
      <c r="AY1" s="791"/>
      <c r="AZ1" s="791"/>
      <c r="BA1" s="791"/>
      <c r="BB1" s="791"/>
      <c r="BC1" s="791"/>
      <c r="BD1" s="791"/>
      <c r="BE1" s="791"/>
      <c r="BF1" s="791"/>
      <c r="BG1" s="791"/>
      <c r="BH1" s="791"/>
      <c r="BI1" s="791"/>
      <c r="BJ1" s="791"/>
      <c r="BK1" s="791"/>
      <c r="BL1" s="791"/>
      <c r="BM1" s="791"/>
      <c r="BN1" s="791"/>
      <c r="BO1" s="791"/>
      <c r="BP1" s="791"/>
      <c r="BQ1" s="791"/>
      <c r="BR1" s="791"/>
      <c r="BS1" s="791"/>
    </row>
    <row r="2" spans="1:82" ht="21" thickBot="1" x14ac:dyDescent="0.25">
      <c r="B2" s="724" t="s">
        <v>166</v>
      </c>
      <c r="C2" s="725"/>
      <c r="D2" s="725"/>
      <c r="E2" s="725"/>
      <c r="F2" s="725"/>
      <c r="G2" s="725"/>
      <c r="H2" s="884"/>
      <c r="I2" s="884"/>
      <c r="J2" s="725"/>
      <c r="K2" s="725"/>
      <c r="L2" s="725"/>
      <c r="M2" s="725"/>
      <c r="N2" s="725"/>
      <c r="O2" s="908"/>
      <c r="P2" s="725"/>
      <c r="Q2" s="725"/>
      <c r="R2" s="826"/>
      <c r="S2" s="725"/>
      <c r="T2" s="725"/>
      <c r="U2" s="725"/>
      <c r="V2" s="725"/>
      <c r="W2" s="725"/>
      <c r="X2" s="725"/>
      <c r="Y2" s="725"/>
      <c r="Z2" s="725"/>
      <c r="AA2" s="725"/>
      <c r="AB2" s="826"/>
      <c r="AC2" s="725"/>
      <c r="AD2" s="725"/>
      <c r="AE2" s="725"/>
      <c r="AF2" s="725"/>
      <c r="AG2" s="725"/>
      <c r="AH2" s="725"/>
      <c r="AI2" s="725"/>
      <c r="AJ2" s="725"/>
      <c r="AK2" s="725"/>
      <c r="AL2" s="826"/>
      <c r="AM2" s="725"/>
      <c r="AN2" s="725"/>
      <c r="AO2" s="725"/>
      <c r="AP2" s="725"/>
      <c r="AQ2" s="725"/>
      <c r="AR2" s="725"/>
      <c r="AS2" s="725"/>
      <c r="AT2" s="725"/>
      <c r="AU2" s="725"/>
      <c r="AV2" s="826"/>
      <c r="AW2" s="725"/>
      <c r="AX2" s="725"/>
      <c r="AY2" s="725"/>
      <c r="AZ2" s="725"/>
      <c r="BA2" s="725"/>
      <c r="BB2" s="725"/>
      <c r="BC2" s="725"/>
      <c r="BD2" s="725"/>
      <c r="BE2" s="725"/>
      <c r="BF2" s="826"/>
      <c r="BG2" s="725"/>
      <c r="BH2" s="725"/>
      <c r="BI2" s="725"/>
      <c r="BJ2" s="725"/>
      <c r="BK2" s="725"/>
      <c r="BL2" s="725"/>
      <c r="BM2" s="725"/>
      <c r="BN2" s="725"/>
      <c r="BO2" s="725"/>
      <c r="BP2" s="826"/>
      <c r="BQ2" s="725"/>
      <c r="BR2" s="725"/>
      <c r="BS2" s="725"/>
      <c r="BT2" s="315">
        <f>SUM(B2:AP2)</f>
        <v>0</v>
      </c>
    </row>
    <row r="3" spans="1:82" s="6" customFormat="1" ht="20.100000000000001" customHeight="1" thickBot="1" x14ac:dyDescent="0.25">
      <c r="B3" s="1164"/>
      <c r="C3" s="1164"/>
      <c r="D3" s="1164"/>
      <c r="E3" s="1164"/>
      <c r="F3" s="1164"/>
      <c r="G3" s="1290"/>
      <c r="H3" s="822" t="s">
        <v>2</v>
      </c>
      <c r="I3" s="1215" t="s">
        <v>2</v>
      </c>
      <c r="J3" s="1215" t="s">
        <v>2</v>
      </c>
      <c r="K3" s="1287" t="s">
        <v>76</v>
      </c>
      <c r="L3" s="1288"/>
      <c r="M3" s="1288"/>
      <c r="N3" s="1288"/>
      <c r="O3" s="1288"/>
      <c r="P3" s="1288"/>
      <c r="Q3" s="1288"/>
      <c r="R3" s="1288"/>
      <c r="S3" s="1288"/>
      <c r="T3" s="1289"/>
      <c r="U3" s="1284" t="s">
        <v>77</v>
      </c>
      <c r="V3" s="1285"/>
      <c r="W3" s="1285"/>
      <c r="X3" s="1285"/>
      <c r="Y3" s="1285"/>
      <c r="Z3" s="1285"/>
      <c r="AA3" s="1285"/>
      <c r="AB3" s="1285"/>
      <c r="AC3" s="1285"/>
      <c r="AD3" s="1286"/>
      <c r="AE3" s="1284" t="s">
        <v>71</v>
      </c>
      <c r="AF3" s="1285"/>
      <c r="AG3" s="1285"/>
      <c r="AH3" s="1285"/>
      <c r="AI3" s="1285"/>
      <c r="AJ3" s="1285"/>
      <c r="AK3" s="1285"/>
      <c r="AL3" s="1285"/>
      <c r="AM3" s="1285"/>
      <c r="AN3" s="1286"/>
      <c r="AO3" s="1284" t="s">
        <v>78</v>
      </c>
      <c r="AP3" s="1285"/>
      <c r="AQ3" s="1285"/>
      <c r="AR3" s="1285"/>
      <c r="AS3" s="1285"/>
      <c r="AT3" s="1285"/>
      <c r="AU3" s="1285"/>
      <c r="AV3" s="1285"/>
      <c r="AW3" s="1285"/>
      <c r="AX3" s="1286"/>
      <c r="AY3" s="1284" t="s">
        <v>79</v>
      </c>
      <c r="AZ3" s="1285"/>
      <c r="BA3" s="1285"/>
      <c r="BB3" s="1285"/>
      <c r="BC3" s="1285"/>
      <c r="BD3" s="1285"/>
      <c r="BE3" s="1285"/>
      <c r="BF3" s="1285"/>
      <c r="BG3" s="1285"/>
      <c r="BH3" s="1286"/>
      <c r="BI3" s="1284" t="s">
        <v>174</v>
      </c>
      <c r="BJ3" s="1285"/>
      <c r="BK3" s="1285"/>
      <c r="BL3" s="1285"/>
      <c r="BM3" s="1285"/>
      <c r="BN3" s="1285"/>
      <c r="BO3" s="1285"/>
      <c r="BP3" s="1285"/>
      <c r="BQ3" s="1285"/>
      <c r="BR3" s="1286"/>
      <c r="BS3" s="1204" t="s">
        <v>0</v>
      </c>
      <c r="BT3" s="315">
        <f>SUM(K3:BL3)</f>
        <v>0</v>
      </c>
      <c r="BU3" s="315"/>
    </row>
    <row r="4" spans="1:82" s="6" customFormat="1" ht="20.100000000000001" customHeight="1" thickBot="1" x14ac:dyDescent="0.25">
      <c r="B4" s="1297" t="s">
        <v>13</v>
      </c>
      <c r="C4" s="1298"/>
      <c r="D4" s="1298"/>
      <c r="E4" s="829" t="s">
        <v>92</v>
      </c>
      <c r="F4" s="861" t="s">
        <v>3</v>
      </c>
      <c r="G4" s="830" t="s">
        <v>12</v>
      </c>
      <c r="H4" s="320"/>
      <c r="I4" s="1291"/>
      <c r="J4" s="1291"/>
      <c r="K4" s="862" t="s">
        <v>11</v>
      </c>
      <c r="L4" s="862" t="s">
        <v>10</v>
      </c>
      <c r="M4" s="862" t="s">
        <v>9</v>
      </c>
      <c r="N4" s="862" t="s">
        <v>8</v>
      </c>
      <c r="O4" s="906" t="s">
        <v>92</v>
      </c>
      <c r="P4" s="905" t="s">
        <v>3</v>
      </c>
      <c r="Q4" s="904" t="s">
        <v>12</v>
      </c>
      <c r="R4" s="831" t="s">
        <v>2</v>
      </c>
      <c r="S4" s="832" t="s">
        <v>2</v>
      </c>
      <c r="T4" s="832" t="s">
        <v>2</v>
      </c>
      <c r="U4" s="862" t="s">
        <v>11</v>
      </c>
      <c r="V4" s="862" t="s">
        <v>10</v>
      </c>
      <c r="W4" s="862" t="s">
        <v>9</v>
      </c>
      <c r="X4" s="862" t="s">
        <v>8</v>
      </c>
      <c r="Y4" s="829" t="s">
        <v>92</v>
      </c>
      <c r="Z4" s="861" t="s">
        <v>3</v>
      </c>
      <c r="AA4" s="830" t="s">
        <v>12</v>
      </c>
      <c r="AB4" s="831" t="s">
        <v>2</v>
      </c>
      <c r="AC4" s="832" t="s">
        <v>2</v>
      </c>
      <c r="AD4" s="832" t="s">
        <v>2</v>
      </c>
      <c r="AE4" s="862" t="s">
        <v>11</v>
      </c>
      <c r="AF4" s="862" t="s">
        <v>10</v>
      </c>
      <c r="AG4" s="862" t="s">
        <v>9</v>
      </c>
      <c r="AH4" s="862" t="s">
        <v>8</v>
      </c>
      <c r="AI4" s="829" t="s">
        <v>92</v>
      </c>
      <c r="AJ4" s="861" t="s">
        <v>3</v>
      </c>
      <c r="AK4" s="830" t="s">
        <v>12</v>
      </c>
      <c r="AL4" s="831" t="s">
        <v>2</v>
      </c>
      <c r="AM4" s="832" t="s">
        <v>2</v>
      </c>
      <c r="AN4" s="832" t="s">
        <v>2</v>
      </c>
      <c r="AO4" s="862" t="s">
        <v>11</v>
      </c>
      <c r="AP4" s="862" t="s">
        <v>10</v>
      </c>
      <c r="AQ4" s="862" t="s">
        <v>9</v>
      </c>
      <c r="AR4" s="862" t="s">
        <v>8</v>
      </c>
      <c r="AS4" s="829" t="s">
        <v>92</v>
      </c>
      <c r="AT4" s="861" t="s">
        <v>3</v>
      </c>
      <c r="AU4" s="830" t="s">
        <v>12</v>
      </c>
      <c r="AV4" s="831" t="s">
        <v>2</v>
      </c>
      <c r="AW4" s="832" t="s">
        <v>2</v>
      </c>
      <c r="AX4" s="832" t="s">
        <v>2</v>
      </c>
      <c r="AY4" s="862" t="s">
        <v>11</v>
      </c>
      <c r="AZ4" s="862" t="s">
        <v>10</v>
      </c>
      <c r="BA4" s="862" t="s">
        <v>9</v>
      </c>
      <c r="BB4" s="862" t="s">
        <v>8</v>
      </c>
      <c r="BC4" s="829" t="s">
        <v>92</v>
      </c>
      <c r="BD4" s="861" t="s">
        <v>3</v>
      </c>
      <c r="BE4" s="830" t="s">
        <v>12</v>
      </c>
      <c r="BF4" s="831" t="s">
        <v>2</v>
      </c>
      <c r="BG4" s="832" t="s">
        <v>2</v>
      </c>
      <c r="BH4" s="832" t="s">
        <v>2</v>
      </c>
      <c r="BI4" s="862" t="s">
        <v>11</v>
      </c>
      <c r="BJ4" s="862" t="s">
        <v>10</v>
      </c>
      <c r="BK4" s="862" t="s">
        <v>9</v>
      </c>
      <c r="BL4" s="862" t="s">
        <v>8</v>
      </c>
      <c r="BM4" s="829" t="s">
        <v>92</v>
      </c>
      <c r="BN4" s="861" t="s">
        <v>3</v>
      </c>
      <c r="BO4" s="830" t="s">
        <v>12</v>
      </c>
      <c r="BP4" s="831" t="s">
        <v>2</v>
      </c>
      <c r="BQ4" s="832" t="s">
        <v>2</v>
      </c>
      <c r="BR4" s="832" t="s">
        <v>2</v>
      </c>
      <c r="BS4" s="1296"/>
      <c r="BT4" s="315">
        <f>SUM(K4:BL4)</f>
        <v>0</v>
      </c>
      <c r="BU4" s="315"/>
      <c r="BV4" s="6" t="e">
        <f>BM4+BC4+AS4+AI4+Y4+O4</f>
        <v>#VALUE!</v>
      </c>
    </row>
    <row r="5" spans="1:82" s="6" customFormat="1" ht="24.95" customHeight="1" thickBot="1" x14ac:dyDescent="0.25">
      <c r="B5" s="863" t="s">
        <v>193</v>
      </c>
      <c r="C5" s="864"/>
      <c r="D5" s="865"/>
      <c r="E5" s="866">
        <f>SUM(E6:E11)</f>
        <v>4871</v>
      </c>
      <c r="F5" s="866">
        <f>SUM(F6:F11)</f>
        <v>18368</v>
      </c>
      <c r="G5" s="866">
        <f>SUM(G6:G11)</f>
        <v>23239</v>
      </c>
      <c r="H5" s="882">
        <f t="shared" ref="H5:H31" si="0">E5/$F$82*100</f>
        <v>2.6102147224469894</v>
      </c>
      <c r="I5" s="882">
        <f t="shared" ref="I5:I31" si="1">F5/$F$82*100</f>
        <v>9.8428298135714023</v>
      </c>
      <c r="J5" s="866">
        <f t="shared" ref="J5:J31" si="2">G5/$F$82*100</f>
        <v>12.453044536018391</v>
      </c>
      <c r="K5" s="866">
        <f>SUM(K6:K11)</f>
        <v>3371</v>
      </c>
      <c r="L5" s="866">
        <f>SUM(L6:L11)</f>
        <v>0</v>
      </c>
      <c r="M5" s="866">
        <f>SUM(M6:M11)</f>
        <v>630</v>
      </c>
      <c r="N5" s="885">
        <f>SUM(N6:N11)</f>
        <v>747.22222222222217</v>
      </c>
      <c r="O5" s="384">
        <f>O11+O6+O7+O8+O9+O10</f>
        <v>4371</v>
      </c>
      <c r="P5" s="925">
        <f>P11+P6+P7+P8+P9+P10</f>
        <v>377</v>
      </c>
      <c r="Q5" s="876">
        <f>Q11+Q6+Q7+Q8+Q9+Q10</f>
        <v>4748</v>
      </c>
      <c r="R5" s="901">
        <f t="shared" ref="R5:R32" si="3">O5/$F$82*100</f>
        <v>2.3422805485148408</v>
      </c>
      <c r="S5" s="901">
        <f t="shared" ref="S5:S32" si="4">P5/$F$82*100</f>
        <v>0.20202236714483984</v>
      </c>
      <c r="T5" s="901">
        <f t="shared" ref="T5:T32" si="5">Q5/$F$82*100</f>
        <v>2.5443029156596806</v>
      </c>
      <c r="U5" s="866">
        <f t="shared" ref="U5:AA5" si="6">SUM(U6:U11)</f>
        <v>697</v>
      </c>
      <c r="V5" s="866">
        <f t="shared" si="6"/>
        <v>1697</v>
      </c>
      <c r="W5" s="866">
        <f t="shared" si="6"/>
        <v>807</v>
      </c>
      <c r="X5" s="866">
        <f t="shared" si="6"/>
        <v>697</v>
      </c>
      <c r="Y5" s="866">
        <f t="shared" si="6"/>
        <v>500</v>
      </c>
      <c r="Z5" s="866">
        <f t="shared" si="6"/>
        <v>3398</v>
      </c>
      <c r="AA5" s="866">
        <f t="shared" si="6"/>
        <v>3898</v>
      </c>
      <c r="AB5" s="866">
        <f>AB11+AB6+AB7+AB8+AB9+AB10</f>
        <v>0.27231229530749052</v>
      </c>
      <c r="AC5" s="866">
        <f>AC11+AC6+AC7+AC8+AC9+AC10</f>
        <v>1.8506343589097054</v>
      </c>
      <c r="AD5" s="866">
        <f>AD11+AD6+AD7+AD8+AD9+AD10</f>
        <v>2.1229466542171962</v>
      </c>
      <c r="AE5" s="866">
        <f t="shared" ref="AE5:AK5" si="7">SUM(AE6:AE11)</f>
        <v>697</v>
      </c>
      <c r="AF5" s="866">
        <f t="shared" si="7"/>
        <v>697</v>
      </c>
      <c r="AG5" s="866">
        <f t="shared" si="7"/>
        <v>697</v>
      </c>
      <c r="AH5" s="866">
        <f t="shared" si="7"/>
        <v>3197</v>
      </c>
      <c r="AI5" s="866">
        <f t="shared" si="7"/>
        <v>0</v>
      </c>
      <c r="AJ5" s="866">
        <f t="shared" si="7"/>
        <v>5289</v>
      </c>
      <c r="AK5" s="866">
        <f t="shared" si="7"/>
        <v>5289</v>
      </c>
      <c r="AL5" s="866">
        <f>AL11+AL6+AL7+AL8+AL9+AL10</f>
        <v>0</v>
      </c>
      <c r="AM5" s="866">
        <f>AM11+AM6+AM7+AM8+AM9+AM10</f>
        <v>2.8805194597626347</v>
      </c>
      <c r="AN5" s="866">
        <f>AN11+AN6+AN7+AN8+AN9+AN10</f>
        <v>2.8805194597626347</v>
      </c>
      <c r="AO5" s="866">
        <f t="shared" ref="AO5:AU5" si="8">SUM(AO6:AO11)</f>
        <v>894.5</v>
      </c>
      <c r="AP5" s="866">
        <f t="shared" si="8"/>
        <v>697</v>
      </c>
      <c r="AQ5" s="866">
        <f t="shared" si="8"/>
        <v>697</v>
      </c>
      <c r="AR5" s="866">
        <f t="shared" si="8"/>
        <v>1697</v>
      </c>
      <c r="AS5" s="866">
        <f t="shared" si="8"/>
        <v>0</v>
      </c>
      <c r="AT5" s="866">
        <f t="shared" si="8"/>
        <v>3987</v>
      </c>
      <c r="AU5" s="866">
        <f t="shared" si="8"/>
        <v>3987</v>
      </c>
      <c r="AV5" s="866">
        <f>AV11+AV6+AV7+AV8+AV9+AV10</f>
        <v>0</v>
      </c>
      <c r="AW5" s="866">
        <f>AW11+AW6+AW7+AW8+AW9+AW10</f>
        <v>2.1714182427819293</v>
      </c>
      <c r="AX5" s="866">
        <f>AX11+AX6+AX7+AX8+AX9+AX10</f>
        <v>2.1714182427819293</v>
      </c>
      <c r="AY5" s="866">
        <f t="shared" ref="AY5:BE5" si="9">SUM(AY6:AY11)</f>
        <v>807</v>
      </c>
      <c r="AZ5" s="866">
        <f t="shared" si="9"/>
        <v>697</v>
      </c>
      <c r="BA5" s="866">
        <f t="shared" si="9"/>
        <v>697</v>
      </c>
      <c r="BB5" s="866">
        <f t="shared" si="9"/>
        <v>1067</v>
      </c>
      <c r="BC5" s="866">
        <f t="shared" si="9"/>
        <v>0</v>
      </c>
      <c r="BD5" s="866">
        <f t="shared" si="9"/>
        <v>3269</v>
      </c>
      <c r="BE5" s="866">
        <f t="shared" si="9"/>
        <v>3269</v>
      </c>
      <c r="BF5" s="866">
        <f>BF11+BF6+BF7+BF8+BF9+BF10</f>
        <v>0</v>
      </c>
      <c r="BG5" s="866">
        <f>BG11+BG6+BG7+BG8+BG9+BG10</f>
        <v>1.7803777867203732</v>
      </c>
      <c r="BH5" s="866">
        <f>BH11+BH6+BH7+BH8+BH9+BH10</f>
        <v>1.7803777867203732</v>
      </c>
      <c r="BI5" s="866">
        <f t="shared" ref="BI5:BO5" si="10">SUM(BI6:BI11)</f>
        <v>698</v>
      </c>
      <c r="BJ5" s="866">
        <f t="shared" si="10"/>
        <v>450</v>
      </c>
      <c r="BK5" s="866">
        <f t="shared" si="10"/>
        <v>450</v>
      </c>
      <c r="BL5" s="866">
        <f t="shared" si="10"/>
        <v>450</v>
      </c>
      <c r="BM5" s="866">
        <f t="shared" si="10"/>
        <v>0</v>
      </c>
      <c r="BN5" s="866">
        <f t="shared" si="10"/>
        <v>2048</v>
      </c>
      <c r="BO5" s="866">
        <f t="shared" si="10"/>
        <v>2048</v>
      </c>
      <c r="BP5" s="866">
        <f>BP11+BP6+BP7+BP8+BP9+BP10</f>
        <v>0</v>
      </c>
      <c r="BQ5" s="866">
        <f>BQ11+BQ6+BQ7+BQ8+BQ9+BQ10</f>
        <v>1.1153911615794811</v>
      </c>
      <c r="BR5" s="866">
        <f>BR11+BR6+BR7+BR8+BR9+BR10</f>
        <v>1.1153911615794811</v>
      </c>
      <c r="BS5" s="866">
        <f>BS11+BS6+BS7+BS8+BS9+BS10</f>
        <v>65640.721352340493</v>
      </c>
      <c r="BT5" s="866" t="e">
        <f>BT11+BT6+BT7+BT8+BT9+BT10</f>
        <v>#REF!</v>
      </c>
      <c r="BU5" s="315"/>
      <c r="BV5" s="6">
        <f t="shared" ref="BV5:BV29" si="11">BM5+BC5+AS5+AI5+Y5+O5</f>
        <v>4871</v>
      </c>
      <c r="BW5" s="6">
        <f>BN5+BD5+AT5+AJ5+Z5+P5</f>
        <v>18368</v>
      </c>
      <c r="BX5" s="6">
        <f>BO5+BE5+AU5+AK5+AA5+Q5</f>
        <v>23239</v>
      </c>
      <c r="BY5" s="6">
        <f>E5-BV5</f>
        <v>0</v>
      </c>
      <c r="BZ5" s="6">
        <f>F5-BW5</f>
        <v>0</v>
      </c>
      <c r="CA5" s="6">
        <f>G5-BX5</f>
        <v>0</v>
      </c>
    </row>
    <row r="6" spans="1:82" s="6" customFormat="1" ht="13.5" thickBot="1" x14ac:dyDescent="0.25">
      <c r="B6" s="752" t="s">
        <v>160</v>
      </c>
      <c r="C6" s="753"/>
      <c r="D6" s="753"/>
      <c r="E6" s="384">
        <v>4371</v>
      </c>
      <c r="F6" s="587">
        <v>9000</v>
      </c>
      <c r="G6" s="417">
        <v>13371</v>
      </c>
      <c r="H6" s="882">
        <f t="shared" si="0"/>
        <v>2.3422805485148408</v>
      </c>
      <c r="I6" s="882">
        <f t="shared" si="1"/>
        <v>4.82281513077867</v>
      </c>
      <c r="J6" s="882">
        <f t="shared" si="2"/>
        <v>7.1650956792935112</v>
      </c>
      <c r="K6" s="867">
        <v>3371</v>
      </c>
      <c r="L6" s="867"/>
      <c r="M6" s="867">
        <v>500</v>
      </c>
      <c r="N6" s="870">
        <v>500</v>
      </c>
      <c r="O6" s="369">
        <v>4371</v>
      </c>
      <c r="P6" s="925"/>
      <c r="Q6" s="927">
        <f t="shared" ref="Q6:Q30" si="12">P6+O6</f>
        <v>4371</v>
      </c>
      <c r="R6" s="901">
        <f t="shared" si="3"/>
        <v>2.3422805485148408</v>
      </c>
      <c r="S6" s="901">
        <f t="shared" si="4"/>
        <v>0</v>
      </c>
      <c r="T6" s="901">
        <f t="shared" si="5"/>
        <v>2.3422805485148408</v>
      </c>
      <c r="U6" s="867">
        <v>450</v>
      </c>
      <c r="V6" s="867">
        <v>450</v>
      </c>
      <c r="W6" s="867">
        <v>450</v>
      </c>
      <c r="X6" s="867">
        <v>450</v>
      </c>
      <c r="Y6" s="873"/>
      <c r="Z6" s="874">
        <v>1800</v>
      </c>
      <c r="AA6" s="876">
        <f t="shared" ref="AA6:AA30" si="13">Z6+Y6</f>
        <v>1800</v>
      </c>
      <c r="AB6" s="865">
        <f t="shared" ref="AB6:AB47" si="14">Y6/$G$81*100</f>
        <v>0</v>
      </c>
      <c r="AC6" s="865">
        <f t="shared" ref="AC6:AC47" si="15">Z6/$G$81*100</f>
        <v>0.98032426310696585</v>
      </c>
      <c r="AD6" s="865">
        <f t="shared" ref="AD6:AD47" si="16">AA6/$G$81*100</f>
        <v>0.98032426310696585</v>
      </c>
      <c r="AE6" s="867">
        <v>450</v>
      </c>
      <c r="AF6" s="867">
        <v>450</v>
      </c>
      <c r="AG6" s="867">
        <v>450</v>
      </c>
      <c r="AH6" s="867">
        <v>450</v>
      </c>
      <c r="AI6" s="873"/>
      <c r="AJ6" s="871">
        <v>1800</v>
      </c>
      <c r="AK6" s="871">
        <f t="shared" ref="AK6:AK30" si="17">AJ6+AI6</f>
        <v>1800</v>
      </c>
      <c r="AL6" s="865">
        <f t="shared" ref="AL6:AL47" si="18">AI6/$G$81*100</f>
        <v>0</v>
      </c>
      <c r="AM6" s="865">
        <f t="shared" ref="AM6:AM47" si="19">AJ6/$G$81*100</f>
        <v>0.98032426310696585</v>
      </c>
      <c r="AN6" s="865">
        <f t="shared" ref="AN6:AN47" si="20">AK6/$G$81*100</f>
        <v>0.98032426310696585</v>
      </c>
      <c r="AO6" s="867">
        <v>450</v>
      </c>
      <c r="AP6" s="867">
        <v>450</v>
      </c>
      <c r="AQ6" s="867">
        <v>450</v>
      </c>
      <c r="AR6" s="867">
        <v>450</v>
      </c>
      <c r="AS6" s="871"/>
      <c r="AT6" s="871">
        <v>1800</v>
      </c>
      <c r="AU6" s="871">
        <f t="shared" ref="AU6:AU30" si="21">AT6+AS6</f>
        <v>1800</v>
      </c>
      <c r="AV6" s="865">
        <f t="shared" ref="AV6:AV47" si="22">AS6/$G$81*100</f>
        <v>0</v>
      </c>
      <c r="AW6" s="865">
        <f t="shared" ref="AW6:AW47" si="23">AT6/$G$81*100</f>
        <v>0.98032426310696585</v>
      </c>
      <c r="AX6" s="865">
        <f t="shared" ref="AX6:AX47" si="24">AU6/$G$81*100</f>
        <v>0.98032426310696585</v>
      </c>
      <c r="AY6" s="867">
        <v>450</v>
      </c>
      <c r="AZ6" s="867">
        <v>450</v>
      </c>
      <c r="BA6" s="867">
        <v>450</v>
      </c>
      <c r="BB6" s="867">
        <v>450</v>
      </c>
      <c r="BC6" s="871"/>
      <c r="BD6" s="871">
        <v>1800</v>
      </c>
      <c r="BE6" s="871">
        <f t="shared" ref="BE6:BE30" si="25">BD6+BC6</f>
        <v>1800</v>
      </c>
      <c r="BF6" s="865">
        <f t="shared" ref="BF6:BF47" si="26">BC6/$G$81*100</f>
        <v>0</v>
      </c>
      <c r="BG6" s="865">
        <f t="shared" ref="BG6:BG47" si="27">BD6/$G$81*100</f>
        <v>0.98032426310696585</v>
      </c>
      <c r="BH6" s="865">
        <f t="shared" ref="BH6:BH47" si="28">BE6/$G$81*100</f>
        <v>0.98032426310696585</v>
      </c>
      <c r="BI6" s="867">
        <v>450</v>
      </c>
      <c r="BJ6" s="867">
        <v>450</v>
      </c>
      <c r="BK6" s="867">
        <v>450</v>
      </c>
      <c r="BL6" s="867">
        <v>450</v>
      </c>
      <c r="BM6" s="865"/>
      <c r="BN6" s="865">
        <v>1800</v>
      </c>
      <c r="BO6" s="865">
        <f t="shared" ref="BO6:BO30" si="29">BN6+BM6</f>
        <v>1800</v>
      </c>
      <c r="BP6" s="865">
        <f t="shared" ref="BP6:BP47" si="30">BM6/$G$81*100</f>
        <v>0</v>
      </c>
      <c r="BQ6" s="865">
        <f t="shared" ref="BQ6:BQ47" si="31">BN6/$G$81*100</f>
        <v>0.98032426310696585</v>
      </c>
      <c r="BR6" s="865">
        <f t="shared" ref="BR6:BR47" si="32">BO6/$G$81*100</f>
        <v>0.98032426310696585</v>
      </c>
      <c r="BS6" s="865">
        <f t="shared" ref="BS6:BS12" si="33">SUM(K6:BL6)</f>
        <v>36525.527155201882</v>
      </c>
      <c r="BT6" s="865">
        <f>BS6-G6</f>
        <v>23154.527155201882</v>
      </c>
      <c r="BU6" s="865"/>
      <c r="BV6" s="6">
        <f t="shared" si="11"/>
        <v>4371</v>
      </c>
      <c r="BW6" s="6">
        <f t="shared" ref="BW6:BW29" si="34">BN6+BD6+AT6+AJ6+Z6+P6</f>
        <v>9000</v>
      </c>
      <c r="BX6" s="6">
        <f t="shared" ref="BX6:BX29" si="35">BO6+BE6+AU6+AK6+AA6+Q6</f>
        <v>13371</v>
      </c>
      <c r="BY6" s="6">
        <f t="shared" ref="BY6:BY69" si="36">E6-BV6</f>
        <v>0</v>
      </c>
      <c r="BZ6" s="6">
        <f t="shared" ref="BZ6:BZ69" si="37">F6-BW6</f>
        <v>0</v>
      </c>
      <c r="CA6" s="6">
        <f t="shared" ref="CA6:CA69" si="38">G6-BX6</f>
        <v>0</v>
      </c>
      <c r="CB6" s="865"/>
      <c r="CC6" s="865"/>
    </row>
    <row r="7" spans="1:82" ht="13.5" thickBot="1" x14ac:dyDescent="0.25">
      <c r="B7" s="752" t="s">
        <v>99</v>
      </c>
      <c r="C7" s="751"/>
      <c r="D7" s="865"/>
      <c r="E7" s="588"/>
      <c r="F7" s="589">
        <v>438</v>
      </c>
      <c r="G7" s="590">
        <v>438</v>
      </c>
      <c r="H7" s="882">
        <f t="shared" si="0"/>
        <v>0</v>
      </c>
      <c r="I7" s="882">
        <f t="shared" si="1"/>
        <v>0.23471033636456193</v>
      </c>
      <c r="J7" s="882">
        <f t="shared" si="2"/>
        <v>0.23471033636456193</v>
      </c>
      <c r="K7" s="327"/>
      <c r="L7" s="328"/>
      <c r="M7" s="328"/>
      <c r="N7" s="886"/>
      <c r="O7" s="369"/>
      <c r="P7" s="925"/>
      <c r="Q7" s="927">
        <f t="shared" si="12"/>
        <v>0</v>
      </c>
      <c r="R7" s="901">
        <f t="shared" si="3"/>
        <v>0</v>
      </c>
      <c r="S7" s="901">
        <f t="shared" si="4"/>
        <v>0</v>
      </c>
      <c r="T7" s="901">
        <f t="shared" si="5"/>
        <v>0</v>
      </c>
      <c r="U7" s="2"/>
      <c r="V7" s="2"/>
      <c r="W7" s="455">
        <v>110</v>
      </c>
      <c r="X7" s="328"/>
      <c r="Y7" s="872"/>
      <c r="Z7" s="861">
        <v>110</v>
      </c>
      <c r="AA7" s="875">
        <f t="shared" si="13"/>
        <v>110</v>
      </c>
      <c r="AB7" s="865">
        <f t="shared" si="14"/>
        <v>0</v>
      </c>
      <c r="AC7" s="865">
        <f t="shared" si="15"/>
        <v>5.990870496764792E-2</v>
      </c>
      <c r="AD7" s="865">
        <f t="shared" si="16"/>
        <v>5.990870496764792E-2</v>
      </c>
      <c r="AE7" s="322"/>
      <c r="AF7" s="322"/>
      <c r="AG7" s="322"/>
      <c r="AH7" s="328"/>
      <c r="AI7" s="872"/>
      <c r="AJ7" s="586"/>
      <c r="AK7" s="586">
        <f t="shared" si="17"/>
        <v>0</v>
      </c>
      <c r="AL7" s="865">
        <f t="shared" si="18"/>
        <v>0</v>
      </c>
      <c r="AM7" s="865">
        <f t="shared" si="19"/>
        <v>0</v>
      </c>
      <c r="AN7" s="865">
        <f t="shared" si="20"/>
        <v>0</v>
      </c>
      <c r="AO7" s="455">
        <f>438/4</f>
        <v>109.5</v>
      </c>
      <c r="AP7" s="328"/>
      <c r="AQ7" s="322"/>
      <c r="AR7" s="328"/>
      <c r="AS7" s="586"/>
      <c r="AT7" s="586">
        <v>110</v>
      </c>
      <c r="AU7" s="586">
        <f t="shared" si="21"/>
        <v>110</v>
      </c>
      <c r="AV7" s="865">
        <f t="shared" si="22"/>
        <v>0</v>
      </c>
      <c r="AW7" s="865">
        <f t="shared" si="23"/>
        <v>5.990870496764792E-2</v>
      </c>
      <c r="AX7" s="865">
        <f t="shared" si="24"/>
        <v>5.990870496764792E-2</v>
      </c>
      <c r="AY7" s="455">
        <v>110</v>
      </c>
      <c r="AZ7" s="322"/>
      <c r="BA7" s="328"/>
      <c r="BB7" s="455">
        <v>108</v>
      </c>
      <c r="BC7" s="586"/>
      <c r="BD7" s="586">
        <v>218</v>
      </c>
      <c r="BE7" s="586">
        <f t="shared" si="25"/>
        <v>218</v>
      </c>
      <c r="BF7" s="865">
        <f t="shared" si="26"/>
        <v>0</v>
      </c>
      <c r="BG7" s="865">
        <f t="shared" si="27"/>
        <v>0.11872816075406588</v>
      </c>
      <c r="BH7" s="865">
        <f t="shared" si="28"/>
        <v>0.11872816075406588</v>
      </c>
      <c r="BI7" s="336"/>
      <c r="BJ7" s="336"/>
      <c r="BK7" s="336"/>
      <c r="BL7" s="336"/>
      <c r="BM7" s="865"/>
      <c r="BN7" s="865"/>
      <c r="BO7" s="865">
        <f t="shared" si="29"/>
        <v>0</v>
      </c>
      <c r="BP7" s="865">
        <f t="shared" si="30"/>
        <v>0</v>
      </c>
      <c r="BQ7" s="865">
        <f t="shared" si="31"/>
        <v>0</v>
      </c>
      <c r="BR7" s="865">
        <f t="shared" si="32"/>
        <v>0</v>
      </c>
      <c r="BS7" s="865">
        <f t="shared" si="33"/>
        <v>1313.9770911413784</v>
      </c>
      <c r="BT7" s="865">
        <f>BS7-G7</f>
        <v>875.97709114137842</v>
      </c>
      <c r="BU7" s="865"/>
      <c r="BV7" s="6">
        <f t="shared" si="11"/>
        <v>0</v>
      </c>
      <c r="BW7" s="6">
        <f t="shared" si="34"/>
        <v>438</v>
      </c>
      <c r="BX7" s="6">
        <f t="shared" si="35"/>
        <v>438</v>
      </c>
      <c r="BY7" s="6">
        <f t="shared" si="36"/>
        <v>0</v>
      </c>
      <c r="BZ7" s="6">
        <f t="shared" si="37"/>
        <v>0</v>
      </c>
      <c r="CA7" s="6">
        <f t="shared" si="38"/>
        <v>0</v>
      </c>
    </row>
    <row r="8" spans="1:82" ht="13.5" thickBot="1" x14ac:dyDescent="0.25">
      <c r="A8" s="865"/>
      <c r="B8" s="865" t="s">
        <v>100</v>
      </c>
      <c r="C8" s="753"/>
      <c r="D8" s="865"/>
      <c r="E8" s="588"/>
      <c r="F8" s="589">
        <v>4450</v>
      </c>
      <c r="G8" s="590">
        <f>2.5%*178000</f>
        <v>4450</v>
      </c>
      <c r="H8" s="882">
        <f t="shared" si="0"/>
        <v>0</v>
      </c>
      <c r="I8" s="882">
        <f t="shared" si="1"/>
        <v>2.3846141479961203</v>
      </c>
      <c r="J8" s="882">
        <f t="shared" si="2"/>
        <v>2.3846141479961203</v>
      </c>
      <c r="K8" s="327"/>
      <c r="L8" s="328"/>
      <c r="M8" s="165"/>
      <c r="N8" s="887">
        <f>G8/18</f>
        <v>247.22222222222223</v>
      </c>
      <c r="O8" s="369"/>
      <c r="P8" s="925">
        <v>247</v>
      </c>
      <c r="Q8" s="927">
        <f t="shared" si="12"/>
        <v>247</v>
      </c>
      <c r="R8" s="901">
        <f t="shared" si="3"/>
        <v>0</v>
      </c>
      <c r="S8" s="901">
        <f t="shared" si="4"/>
        <v>0.13235948192248129</v>
      </c>
      <c r="T8" s="901">
        <f t="shared" si="5"/>
        <v>0.13235948192248129</v>
      </c>
      <c r="U8" s="453">
        <v>247</v>
      </c>
      <c r="V8" s="453">
        <v>247</v>
      </c>
      <c r="W8" s="453">
        <v>247</v>
      </c>
      <c r="X8" s="453">
        <v>247</v>
      </c>
      <c r="Y8" s="829"/>
      <c r="Z8" s="861">
        <f>4*W8</f>
        <v>988</v>
      </c>
      <c r="AA8" s="830">
        <f t="shared" si="13"/>
        <v>988</v>
      </c>
      <c r="AB8" s="865">
        <f t="shared" si="14"/>
        <v>0</v>
      </c>
      <c r="AC8" s="865">
        <f t="shared" si="15"/>
        <v>0.53808909552760131</v>
      </c>
      <c r="AD8" s="865">
        <f t="shared" si="16"/>
        <v>0.53808909552760131</v>
      </c>
      <c r="AE8" s="453">
        <v>247</v>
      </c>
      <c r="AF8" s="453">
        <v>247</v>
      </c>
      <c r="AG8" s="453">
        <v>247</v>
      </c>
      <c r="AH8" s="453">
        <v>247</v>
      </c>
      <c r="AI8" s="829"/>
      <c r="AJ8" s="861">
        <v>989</v>
      </c>
      <c r="AK8" s="865">
        <f t="shared" si="17"/>
        <v>989</v>
      </c>
      <c r="AL8" s="865">
        <f t="shared" si="18"/>
        <v>0</v>
      </c>
      <c r="AM8" s="865">
        <f t="shared" si="19"/>
        <v>0.53863372011821631</v>
      </c>
      <c r="AN8" s="865">
        <f t="shared" si="20"/>
        <v>0.53863372011821631</v>
      </c>
      <c r="AO8" s="453">
        <v>247</v>
      </c>
      <c r="AP8" s="453">
        <v>247</v>
      </c>
      <c r="AQ8" s="453">
        <v>247</v>
      </c>
      <c r="AR8" s="453">
        <v>247</v>
      </c>
      <c r="AS8" s="865"/>
      <c r="AT8" s="861">
        <v>989</v>
      </c>
      <c r="AU8" s="865">
        <f t="shared" si="21"/>
        <v>989</v>
      </c>
      <c r="AV8" s="865">
        <f t="shared" si="22"/>
        <v>0</v>
      </c>
      <c r="AW8" s="865">
        <f t="shared" si="23"/>
        <v>0.53863372011821631</v>
      </c>
      <c r="AX8" s="865">
        <f t="shared" si="24"/>
        <v>0.53863372011821631</v>
      </c>
      <c r="AY8" s="453">
        <v>247</v>
      </c>
      <c r="AZ8" s="453">
        <v>247</v>
      </c>
      <c r="BA8" s="453">
        <v>247</v>
      </c>
      <c r="BB8" s="453">
        <v>247</v>
      </c>
      <c r="BC8" s="865"/>
      <c r="BD8" s="861">
        <v>989</v>
      </c>
      <c r="BE8" s="865">
        <f t="shared" si="25"/>
        <v>989</v>
      </c>
      <c r="BF8" s="865">
        <f t="shared" si="26"/>
        <v>0</v>
      </c>
      <c r="BG8" s="865">
        <f t="shared" si="27"/>
        <v>0.53863372011821631</v>
      </c>
      <c r="BH8" s="865">
        <f t="shared" si="28"/>
        <v>0.53863372011821631</v>
      </c>
      <c r="BI8" s="453">
        <v>248</v>
      </c>
      <c r="BJ8" s="460"/>
      <c r="BK8" s="460"/>
      <c r="BL8" s="460"/>
      <c r="BM8" s="865"/>
      <c r="BN8" s="865">
        <v>248</v>
      </c>
      <c r="BO8" s="865">
        <f t="shared" si="29"/>
        <v>248</v>
      </c>
      <c r="BP8" s="865">
        <f t="shared" si="30"/>
        <v>0</v>
      </c>
      <c r="BQ8" s="865">
        <f t="shared" si="31"/>
        <v>0.1350668984725153</v>
      </c>
      <c r="BR8" s="865">
        <f t="shared" si="32"/>
        <v>0.1350668984725153</v>
      </c>
      <c r="BS8" s="865">
        <f t="shared" si="33"/>
        <v>12855.79492169783</v>
      </c>
      <c r="BT8" s="315">
        <f>BS8-G8</f>
        <v>8405.7949216978304</v>
      </c>
      <c r="BU8" s="315"/>
      <c r="BV8" s="6">
        <f t="shared" si="11"/>
        <v>0</v>
      </c>
      <c r="BW8" s="6">
        <f t="shared" si="34"/>
        <v>4450</v>
      </c>
      <c r="BX8" s="6">
        <f t="shared" si="35"/>
        <v>4450</v>
      </c>
      <c r="BY8" s="6">
        <f t="shared" si="36"/>
        <v>0</v>
      </c>
      <c r="BZ8" s="6">
        <f t="shared" si="37"/>
        <v>0</v>
      </c>
      <c r="CA8" s="6">
        <f t="shared" si="38"/>
        <v>0</v>
      </c>
    </row>
    <row r="9" spans="1:82" ht="13.5" thickBot="1" x14ac:dyDescent="0.25">
      <c r="B9" s="752" t="s">
        <v>161</v>
      </c>
      <c r="C9" s="753"/>
      <c r="D9" s="753"/>
      <c r="E9" s="487">
        <v>0</v>
      </c>
      <c r="F9" s="488">
        <v>350</v>
      </c>
      <c r="G9" s="489">
        <v>350</v>
      </c>
      <c r="H9" s="882">
        <f t="shared" si="0"/>
        <v>0</v>
      </c>
      <c r="I9" s="882">
        <f t="shared" si="1"/>
        <v>0.18755392175250385</v>
      </c>
      <c r="J9" s="882">
        <f t="shared" si="2"/>
        <v>0.18755392175250385</v>
      </c>
      <c r="K9" s="327"/>
      <c r="L9" s="328"/>
      <c r="M9" s="328"/>
      <c r="N9" s="740"/>
      <c r="O9" s="369"/>
      <c r="P9" s="925"/>
      <c r="Q9" s="927">
        <f t="shared" si="12"/>
        <v>0</v>
      </c>
      <c r="R9" s="901">
        <f t="shared" si="3"/>
        <v>0</v>
      </c>
      <c r="S9" s="901">
        <f t="shared" si="4"/>
        <v>0</v>
      </c>
      <c r="T9" s="901">
        <f t="shared" si="5"/>
        <v>0</v>
      </c>
      <c r="U9" s="327"/>
      <c r="V9" s="328"/>
      <c r="W9" s="328"/>
      <c r="X9" s="326"/>
      <c r="Y9" s="829"/>
      <c r="Z9" s="861"/>
      <c r="AA9" s="830">
        <f t="shared" si="13"/>
        <v>0</v>
      </c>
      <c r="AB9" s="865">
        <f t="shared" si="14"/>
        <v>0</v>
      </c>
      <c r="AC9" s="865">
        <f t="shared" si="15"/>
        <v>0</v>
      </c>
      <c r="AD9" s="865">
        <f t="shared" si="16"/>
        <v>0</v>
      </c>
      <c r="AE9" s="327"/>
      <c r="AF9" s="328"/>
      <c r="AG9" s="165"/>
      <c r="AH9" s="330"/>
      <c r="AI9" s="829"/>
      <c r="AJ9" s="865"/>
      <c r="AK9" s="865">
        <f t="shared" si="17"/>
        <v>0</v>
      </c>
      <c r="AL9" s="865">
        <f t="shared" si="18"/>
        <v>0</v>
      </c>
      <c r="AM9" s="865">
        <f t="shared" si="19"/>
        <v>0</v>
      </c>
      <c r="AN9" s="865">
        <f t="shared" si="20"/>
        <v>0</v>
      </c>
      <c r="AO9" s="455">
        <v>88</v>
      </c>
      <c r="AP9" s="328"/>
      <c r="AQ9" s="328"/>
      <c r="AR9" s="326"/>
      <c r="AS9" s="865"/>
      <c r="AT9" s="865">
        <v>88</v>
      </c>
      <c r="AU9" s="865">
        <v>88</v>
      </c>
      <c r="AV9" s="865">
        <f t="shared" si="22"/>
        <v>0</v>
      </c>
      <c r="AW9" s="865">
        <f t="shared" si="23"/>
        <v>4.7926963974118331E-2</v>
      </c>
      <c r="AX9" s="865">
        <f t="shared" si="24"/>
        <v>4.7926963974118331E-2</v>
      </c>
      <c r="AY9" s="327"/>
      <c r="AZ9" s="2"/>
      <c r="BA9" s="330"/>
      <c r="BB9" s="455">
        <v>262</v>
      </c>
      <c r="BC9" s="865"/>
      <c r="BD9" s="865">
        <v>262</v>
      </c>
      <c r="BE9" s="865">
        <f t="shared" si="25"/>
        <v>262</v>
      </c>
      <c r="BF9" s="865">
        <f t="shared" si="26"/>
        <v>0</v>
      </c>
      <c r="BG9" s="865">
        <f t="shared" si="27"/>
        <v>0.14269164274112503</v>
      </c>
      <c r="BH9" s="865">
        <f t="shared" si="28"/>
        <v>0.14269164274112503</v>
      </c>
      <c r="BI9" s="327"/>
      <c r="BJ9" s="328"/>
      <c r="BK9" s="328"/>
      <c r="BL9" s="326"/>
      <c r="BM9" s="865"/>
      <c r="BN9" s="865"/>
      <c r="BO9" s="865">
        <f t="shared" si="29"/>
        <v>0</v>
      </c>
      <c r="BP9" s="865">
        <f t="shared" si="30"/>
        <v>0</v>
      </c>
      <c r="BQ9" s="865">
        <f t="shared" si="31"/>
        <v>0</v>
      </c>
      <c r="BR9" s="865">
        <f t="shared" si="32"/>
        <v>0</v>
      </c>
      <c r="BS9" s="865">
        <f t="shared" si="33"/>
        <v>1050.3812372134303</v>
      </c>
      <c r="BT9" s="865">
        <f>BS9-G9</f>
        <v>700.38123721343027</v>
      </c>
      <c r="BU9" s="865"/>
      <c r="BV9" s="6">
        <f t="shared" si="11"/>
        <v>0</v>
      </c>
      <c r="BW9" s="6">
        <f t="shared" si="34"/>
        <v>350</v>
      </c>
      <c r="BX9" s="6">
        <f t="shared" si="35"/>
        <v>350</v>
      </c>
      <c r="BY9" s="6">
        <f t="shared" si="36"/>
        <v>0</v>
      </c>
      <c r="BZ9" s="6">
        <f t="shared" si="37"/>
        <v>0</v>
      </c>
      <c r="CA9" s="6">
        <f t="shared" si="38"/>
        <v>0</v>
      </c>
    </row>
    <row r="10" spans="1:82" ht="13.5" thickBot="1" x14ac:dyDescent="0.25">
      <c r="A10" s="865"/>
      <c r="B10" s="878" t="s">
        <v>172</v>
      </c>
      <c r="C10" s="755"/>
      <c r="D10" s="865"/>
      <c r="E10" s="868"/>
      <c r="F10" s="868">
        <v>130</v>
      </c>
      <c r="G10" s="868">
        <v>130</v>
      </c>
      <c r="H10" s="882">
        <f t="shared" si="0"/>
        <v>0</v>
      </c>
      <c r="I10" s="882">
        <f t="shared" si="1"/>
        <v>6.966288522235857E-2</v>
      </c>
      <c r="J10" s="882">
        <f t="shared" si="2"/>
        <v>6.966288522235857E-2</v>
      </c>
      <c r="K10" s="328"/>
      <c r="L10" s="879"/>
      <c r="M10" s="452">
        <f>F10</f>
        <v>130</v>
      </c>
      <c r="N10" s="744">
        <v>0</v>
      </c>
      <c r="O10" s="369"/>
      <c r="P10" s="925">
        <v>130</v>
      </c>
      <c r="Q10" s="927">
        <f t="shared" si="12"/>
        <v>130</v>
      </c>
      <c r="R10" s="901">
        <f t="shared" si="3"/>
        <v>0</v>
      </c>
      <c r="S10" s="901">
        <f t="shared" si="4"/>
        <v>6.966288522235857E-2</v>
      </c>
      <c r="T10" s="901">
        <f t="shared" si="5"/>
        <v>6.966288522235857E-2</v>
      </c>
      <c r="U10" s="460">
        <v>0</v>
      </c>
      <c r="V10" s="460">
        <v>0</v>
      </c>
      <c r="W10" s="460">
        <f>K10</f>
        <v>0</v>
      </c>
      <c r="X10" s="460">
        <f>L10</f>
        <v>0</v>
      </c>
      <c r="Y10" s="829"/>
      <c r="Z10" s="861"/>
      <c r="AA10" s="830">
        <f t="shared" si="13"/>
        <v>0</v>
      </c>
      <c r="AB10" s="865">
        <f t="shared" si="14"/>
        <v>0</v>
      </c>
      <c r="AC10" s="865">
        <f t="shared" si="15"/>
        <v>0</v>
      </c>
      <c r="AD10" s="865">
        <f t="shared" si="16"/>
        <v>0</v>
      </c>
      <c r="AE10" s="460"/>
      <c r="AF10" s="460">
        <f>N10</f>
        <v>0</v>
      </c>
      <c r="AG10" s="460">
        <f>U10</f>
        <v>0</v>
      </c>
      <c r="AH10" s="460">
        <f>V10</f>
        <v>0</v>
      </c>
      <c r="AI10" s="829"/>
      <c r="AJ10" s="865"/>
      <c r="AK10" s="865">
        <f t="shared" si="17"/>
        <v>0</v>
      </c>
      <c r="AL10" s="865">
        <f t="shared" si="18"/>
        <v>0</v>
      </c>
      <c r="AM10" s="865">
        <f t="shared" si="19"/>
        <v>0</v>
      </c>
      <c r="AN10" s="865">
        <f t="shared" si="20"/>
        <v>0</v>
      </c>
      <c r="AO10" s="460">
        <f>W10</f>
        <v>0</v>
      </c>
      <c r="AP10" s="460">
        <f>X10</f>
        <v>0</v>
      </c>
      <c r="AQ10" s="460">
        <f>AE10</f>
        <v>0</v>
      </c>
      <c r="AR10" s="460">
        <f>AF10</f>
        <v>0</v>
      </c>
      <c r="AS10" s="865"/>
      <c r="AT10" s="865"/>
      <c r="AU10" s="865">
        <f t="shared" si="21"/>
        <v>0</v>
      </c>
      <c r="AV10" s="865">
        <f t="shared" si="22"/>
        <v>0</v>
      </c>
      <c r="AW10" s="865">
        <f t="shared" si="23"/>
        <v>0</v>
      </c>
      <c r="AX10" s="865">
        <f t="shared" si="24"/>
        <v>0</v>
      </c>
      <c r="AY10" s="460">
        <f>AG10</f>
        <v>0</v>
      </c>
      <c r="AZ10" s="460">
        <f>AH10</f>
        <v>0</v>
      </c>
      <c r="BA10" s="328"/>
      <c r="BB10" s="326"/>
      <c r="BC10" s="865"/>
      <c r="BD10" s="865"/>
      <c r="BE10" s="865">
        <f t="shared" si="25"/>
        <v>0</v>
      </c>
      <c r="BF10" s="865">
        <f t="shared" si="26"/>
        <v>0</v>
      </c>
      <c r="BG10" s="865">
        <f t="shared" si="27"/>
        <v>0</v>
      </c>
      <c r="BH10" s="865">
        <f t="shared" si="28"/>
        <v>0</v>
      </c>
      <c r="BI10" s="792"/>
      <c r="BJ10" s="792"/>
      <c r="BK10" s="792"/>
      <c r="BL10" s="792"/>
      <c r="BM10" s="865"/>
      <c r="BN10" s="865"/>
      <c r="BO10" s="865">
        <f t="shared" si="29"/>
        <v>0</v>
      </c>
      <c r="BP10" s="865">
        <f t="shared" si="30"/>
        <v>0</v>
      </c>
      <c r="BQ10" s="865">
        <f t="shared" si="31"/>
        <v>0</v>
      </c>
      <c r="BR10" s="865">
        <f t="shared" si="32"/>
        <v>0</v>
      </c>
      <c r="BS10" s="865">
        <f t="shared" si="33"/>
        <v>390.13932577044477</v>
      </c>
      <c r="BT10" s="315">
        <f>BS10-G10</f>
        <v>260.13932577044477</v>
      </c>
      <c r="BU10" s="315"/>
      <c r="BV10" s="6">
        <f t="shared" si="11"/>
        <v>0</v>
      </c>
      <c r="BW10" s="6">
        <f t="shared" si="34"/>
        <v>130</v>
      </c>
      <c r="BX10" s="6">
        <f t="shared" si="35"/>
        <v>130</v>
      </c>
      <c r="BY10" s="6">
        <f t="shared" si="36"/>
        <v>0</v>
      </c>
      <c r="BZ10" s="6">
        <f t="shared" si="37"/>
        <v>0</v>
      </c>
      <c r="CA10" s="6">
        <f t="shared" si="38"/>
        <v>0</v>
      </c>
    </row>
    <row r="11" spans="1:82" s="6" customFormat="1" ht="13.5" thickBot="1" x14ac:dyDescent="0.25">
      <c r="A11" s="865"/>
      <c r="B11" s="878" t="s">
        <v>194</v>
      </c>
      <c r="C11" s="751"/>
      <c r="D11" s="865"/>
      <c r="E11" s="865">
        <v>500</v>
      </c>
      <c r="F11" s="865">
        <v>4000</v>
      </c>
      <c r="G11" s="865">
        <v>4500</v>
      </c>
      <c r="H11" s="882">
        <f t="shared" si="0"/>
        <v>0.26793417393214836</v>
      </c>
      <c r="I11" s="882">
        <f t="shared" si="1"/>
        <v>2.1434733914571868</v>
      </c>
      <c r="J11" s="882">
        <f t="shared" si="2"/>
        <v>2.411407565389335</v>
      </c>
      <c r="K11" s="321"/>
      <c r="L11" s="328"/>
      <c r="M11" s="328"/>
      <c r="N11" s="888"/>
      <c r="O11" s="369"/>
      <c r="P11" s="925"/>
      <c r="Q11" s="927">
        <f>P11+O11</f>
        <v>0</v>
      </c>
      <c r="R11" s="901">
        <f t="shared" si="3"/>
        <v>0</v>
      </c>
      <c r="S11" s="901">
        <f t="shared" si="4"/>
        <v>0</v>
      </c>
      <c r="T11" s="901">
        <f t="shared" si="5"/>
        <v>0</v>
      </c>
      <c r="U11" s="328"/>
      <c r="V11" s="456">
        <v>1000</v>
      </c>
      <c r="W11" s="452"/>
      <c r="X11" s="326"/>
      <c r="Y11" s="829">
        <v>500</v>
      </c>
      <c r="Z11" s="861">
        <v>500</v>
      </c>
      <c r="AA11" s="830">
        <f>Z11+Y11</f>
        <v>1000</v>
      </c>
      <c r="AB11" s="865">
        <f t="shared" si="14"/>
        <v>0.27231229530749052</v>
      </c>
      <c r="AC11" s="865">
        <f t="shared" si="15"/>
        <v>0.27231229530749052</v>
      </c>
      <c r="AD11" s="865">
        <f t="shared" si="16"/>
        <v>0.54462459061498103</v>
      </c>
      <c r="AF11" s="321"/>
      <c r="AG11" s="328"/>
      <c r="AH11" s="456">
        <v>2500</v>
      </c>
      <c r="AI11" s="829"/>
      <c r="AJ11" s="865">
        <v>2500</v>
      </c>
      <c r="AK11" s="865">
        <f>AJ11+AI11</f>
        <v>2500</v>
      </c>
      <c r="AL11" s="865">
        <f t="shared" si="18"/>
        <v>0</v>
      </c>
      <c r="AM11" s="865">
        <f t="shared" si="19"/>
        <v>1.3615614765374526</v>
      </c>
      <c r="AN11" s="865">
        <f t="shared" si="20"/>
        <v>1.3615614765374526</v>
      </c>
      <c r="AQ11" s="328"/>
      <c r="AR11" s="456">
        <v>1000</v>
      </c>
      <c r="AS11" s="865"/>
      <c r="AT11" s="865">
        <v>1000</v>
      </c>
      <c r="AU11" s="865">
        <f>AT11+AS11</f>
        <v>1000</v>
      </c>
      <c r="AV11" s="865">
        <f t="shared" si="22"/>
        <v>0</v>
      </c>
      <c r="AW11" s="865">
        <f t="shared" si="23"/>
        <v>0.54462459061498103</v>
      </c>
      <c r="AX11" s="865">
        <f t="shared" si="24"/>
        <v>0.54462459061498103</v>
      </c>
      <c r="AY11" s="329"/>
      <c r="AZ11" s="328"/>
      <c r="BA11" s="322"/>
      <c r="BB11" s="330"/>
      <c r="BC11" s="865"/>
      <c r="BD11" s="865"/>
      <c r="BE11" s="865">
        <f>BD11+BC11</f>
        <v>0</v>
      </c>
      <c r="BF11" s="865">
        <f t="shared" si="26"/>
        <v>0</v>
      </c>
      <c r="BG11" s="865">
        <f t="shared" si="27"/>
        <v>0</v>
      </c>
      <c r="BH11" s="865">
        <f t="shared" si="28"/>
        <v>0</v>
      </c>
      <c r="BM11" s="865"/>
      <c r="BN11" s="865"/>
      <c r="BO11" s="865">
        <f>BN11+BM11</f>
        <v>0</v>
      </c>
      <c r="BP11" s="865">
        <f t="shared" si="30"/>
        <v>0</v>
      </c>
      <c r="BQ11" s="865">
        <f t="shared" si="31"/>
        <v>0</v>
      </c>
      <c r="BR11" s="865">
        <f t="shared" si="32"/>
        <v>0</v>
      </c>
      <c r="BS11" s="865">
        <f t="shared" si="33"/>
        <v>13504.901621315534</v>
      </c>
      <c r="BT11" s="865" t="e">
        <f>BS11-#REF!</f>
        <v>#REF!</v>
      </c>
      <c r="BU11" s="865"/>
      <c r="BV11" s="6">
        <f t="shared" si="11"/>
        <v>500</v>
      </c>
      <c r="BW11" s="6">
        <f t="shared" si="34"/>
        <v>4000</v>
      </c>
      <c r="BX11" s="6">
        <f t="shared" si="35"/>
        <v>4500</v>
      </c>
      <c r="BY11" s="6">
        <f t="shared" si="36"/>
        <v>0</v>
      </c>
      <c r="BZ11" s="6">
        <f t="shared" si="37"/>
        <v>0</v>
      </c>
      <c r="CA11" s="6">
        <f t="shared" si="38"/>
        <v>0</v>
      </c>
      <c r="CB11" s="865"/>
      <c r="CC11" s="865"/>
      <c r="CD11" s="865"/>
    </row>
    <row r="12" spans="1:82" s="6" customFormat="1" ht="27.75" customHeight="1" thickBot="1" x14ac:dyDescent="0.25">
      <c r="B12" s="1174" t="s">
        <v>197</v>
      </c>
      <c r="C12" s="1175"/>
      <c r="D12" s="1176"/>
      <c r="E12" s="714">
        <f>E13+E16+E26+E28+E31</f>
        <v>60917.715479999999</v>
      </c>
      <c r="F12" s="714">
        <f>F13+F16+F26+F28+F31</f>
        <v>67108</v>
      </c>
      <c r="G12" s="714">
        <f>G13+G16+G26+G28+G31</f>
        <v>128025.71548</v>
      </c>
      <c r="H12" s="882">
        <f t="shared" si="0"/>
        <v>32.64387554993489</v>
      </c>
      <c r="I12" s="882">
        <f t="shared" si="1"/>
        <v>35.961053088477222</v>
      </c>
      <c r="J12" s="882">
        <f t="shared" si="2"/>
        <v>68.604928638412105</v>
      </c>
      <c r="K12" s="714">
        <f t="shared" ref="K12:Q12" si="39">K13+K16+K26+K28</f>
        <v>6000</v>
      </c>
      <c r="L12" s="714">
        <f t="shared" si="39"/>
        <v>4732</v>
      </c>
      <c r="M12" s="714">
        <f t="shared" si="39"/>
        <v>6607</v>
      </c>
      <c r="N12" s="889">
        <f t="shared" si="39"/>
        <v>6051</v>
      </c>
      <c r="O12" s="369">
        <f t="shared" si="39"/>
        <v>14704</v>
      </c>
      <c r="P12" s="925">
        <f t="shared" si="39"/>
        <v>9308</v>
      </c>
      <c r="Q12" s="927">
        <f t="shared" si="39"/>
        <v>24012</v>
      </c>
      <c r="R12" s="901">
        <f t="shared" si="3"/>
        <v>7.8794081869966188</v>
      </c>
      <c r="S12" s="901">
        <f t="shared" si="4"/>
        <v>4.987862581920874</v>
      </c>
      <c r="T12" s="901">
        <f t="shared" si="5"/>
        <v>12.867270768917493</v>
      </c>
      <c r="U12" s="714">
        <f t="shared" ref="U12:AA12" si="40">U13+U16+U26+U28</f>
        <v>5632</v>
      </c>
      <c r="V12" s="714">
        <f t="shared" si="40"/>
        <v>5000</v>
      </c>
      <c r="W12" s="714">
        <f t="shared" si="40"/>
        <v>5000</v>
      </c>
      <c r="X12" s="714">
        <f t="shared" si="40"/>
        <v>4500</v>
      </c>
      <c r="Y12" s="714">
        <f t="shared" si="40"/>
        <v>0</v>
      </c>
      <c r="Z12" s="714">
        <f t="shared" si="40"/>
        <v>20132</v>
      </c>
      <c r="AA12" s="714">
        <f t="shared" si="40"/>
        <v>20132</v>
      </c>
      <c r="AB12" s="592">
        <f t="shared" si="14"/>
        <v>0</v>
      </c>
      <c r="AC12" s="592">
        <f t="shared" si="15"/>
        <v>10.964382258260798</v>
      </c>
      <c r="AD12" s="592">
        <f t="shared" si="16"/>
        <v>10.964382258260798</v>
      </c>
      <c r="AE12" s="714">
        <f t="shared" ref="AE12:AK12" si="41">AE13+AE16+AE26+AE28</f>
        <v>2300</v>
      </c>
      <c r="AF12" s="714">
        <f t="shared" si="41"/>
        <v>0</v>
      </c>
      <c r="AG12" s="714">
        <f t="shared" si="41"/>
        <v>0</v>
      </c>
      <c r="AH12" s="714">
        <f t="shared" si="41"/>
        <v>0</v>
      </c>
      <c r="AI12" s="714">
        <f t="shared" si="41"/>
        <v>0</v>
      </c>
      <c r="AJ12" s="714">
        <f t="shared" si="41"/>
        <v>2300</v>
      </c>
      <c r="AK12" s="714">
        <f t="shared" si="41"/>
        <v>2300</v>
      </c>
      <c r="AL12" s="592">
        <f t="shared" si="18"/>
        <v>0</v>
      </c>
      <c r="AM12" s="592">
        <f t="shared" si="19"/>
        <v>1.2526365584144563</v>
      </c>
      <c r="AN12" s="592">
        <f t="shared" si="20"/>
        <v>1.2526365584144563</v>
      </c>
      <c r="AO12" s="714">
        <f t="shared" ref="AO12:AU12" si="42">AO13+AO16+AO26+AO28</f>
        <v>0</v>
      </c>
      <c r="AP12" s="714">
        <f t="shared" si="42"/>
        <v>0</v>
      </c>
      <c r="AQ12" s="714">
        <f t="shared" si="42"/>
        <v>8000</v>
      </c>
      <c r="AR12" s="714">
        <f t="shared" si="42"/>
        <v>13000</v>
      </c>
      <c r="AS12" s="714">
        <f t="shared" si="42"/>
        <v>8000</v>
      </c>
      <c r="AT12" s="714">
        <f t="shared" si="42"/>
        <v>13000</v>
      </c>
      <c r="AU12" s="714">
        <f t="shared" si="42"/>
        <v>21000</v>
      </c>
      <c r="AV12" s="756">
        <f t="shared" si="22"/>
        <v>4.3569967249198482</v>
      </c>
      <c r="AW12" s="592">
        <f t="shared" si="23"/>
        <v>7.0801196779947535</v>
      </c>
      <c r="AX12" s="592">
        <f t="shared" si="24"/>
        <v>11.437116402914601</v>
      </c>
      <c r="AY12" s="714">
        <f t="shared" ref="AY12:BE12" si="43">AY13+AY16+AY26+AY28</f>
        <v>13000</v>
      </c>
      <c r="AZ12" s="714">
        <f t="shared" si="43"/>
        <v>11000</v>
      </c>
      <c r="BA12" s="714">
        <f t="shared" si="43"/>
        <v>0</v>
      </c>
      <c r="BB12" s="714">
        <f t="shared" si="43"/>
        <v>0</v>
      </c>
      <c r="BC12" s="714">
        <f t="shared" si="43"/>
        <v>7000</v>
      </c>
      <c r="BD12" s="714">
        <f t="shared" si="43"/>
        <v>17000</v>
      </c>
      <c r="BE12" s="714">
        <f t="shared" si="43"/>
        <v>24000</v>
      </c>
      <c r="BF12" s="592">
        <f t="shared" si="26"/>
        <v>3.8123721343048671</v>
      </c>
      <c r="BG12" s="592">
        <f t="shared" si="27"/>
        <v>9.2586180404546781</v>
      </c>
      <c r="BH12" s="592">
        <f t="shared" si="28"/>
        <v>13.070990174759544</v>
      </c>
      <c r="BI12" s="714">
        <f t="shared" ref="BI12:BO12" si="44">BI13+BI16+BI26+BI28</f>
        <v>0</v>
      </c>
      <c r="BJ12" s="714">
        <f t="shared" si="44"/>
        <v>0</v>
      </c>
      <c r="BK12" s="714">
        <f t="shared" si="44"/>
        <v>0</v>
      </c>
      <c r="BL12" s="714">
        <f t="shared" si="44"/>
        <v>0</v>
      </c>
      <c r="BM12" s="714">
        <f t="shared" si="44"/>
        <v>0</v>
      </c>
      <c r="BN12" s="714">
        <f t="shared" si="44"/>
        <v>0</v>
      </c>
      <c r="BO12" s="714">
        <f t="shared" si="44"/>
        <v>0</v>
      </c>
      <c r="BP12" s="592">
        <f t="shared" si="30"/>
        <v>0</v>
      </c>
      <c r="BQ12" s="592">
        <f t="shared" si="31"/>
        <v>0</v>
      </c>
      <c r="BR12" s="592">
        <f t="shared" si="32"/>
        <v>0</v>
      </c>
      <c r="BS12" s="359">
        <f t="shared" si="33"/>
        <v>273809.18479232653</v>
      </c>
      <c r="BT12" s="315">
        <f>BS12-G12</f>
        <v>145783.46931232652</v>
      </c>
      <c r="BU12" s="315"/>
      <c r="BV12" s="6">
        <f t="shared" si="11"/>
        <v>29704</v>
      </c>
      <c r="BW12" s="6">
        <f t="shared" si="34"/>
        <v>61740</v>
      </c>
      <c r="BX12" s="6">
        <f t="shared" si="35"/>
        <v>91444</v>
      </c>
      <c r="BY12" s="6">
        <f t="shared" si="36"/>
        <v>31213.715479999999</v>
      </c>
      <c r="BZ12" s="6">
        <f t="shared" si="37"/>
        <v>5368</v>
      </c>
      <c r="CA12" s="6">
        <f t="shared" si="38"/>
        <v>36581.715479999999</v>
      </c>
    </row>
    <row r="13" spans="1:82" s="6" customFormat="1" ht="18" customHeight="1" thickBot="1" x14ac:dyDescent="0.25">
      <c r="B13" s="715" t="s">
        <v>177</v>
      </c>
      <c r="C13" s="630" t="s">
        <v>7</v>
      </c>
      <c r="D13" s="716"/>
      <c r="E13" s="717">
        <f>SUM(E14:E15)</f>
        <v>7972</v>
      </c>
      <c r="F13" s="717">
        <f>SUM(F14:F15)</f>
        <v>19300</v>
      </c>
      <c r="G13" s="717">
        <f>SUM(G14:G15)</f>
        <v>27272</v>
      </c>
      <c r="H13" s="882">
        <f t="shared" si="0"/>
        <v>4.2719424691741734</v>
      </c>
      <c r="I13" s="882">
        <f t="shared" si="1"/>
        <v>10.342259113780926</v>
      </c>
      <c r="J13" s="882">
        <f t="shared" si="2"/>
        <v>14.614201582955101</v>
      </c>
      <c r="K13" s="717">
        <f t="shared" ref="K13:Q13" si="45">SUM(K14:K15)</f>
        <v>2000</v>
      </c>
      <c r="L13" s="717">
        <f t="shared" si="45"/>
        <v>2000</v>
      </c>
      <c r="M13" s="717">
        <f t="shared" si="45"/>
        <v>2000</v>
      </c>
      <c r="N13" s="890">
        <f t="shared" si="45"/>
        <v>2350</v>
      </c>
      <c r="O13" s="902">
        <f t="shared" si="45"/>
        <v>7972</v>
      </c>
      <c r="P13" s="925">
        <f t="shared" si="45"/>
        <v>1000</v>
      </c>
      <c r="Q13" s="927">
        <f t="shared" si="45"/>
        <v>8972</v>
      </c>
      <c r="R13" s="901">
        <f t="shared" si="3"/>
        <v>4.2719424691741734</v>
      </c>
      <c r="S13" s="901">
        <f t="shared" si="4"/>
        <v>0.53586834786429671</v>
      </c>
      <c r="T13" s="901">
        <f t="shared" si="5"/>
        <v>4.8078108170384697</v>
      </c>
      <c r="U13" s="717">
        <f t="shared" ref="U13:AA13" si="46">SUM(U14:U15)</f>
        <v>4000</v>
      </c>
      <c r="V13" s="717">
        <f t="shared" si="46"/>
        <v>4000</v>
      </c>
      <c r="W13" s="717">
        <f t="shared" si="46"/>
        <v>4000</v>
      </c>
      <c r="X13" s="717">
        <f t="shared" si="46"/>
        <v>4000</v>
      </c>
      <c r="Y13" s="717">
        <f t="shared" si="46"/>
        <v>0</v>
      </c>
      <c r="Z13" s="717">
        <f t="shared" si="46"/>
        <v>16000</v>
      </c>
      <c r="AA13" s="717">
        <f t="shared" si="46"/>
        <v>16000</v>
      </c>
      <c r="AB13" s="592">
        <f t="shared" si="14"/>
        <v>0</v>
      </c>
      <c r="AC13" s="592">
        <f t="shared" si="15"/>
        <v>8.7139934498396965</v>
      </c>
      <c r="AD13" s="592">
        <f t="shared" si="16"/>
        <v>8.7139934498396965</v>
      </c>
      <c r="AE13" s="717">
        <f t="shared" ref="AE13:AK13" si="47">SUM(AE14:AE15)</f>
        <v>2300</v>
      </c>
      <c r="AF13" s="717">
        <f t="shared" si="47"/>
        <v>0</v>
      </c>
      <c r="AG13" s="717">
        <f t="shared" si="47"/>
        <v>0</v>
      </c>
      <c r="AH13" s="717">
        <f t="shared" si="47"/>
        <v>0</v>
      </c>
      <c r="AI13" s="717">
        <f t="shared" si="47"/>
        <v>0</v>
      </c>
      <c r="AJ13" s="717">
        <f t="shared" si="47"/>
        <v>2300</v>
      </c>
      <c r="AK13" s="717">
        <f t="shared" si="47"/>
        <v>2300</v>
      </c>
      <c r="AL13" s="592">
        <f t="shared" si="18"/>
        <v>0</v>
      </c>
      <c r="AM13" s="592">
        <f t="shared" si="19"/>
        <v>1.2526365584144563</v>
      </c>
      <c r="AN13" s="592">
        <f t="shared" si="20"/>
        <v>1.2526365584144563</v>
      </c>
      <c r="AO13" s="717">
        <f t="shared" ref="AO13:AU13" si="48">SUM(AO14:AO15)</f>
        <v>0</v>
      </c>
      <c r="AP13" s="717">
        <f t="shared" si="48"/>
        <v>0</v>
      </c>
      <c r="AQ13" s="717">
        <f t="shared" si="48"/>
        <v>0</v>
      </c>
      <c r="AR13" s="717">
        <f t="shared" si="48"/>
        <v>0</v>
      </c>
      <c r="AS13" s="717">
        <f t="shared" si="48"/>
        <v>0</v>
      </c>
      <c r="AT13" s="717">
        <f t="shared" si="48"/>
        <v>0</v>
      </c>
      <c r="AU13" s="717">
        <f t="shared" si="48"/>
        <v>0</v>
      </c>
      <c r="AV13" s="592">
        <f t="shared" si="22"/>
        <v>0</v>
      </c>
      <c r="AW13" s="592">
        <f t="shared" si="23"/>
        <v>0</v>
      </c>
      <c r="AX13" s="592">
        <f t="shared" si="24"/>
        <v>0</v>
      </c>
      <c r="AY13" s="717">
        <f t="shared" ref="AY13:BE13" si="49">SUM(AY14:AY15)</f>
        <v>0</v>
      </c>
      <c r="AZ13" s="717">
        <f t="shared" si="49"/>
        <v>0</v>
      </c>
      <c r="BA13" s="717">
        <f t="shared" si="49"/>
        <v>0</v>
      </c>
      <c r="BB13" s="717">
        <f t="shared" si="49"/>
        <v>0</v>
      </c>
      <c r="BC13" s="717">
        <f t="shared" si="49"/>
        <v>0</v>
      </c>
      <c r="BD13" s="717">
        <f t="shared" si="49"/>
        <v>0</v>
      </c>
      <c r="BE13" s="717">
        <f t="shared" si="49"/>
        <v>0</v>
      </c>
      <c r="BF13" s="592">
        <f t="shared" si="26"/>
        <v>0</v>
      </c>
      <c r="BG13" s="592">
        <f t="shared" si="27"/>
        <v>0</v>
      </c>
      <c r="BH13" s="592">
        <f t="shared" si="28"/>
        <v>0</v>
      </c>
      <c r="BI13" s="717">
        <f t="shared" ref="BI13:BO13" si="50">SUM(BI14:BI15)</f>
        <v>0</v>
      </c>
      <c r="BJ13" s="717">
        <f t="shared" si="50"/>
        <v>0</v>
      </c>
      <c r="BK13" s="717">
        <f t="shared" si="50"/>
        <v>0</v>
      </c>
      <c r="BL13" s="717">
        <f t="shared" si="50"/>
        <v>0</v>
      </c>
      <c r="BM13" s="717">
        <f t="shared" si="50"/>
        <v>0</v>
      </c>
      <c r="BN13" s="717">
        <f t="shared" si="50"/>
        <v>0</v>
      </c>
      <c r="BO13" s="717">
        <f t="shared" si="50"/>
        <v>0</v>
      </c>
      <c r="BP13" s="592">
        <f t="shared" si="30"/>
        <v>0</v>
      </c>
      <c r="BQ13" s="592">
        <f t="shared" si="31"/>
        <v>0</v>
      </c>
      <c r="BR13" s="592">
        <f t="shared" si="32"/>
        <v>0</v>
      </c>
      <c r="BS13" s="717">
        <f>BS15+BS14</f>
        <v>81223.548881650582</v>
      </c>
      <c r="BT13" s="315">
        <f>BS13-G13</f>
        <v>53951.548881650582</v>
      </c>
      <c r="BU13" s="315"/>
      <c r="BV13" s="6">
        <f t="shared" si="11"/>
        <v>7972</v>
      </c>
      <c r="BW13" s="6">
        <f t="shared" si="34"/>
        <v>19300</v>
      </c>
      <c r="BX13" s="6">
        <f t="shared" si="35"/>
        <v>27272</v>
      </c>
      <c r="BY13" s="6">
        <f t="shared" si="36"/>
        <v>0</v>
      </c>
      <c r="BZ13" s="6">
        <f t="shared" si="37"/>
        <v>0</v>
      </c>
      <c r="CA13" s="6">
        <f t="shared" si="38"/>
        <v>0</v>
      </c>
    </row>
    <row r="14" spans="1:82" s="6" customFormat="1" ht="19.5" customHeight="1" thickBot="1" x14ac:dyDescent="0.25">
      <c r="B14" s="756" t="s">
        <v>178</v>
      </c>
      <c r="C14" s="757"/>
      <c r="D14" s="757"/>
      <c r="E14" s="396">
        <v>0</v>
      </c>
      <c r="F14" s="397">
        <v>19300</v>
      </c>
      <c r="G14" s="395">
        <v>19300</v>
      </c>
      <c r="H14" s="882">
        <f t="shared" si="0"/>
        <v>0</v>
      </c>
      <c r="I14" s="882">
        <f t="shared" si="1"/>
        <v>10.342259113780926</v>
      </c>
      <c r="J14" s="882">
        <f t="shared" si="2"/>
        <v>10.342259113780926</v>
      </c>
      <c r="K14" s="327"/>
      <c r="L14" s="299"/>
      <c r="M14" s="299"/>
      <c r="N14" s="887">
        <v>1000</v>
      </c>
      <c r="O14" s="909"/>
      <c r="P14" s="925">
        <v>1000</v>
      </c>
      <c r="Q14" s="927">
        <f t="shared" si="12"/>
        <v>1000</v>
      </c>
      <c r="R14" s="901">
        <f t="shared" si="3"/>
        <v>0</v>
      </c>
      <c r="S14" s="901">
        <f t="shared" si="4"/>
        <v>0.53586834786429671</v>
      </c>
      <c r="T14" s="901">
        <f t="shared" si="5"/>
        <v>0.53586834786429671</v>
      </c>
      <c r="U14" s="455">
        <v>4000</v>
      </c>
      <c r="V14" s="456">
        <v>4000</v>
      </c>
      <c r="W14" s="456">
        <v>4000</v>
      </c>
      <c r="X14" s="453">
        <v>4000</v>
      </c>
      <c r="Y14" s="829"/>
      <c r="Z14" s="861">
        <v>16000</v>
      </c>
      <c r="AA14" s="830">
        <f t="shared" si="13"/>
        <v>16000</v>
      </c>
      <c r="AB14" s="592">
        <f t="shared" si="14"/>
        <v>0</v>
      </c>
      <c r="AC14" s="592">
        <f t="shared" si="15"/>
        <v>8.7139934498396965</v>
      </c>
      <c r="AD14" s="592">
        <f t="shared" si="16"/>
        <v>8.7139934498396965</v>
      </c>
      <c r="AE14" s="456">
        <v>2300</v>
      </c>
      <c r="AF14" s="328"/>
      <c r="AG14" s="328"/>
      <c r="AH14" s="326"/>
      <c r="AI14" s="829"/>
      <c r="AJ14" s="756">
        <v>2300</v>
      </c>
      <c r="AK14" s="756">
        <v>2300</v>
      </c>
      <c r="AL14" s="592">
        <f t="shared" si="18"/>
        <v>0</v>
      </c>
      <c r="AM14" s="592">
        <f t="shared" si="19"/>
        <v>1.2526365584144563</v>
      </c>
      <c r="AN14" s="592">
        <f t="shared" si="20"/>
        <v>1.2526365584144563</v>
      </c>
      <c r="AO14" s="336"/>
      <c r="AP14" s="328"/>
      <c r="AQ14" s="328"/>
      <c r="AR14" s="326"/>
      <c r="AS14" s="756"/>
      <c r="AT14" s="756"/>
      <c r="AU14" s="756">
        <f t="shared" si="21"/>
        <v>0</v>
      </c>
      <c r="AV14" s="756">
        <f t="shared" si="22"/>
        <v>0</v>
      </c>
      <c r="AW14" s="756">
        <f t="shared" si="23"/>
        <v>0</v>
      </c>
      <c r="AX14" s="592">
        <f t="shared" si="24"/>
        <v>0</v>
      </c>
      <c r="AY14" s="327"/>
      <c r="AZ14" s="328"/>
      <c r="BA14" s="328"/>
      <c r="BB14" s="326"/>
      <c r="BC14" s="757"/>
      <c r="BD14" s="757"/>
      <c r="BE14" s="751">
        <f t="shared" si="25"/>
        <v>0</v>
      </c>
      <c r="BF14" s="592">
        <f t="shared" si="26"/>
        <v>0</v>
      </c>
      <c r="BG14" s="592">
        <f t="shared" si="27"/>
        <v>0</v>
      </c>
      <c r="BH14" s="592">
        <f t="shared" si="28"/>
        <v>0</v>
      </c>
      <c r="BM14" s="757"/>
      <c r="BN14" s="757"/>
      <c r="BO14" s="751">
        <f t="shared" si="29"/>
        <v>0</v>
      </c>
      <c r="BP14" s="592">
        <f t="shared" si="30"/>
        <v>0</v>
      </c>
      <c r="BQ14" s="592">
        <f t="shared" si="31"/>
        <v>0</v>
      </c>
      <c r="BR14" s="592">
        <f t="shared" si="32"/>
        <v>0</v>
      </c>
      <c r="BS14" s="359">
        <f>SUM(K14:BL14)</f>
        <v>57921.004996712232</v>
      </c>
      <c r="BT14" s="315" t="e">
        <f>BS14-#REF!</f>
        <v>#REF!</v>
      </c>
      <c r="BU14" s="315"/>
      <c r="BV14" s="6">
        <f t="shared" si="11"/>
        <v>0</v>
      </c>
      <c r="BW14" s="6">
        <f t="shared" si="34"/>
        <v>19300</v>
      </c>
      <c r="BX14" s="6">
        <f t="shared" si="35"/>
        <v>19300</v>
      </c>
      <c r="BY14" s="6">
        <f t="shared" si="36"/>
        <v>0</v>
      </c>
      <c r="BZ14" s="6">
        <f t="shared" si="37"/>
        <v>0</v>
      </c>
      <c r="CA14" s="6">
        <f t="shared" si="38"/>
        <v>0</v>
      </c>
    </row>
    <row r="15" spans="1:82" ht="12.75" customHeight="1" thickBot="1" x14ac:dyDescent="0.25">
      <c r="B15" s="1264" t="s">
        <v>179</v>
      </c>
      <c r="C15" s="1264"/>
      <c r="D15" s="1264"/>
      <c r="E15" s="396">
        <v>7972</v>
      </c>
      <c r="F15" s="397"/>
      <c r="G15" s="392">
        <v>7972</v>
      </c>
      <c r="H15" s="882">
        <f t="shared" si="0"/>
        <v>4.2719424691741734</v>
      </c>
      <c r="I15" s="882">
        <f t="shared" si="1"/>
        <v>0</v>
      </c>
      <c r="J15" s="882">
        <f t="shared" si="2"/>
        <v>4.2719424691741734</v>
      </c>
      <c r="K15" s="455">
        <v>2000</v>
      </c>
      <c r="L15" s="456">
        <v>2000</v>
      </c>
      <c r="M15" s="456">
        <v>2000</v>
      </c>
      <c r="N15" s="887">
        <v>1350</v>
      </c>
      <c r="O15" s="910">
        <v>7972</v>
      </c>
      <c r="P15" s="925"/>
      <c r="Q15" s="927">
        <f t="shared" si="12"/>
        <v>7972</v>
      </c>
      <c r="R15" s="901">
        <f t="shared" si="3"/>
        <v>4.2719424691741734</v>
      </c>
      <c r="S15" s="901">
        <f t="shared" si="4"/>
        <v>0</v>
      </c>
      <c r="T15" s="901">
        <f t="shared" si="5"/>
        <v>4.2719424691741734</v>
      </c>
      <c r="U15" s="327"/>
      <c r="V15" s="328"/>
      <c r="W15" s="328"/>
      <c r="X15" s="326"/>
      <c r="Y15" s="829"/>
      <c r="Z15" s="861"/>
      <c r="AA15" s="830">
        <f t="shared" si="13"/>
        <v>0</v>
      </c>
      <c r="AB15" s="592">
        <f t="shared" si="14"/>
        <v>0</v>
      </c>
      <c r="AC15" s="592">
        <f t="shared" si="15"/>
        <v>0</v>
      </c>
      <c r="AD15" s="592">
        <f t="shared" si="16"/>
        <v>0</v>
      </c>
      <c r="AE15" s="327"/>
      <c r="AF15" s="328"/>
      <c r="AG15" s="328"/>
      <c r="AH15" s="326"/>
      <c r="AI15" s="829"/>
      <c r="AJ15" s="758"/>
      <c r="AK15" s="751">
        <f t="shared" si="17"/>
        <v>0</v>
      </c>
      <c r="AL15" s="592">
        <f t="shared" si="18"/>
        <v>0</v>
      </c>
      <c r="AM15" s="592">
        <f t="shared" si="19"/>
        <v>0</v>
      </c>
      <c r="AN15" s="592">
        <f t="shared" si="20"/>
        <v>0</v>
      </c>
      <c r="AO15" s="336"/>
      <c r="AP15" s="328"/>
      <c r="AQ15" s="328"/>
      <c r="AR15" s="326"/>
      <c r="AS15" s="758"/>
      <c r="AT15" s="758"/>
      <c r="AU15" s="751">
        <f t="shared" si="21"/>
        <v>0</v>
      </c>
      <c r="AV15" s="592">
        <f t="shared" si="22"/>
        <v>0</v>
      </c>
      <c r="AW15" s="592">
        <f t="shared" si="23"/>
        <v>0</v>
      </c>
      <c r="AX15" s="592">
        <f t="shared" si="24"/>
        <v>0</v>
      </c>
      <c r="AY15" s="327"/>
      <c r="AZ15" s="328"/>
      <c r="BA15" s="328"/>
      <c r="BB15" s="326"/>
      <c r="BC15" s="758"/>
      <c r="BD15" s="758"/>
      <c r="BE15" s="751">
        <f t="shared" si="25"/>
        <v>0</v>
      </c>
      <c r="BF15" s="592">
        <f t="shared" si="26"/>
        <v>0</v>
      </c>
      <c r="BG15" s="592">
        <f t="shared" si="27"/>
        <v>0</v>
      </c>
      <c r="BH15" s="592">
        <f t="shared" si="28"/>
        <v>0</v>
      </c>
      <c r="BM15" s="758"/>
      <c r="BN15" s="758"/>
      <c r="BO15" s="751">
        <f t="shared" si="29"/>
        <v>0</v>
      </c>
      <c r="BP15" s="592">
        <f t="shared" si="30"/>
        <v>0</v>
      </c>
      <c r="BQ15" s="592">
        <f t="shared" si="31"/>
        <v>0</v>
      </c>
      <c r="BR15" s="592">
        <f t="shared" si="32"/>
        <v>0</v>
      </c>
      <c r="BS15" s="359">
        <f>SUM(K15:BL15)</f>
        <v>23302.54388493835</v>
      </c>
      <c r="BT15" s="315" t="e">
        <f>BS15-#REF!</f>
        <v>#REF!</v>
      </c>
      <c r="BU15" s="315"/>
      <c r="BV15" s="6">
        <f t="shared" si="11"/>
        <v>7972</v>
      </c>
      <c r="BW15" s="6">
        <f t="shared" si="34"/>
        <v>0</v>
      </c>
      <c r="BX15" s="6">
        <f t="shared" si="35"/>
        <v>7972</v>
      </c>
      <c r="BY15" s="6">
        <f t="shared" si="36"/>
        <v>0</v>
      </c>
      <c r="BZ15" s="6">
        <f t="shared" si="37"/>
        <v>0</v>
      </c>
      <c r="CA15" s="6">
        <f t="shared" si="38"/>
        <v>0</v>
      </c>
    </row>
    <row r="16" spans="1:82" s="616" customFormat="1" ht="13.5" thickBot="1" x14ac:dyDescent="0.25">
      <c r="A16" s="612"/>
      <c r="B16" s="759" t="s">
        <v>33</v>
      </c>
      <c r="C16" s="760"/>
      <c r="D16" s="761"/>
      <c r="E16" s="613">
        <f>SUM(E17:E25)</f>
        <v>6731.7154800000008</v>
      </c>
      <c r="F16" s="613">
        <f>SUM(F17:F25)</f>
        <v>8957</v>
      </c>
      <c r="G16" s="613">
        <f>SUM(G17:G25)</f>
        <v>15688.715480000001</v>
      </c>
      <c r="H16" s="882">
        <f t="shared" si="0"/>
        <v>3.607313252560111</v>
      </c>
      <c r="I16" s="882">
        <f t="shared" si="1"/>
        <v>4.799772791820506</v>
      </c>
      <c r="J16" s="882">
        <f t="shared" si="2"/>
        <v>8.4070860443806161</v>
      </c>
      <c r="K16" s="613">
        <f t="shared" ref="K16:Q16" si="51">SUM(K17:K25)</f>
        <v>4000</v>
      </c>
      <c r="L16" s="613">
        <f t="shared" si="51"/>
        <v>2732</v>
      </c>
      <c r="M16" s="613">
        <f t="shared" si="51"/>
        <v>4607</v>
      </c>
      <c r="N16" s="891">
        <f t="shared" si="51"/>
        <v>3701</v>
      </c>
      <c r="O16" s="902">
        <f t="shared" si="51"/>
        <v>6732</v>
      </c>
      <c r="P16" s="925">
        <f t="shared" si="51"/>
        <v>8308</v>
      </c>
      <c r="Q16" s="927">
        <f t="shared" si="51"/>
        <v>15040</v>
      </c>
      <c r="R16" s="901">
        <f t="shared" si="3"/>
        <v>3.6074657178224454</v>
      </c>
      <c r="S16" s="901">
        <f t="shared" si="4"/>
        <v>4.4519942340565768</v>
      </c>
      <c r="T16" s="901">
        <f t="shared" si="5"/>
        <v>8.0594599518790222</v>
      </c>
      <c r="U16" s="613">
        <f t="shared" ref="U16:AA16" si="52">SUM(U17:U25)</f>
        <v>649</v>
      </c>
      <c r="V16" s="613">
        <f t="shared" si="52"/>
        <v>0</v>
      </c>
      <c r="W16" s="613">
        <f t="shared" si="52"/>
        <v>0</v>
      </c>
      <c r="X16" s="613">
        <f t="shared" si="52"/>
        <v>0</v>
      </c>
      <c r="Y16" s="613">
        <f t="shared" si="52"/>
        <v>0</v>
      </c>
      <c r="Z16" s="613">
        <f t="shared" si="52"/>
        <v>649</v>
      </c>
      <c r="AA16" s="613">
        <f t="shared" si="52"/>
        <v>649</v>
      </c>
      <c r="AB16" s="592">
        <f t="shared" si="14"/>
        <v>0</v>
      </c>
      <c r="AC16" s="592">
        <f t="shared" si="15"/>
        <v>0.3534613593091227</v>
      </c>
      <c r="AD16" s="592">
        <f t="shared" si="16"/>
        <v>0.3534613593091227</v>
      </c>
      <c r="AE16" s="613">
        <f t="shared" ref="AE16:AK16" si="53">SUM(AE17:AE25)</f>
        <v>0</v>
      </c>
      <c r="AF16" s="613">
        <f t="shared" si="53"/>
        <v>0</v>
      </c>
      <c r="AG16" s="613">
        <f t="shared" si="53"/>
        <v>0</v>
      </c>
      <c r="AH16" s="613">
        <f t="shared" si="53"/>
        <v>0</v>
      </c>
      <c r="AI16" s="613">
        <f t="shared" si="53"/>
        <v>0</v>
      </c>
      <c r="AJ16" s="613">
        <f t="shared" si="53"/>
        <v>0</v>
      </c>
      <c r="AK16" s="613">
        <f t="shared" si="53"/>
        <v>0</v>
      </c>
      <c r="AL16" s="592">
        <f t="shared" si="18"/>
        <v>0</v>
      </c>
      <c r="AM16" s="592">
        <f t="shared" si="19"/>
        <v>0</v>
      </c>
      <c r="AN16" s="592">
        <f t="shared" si="20"/>
        <v>0</v>
      </c>
      <c r="AO16" s="613">
        <f t="shared" ref="AO16:AU16" si="54">SUM(AO17:AO25)</f>
        <v>0</v>
      </c>
      <c r="AP16" s="613">
        <f t="shared" si="54"/>
        <v>0</v>
      </c>
      <c r="AQ16" s="613">
        <f t="shared" si="54"/>
        <v>0</v>
      </c>
      <c r="AR16" s="613">
        <f t="shared" si="54"/>
        <v>0</v>
      </c>
      <c r="AS16" s="613">
        <f t="shared" si="54"/>
        <v>0</v>
      </c>
      <c r="AT16" s="613">
        <f t="shared" si="54"/>
        <v>0</v>
      </c>
      <c r="AU16" s="613">
        <f t="shared" si="54"/>
        <v>0</v>
      </c>
      <c r="AV16" s="592">
        <f t="shared" si="22"/>
        <v>0</v>
      </c>
      <c r="AW16" s="592">
        <f t="shared" si="23"/>
        <v>0</v>
      </c>
      <c r="AX16" s="592">
        <f t="shared" si="24"/>
        <v>0</v>
      </c>
      <c r="AY16" s="613">
        <f t="shared" ref="AY16:BE16" si="55">SUM(AY17:AY25)</f>
        <v>0</v>
      </c>
      <c r="AZ16" s="613">
        <f t="shared" si="55"/>
        <v>0</v>
      </c>
      <c r="BA16" s="613">
        <f t="shared" si="55"/>
        <v>0</v>
      </c>
      <c r="BB16" s="613">
        <f t="shared" si="55"/>
        <v>0</v>
      </c>
      <c r="BC16" s="613">
        <f t="shared" si="55"/>
        <v>0</v>
      </c>
      <c r="BD16" s="613">
        <f t="shared" si="55"/>
        <v>0</v>
      </c>
      <c r="BE16" s="613">
        <f t="shared" si="55"/>
        <v>0</v>
      </c>
      <c r="BF16" s="592">
        <f t="shared" si="26"/>
        <v>0</v>
      </c>
      <c r="BG16" s="592">
        <f t="shared" si="27"/>
        <v>0</v>
      </c>
      <c r="BH16" s="592">
        <f t="shared" si="28"/>
        <v>0</v>
      </c>
      <c r="BI16" s="613">
        <f t="shared" ref="BI16:BO16" si="56">SUM(BI17:BI25)</f>
        <v>0</v>
      </c>
      <c r="BJ16" s="613">
        <f t="shared" si="56"/>
        <v>0</v>
      </c>
      <c r="BK16" s="613">
        <f t="shared" si="56"/>
        <v>0</v>
      </c>
      <c r="BL16" s="613">
        <f t="shared" si="56"/>
        <v>0</v>
      </c>
      <c r="BM16" s="613">
        <f t="shared" si="56"/>
        <v>0</v>
      </c>
      <c r="BN16" s="613">
        <f t="shared" si="56"/>
        <v>0</v>
      </c>
      <c r="BO16" s="613">
        <f t="shared" si="56"/>
        <v>0</v>
      </c>
      <c r="BP16" s="592">
        <f t="shared" si="30"/>
        <v>0</v>
      </c>
      <c r="BQ16" s="592">
        <f t="shared" si="31"/>
        <v>0</v>
      </c>
      <c r="BR16" s="592">
        <f t="shared" si="32"/>
        <v>0</v>
      </c>
      <c r="BS16" s="613">
        <f>BS17+BS18+BS19+BS20+BS21+BS22+BS23+BS24+BS25</f>
        <v>47083.825842622377</v>
      </c>
      <c r="BT16" s="315">
        <f>BS16-G16</f>
        <v>31395.110362622378</v>
      </c>
      <c r="BU16" s="315"/>
      <c r="BV16" s="6">
        <f t="shared" si="11"/>
        <v>6732</v>
      </c>
      <c r="BW16" s="6">
        <f t="shared" si="34"/>
        <v>8957</v>
      </c>
      <c r="BX16" s="6">
        <f t="shared" si="35"/>
        <v>15689</v>
      </c>
      <c r="BY16" s="6">
        <f t="shared" si="36"/>
        <v>-0.28451999999924737</v>
      </c>
      <c r="BZ16" s="6">
        <f t="shared" si="37"/>
        <v>0</v>
      </c>
      <c r="CA16" s="6">
        <f t="shared" si="38"/>
        <v>-0.28451999999924737</v>
      </c>
    </row>
    <row r="17" spans="1:79" s="244" customFormat="1" ht="13.5" thickBot="1" x14ac:dyDescent="0.25">
      <c r="A17" s="135"/>
      <c r="B17" s="762" t="s">
        <v>180</v>
      </c>
      <c r="C17" s="763"/>
      <c r="D17" s="763"/>
      <c r="E17" s="384">
        <f>G17</f>
        <v>3161.94805</v>
      </c>
      <c r="F17" s="387"/>
      <c r="G17" s="377">
        <f>3161948.05/1000</f>
        <v>3161.94805</v>
      </c>
      <c r="H17" s="882">
        <f t="shared" si="0"/>
        <v>1.6943878775862347</v>
      </c>
      <c r="I17" s="882">
        <f t="shared" si="1"/>
        <v>0</v>
      </c>
      <c r="J17" s="882">
        <f t="shared" si="2"/>
        <v>1.6943878775862347</v>
      </c>
      <c r="K17" s="335">
        <v>2000</v>
      </c>
      <c r="L17" s="334">
        <v>1162</v>
      </c>
      <c r="M17" s="328"/>
      <c r="N17" s="740"/>
      <c r="O17" s="911">
        <v>3162</v>
      </c>
      <c r="P17" s="925"/>
      <c r="Q17" s="927">
        <f t="shared" si="12"/>
        <v>3162</v>
      </c>
      <c r="R17" s="901">
        <f t="shared" si="3"/>
        <v>1.694415715946906</v>
      </c>
      <c r="S17" s="901">
        <f t="shared" si="4"/>
        <v>0</v>
      </c>
      <c r="T17" s="901">
        <f t="shared" si="5"/>
        <v>1.694415715946906</v>
      </c>
      <c r="U17" s="327"/>
      <c r="V17" s="328"/>
      <c r="W17" s="328"/>
      <c r="X17" s="326"/>
      <c r="Y17" s="829"/>
      <c r="Z17" s="861"/>
      <c r="AA17" s="830">
        <f t="shared" si="13"/>
        <v>0</v>
      </c>
      <c r="AB17" s="592">
        <f t="shared" si="14"/>
        <v>0</v>
      </c>
      <c r="AC17" s="592">
        <f t="shared" si="15"/>
        <v>0</v>
      </c>
      <c r="AD17" s="592">
        <f t="shared" si="16"/>
        <v>0</v>
      </c>
      <c r="AE17" s="327"/>
      <c r="AF17" s="328"/>
      <c r="AG17" s="328"/>
      <c r="AH17" s="326"/>
      <c r="AI17" s="829"/>
      <c r="AJ17" s="763"/>
      <c r="AK17" s="751">
        <f t="shared" si="17"/>
        <v>0</v>
      </c>
      <c r="AL17" s="592">
        <f t="shared" si="18"/>
        <v>0</v>
      </c>
      <c r="AM17" s="592">
        <f t="shared" si="19"/>
        <v>0</v>
      </c>
      <c r="AN17" s="592">
        <f t="shared" si="20"/>
        <v>0</v>
      </c>
      <c r="AO17" s="327"/>
      <c r="AP17" s="328"/>
      <c r="AQ17" s="328"/>
      <c r="AR17" s="326"/>
      <c r="AS17" s="763"/>
      <c r="AT17" s="763"/>
      <c r="AU17" s="751">
        <f t="shared" si="21"/>
        <v>0</v>
      </c>
      <c r="AV17" s="592">
        <f t="shared" si="22"/>
        <v>0</v>
      </c>
      <c r="AW17" s="592">
        <f t="shared" si="23"/>
        <v>0</v>
      </c>
      <c r="AX17" s="592">
        <f t="shared" si="24"/>
        <v>0</v>
      </c>
      <c r="AY17" s="327"/>
      <c r="AZ17" s="328"/>
      <c r="BA17" s="328"/>
      <c r="BB17" s="326"/>
      <c r="BC17" s="763"/>
      <c r="BD17" s="763"/>
      <c r="BE17" s="751">
        <f t="shared" si="25"/>
        <v>0</v>
      </c>
      <c r="BF17" s="592">
        <f t="shared" si="26"/>
        <v>0</v>
      </c>
      <c r="BG17" s="592">
        <f t="shared" si="27"/>
        <v>0</v>
      </c>
      <c r="BH17" s="592">
        <f t="shared" si="28"/>
        <v>0</v>
      </c>
      <c r="BI17" s="792"/>
      <c r="BJ17" s="792"/>
      <c r="BK17" s="792"/>
      <c r="BL17" s="792"/>
      <c r="BM17" s="763"/>
      <c r="BN17" s="763"/>
      <c r="BO17" s="751">
        <f t="shared" si="29"/>
        <v>0</v>
      </c>
      <c r="BP17" s="592">
        <f t="shared" si="30"/>
        <v>0</v>
      </c>
      <c r="BQ17" s="592">
        <f t="shared" si="31"/>
        <v>0</v>
      </c>
      <c r="BR17" s="592">
        <f t="shared" si="32"/>
        <v>0</v>
      </c>
      <c r="BS17" s="359">
        <f t="shared" ref="BS17:BS25" si="57">SUM(K17:BL17)</f>
        <v>9489.3888314318938</v>
      </c>
      <c r="BT17" s="315" t="e">
        <f>BS17-#REF!</f>
        <v>#REF!</v>
      </c>
      <c r="BU17" s="315"/>
      <c r="BV17" s="6">
        <f t="shared" si="11"/>
        <v>3162</v>
      </c>
      <c r="BW17" s="6">
        <f t="shared" si="34"/>
        <v>0</v>
      </c>
      <c r="BX17" s="6">
        <f t="shared" si="35"/>
        <v>3162</v>
      </c>
      <c r="BY17" s="6">
        <f t="shared" si="36"/>
        <v>-5.1950000000033469E-2</v>
      </c>
      <c r="BZ17" s="6">
        <f t="shared" si="37"/>
        <v>0</v>
      </c>
      <c r="CA17" s="6">
        <f t="shared" si="38"/>
        <v>-5.1950000000033469E-2</v>
      </c>
    </row>
    <row r="18" spans="1:79" s="244" customFormat="1" ht="13.5" thickBot="1" x14ac:dyDescent="0.25">
      <c r="A18" s="135"/>
      <c r="B18" s="764" t="s">
        <v>181</v>
      </c>
      <c r="C18" s="760"/>
      <c r="D18" s="760"/>
      <c r="E18" s="394">
        <f>G18</f>
        <v>3569.7674300000003</v>
      </c>
      <c r="F18" s="391"/>
      <c r="G18" s="392">
        <f>3569767.43/1000</f>
        <v>3569.7674300000003</v>
      </c>
      <c r="H18" s="882">
        <f t="shared" si="0"/>
        <v>1.9129253749738766</v>
      </c>
      <c r="I18" s="882">
        <f t="shared" si="1"/>
        <v>0</v>
      </c>
      <c r="J18" s="882">
        <f t="shared" si="2"/>
        <v>1.9129253749738766</v>
      </c>
      <c r="K18" s="335">
        <v>2000</v>
      </c>
      <c r="L18" s="334">
        <v>1570</v>
      </c>
      <c r="M18" s="328"/>
      <c r="N18" s="740"/>
      <c r="O18" s="911">
        <v>3570</v>
      </c>
      <c r="P18" s="925"/>
      <c r="Q18" s="927">
        <f t="shared" si="12"/>
        <v>3570</v>
      </c>
      <c r="R18" s="901">
        <f t="shared" si="3"/>
        <v>1.9130500018755392</v>
      </c>
      <c r="S18" s="901">
        <f t="shared" si="4"/>
        <v>0</v>
      </c>
      <c r="T18" s="901">
        <f t="shared" si="5"/>
        <v>1.9130500018755392</v>
      </c>
      <c r="U18" s="327"/>
      <c r="V18" s="328"/>
      <c r="W18" s="328"/>
      <c r="X18" s="326"/>
      <c r="Y18" s="829"/>
      <c r="Z18" s="861"/>
      <c r="AA18" s="830">
        <f t="shared" si="13"/>
        <v>0</v>
      </c>
      <c r="AB18" s="592">
        <f t="shared" si="14"/>
        <v>0</v>
      </c>
      <c r="AC18" s="592">
        <f t="shared" si="15"/>
        <v>0</v>
      </c>
      <c r="AD18" s="592">
        <f t="shared" si="16"/>
        <v>0</v>
      </c>
      <c r="AE18" s="327"/>
      <c r="AF18" s="328"/>
      <c r="AG18" s="328"/>
      <c r="AH18" s="326"/>
      <c r="AI18" s="829"/>
      <c r="AJ18" s="760"/>
      <c r="AK18" s="751">
        <f t="shared" si="17"/>
        <v>0</v>
      </c>
      <c r="AL18" s="592">
        <f t="shared" si="18"/>
        <v>0</v>
      </c>
      <c r="AM18" s="592">
        <f t="shared" si="19"/>
        <v>0</v>
      </c>
      <c r="AN18" s="592">
        <f t="shared" si="20"/>
        <v>0</v>
      </c>
      <c r="AO18" s="327"/>
      <c r="AP18" s="328"/>
      <c r="AQ18" s="328"/>
      <c r="AR18" s="326"/>
      <c r="AS18" s="760"/>
      <c r="AT18" s="760"/>
      <c r="AU18" s="751">
        <f t="shared" si="21"/>
        <v>0</v>
      </c>
      <c r="AV18" s="592">
        <f t="shared" si="22"/>
        <v>0</v>
      </c>
      <c r="AW18" s="592">
        <f t="shared" si="23"/>
        <v>0</v>
      </c>
      <c r="AX18" s="592">
        <f t="shared" si="24"/>
        <v>0</v>
      </c>
      <c r="AY18" s="327"/>
      <c r="AZ18" s="328"/>
      <c r="BA18" s="328"/>
      <c r="BB18" s="326"/>
      <c r="BC18" s="760"/>
      <c r="BD18" s="760"/>
      <c r="BE18" s="751">
        <f t="shared" si="25"/>
        <v>0</v>
      </c>
      <c r="BF18" s="592">
        <f t="shared" si="26"/>
        <v>0</v>
      </c>
      <c r="BG18" s="592">
        <f t="shared" si="27"/>
        <v>0</v>
      </c>
      <c r="BH18" s="592">
        <f t="shared" si="28"/>
        <v>0</v>
      </c>
      <c r="BI18" s="327"/>
      <c r="BJ18" s="328"/>
      <c r="BK18" s="328"/>
      <c r="BL18" s="326"/>
      <c r="BM18" s="760"/>
      <c r="BN18" s="760"/>
      <c r="BO18" s="751">
        <f t="shared" si="29"/>
        <v>0</v>
      </c>
      <c r="BP18" s="592">
        <f t="shared" si="30"/>
        <v>0</v>
      </c>
      <c r="BQ18" s="592">
        <f t="shared" si="31"/>
        <v>0</v>
      </c>
      <c r="BR18" s="592">
        <f t="shared" si="32"/>
        <v>0</v>
      </c>
      <c r="BS18" s="359">
        <f t="shared" si="57"/>
        <v>10713.826100003753</v>
      </c>
      <c r="BT18" s="315" t="e">
        <f>BS18-#REF!</f>
        <v>#REF!</v>
      </c>
      <c r="BU18" s="315"/>
      <c r="BV18" s="6">
        <f t="shared" si="11"/>
        <v>3570</v>
      </c>
      <c r="BW18" s="6">
        <f t="shared" si="34"/>
        <v>0</v>
      </c>
      <c r="BX18" s="6">
        <f t="shared" si="35"/>
        <v>3570</v>
      </c>
      <c r="BY18" s="6">
        <f t="shared" si="36"/>
        <v>-0.23256999999966865</v>
      </c>
      <c r="BZ18" s="6">
        <f t="shared" si="37"/>
        <v>0</v>
      </c>
      <c r="CA18" s="6">
        <f t="shared" si="38"/>
        <v>-0.23256999999966865</v>
      </c>
    </row>
    <row r="19" spans="1:79" s="244" customFormat="1" ht="13.5" thickBot="1" x14ac:dyDescent="0.25">
      <c r="A19" s="135"/>
      <c r="B19" s="762" t="s">
        <v>182</v>
      </c>
      <c r="C19" s="763"/>
      <c r="D19" s="763"/>
      <c r="E19" s="384">
        <v>0</v>
      </c>
      <c r="F19" s="387">
        <v>2340</v>
      </c>
      <c r="G19" s="377">
        <v>2340</v>
      </c>
      <c r="H19" s="882">
        <f t="shared" si="0"/>
        <v>0</v>
      </c>
      <c r="I19" s="882">
        <f t="shared" si="1"/>
        <v>1.2539319340024544</v>
      </c>
      <c r="J19" s="882">
        <f t="shared" si="2"/>
        <v>1.2539319340024544</v>
      </c>
      <c r="K19" s="327"/>
      <c r="L19" s="429"/>
      <c r="M19" s="455">
        <v>1404</v>
      </c>
      <c r="N19" s="892">
        <v>936</v>
      </c>
      <c r="O19" s="911"/>
      <c r="P19" s="925">
        <v>2340</v>
      </c>
      <c r="Q19" s="927">
        <f t="shared" si="12"/>
        <v>2340</v>
      </c>
      <c r="R19" s="901">
        <f t="shared" si="3"/>
        <v>0</v>
      </c>
      <c r="S19" s="901">
        <f t="shared" si="4"/>
        <v>1.2539319340024544</v>
      </c>
      <c r="T19" s="901">
        <f t="shared" si="5"/>
        <v>1.2539319340024544</v>
      </c>
      <c r="U19" s="327"/>
      <c r="V19" s="328"/>
      <c r="W19" s="328"/>
      <c r="X19" s="326"/>
      <c r="Y19" s="829"/>
      <c r="Z19" s="861"/>
      <c r="AA19" s="830">
        <f t="shared" si="13"/>
        <v>0</v>
      </c>
      <c r="AB19" s="592">
        <f t="shared" si="14"/>
        <v>0</v>
      </c>
      <c r="AC19" s="592">
        <f t="shared" si="15"/>
        <v>0</v>
      </c>
      <c r="AD19" s="592">
        <f t="shared" si="16"/>
        <v>0</v>
      </c>
      <c r="AE19" s="327"/>
      <c r="AF19" s="328"/>
      <c r="AG19" s="328"/>
      <c r="AH19" s="326"/>
      <c r="AI19" s="829"/>
      <c r="AJ19" s="763"/>
      <c r="AK19" s="751">
        <f t="shared" si="17"/>
        <v>0</v>
      </c>
      <c r="AL19" s="592">
        <f t="shared" si="18"/>
        <v>0</v>
      </c>
      <c r="AM19" s="592">
        <f t="shared" si="19"/>
        <v>0</v>
      </c>
      <c r="AN19" s="592">
        <f t="shared" si="20"/>
        <v>0</v>
      </c>
      <c r="AO19" s="327"/>
      <c r="AP19" s="328"/>
      <c r="AQ19" s="328"/>
      <c r="AR19" s="326"/>
      <c r="AS19" s="763"/>
      <c r="AT19" s="763"/>
      <c r="AU19" s="751">
        <f t="shared" si="21"/>
        <v>0</v>
      </c>
      <c r="AV19" s="592">
        <f t="shared" si="22"/>
        <v>0</v>
      </c>
      <c r="AW19" s="592">
        <f t="shared" si="23"/>
        <v>0</v>
      </c>
      <c r="AX19" s="592">
        <f t="shared" si="24"/>
        <v>0</v>
      </c>
      <c r="AY19" s="327"/>
      <c r="AZ19" s="328"/>
      <c r="BA19" s="328"/>
      <c r="BB19" s="326"/>
      <c r="BC19" s="763"/>
      <c r="BD19" s="763"/>
      <c r="BE19" s="751">
        <f t="shared" si="25"/>
        <v>0</v>
      </c>
      <c r="BF19" s="592">
        <f t="shared" si="26"/>
        <v>0</v>
      </c>
      <c r="BG19" s="592">
        <f t="shared" si="27"/>
        <v>0</v>
      </c>
      <c r="BH19" s="592">
        <f t="shared" si="28"/>
        <v>0</v>
      </c>
      <c r="BI19" s="327"/>
      <c r="BJ19" s="328"/>
      <c r="BK19" s="328"/>
      <c r="BL19" s="326"/>
      <c r="BM19" s="763"/>
      <c r="BN19" s="763"/>
      <c r="BO19" s="751">
        <f t="shared" si="29"/>
        <v>0</v>
      </c>
      <c r="BP19" s="592">
        <f t="shared" si="30"/>
        <v>0</v>
      </c>
      <c r="BQ19" s="592">
        <f t="shared" si="31"/>
        <v>0</v>
      </c>
      <c r="BR19" s="592">
        <f t="shared" si="32"/>
        <v>0</v>
      </c>
      <c r="BS19" s="359">
        <f t="shared" si="57"/>
        <v>7022.5078638680043</v>
      </c>
      <c r="BT19" s="315" t="e">
        <f>BS19-#REF!</f>
        <v>#REF!</v>
      </c>
      <c r="BU19" s="315"/>
      <c r="BV19" s="6">
        <f t="shared" si="11"/>
        <v>0</v>
      </c>
      <c r="BW19" s="6">
        <f t="shared" si="34"/>
        <v>2340</v>
      </c>
      <c r="BX19" s="6">
        <f t="shared" si="35"/>
        <v>2340</v>
      </c>
      <c r="BY19" s="6">
        <f t="shared" si="36"/>
        <v>0</v>
      </c>
      <c r="BZ19" s="6">
        <f t="shared" si="37"/>
        <v>0</v>
      </c>
      <c r="CA19" s="6">
        <f t="shared" si="38"/>
        <v>0</v>
      </c>
    </row>
    <row r="20" spans="1:79" s="244" customFormat="1" ht="12.75" customHeight="1" thickBot="1" x14ac:dyDescent="0.25">
      <c r="A20" s="135"/>
      <c r="B20" s="835" t="s">
        <v>183</v>
      </c>
      <c r="C20" s="767"/>
      <c r="D20" s="767"/>
      <c r="E20" s="394">
        <v>0</v>
      </c>
      <c r="F20" s="391">
        <v>2081</v>
      </c>
      <c r="G20" s="395">
        <v>2081</v>
      </c>
      <c r="H20" s="882">
        <f t="shared" si="0"/>
        <v>0</v>
      </c>
      <c r="I20" s="882">
        <f t="shared" si="1"/>
        <v>1.1151420319056016</v>
      </c>
      <c r="J20" s="882">
        <f t="shared" si="2"/>
        <v>1.1151420319056016</v>
      </c>
      <c r="K20" s="327"/>
      <c r="L20" s="429"/>
      <c r="M20" s="455">
        <v>600</v>
      </c>
      <c r="N20" s="892">
        <v>832</v>
      </c>
      <c r="O20" s="912"/>
      <c r="P20" s="925">
        <v>1432</v>
      </c>
      <c r="Q20" s="927">
        <f t="shared" si="12"/>
        <v>1432</v>
      </c>
      <c r="R20" s="901">
        <f t="shared" si="3"/>
        <v>0</v>
      </c>
      <c r="S20" s="901">
        <f t="shared" si="4"/>
        <v>0.76736347414167283</v>
      </c>
      <c r="T20" s="901">
        <f t="shared" si="5"/>
        <v>0.76736347414167283</v>
      </c>
      <c r="U20" s="455">
        <v>649</v>
      </c>
      <c r="V20" s="2"/>
      <c r="W20" s="322"/>
      <c r="X20" s="326"/>
      <c r="Y20" s="829"/>
      <c r="Z20" s="861">
        <v>649</v>
      </c>
      <c r="AA20" s="830">
        <f t="shared" si="13"/>
        <v>649</v>
      </c>
      <c r="AB20" s="592">
        <f t="shared" si="14"/>
        <v>0</v>
      </c>
      <c r="AC20" s="592">
        <f t="shared" si="15"/>
        <v>0.3534613593091227</v>
      </c>
      <c r="AD20" s="592">
        <f t="shared" si="16"/>
        <v>0.3534613593091227</v>
      </c>
      <c r="AE20" s="327"/>
      <c r="AF20" s="328"/>
      <c r="AG20" s="328"/>
      <c r="AH20" s="326"/>
      <c r="AI20" s="829"/>
      <c r="AJ20" s="767"/>
      <c r="AK20" s="751">
        <f t="shared" si="17"/>
        <v>0</v>
      </c>
      <c r="AL20" s="592">
        <f t="shared" si="18"/>
        <v>0</v>
      </c>
      <c r="AM20" s="592">
        <f t="shared" si="19"/>
        <v>0</v>
      </c>
      <c r="AN20" s="592">
        <f t="shared" si="20"/>
        <v>0</v>
      </c>
      <c r="AO20" s="327"/>
      <c r="AP20" s="328"/>
      <c r="AQ20" s="328"/>
      <c r="AR20" s="326"/>
      <c r="AS20" s="767"/>
      <c r="AT20" s="767"/>
      <c r="AU20" s="751">
        <f t="shared" si="21"/>
        <v>0</v>
      </c>
      <c r="AV20" s="592">
        <f t="shared" si="22"/>
        <v>0</v>
      </c>
      <c r="AW20" s="592">
        <f t="shared" si="23"/>
        <v>0</v>
      </c>
      <c r="AX20" s="592">
        <f t="shared" si="24"/>
        <v>0</v>
      </c>
      <c r="AY20" s="327"/>
      <c r="AZ20" s="328"/>
      <c r="BA20" s="328"/>
      <c r="BB20" s="326"/>
      <c r="BC20" s="767"/>
      <c r="BD20" s="767"/>
      <c r="BE20" s="751">
        <f t="shared" si="25"/>
        <v>0</v>
      </c>
      <c r="BF20" s="592">
        <f t="shared" si="26"/>
        <v>0</v>
      </c>
      <c r="BG20" s="592">
        <f t="shared" si="27"/>
        <v>0</v>
      </c>
      <c r="BH20" s="592">
        <f t="shared" si="28"/>
        <v>0</v>
      </c>
      <c r="BI20" s="327"/>
      <c r="BJ20" s="328"/>
      <c r="BK20" s="328"/>
      <c r="BL20" s="326"/>
      <c r="BM20" s="767"/>
      <c r="BN20" s="767"/>
      <c r="BO20" s="751">
        <f t="shared" si="29"/>
        <v>0</v>
      </c>
      <c r="BP20" s="592">
        <f t="shared" si="30"/>
        <v>0</v>
      </c>
      <c r="BQ20" s="592">
        <f t="shared" si="31"/>
        <v>0</v>
      </c>
      <c r="BR20" s="592">
        <f t="shared" si="32"/>
        <v>0</v>
      </c>
      <c r="BS20" s="359">
        <f t="shared" si="57"/>
        <v>6245.2416496669011</v>
      </c>
      <c r="BT20" s="315" t="e">
        <f>BS20-#REF!</f>
        <v>#REF!</v>
      </c>
      <c r="BU20" s="315"/>
      <c r="BV20" s="6">
        <f t="shared" si="11"/>
        <v>0</v>
      </c>
      <c r="BW20" s="6">
        <f t="shared" si="34"/>
        <v>2081</v>
      </c>
      <c r="BX20" s="6">
        <f t="shared" si="35"/>
        <v>2081</v>
      </c>
      <c r="BY20" s="6">
        <f t="shared" si="36"/>
        <v>0</v>
      </c>
      <c r="BZ20" s="6">
        <f t="shared" si="37"/>
        <v>0</v>
      </c>
      <c r="CA20" s="6">
        <f t="shared" si="38"/>
        <v>0</v>
      </c>
    </row>
    <row r="21" spans="1:79" s="244" customFormat="1" ht="12.75" customHeight="1" thickBot="1" x14ac:dyDescent="0.3">
      <c r="A21" s="135"/>
      <c r="B21" s="836" t="s">
        <v>184</v>
      </c>
      <c r="C21" s="837"/>
      <c r="D21" s="837"/>
      <c r="E21" s="394">
        <v>0</v>
      </c>
      <c r="F21" s="391">
        <v>1599</v>
      </c>
      <c r="G21" s="395">
        <v>1599</v>
      </c>
      <c r="H21" s="882">
        <f t="shared" si="0"/>
        <v>0</v>
      </c>
      <c r="I21" s="882">
        <f t="shared" si="1"/>
        <v>0.8568534882350104</v>
      </c>
      <c r="J21" s="882">
        <f t="shared" si="2"/>
        <v>0.8568534882350104</v>
      </c>
      <c r="K21" s="327"/>
      <c r="L21" s="328"/>
      <c r="M21" s="455">
        <v>800</v>
      </c>
      <c r="N21" s="892">
        <v>799</v>
      </c>
      <c r="O21" s="913"/>
      <c r="P21" s="925">
        <v>1599</v>
      </c>
      <c r="Q21" s="927">
        <f t="shared" si="12"/>
        <v>1599</v>
      </c>
      <c r="R21" s="901">
        <f t="shared" si="3"/>
        <v>0</v>
      </c>
      <c r="S21" s="901">
        <f t="shared" si="4"/>
        <v>0.8568534882350104</v>
      </c>
      <c r="T21" s="901">
        <f t="shared" si="5"/>
        <v>0.8568534882350104</v>
      </c>
      <c r="U21" s="2"/>
      <c r="V21" s="328"/>
      <c r="W21" s="328"/>
      <c r="X21" s="326"/>
      <c r="Y21" s="829"/>
      <c r="Z21" s="861"/>
      <c r="AA21" s="830">
        <f t="shared" si="13"/>
        <v>0</v>
      </c>
      <c r="AB21" s="592">
        <f t="shared" si="14"/>
        <v>0</v>
      </c>
      <c r="AC21" s="592">
        <f t="shared" si="15"/>
        <v>0</v>
      </c>
      <c r="AD21" s="592">
        <f t="shared" si="16"/>
        <v>0</v>
      </c>
      <c r="AE21" s="327"/>
      <c r="AF21" s="328"/>
      <c r="AG21" s="328"/>
      <c r="AH21" s="326"/>
      <c r="AI21" s="829"/>
      <c r="AJ21" s="768"/>
      <c r="AK21" s="751">
        <f t="shared" si="17"/>
        <v>0</v>
      </c>
      <c r="AL21" s="592">
        <f t="shared" si="18"/>
        <v>0</v>
      </c>
      <c r="AM21" s="592">
        <f t="shared" si="19"/>
        <v>0</v>
      </c>
      <c r="AN21" s="592">
        <f t="shared" si="20"/>
        <v>0</v>
      </c>
      <c r="AO21" s="327"/>
      <c r="AP21" s="328"/>
      <c r="AQ21" s="328"/>
      <c r="AR21" s="326"/>
      <c r="AS21" s="768"/>
      <c r="AT21" s="768"/>
      <c r="AU21" s="751">
        <f t="shared" si="21"/>
        <v>0</v>
      </c>
      <c r="AV21" s="592">
        <f t="shared" si="22"/>
        <v>0</v>
      </c>
      <c r="AW21" s="592">
        <f t="shared" si="23"/>
        <v>0</v>
      </c>
      <c r="AX21" s="592">
        <f t="shared" si="24"/>
        <v>0</v>
      </c>
      <c r="AY21" s="327"/>
      <c r="AZ21" s="328"/>
      <c r="BA21" s="328"/>
      <c r="BB21" s="326"/>
      <c r="BC21" s="768"/>
      <c r="BD21" s="768"/>
      <c r="BE21" s="751">
        <f t="shared" si="25"/>
        <v>0</v>
      </c>
      <c r="BF21" s="592">
        <f t="shared" si="26"/>
        <v>0</v>
      </c>
      <c r="BG21" s="592">
        <f t="shared" si="27"/>
        <v>0</v>
      </c>
      <c r="BH21" s="592">
        <f t="shared" si="28"/>
        <v>0</v>
      </c>
      <c r="BI21" s="327"/>
      <c r="BJ21" s="328"/>
      <c r="BK21" s="328"/>
      <c r="BL21" s="326"/>
      <c r="BM21" s="768"/>
      <c r="BN21" s="768"/>
      <c r="BO21" s="751">
        <f t="shared" si="29"/>
        <v>0</v>
      </c>
      <c r="BP21" s="592">
        <f t="shared" si="30"/>
        <v>0</v>
      </c>
      <c r="BQ21" s="592">
        <f t="shared" si="31"/>
        <v>0</v>
      </c>
      <c r="BR21" s="592">
        <f t="shared" si="32"/>
        <v>0</v>
      </c>
      <c r="BS21" s="359">
        <f t="shared" si="57"/>
        <v>4798.7137069764703</v>
      </c>
      <c r="BT21" s="315" t="e">
        <f>BS21-#REF!</f>
        <v>#REF!</v>
      </c>
      <c r="BU21" s="315"/>
      <c r="BV21" s="6">
        <f t="shared" si="11"/>
        <v>0</v>
      </c>
      <c r="BW21" s="6">
        <f t="shared" si="34"/>
        <v>1599</v>
      </c>
      <c r="BX21" s="6">
        <f t="shared" si="35"/>
        <v>1599</v>
      </c>
      <c r="BY21" s="6">
        <f t="shared" si="36"/>
        <v>0</v>
      </c>
      <c r="BZ21" s="6">
        <f t="shared" si="37"/>
        <v>0</v>
      </c>
      <c r="CA21" s="6">
        <f t="shared" si="38"/>
        <v>0</v>
      </c>
    </row>
    <row r="22" spans="1:79" s="244" customFormat="1" ht="12.75" customHeight="1" thickBot="1" x14ac:dyDescent="0.25">
      <c r="A22" s="135"/>
      <c r="B22" s="838" t="s">
        <v>185</v>
      </c>
      <c r="C22" s="839"/>
      <c r="D22" s="839"/>
      <c r="E22" s="394">
        <v>0</v>
      </c>
      <c r="F22" s="391">
        <v>1192</v>
      </c>
      <c r="G22" s="395">
        <v>1192</v>
      </c>
      <c r="H22" s="882">
        <f t="shared" si="0"/>
        <v>0</v>
      </c>
      <c r="I22" s="882">
        <f t="shared" si="1"/>
        <v>0.63875507065424164</v>
      </c>
      <c r="J22" s="882">
        <f t="shared" si="2"/>
        <v>0.63875507065424164</v>
      </c>
      <c r="K22" s="327"/>
      <c r="L22" s="328"/>
      <c r="M22" s="455">
        <v>600</v>
      </c>
      <c r="N22" s="892">
        <v>592</v>
      </c>
      <c r="O22" s="912"/>
      <c r="P22" s="925">
        <v>1192</v>
      </c>
      <c r="Q22" s="927">
        <f t="shared" si="12"/>
        <v>1192</v>
      </c>
      <c r="R22" s="901">
        <f t="shared" si="3"/>
        <v>0</v>
      </c>
      <c r="S22" s="901">
        <f t="shared" si="4"/>
        <v>0.63875507065424164</v>
      </c>
      <c r="T22" s="901">
        <f t="shared" si="5"/>
        <v>0.63875507065424164</v>
      </c>
      <c r="U22" s="2"/>
      <c r="V22" s="328"/>
      <c r="W22" s="328"/>
      <c r="X22" s="326"/>
      <c r="Y22" s="829"/>
      <c r="Z22" s="861"/>
      <c r="AA22" s="830">
        <f t="shared" si="13"/>
        <v>0</v>
      </c>
      <c r="AB22" s="592">
        <f t="shared" si="14"/>
        <v>0</v>
      </c>
      <c r="AC22" s="592">
        <f t="shared" si="15"/>
        <v>0</v>
      </c>
      <c r="AD22" s="592">
        <f t="shared" si="16"/>
        <v>0</v>
      </c>
      <c r="AE22" s="327"/>
      <c r="AF22" s="328"/>
      <c r="AG22" s="328"/>
      <c r="AH22" s="326"/>
      <c r="AI22" s="829"/>
      <c r="AJ22" s="769"/>
      <c r="AK22" s="751">
        <f t="shared" si="17"/>
        <v>0</v>
      </c>
      <c r="AL22" s="592">
        <f t="shared" si="18"/>
        <v>0</v>
      </c>
      <c r="AM22" s="592">
        <f t="shared" si="19"/>
        <v>0</v>
      </c>
      <c r="AN22" s="592">
        <f t="shared" si="20"/>
        <v>0</v>
      </c>
      <c r="AO22" s="327"/>
      <c r="AP22" s="328"/>
      <c r="AQ22" s="328"/>
      <c r="AR22" s="326"/>
      <c r="AS22" s="769"/>
      <c r="AT22" s="769"/>
      <c r="AU22" s="751">
        <f t="shared" si="21"/>
        <v>0</v>
      </c>
      <c r="AV22" s="592">
        <f t="shared" si="22"/>
        <v>0</v>
      </c>
      <c r="AW22" s="592">
        <f t="shared" si="23"/>
        <v>0</v>
      </c>
      <c r="AX22" s="592">
        <f t="shared" si="24"/>
        <v>0</v>
      </c>
      <c r="AY22" s="327"/>
      <c r="AZ22" s="328"/>
      <c r="BA22" s="328"/>
      <c r="BB22" s="326"/>
      <c r="BC22" s="769"/>
      <c r="BD22" s="769"/>
      <c r="BE22" s="751">
        <f t="shared" si="25"/>
        <v>0</v>
      </c>
      <c r="BF22" s="592">
        <f t="shared" si="26"/>
        <v>0</v>
      </c>
      <c r="BG22" s="592">
        <f t="shared" si="27"/>
        <v>0</v>
      </c>
      <c r="BH22" s="592">
        <f t="shared" si="28"/>
        <v>0</v>
      </c>
      <c r="BI22" s="327"/>
      <c r="BJ22" s="328"/>
      <c r="BK22" s="328"/>
      <c r="BL22" s="326"/>
      <c r="BM22" s="769"/>
      <c r="BN22" s="769"/>
      <c r="BO22" s="751">
        <f t="shared" si="29"/>
        <v>0</v>
      </c>
      <c r="BP22" s="592">
        <f t="shared" si="30"/>
        <v>0</v>
      </c>
      <c r="BQ22" s="592">
        <f t="shared" si="31"/>
        <v>0</v>
      </c>
      <c r="BR22" s="592">
        <f t="shared" si="32"/>
        <v>0</v>
      </c>
      <c r="BS22" s="359">
        <f t="shared" si="57"/>
        <v>3577.2775101413081</v>
      </c>
      <c r="BT22" s="315" t="e">
        <f>BS22-#REF!</f>
        <v>#REF!</v>
      </c>
      <c r="BU22" s="315"/>
      <c r="BV22" s="6">
        <f t="shared" si="11"/>
        <v>0</v>
      </c>
      <c r="BW22" s="6">
        <f t="shared" si="34"/>
        <v>1192</v>
      </c>
      <c r="BX22" s="6">
        <f t="shared" si="35"/>
        <v>1192</v>
      </c>
      <c r="BY22" s="6">
        <f t="shared" si="36"/>
        <v>0</v>
      </c>
      <c r="BZ22" s="6">
        <f t="shared" si="37"/>
        <v>0</v>
      </c>
      <c r="CA22" s="6">
        <f t="shared" si="38"/>
        <v>0</v>
      </c>
    </row>
    <row r="23" spans="1:79" s="244" customFormat="1" ht="12.75" customHeight="1" thickBot="1" x14ac:dyDescent="0.25">
      <c r="A23" s="135"/>
      <c r="B23" s="838" t="s">
        <v>186</v>
      </c>
      <c r="C23" s="839"/>
      <c r="D23" s="839"/>
      <c r="E23" s="394"/>
      <c r="F23" s="391">
        <v>264</v>
      </c>
      <c r="G23" s="395">
        <v>264</v>
      </c>
      <c r="H23" s="882">
        <f t="shared" si="0"/>
        <v>0</v>
      </c>
      <c r="I23" s="882">
        <f t="shared" si="1"/>
        <v>0.14146924383617435</v>
      </c>
      <c r="J23" s="882">
        <f t="shared" si="2"/>
        <v>0.14146924383617435</v>
      </c>
      <c r="K23" s="327"/>
      <c r="L23" s="328"/>
      <c r="M23" s="455">
        <v>264</v>
      </c>
      <c r="N23" s="740"/>
      <c r="O23" s="912"/>
      <c r="P23" s="925">
        <v>264</v>
      </c>
      <c r="Q23" s="927">
        <f t="shared" si="12"/>
        <v>264</v>
      </c>
      <c r="R23" s="901">
        <f t="shared" si="3"/>
        <v>0</v>
      </c>
      <c r="S23" s="901">
        <f t="shared" si="4"/>
        <v>0.14146924383617435</v>
      </c>
      <c r="T23" s="901">
        <f t="shared" si="5"/>
        <v>0.14146924383617435</v>
      </c>
      <c r="U23" s="2"/>
      <c r="V23" s="328"/>
      <c r="W23" s="328"/>
      <c r="X23" s="326"/>
      <c r="Y23" s="829"/>
      <c r="Z23" s="861"/>
      <c r="AA23" s="830">
        <f t="shared" si="13"/>
        <v>0</v>
      </c>
      <c r="AB23" s="592">
        <f t="shared" si="14"/>
        <v>0</v>
      </c>
      <c r="AC23" s="592">
        <f t="shared" si="15"/>
        <v>0</v>
      </c>
      <c r="AD23" s="592">
        <f t="shared" si="16"/>
        <v>0</v>
      </c>
      <c r="AE23" s="327"/>
      <c r="AF23" s="328"/>
      <c r="AG23" s="328"/>
      <c r="AH23" s="326"/>
      <c r="AI23" s="829"/>
      <c r="AJ23" s="769"/>
      <c r="AK23" s="751">
        <f t="shared" si="17"/>
        <v>0</v>
      </c>
      <c r="AL23" s="592">
        <f t="shared" si="18"/>
        <v>0</v>
      </c>
      <c r="AM23" s="592">
        <f t="shared" si="19"/>
        <v>0</v>
      </c>
      <c r="AN23" s="592">
        <f t="shared" si="20"/>
        <v>0</v>
      </c>
      <c r="AO23" s="327"/>
      <c r="AP23" s="328"/>
      <c r="AQ23" s="328"/>
      <c r="AR23" s="326"/>
      <c r="AS23" s="769"/>
      <c r="AT23" s="769"/>
      <c r="AU23" s="751">
        <f t="shared" si="21"/>
        <v>0</v>
      </c>
      <c r="AV23" s="592">
        <f t="shared" si="22"/>
        <v>0</v>
      </c>
      <c r="AW23" s="592">
        <f t="shared" si="23"/>
        <v>0</v>
      </c>
      <c r="AX23" s="592">
        <f t="shared" si="24"/>
        <v>0</v>
      </c>
      <c r="AY23" s="327"/>
      <c r="AZ23" s="328"/>
      <c r="BA23" s="328"/>
      <c r="BB23" s="326"/>
      <c r="BC23" s="769"/>
      <c r="BD23" s="769"/>
      <c r="BE23" s="751">
        <f t="shared" si="25"/>
        <v>0</v>
      </c>
      <c r="BF23" s="592">
        <f t="shared" si="26"/>
        <v>0</v>
      </c>
      <c r="BG23" s="592">
        <f t="shared" si="27"/>
        <v>0</v>
      </c>
      <c r="BH23" s="592">
        <f t="shared" si="28"/>
        <v>0</v>
      </c>
      <c r="BI23" s="327"/>
      <c r="BJ23" s="328"/>
      <c r="BK23" s="328"/>
      <c r="BL23" s="326"/>
      <c r="BM23" s="769"/>
      <c r="BN23" s="769"/>
      <c r="BO23" s="751">
        <f t="shared" si="29"/>
        <v>0</v>
      </c>
      <c r="BP23" s="592">
        <f t="shared" si="30"/>
        <v>0</v>
      </c>
      <c r="BQ23" s="592">
        <f t="shared" si="31"/>
        <v>0</v>
      </c>
      <c r="BR23" s="592">
        <f t="shared" si="32"/>
        <v>0</v>
      </c>
      <c r="BS23" s="359">
        <f t="shared" si="57"/>
        <v>792.28293848767225</v>
      </c>
      <c r="BT23" s="315" t="e">
        <f>BS23-#REF!</f>
        <v>#REF!</v>
      </c>
      <c r="BU23" s="315"/>
      <c r="BV23" s="6">
        <f t="shared" si="11"/>
        <v>0</v>
      </c>
      <c r="BW23" s="6">
        <f t="shared" si="34"/>
        <v>264</v>
      </c>
      <c r="BX23" s="6">
        <f t="shared" si="35"/>
        <v>264</v>
      </c>
      <c r="BY23" s="6">
        <f t="shared" si="36"/>
        <v>0</v>
      </c>
      <c r="BZ23" s="6">
        <f t="shared" si="37"/>
        <v>0</v>
      </c>
      <c r="CA23" s="6">
        <f t="shared" si="38"/>
        <v>0</v>
      </c>
    </row>
    <row r="24" spans="1:79" s="244" customFormat="1" ht="12.75" customHeight="1" thickBot="1" x14ac:dyDescent="0.25">
      <c r="A24" s="135"/>
      <c r="B24" s="838" t="s">
        <v>187</v>
      </c>
      <c r="C24" s="839"/>
      <c r="D24" s="839"/>
      <c r="E24" s="394"/>
      <c r="F24" s="391">
        <v>439</v>
      </c>
      <c r="G24" s="395">
        <v>439</v>
      </c>
      <c r="H24" s="882">
        <f t="shared" si="0"/>
        <v>0</v>
      </c>
      <c r="I24" s="882">
        <f t="shared" si="1"/>
        <v>0.23524620471242624</v>
      </c>
      <c r="J24" s="882">
        <f t="shared" si="2"/>
        <v>0.23524620471242624</v>
      </c>
      <c r="K24" s="327"/>
      <c r="L24" s="328"/>
      <c r="M24" s="455">
        <v>439</v>
      </c>
      <c r="N24" s="2"/>
      <c r="O24" s="912"/>
      <c r="P24" s="925">
        <v>439</v>
      </c>
      <c r="Q24" s="927">
        <f t="shared" si="12"/>
        <v>439</v>
      </c>
      <c r="R24" s="901">
        <f t="shared" si="3"/>
        <v>0</v>
      </c>
      <c r="S24" s="901">
        <f t="shared" si="4"/>
        <v>0.23524620471242624</v>
      </c>
      <c r="T24" s="901">
        <f t="shared" si="5"/>
        <v>0.23524620471242624</v>
      </c>
      <c r="U24" s="2"/>
      <c r="V24" s="328"/>
      <c r="W24" s="328"/>
      <c r="X24" s="326"/>
      <c r="Y24" s="829"/>
      <c r="Z24" s="861"/>
      <c r="AA24" s="830">
        <f t="shared" si="13"/>
        <v>0</v>
      </c>
      <c r="AB24" s="592">
        <f t="shared" si="14"/>
        <v>0</v>
      </c>
      <c r="AC24" s="592">
        <f t="shared" si="15"/>
        <v>0</v>
      </c>
      <c r="AD24" s="592">
        <f t="shared" si="16"/>
        <v>0</v>
      </c>
      <c r="AE24" s="327"/>
      <c r="AF24" s="328"/>
      <c r="AG24" s="328"/>
      <c r="AH24" s="326"/>
      <c r="AI24" s="829"/>
      <c r="AJ24" s="769"/>
      <c r="AK24" s="751">
        <f t="shared" si="17"/>
        <v>0</v>
      </c>
      <c r="AL24" s="592">
        <f t="shared" si="18"/>
        <v>0</v>
      </c>
      <c r="AM24" s="592">
        <f t="shared" si="19"/>
        <v>0</v>
      </c>
      <c r="AN24" s="592">
        <f t="shared" si="20"/>
        <v>0</v>
      </c>
      <c r="AO24" s="327"/>
      <c r="AP24" s="328"/>
      <c r="AQ24" s="328"/>
      <c r="AR24" s="326"/>
      <c r="AS24" s="769"/>
      <c r="AT24" s="769"/>
      <c r="AU24" s="751">
        <f t="shared" si="21"/>
        <v>0</v>
      </c>
      <c r="AV24" s="592">
        <f t="shared" si="22"/>
        <v>0</v>
      </c>
      <c r="AW24" s="592">
        <f t="shared" si="23"/>
        <v>0</v>
      </c>
      <c r="AX24" s="592">
        <f t="shared" si="24"/>
        <v>0</v>
      </c>
      <c r="AY24" s="327"/>
      <c r="AZ24" s="328"/>
      <c r="BA24" s="328"/>
      <c r="BB24" s="326"/>
      <c r="BC24" s="769"/>
      <c r="BD24" s="769"/>
      <c r="BE24" s="751">
        <f t="shared" si="25"/>
        <v>0</v>
      </c>
      <c r="BF24" s="592">
        <f t="shared" si="26"/>
        <v>0</v>
      </c>
      <c r="BG24" s="592">
        <f t="shared" si="27"/>
        <v>0</v>
      </c>
      <c r="BH24" s="592">
        <f t="shared" si="28"/>
        <v>0</v>
      </c>
      <c r="BI24" s="327"/>
      <c r="BJ24" s="328"/>
      <c r="BK24" s="328"/>
      <c r="BL24" s="326"/>
      <c r="BM24" s="769"/>
      <c r="BN24" s="769"/>
      <c r="BO24" s="751">
        <f t="shared" si="29"/>
        <v>0</v>
      </c>
      <c r="BP24" s="592">
        <f t="shared" si="30"/>
        <v>0</v>
      </c>
      <c r="BQ24" s="592">
        <f t="shared" si="31"/>
        <v>0</v>
      </c>
      <c r="BR24" s="592">
        <f t="shared" si="32"/>
        <v>0</v>
      </c>
      <c r="BS24" s="359">
        <f t="shared" si="57"/>
        <v>1317.4704924094249</v>
      </c>
      <c r="BT24" s="315" t="e">
        <f>BS24-#REF!</f>
        <v>#REF!</v>
      </c>
      <c r="BU24" s="315"/>
      <c r="BV24" s="6">
        <f t="shared" si="11"/>
        <v>0</v>
      </c>
      <c r="BW24" s="6">
        <f t="shared" si="34"/>
        <v>439</v>
      </c>
      <c r="BX24" s="6">
        <f t="shared" si="35"/>
        <v>439</v>
      </c>
      <c r="BY24" s="6">
        <f t="shared" si="36"/>
        <v>0</v>
      </c>
      <c r="BZ24" s="6">
        <f t="shared" si="37"/>
        <v>0</v>
      </c>
      <c r="CA24" s="6">
        <f t="shared" si="38"/>
        <v>0</v>
      </c>
    </row>
    <row r="25" spans="1:79" s="244" customFormat="1" ht="12.75" customHeight="1" thickBot="1" x14ac:dyDescent="0.25">
      <c r="A25" s="135"/>
      <c r="B25" s="838" t="s">
        <v>188</v>
      </c>
      <c r="C25" s="839"/>
      <c r="D25" s="839"/>
      <c r="E25" s="394"/>
      <c r="F25" s="391">
        <v>1042</v>
      </c>
      <c r="G25" s="395">
        <v>1042</v>
      </c>
      <c r="H25" s="882">
        <f t="shared" si="0"/>
        <v>0</v>
      </c>
      <c r="I25" s="882">
        <f t="shared" si="1"/>
        <v>0.55837481847459713</v>
      </c>
      <c r="J25" s="882">
        <f t="shared" si="2"/>
        <v>0.55837481847459713</v>
      </c>
      <c r="K25" s="327"/>
      <c r="L25" s="328"/>
      <c r="M25" s="455">
        <v>500</v>
      </c>
      <c r="N25" s="892">
        <v>542</v>
      </c>
      <c r="O25" s="912"/>
      <c r="P25" s="925">
        <v>1042</v>
      </c>
      <c r="Q25" s="927">
        <f t="shared" si="12"/>
        <v>1042</v>
      </c>
      <c r="R25" s="901">
        <f t="shared" si="3"/>
        <v>0</v>
      </c>
      <c r="S25" s="901">
        <f t="shared" si="4"/>
        <v>0.55837481847459713</v>
      </c>
      <c r="T25" s="901">
        <f t="shared" si="5"/>
        <v>0.55837481847459713</v>
      </c>
      <c r="U25" s="2"/>
      <c r="V25" s="328"/>
      <c r="W25" s="328"/>
      <c r="X25" s="326"/>
      <c r="Y25" s="829"/>
      <c r="Z25" s="861"/>
      <c r="AA25" s="830">
        <f t="shared" si="13"/>
        <v>0</v>
      </c>
      <c r="AB25" s="592">
        <f t="shared" si="14"/>
        <v>0</v>
      </c>
      <c r="AC25" s="592">
        <f t="shared" si="15"/>
        <v>0</v>
      </c>
      <c r="AD25" s="592">
        <f t="shared" si="16"/>
        <v>0</v>
      </c>
      <c r="AE25" s="327"/>
      <c r="AF25" s="328"/>
      <c r="AG25" s="328"/>
      <c r="AH25" s="326"/>
      <c r="AI25" s="829"/>
      <c r="AJ25" s="769"/>
      <c r="AK25" s="751">
        <f t="shared" si="17"/>
        <v>0</v>
      </c>
      <c r="AL25" s="592">
        <f t="shared" si="18"/>
        <v>0</v>
      </c>
      <c r="AM25" s="592">
        <f t="shared" si="19"/>
        <v>0</v>
      </c>
      <c r="AN25" s="592">
        <f t="shared" si="20"/>
        <v>0</v>
      </c>
      <c r="AO25" s="327"/>
      <c r="AP25" s="328"/>
      <c r="AQ25" s="328"/>
      <c r="AR25" s="326"/>
      <c r="AS25" s="769"/>
      <c r="AT25" s="769"/>
      <c r="AU25" s="751">
        <f t="shared" si="21"/>
        <v>0</v>
      </c>
      <c r="AV25" s="592">
        <f t="shared" si="22"/>
        <v>0</v>
      </c>
      <c r="AW25" s="592">
        <f t="shared" si="23"/>
        <v>0</v>
      </c>
      <c r="AX25" s="592">
        <f t="shared" si="24"/>
        <v>0</v>
      </c>
      <c r="AY25" s="327"/>
      <c r="AZ25" s="328"/>
      <c r="BA25" s="328"/>
      <c r="BB25" s="326"/>
      <c r="BC25" s="769"/>
      <c r="BD25" s="769"/>
      <c r="BE25" s="751">
        <f t="shared" si="25"/>
        <v>0</v>
      </c>
      <c r="BF25" s="592">
        <f t="shared" si="26"/>
        <v>0</v>
      </c>
      <c r="BG25" s="592">
        <f t="shared" si="27"/>
        <v>0</v>
      </c>
      <c r="BH25" s="592">
        <f t="shared" si="28"/>
        <v>0</v>
      </c>
      <c r="BI25" s="327"/>
      <c r="BJ25" s="328"/>
      <c r="BK25" s="328"/>
      <c r="BL25" s="326"/>
      <c r="BM25" s="769"/>
      <c r="BN25" s="769"/>
      <c r="BO25" s="751">
        <f t="shared" si="29"/>
        <v>0</v>
      </c>
      <c r="BP25" s="592">
        <f t="shared" si="30"/>
        <v>0</v>
      </c>
      <c r="BQ25" s="592">
        <f t="shared" si="31"/>
        <v>0</v>
      </c>
      <c r="BR25" s="592">
        <f t="shared" si="32"/>
        <v>0</v>
      </c>
      <c r="BS25" s="359">
        <f t="shared" si="57"/>
        <v>3127.116749636949</v>
      </c>
      <c r="BT25" s="315" t="e">
        <f>BS25-#REF!</f>
        <v>#REF!</v>
      </c>
      <c r="BU25" s="315"/>
      <c r="BV25" s="6">
        <f t="shared" si="11"/>
        <v>0</v>
      </c>
      <c r="BW25" s="6">
        <f t="shared" si="34"/>
        <v>1042</v>
      </c>
      <c r="BX25" s="6">
        <f t="shared" si="35"/>
        <v>1042</v>
      </c>
      <c r="BY25" s="6">
        <f t="shared" si="36"/>
        <v>0</v>
      </c>
      <c r="BZ25" s="6">
        <f t="shared" si="37"/>
        <v>0</v>
      </c>
      <c r="CA25" s="6">
        <f t="shared" si="38"/>
        <v>0</v>
      </c>
    </row>
    <row r="26" spans="1:79" s="629" customFormat="1" ht="15" customHeight="1" thickBot="1" x14ac:dyDescent="0.25">
      <c r="A26" s="622"/>
      <c r="B26" s="759" t="s">
        <v>34</v>
      </c>
      <c r="C26" s="760"/>
      <c r="D26" s="761"/>
      <c r="E26" s="624">
        <f>E27</f>
        <v>0</v>
      </c>
      <c r="F26" s="624">
        <f>F27</f>
        <v>3483</v>
      </c>
      <c r="G26" s="624">
        <f>G27</f>
        <v>3483</v>
      </c>
      <c r="H26" s="882">
        <f t="shared" si="0"/>
        <v>0</v>
      </c>
      <c r="I26" s="882">
        <f t="shared" si="1"/>
        <v>1.8664294556113454</v>
      </c>
      <c r="J26" s="882">
        <f t="shared" si="2"/>
        <v>1.8664294556113454</v>
      </c>
      <c r="K26" s="624">
        <f t="shared" ref="K26:Q26" si="58">K27</f>
        <v>0</v>
      </c>
      <c r="L26" s="624">
        <f t="shared" si="58"/>
        <v>0</v>
      </c>
      <c r="M26" s="624">
        <f t="shared" si="58"/>
        <v>0</v>
      </c>
      <c r="N26" s="893">
        <f t="shared" si="58"/>
        <v>0</v>
      </c>
      <c r="O26" s="902">
        <f t="shared" si="58"/>
        <v>0</v>
      </c>
      <c r="P26" s="925">
        <f t="shared" si="58"/>
        <v>0</v>
      </c>
      <c r="Q26" s="927">
        <f t="shared" si="58"/>
        <v>0</v>
      </c>
      <c r="R26" s="901">
        <f t="shared" si="3"/>
        <v>0</v>
      </c>
      <c r="S26" s="901">
        <f t="shared" si="4"/>
        <v>0</v>
      </c>
      <c r="T26" s="901">
        <f t="shared" si="5"/>
        <v>0</v>
      </c>
      <c r="U26" s="624">
        <f t="shared" ref="U26:AA26" si="59">U27</f>
        <v>983</v>
      </c>
      <c r="V26" s="624">
        <f t="shared" si="59"/>
        <v>1000</v>
      </c>
      <c r="W26" s="624">
        <f t="shared" si="59"/>
        <v>1000</v>
      </c>
      <c r="X26" s="624">
        <f t="shared" si="59"/>
        <v>500</v>
      </c>
      <c r="Y26" s="624">
        <f t="shared" si="59"/>
        <v>0</v>
      </c>
      <c r="Z26" s="624">
        <f t="shared" si="59"/>
        <v>3483</v>
      </c>
      <c r="AA26" s="624">
        <f t="shared" si="59"/>
        <v>3483</v>
      </c>
      <c r="AB26" s="592">
        <f t="shared" si="14"/>
        <v>0</v>
      </c>
      <c r="AC26" s="592">
        <f t="shared" si="15"/>
        <v>1.8969274491119787</v>
      </c>
      <c r="AD26" s="592">
        <f t="shared" si="16"/>
        <v>1.8969274491119787</v>
      </c>
      <c r="AE26" s="624">
        <f t="shared" ref="AE26:AK26" si="60">AE27</f>
        <v>0</v>
      </c>
      <c r="AF26" s="624">
        <f t="shared" si="60"/>
        <v>0</v>
      </c>
      <c r="AG26" s="624">
        <f t="shared" si="60"/>
        <v>0</v>
      </c>
      <c r="AH26" s="624">
        <f t="shared" si="60"/>
        <v>0</v>
      </c>
      <c r="AI26" s="624">
        <f t="shared" si="60"/>
        <v>0</v>
      </c>
      <c r="AJ26" s="624">
        <f t="shared" si="60"/>
        <v>0</v>
      </c>
      <c r="AK26" s="624">
        <f t="shared" si="60"/>
        <v>0</v>
      </c>
      <c r="AL26" s="592">
        <f t="shared" si="18"/>
        <v>0</v>
      </c>
      <c r="AM26" s="592">
        <f t="shared" si="19"/>
        <v>0</v>
      </c>
      <c r="AN26" s="592">
        <f t="shared" si="20"/>
        <v>0</v>
      </c>
      <c r="AO26" s="624">
        <f t="shared" ref="AO26:AU26" si="61">AO27</f>
        <v>0</v>
      </c>
      <c r="AP26" s="624">
        <f t="shared" si="61"/>
        <v>0</v>
      </c>
      <c r="AQ26" s="624">
        <f t="shared" si="61"/>
        <v>0</v>
      </c>
      <c r="AR26" s="624">
        <f t="shared" si="61"/>
        <v>0</v>
      </c>
      <c r="AS26" s="624">
        <f t="shared" si="61"/>
        <v>0</v>
      </c>
      <c r="AT26" s="624">
        <f t="shared" si="61"/>
        <v>0</v>
      </c>
      <c r="AU26" s="624">
        <f t="shared" si="61"/>
        <v>0</v>
      </c>
      <c r="AV26" s="592">
        <f t="shared" si="22"/>
        <v>0</v>
      </c>
      <c r="AW26" s="592">
        <f t="shared" si="23"/>
        <v>0</v>
      </c>
      <c r="AX26" s="592">
        <f t="shared" si="24"/>
        <v>0</v>
      </c>
      <c r="AY26" s="624">
        <f t="shared" ref="AY26:BE26" si="62">AY27</f>
        <v>0</v>
      </c>
      <c r="AZ26" s="624">
        <f t="shared" si="62"/>
        <v>0</v>
      </c>
      <c r="BA26" s="624">
        <f t="shared" si="62"/>
        <v>0</v>
      </c>
      <c r="BB26" s="624">
        <f t="shared" si="62"/>
        <v>0</v>
      </c>
      <c r="BC26" s="624">
        <f t="shared" si="62"/>
        <v>0</v>
      </c>
      <c r="BD26" s="624">
        <f t="shared" si="62"/>
        <v>0</v>
      </c>
      <c r="BE26" s="624">
        <f t="shared" si="62"/>
        <v>0</v>
      </c>
      <c r="BF26" s="592">
        <f t="shared" si="26"/>
        <v>0</v>
      </c>
      <c r="BG26" s="592">
        <f t="shared" si="27"/>
        <v>0</v>
      </c>
      <c r="BH26" s="592">
        <f t="shared" si="28"/>
        <v>0</v>
      </c>
      <c r="BI26" s="624">
        <f t="shared" ref="BI26:BO26" si="63">BI27</f>
        <v>0</v>
      </c>
      <c r="BJ26" s="624">
        <f t="shared" si="63"/>
        <v>0</v>
      </c>
      <c r="BK26" s="624">
        <f t="shared" si="63"/>
        <v>0</v>
      </c>
      <c r="BL26" s="624">
        <f t="shared" si="63"/>
        <v>0</v>
      </c>
      <c r="BM26" s="624">
        <f t="shared" si="63"/>
        <v>0</v>
      </c>
      <c r="BN26" s="624">
        <f t="shared" si="63"/>
        <v>0</v>
      </c>
      <c r="BO26" s="624">
        <f t="shared" si="63"/>
        <v>0</v>
      </c>
      <c r="BP26" s="592">
        <f t="shared" si="30"/>
        <v>0</v>
      </c>
      <c r="BQ26" s="592">
        <f t="shared" si="31"/>
        <v>0</v>
      </c>
      <c r="BR26" s="592">
        <f t="shared" si="32"/>
        <v>0</v>
      </c>
      <c r="BS26" s="359">
        <f t="shared" ref="BS26:BS34" si="64">SUM(K26:BL26)</f>
        <v>10452.793854898224</v>
      </c>
      <c r="BT26" s="315">
        <f>BS26-G26</f>
        <v>6969.7938548982238</v>
      </c>
      <c r="BU26" s="315"/>
      <c r="BV26" s="6">
        <f t="shared" si="11"/>
        <v>0</v>
      </c>
      <c r="BW26" s="6">
        <f t="shared" si="34"/>
        <v>3483</v>
      </c>
      <c r="BX26" s="6">
        <f t="shared" si="35"/>
        <v>3483</v>
      </c>
      <c r="BY26" s="6">
        <f t="shared" si="36"/>
        <v>0</v>
      </c>
      <c r="BZ26" s="6">
        <f t="shared" si="37"/>
        <v>0</v>
      </c>
      <c r="CA26" s="6">
        <f t="shared" si="38"/>
        <v>0</v>
      </c>
    </row>
    <row r="27" spans="1:79" s="244" customFormat="1" ht="12.75" customHeight="1" thickBot="1" x14ac:dyDescent="0.25">
      <c r="A27" s="135"/>
      <c r="B27" s="770" t="s">
        <v>40</v>
      </c>
      <c r="C27" s="771"/>
      <c r="D27" s="771"/>
      <c r="E27" s="709">
        <v>0</v>
      </c>
      <c r="F27" s="710">
        <v>3483</v>
      </c>
      <c r="G27" s="710">
        <v>3483</v>
      </c>
      <c r="H27" s="882">
        <f t="shared" si="0"/>
        <v>0</v>
      </c>
      <c r="I27" s="882">
        <f t="shared" si="1"/>
        <v>1.8664294556113454</v>
      </c>
      <c r="J27" s="882">
        <f t="shared" si="2"/>
        <v>1.8664294556113454</v>
      </c>
      <c r="K27" s="709"/>
      <c r="L27" s="709"/>
      <c r="M27" s="709"/>
      <c r="N27" s="894"/>
      <c r="O27" s="902"/>
      <c r="P27" s="925"/>
      <c r="Q27" s="927">
        <f t="shared" si="12"/>
        <v>0</v>
      </c>
      <c r="R27" s="901">
        <f t="shared" si="3"/>
        <v>0</v>
      </c>
      <c r="S27" s="901">
        <f t="shared" si="4"/>
        <v>0</v>
      </c>
      <c r="T27" s="901">
        <f t="shared" si="5"/>
        <v>0</v>
      </c>
      <c r="U27" s="709">
        <v>983</v>
      </c>
      <c r="V27" s="709">
        <v>1000</v>
      </c>
      <c r="W27" s="709">
        <v>1000</v>
      </c>
      <c r="X27" s="709">
        <v>500</v>
      </c>
      <c r="Y27" s="829"/>
      <c r="Z27" s="861">
        <v>3483</v>
      </c>
      <c r="AA27" s="830">
        <f t="shared" si="13"/>
        <v>3483</v>
      </c>
      <c r="AB27" s="592">
        <f t="shared" si="14"/>
        <v>0</v>
      </c>
      <c r="AC27" s="592">
        <f t="shared" si="15"/>
        <v>1.8969274491119787</v>
      </c>
      <c r="AD27" s="592">
        <f t="shared" si="16"/>
        <v>1.8969274491119787</v>
      </c>
      <c r="AE27" s="562"/>
      <c r="AF27" s="486"/>
      <c r="AG27" s="486"/>
      <c r="AH27" s="475"/>
      <c r="AI27" s="829"/>
      <c r="AJ27" s="771"/>
      <c r="AK27" s="751">
        <f t="shared" si="17"/>
        <v>0</v>
      </c>
      <c r="AL27" s="592">
        <f t="shared" si="18"/>
        <v>0</v>
      </c>
      <c r="AM27" s="592">
        <f t="shared" si="19"/>
        <v>0</v>
      </c>
      <c r="AN27" s="592">
        <f t="shared" si="20"/>
        <v>0</v>
      </c>
      <c r="AO27" s="327"/>
      <c r="AP27" s="328"/>
      <c r="AQ27" s="328"/>
      <c r="AR27" s="326"/>
      <c r="AS27" s="771"/>
      <c r="AT27" s="771"/>
      <c r="AU27" s="751">
        <f t="shared" si="21"/>
        <v>0</v>
      </c>
      <c r="AV27" s="592">
        <f t="shared" si="22"/>
        <v>0</v>
      </c>
      <c r="AW27" s="592">
        <f t="shared" si="23"/>
        <v>0</v>
      </c>
      <c r="AX27" s="592">
        <f t="shared" si="24"/>
        <v>0</v>
      </c>
      <c r="AY27" s="327"/>
      <c r="AZ27" s="328"/>
      <c r="BA27" s="328"/>
      <c r="BB27" s="326"/>
      <c r="BC27" s="771"/>
      <c r="BD27" s="771"/>
      <c r="BE27" s="751">
        <f t="shared" si="25"/>
        <v>0</v>
      </c>
      <c r="BF27" s="592">
        <f t="shared" si="26"/>
        <v>0</v>
      </c>
      <c r="BG27" s="592">
        <f t="shared" si="27"/>
        <v>0</v>
      </c>
      <c r="BH27" s="592">
        <f t="shared" si="28"/>
        <v>0</v>
      </c>
      <c r="BI27" s="327"/>
      <c r="BJ27" s="328"/>
      <c r="BK27" s="328"/>
      <c r="BL27" s="326"/>
      <c r="BM27" s="771"/>
      <c r="BN27" s="771"/>
      <c r="BO27" s="751">
        <f t="shared" si="29"/>
        <v>0</v>
      </c>
      <c r="BP27" s="592">
        <f t="shared" si="30"/>
        <v>0</v>
      </c>
      <c r="BQ27" s="592">
        <f t="shared" si="31"/>
        <v>0</v>
      </c>
      <c r="BR27" s="592">
        <f t="shared" si="32"/>
        <v>0</v>
      </c>
      <c r="BS27" s="359">
        <f>SUM(K27:BL27)</f>
        <v>10452.793854898224</v>
      </c>
      <c r="BT27" s="315" t="e">
        <f>BS27-#REF!</f>
        <v>#REF!</v>
      </c>
      <c r="BU27" s="315"/>
      <c r="BV27" s="6">
        <f t="shared" si="11"/>
        <v>0</v>
      </c>
      <c r="BW27" s="6">
        <f t="shared" si="34"/>
        <v>3483</v>
      </c>
      <c r="BX27" s="6">
        <f t="shared" si="35"/>
        <v>3483</v>
      </c>
      <c r="BY27" s="6">
        <f t="shared" si="36"/>
        <v>0</v>
      </c>
      <c r="BZ27" s="6">
        <f t="shared" si="37"/>
        <v>0</v>
      </c>
      <c r="CA27" s="6">
        <f t="shared" si="38"/>
        <v>0</v>
      </c>
    </row>
    <row r="28" spans="1:79" s="6" customFormat="1" ht="15.75" customHeight="1" thickBot="1" x14ac:dyDescent="0.25">
      <c r="A28" s="2"/>
      <c r="B28" s="711" t="s">
        <v>35</v>
      </c>
      <c r="C28" s="712" t="s">
        <v>7</v>
      </c>
      <c r="D28" s="712"/>
      <c r="E28" s="713">
        <f>E29+E30</f>
        <v>15000</v>
      </c>
      <c r="F28" s="713">
        <f>F29+F30</f>
        <v>30000</v>
      </c>
      <c r="G28" s="713">
        <f>G29+G30</f>
        <v>45000</v>
      </c>
      <c r="H28" s="882">
        <f t="shared" si="0"/>
        <v>8.0380252179644511</v>
      </c>
      <c r="I28" s="882">
        <f t="shared" si="1"/>
        <v>16.076050435928902</v>
      </c>
      <c r="J28" s="882">
        <f t="shared" si="2"/>
        <v>24.114075653893352</v>
      </c>
      <c r="K28" s="713">
        <f>K29+K30</f>
        <v>0</v>
      </c>
      <c r="L28" s="713">
        <f t="shared" ref="L28:Q28" si="65">L29+L30</f>
        <v>0</v>
      </c>
      <c r="M28" s="713">
        <f t="shared" si="65"/>
        <v>0</v>
      </c>
      <c r="N28" s="895">
        <f t="shared" si="65"/>
        <v>0</v>
      </c>
      <c r="O28" s="903">
        <f t="shared" si="65"/>
        <v>0</v>
      </c>
      <c r="P28" s="925">
        <f t="shared" si="65"/>
        <v>0</v>
      </c>
      <c r="Q28" s="927">
        <f t="shared" si="65"/>
        <v>0</v>
      </c>
      <c r="R28" s="901">
        <f t="shared" si="3"/>
        <v>0</v>
      </c>
      <c r="S28" s="901">
        <f t="shared" si="4"/>
        <v>0</v>
      </c>
      <c r="T28" s="901">
        <f t="shared" si="5"/>
        <v>0</v>
      </c>
      <c r="U28" s="713">
        <f t="shared" ref="U28:Z28" si="66">U29+U30</f>
        <v>0</v>
      </c>
      <c r="V28" s="713">
        <f t="shared" si="66"/>
        <v>0</v>
      </c>
      <c r="W28" s="713">
        <f t="shared" si="66"/>
        <v>0</v>
      </c>
      <c r="X28" s="713">
        <f t="shared" si="66"/>
        <v>0</v>
      </c>
      <c r="Y28" s="713">
        <f t="shared" si="66"/>
        <v>0</v>
      </c>
      <c r="Z28" s="713">
        <f t="shared" si="66"/>
        <v>0</v>
      </c>
      <c r="AA28" s="830">
        <f t="shared" si="13"/>
        <v>0</v>
      </c>
      <c r="AB28" s="592">
        <f t="shared" si="14"/>
        <v>0</v>
      </c>
      <c r="AC28" s="592">
        <f t="shared" si="15"/>
        <v>0</v>
      </c>
      <c r="AD28" s="592">
        <f t="shared" si="16"/>
        <v>0</v>
      </c>
      <c r="AE28" s="713">
        <f t="shared" ref="AE28:AJ28" si="67">AE29+AE30</f>
        <v>0</v>
      </c>
      <c r="AF28" s="713">
        <f t="shared" si="67"/>
        <v>0</v>
      </c>
      <c r="AG28" s="713">
        <f t="shared" si="67"/>
        <v>0</v>
      </c>
      <c r="AH28" s="713">
        <f t="shared" si="67"/>
        <v>0</v>
      </c>
      <c r="AI28" s="713">
        <f t="shared" si="67"/>
        <v>0</v>
      </c>
      <c r="AJ28" s="713">
        <f t="shared" si="67"/>
        <v>0</v>
      </c>
      <c r="AK28" s="830">
        <f t="shared" si="17"/>
        <v>0</v>
      </c>
      <c r="AL28" s="592">
        <f t="shared" si="18"/>
        <v>0</v>
      </c>
      <c r="AM28" s="592">
        <f t="shared" si="19"/>
        <v>0</v>
      </c>
      <c r="AN28" s="592">
        <f t="shared" si="20"/>
        <v>0</v>
      </c>
      <c r="AO28" s="713">
        <f t="shared" ref="AO28:AT28" si="68">AO29+AO30</f>
        <v>0</v>
      </c>
      <c r="AP28" s="713">
        <f t="shared" si="68"/>
        <v>0</v>
      </c>
      <c r="AQ28" s="713">
        <f t="shared" si="68"/>
        <v>8000</v>
      </c>
      <c r="AR28" s="713">
        <f t="shared" si="68"/>
        <v>13000</v>
      </c>
      <c r="AS28" s="713">
        <f t="shared" si="68"/>
        <v>8000</v>
      </c>
      <c r="AT28" s="713">
        <f t="shared" si="68"/>
        <v>13000</v>
      </c>
      <c r="AU28" s="830">
        <f t="shared" si="21"/>
        <v>21000</v>
      </c>
      <c r="AV28" s="592">
        <f t="shared" si="22"/>
        <v>4.3569967249198482</v>
      </c>
      <c r="AW28" s="592">
        <f t="shared" si="23"/>
        <v>7.0801196779947535</v>
      </c>
      <c r="AX28" s="592">
        <f t="shared" si="24"/>
        <v>11.437116402914601</v>
      </c>
      <c r="AY28" s="713">
        <f t="shared" ref="AY28:BD28" si="69">AY29+AY30</f>
        <v>13000</v>
      </c>
      <c r="AZ28" s="713">
        <f t="shared" si="69"/>
        <v>11000</v>
      </c>
      <c r="BA28" s="713">
        <f t="shared" si="69"/>
        <v>0</v>
      </c>
      <c r="BB28" s="713">
        <f t="shared" si="69"/>
        <v>0</v>
      </c>
      <c r="BC28" s="713">
        <f t="shared" si="69"/>
        <v>7000</v>
      </c>
      <c r="BD28" s="713">
        <f t="shared" si="69"/>
        <v>17000</v>
      </c>
      <c r="BE28" s="830">
        <f t="shared" si="25"/>
        <v>24000</v>
      </c>
      <c r="BF28" s="592">
        <f t="shared" si="26"/>
        <v>3.8123721343048671</v>
      </c>
      <c r="BG28" s="592">
        <f t="shared" si="27"/>
        <v>9.2586180404546781</v>
      </c>
      <c r="BH28" s="592">
        <f t="shared" si="28"/>
        <v>13.070990174759544</v>
      </c>
      <c r="BI28" s="713">
        <f t="shared" ref="BI28:BN28" si="70">BI29+BI30</f>
        <v>0</v>
      </c>
      <c r="BJ28" s="713">
        <f t="shared" si="70"/>
        <v>0</v>
      </c>
      <c r="BK28" s="713">
        <f t="shared" si="70"/>
        <v>0</v>
      </c>
      <c r="BL28" s="713">
        <f t="shared" si="70"/>
        <v>0</v>
      </c>
      <c r="BM28" s="713">
        <f t="shared" si="70"/>
        <v>0</v>
      </c>
      <c r="BN28" s="713">
        <f t="shared" si="70"/>
        <v>0</v>
      </c>
      <c r="BO28" s="830">
        <f t="shared" si="29"/>
        <v>0</v>
      </c>
      <c r="BP28" s="592">
        <f t="shared" si="30"/>
        <v>0</v>
      </c>
      <c r="BQ28" s="592">
        <f t="shared" si="31"/>
        <v>0</v>
      </c>
      <c r="BR28" s="592">
        <f t="shared" si="32"/>
        <v>0</v>
      </c>
      <c r="BS28" s="359">
        <f>BS29+BS30</f>
        <v>135049.01621315535</v>
      </c>
      <c r="BT28" s="315">
        <f>BS28-G28</f>
        <v>90049.016213155352</v>
      </c>
      <c r="BU28" s="315"/>
      <c r="BV28" s="6">
        <f t="shared" si="11"/>
        <v>15000</v>
      </c>
      <c r="BW28" s="6">
        <f t="shared" si="34"/>
        <v>30000</v>
      </c>
      <c r="BX28" s="6">
        <f t="shared" si="35"/>
        <v>45000</v>
      </c>
      <c r="BY28" s="6">
        <f t="shared" si="36"/>
        <v>0</v>
      </c>
      <c r="BZ28" s="6">
        <f t="shared" si="37"/>
        <v>0</v>
      </c>
      <c r="CA28" s="6">
        <f t="shared" si="38"/>
        <v>0</v>
      </c>
    </row>
    <row r="29" spans="1:79" s="244" customFormat="1" ht="12.75" customHeight="1" thickBot="1" x14ac:dyDescent="0.25">
      <c r="A29" s="135"/>
      <c r="B29" s="840" t="s">
        <v>41</v>
      </c>
      <c r="C29" s="772"/>
      <c r="D29" s="772"/>
      <c r="E29" s="369">
        <v>10000</v>
      </c>
      <c r="F29" s="371">
        <v>15000</v>
      </c>
      <c r="G29" s="373">
        <v>25000</v>
      </c>
      <c r="H29" s="882">
        <f t="shared" si="0"/>
        <v>5.3586834786429671</v>
      </c>
      <c r="I29" s="882">
        <f t="shared" si="1"/>
        <v>8.0380252179644511</v>
      </c>
      <c r="J29" s="882">
        <f t="shared" si="2"/>
        <v>13.396708696607417</v>
      </c>
      <c r="K29" s="562"/>
      <c r="L29" s="486"/>
      <c r="M29" s="486"/>
      <c r="N29" s="896"/>
      <c r="O29" s="914"/>
      <c r="P29" s="925"/>
      <c r="Q29" s="927">
        <f t="shared" si="12"/>
        <v>0</v>
      </c>
      <c r="R29" s="901">
        <f t="shared" si="3"/>
        <v>0</v>
      </c>
      <c r="S29" s="901">
        <f t="shared" si="4"/>
        <v>0</v>
      </c>
      <c r="T29" s="901">
        <f t="shared" si="5"/>
        <v>0</v>
      </c>
      <c r="U29" s="562"/>
      <c r="V29" s="486"/>
      <c r="W29" s="486"/>
      <c r="X29" s="475"/>
      <c r="Y29" s="829"/>
      <c r="Z29" s="861"/>
      <c r="AA29" s="830">
        <f t="shared" si="13"/>
        <v>0</v>
      </c>
      <c r="AB29" s="592">
        <f t="shared" si="14"/>
        <v>0</v>
      </c>
      <c r="AC29" s="592">
        <f t="shared" si="15"/>
        <v>0</v>
      </c>
      <c r="AD29" s="592">
        <f t="shared" si="16"/>
        <v>0</v>
      </c>
      <c r="AE29" s="562"/>
      <c r="AF29" s="486"/>
      <c r="AG29" s="486"/>
      <c r="AH29" s="475"/>
      <c r="AI29" s="829"/>
      <c r="AJ29" s="772"/>
      <c r="AK29" s="751">
        <f t="shared" si="17"/>
        <v>0</v>
      </c>
      <c r="AL29" s="592">
        <f t="shared" si="18"/>
        <v>0</v>
      </c>
      <c r="AM29" s="592">
        <f t="shared" si="19"/>
        <v>0</v>
      </c>
      <c r="AN29" s="592">
        <f t="shared" si="20"/>
        <v>0</v>
      </c>
      <c r="AO29" s="328"/>
      <c r="AP29" s="432"/>
      <c r="AQ29" s="455">
        <v>5000</v>
      </c>
      <c r="AR29" s="455">
        <v>7000</v>
      </c>
      <c r="AS29" s="772">
        <v>5000</v>
      </c>
      <c r="AT29" s="772">
        <v>7000</v>
      </c>
      <c r="AU29" s="751">
        <f t="shared" si="21"/>
        <v>12000</v>
      </c>
      <c r="AV29" s="592">
        <f t="shared" si="22"/>
        <v>2.7231229530749053</v>
      </c>
      <c r="AW29" s="592">
        <f t="shared" si="23"/>
        <v>3.8123721343048671</v>
      </c>
      <c r="AX29" s="592">
        <f t="shared" si="24"/>
        <v>6.5354950873797719</v>
      </c>
      <c r="AY29" s="455">
        <v>7000</v>
      </c>
      <c r="AZ29" s="455">
        <v>6000</v>
      </c>
      <c r="BA29" s="328"/>
      <c r="BB29" s="326"/>
      <c r="BC29" s="772">
        <v>5000</v>
      </c>
      <c r="BD29" s="772">
        <v>8000</v>
      </c>
      <c r="BE29" s="751">
        <f t="shared" si="25"/>
        <v>13000</v>
      </c>
      <c r="BF29" s="592">
        <f t="shared" si="26"/>
        <v>2.7231229530749053</v>
      </c>
      <c r="BG29" s="592">
        <f t="shared" si="27"/>
        <v>4.3569967249198482</v>
      </c>
      <c r="BH29" s="592">
        <f t="shared" si="28"/>
        <v>7.0801196779947535</v>
      </c>
      <c r="BI29" s="327"/>
      <c r="BJ29" s="328"/>
      <c r="BK29" s="328"/>
      <c r="BL29" s="326"/>
      <c r="BM29" s="772"/>
      <c r="BN29" s="772"/>
      <c r="BO29" s="751">
        <f t="shared" si="29"/>
        <v>0</v>
      </c>
      <c r="BP29" s="592">
        <f t="shared" si="30"/>
        <v>0</v>
      </c>
      <c r="BQ29" s="592">
        <f t="shared" si="31"/>
        <v>0</v>
      </c>
      <c r="BR29" s="592">
        <f t="shared" si="32"/>
        <v>0</v>
      </c>
      <c r="BS29" s="359">
        <f t="shared" si="64"/>
        <v>75027.231229530749</v>
      </c>
      <c r="BT29" s="315" t="e">
        <f>BS29-#REF!</f>
        <v>#REF!</v>
      </c>
      <c r="BU29" s="315"/>
      <c r="BV29" s="6">
        <f t="shared" si="11"/>
        <v>10000</v>
      </c>
      <c r="BW29" s="6">
        <f t="shared" si="34"/>
        <v>15000</v>
      </c>
      <c r="BX29" s="6">
        <f t="shared" si="35"/>
        <v>25000</v>
      </c>
      <c r="BY29" s="6">
        <f t="shared" si="36"/>
        <v>0</v>
      </c>
      <c r="BZ29" s="6">
        <f t="shared" si="37"/>
        <v>0</v>
      </c>
      <c r="CA29" s="6">
        <f t="shared" si="38"/>
        <v>0</v>
      </c>
    </row>
    <row r="30" spans="1:79" s="244" customFormat="1" ht="12.75" customHeight="1" thickBot="1" x14ac:dyDescent="0.25">
      <c r="A30" s="135"/>
      <c r="B30" s="841" t="s">
        <v>42</v>
      </c>
      <c r="C30" s="720"/>
      <c r="D30" s="720"/>
      <c r="E30" s="369">
        <v>5000</v>
      </c>
      <c r="F30" s="371">
        <v>15000</v>
      </c>
      <c r="G30" s="373">
        <v>20000</v>
      </c>
      <c r="H30" s="882">
        <f t="shared" si="0"/>
        <v>2.6793417393214836</v>
      </c>
      <c r="I30" s="882">
        <f t="shared" si="1"/>
        <v>8.0380252179644511</v>
      </c>
      <c r="J30" s="882">
        <f t="shared" si="2"/>
        <v>10.717366957285934</v>
      </c>
      <c r="K30" s="562"/>
      <c r="L30" s="486"/>
      <c r="M30" s="486"/>
      <c r="N30" s="896"/>
      <c r="O30" s="915"/>
      <c r="P30" s="925"/>
      <c r="Q30" s="927">
        <f t="shared" si="12"/>
        <v>0</v>
      </c>
      <c r="R30" s="901">
        <f t="shared" si="3"/>
        <v>0</v>
      </c>
      <c r="S30" s="901">
        <f t="shared" si="4"/>
        <v>0</v>
      </c>
      <c r="T30" s="901">
        <f t="shared" si="5"/>
        <v>0</v>
      </c>
      <c r="U30" s="562"/>
      <c r="V30" s="486"/>
      <c r="W30" s="486"/>
      <c r="X30" s="475"/>
      <c r="Y30" s="829"/>
      <c r="Z30" s="861"/>
      <c r="AA30" s="830">
        <f t="shared" si="13"/>
        <v>0</v>
      </c>
      <c r="AB30" s="592">
        <f t="shared" si="14"/>
        <v>0</v>
      </c>
      <c r="AC30" s="592">
        <f t="shared" si="15"/>
        <v>0</v>
      </c>
      <c r="AD30" s="592">
        <f t="shared" si="16"/>
        <v>0</v>
      </c>
      <c r="AE30" s="562"/>
      <c r="AF30" s="486"/>
      <c r="AG30" s="486"/>
      <c r="AH30" s="475"/>
      <c r="AI30" s="829"/>
      <c r="AJ30" s="720"/>
      <c r="AK30" s="751">
        <f t="shared" si="17"/>
        <v>0</v>
      </c>
      <c r="AL30" s="592">
        <f t="shared" si="18"/>
        <v>0</v>
      </c>
      <c r="AM30" s="592">
        <f t="shared" si="19"/>
        <v>0</v>
      </c>
      <c r="AN30" s="592">
        <f t="shared" si="20"/>
        <v>0</v>
      </c>
      <c r="AO30" s="327"/>
      <c r="AP30" s="328"/>
      <c r="AQ30" s="455">
        <v>3000</v>
      </c>
      <c r="AR30" s="455">
        <v>6000</v>
      </c>
      <c r="AS30" s="720">
        <v>3000</v>
      </c>
      <c r="AT30" s="720">
        <v>6000</v>
      </c>
      <c r="AU30" s="751">
        <f t="shared" si="21"/>
        <v>9000</v>
      </c>
      <c r="AV30" s="592">
        <f t="shared" si="22"/>
        <v>1.633873771844943</v>
      </c>
      <c r="AW30" s="592">
        <f t="shared" si="23"/>
        <v>3.267747543689886</v>
      </c>
      <c r="AX30" s="592">
        <f t="shared" si="24"/>
        <v>4.9016213155348289</v>
      </c>
      <c r="AY30" s="455">
        <v>6000</v>
      </c>
      <c r="AZ30" s="455">
        <v>5000</v>
      </c>
      <c r="BA30" s="328"/>
      <c r="BB30" s="326"/>
      <c r="BC30" s="720">
        <v>2000</v>
      </c>
      <c r="BD30" s="720">
        <v>9000</v>
      </c>
      <c r="BE30" s="751">
        <f t="shared" si="25"/>
        <v>11000</v>
      </c>
      <c r="BF30" s="592">
        <f t="shared" si="26"/>
        <v>1.0892491812299621</v>
      </c>
      <c r="BG30" s="592">
        <f t="shared" si="27"/>
        <v>4.9016213155348289</v>
      </c>
      <c r="BH30" s="592">
        <f t="shared" si="28"/>
        <v>5.9908704967647912</v>
      </c>
      <c r="BI30" s="327"/>
      <c r="BJ30" s="328"/>
      <c r="BK30" s="328"/>
      <c r="BL30" s="326"/>
      <c r="BM30" s="720"/>
      <c r="BN30" s="720"/>
      <c r="BO30" s="751">
        <f t="shared" si="29"/>
        <v>0</v>
      </c>
      <c r="BP30" s="592">
        <f t="shared" si="30"/>
        <v>0</v>
      </c>
      <c r="BQ30" s="592">
        <f t="shared" si="31"/>
        <v>0</v>
      </c>
      <c r="BR30" s="592">
        <f t="shared" si="32"/>
        <v>0</v>
      </c>
      <c r="BS30" s="359">
        <f t="shared" si="64"/>
        <v>60021.784983624595</v>
      </c>
      <c r="BT30" s="315" t="e">
        <f>BS30-#REF!</f>
        <v>#REF!</v>
      </c>
      <c r="BU30" s="315"/>
      <c r="BV30" s="6">
        <f t="shared" ref="BV30:BV36" si="71">BM30+BC30+AS30+AI30+Y30+O30</f>
        <v>5000</v>
      </c>
      <c r="BW30" s="6">
        <f t="shared" ref="BW30:BW36" si="72">BN30+BD30+AT30+AJ30+Z30+P30</f>
        <v>15000</v>
      </c>
      <c r="BX30" s="6">
        <f t="shared" ref="BX30:BX36" si="73">BO30+BE30+AU30+AK30+AA30+Q30</f>
        <v>20000</v>
      </c>
      <c r="BY30" s="6">
        <f t="shared" ref="BY30:BY36" si="74">E30-BV30</f>
        <v>0</v>
      </c>
      <c r="BZ30" s="6">
        <f t="shared" ref="BZ30:BZ36" si="75">F30-BW30</f>
        <v>0</v>
      </c>
      <c r="CA30" s="6">
        <f t="shared" ref="CA30:CA36" si="76">G30-BX30</f>
        <v>0</v>
      </c>
    </row>
    <row r="31" spans="1:79" s="135" customFormat="1" ht="13.5" thickBot="1" x14ac:dyDescent="0.25">
      <c r="A31" s="2"/>
      <c r="B31" s="824" t="s">
        <v>198</v>
      </c>
      <c r="C31" s="824"/>
      <c r="D31" s="824"/>
      <c r="E31" s="635">
        <v>31214</v>
      </c>
      <c r="F31" s="810">
        <v>5368</v>
      </c>
      <c r="G31" s="635">
        <f>F31+E31</f>
        <v>36582</v>
      </c>
      <c r="H31" s="882">
        <f t="shared" si="0"/>
        <v>16.726594610236155</v>
      </c>
      <c r="I31" s="882">
        <f t="shared" si="1"/>
        <v>2.8765412913355446</v>
      </c>
      <c r="J31" s="882">
        <f t="shared" si="2"/>
        <v>19.603135901571704</v>
      </c>
      <c r="K31" s="636"/>
      <c r="L31" s="636"/>
      <c r="M31" s="636"/>
      <c r="N31" s="897"/>
      <c r="O31" s="916">
        <v>0</v>
      </c>
      <c r="P31" s="925">
        <v>0</v>
      </c>
      <c r="Q31" s="927">
        <v>0</v>
      </c>
      <c r="R31" s="901">
        <f t="shared" si="3"/>
        <v>0</v>
      </c>
      <c r="S31" s="901">
        <f t="shared" si="4"/>
        <v>0</v>
      </c>
      <c r="T31" s="901">
        <f t="shared" si="5"/>
        <v>0</v>
      </c>
      <c r="U31" s="636"/>
      <c r="V31" s="636"/>
      <c r="W31" s="636"/>
      <c r="X31" s="636">
        <f>$G$31/12</f>
        <v>3048.5</v>
      </c>
      <c r="Y31" s="829">
        <v>2865</v>
      </c>
      <c r="Z31" s="861">
        <v>500</v>
      </c>
      <c r="AA31" s="830">
        <f t="shared" ref="AA31:AA59" si="77">Z31+Y31</f>
        <v>3365</v>
      </c>
      <c r="AB31" s="592">
        <f t="shared" si="14"/>
        <v>1.5603494521119208</v>
      </c>
      <c r="AC31" s="592">
        <f t="shared" si="15"/>
        <v>0.27231229530749052</v>
      </c>
      <c r="AD31" s="592">
        <f t="shared" si="16"/>
        <v>1.8326617474194111</v>
      </c>
      <c r="AE31" s="636">
        <f>$G$31/12</f>
        <v>3048.5</v>
      </c>
      <c r="AF31" s="636">
        <f>$G$31/12</f>
        <v>3048.5</v>
      </c>
      <c r="AG31" s="636">
        <f>$G$31/12</f>
        <v>3048.5</v>
      </c>
      <c r="AH31" s="636">
        <f>$G$31/12</f>
        <v>3048.5</v>
      </c>
      <c r="AI31" s="829">
        <v>8000</v>
      </c>
      <c r="AJ31" s="301">
        <v>2368</v>
      </c>
      <c r="AK31" s="929">
        <f>AJ31+AI31</f>
        <v>10368</v>
      </c>
      <c r="AL31" s="592">
        <f t="shared" si="18"/>
        <v>4.3569967249198482</v>
      </c>
      <c r="AM31" s="592">
        <f t="shared" si="19"/>
        <v>1.2896710305762751</v>
      </c>
      <c r="AN31" s="592">
        <f t="shared" si="20"/>
        <v>5.6466677554961233</v>
      </c>
      <c r="AO31" s="636">
        <f>$G$31/12</f>
        <v>3048.5</v>
      </c>
      <c r="AP31" s="636">
        <f>$G$31/12</f>
        <v>3048.5</v>
      </c>
      <c r="AQ31" s="636">
        <f>$G$31/12</f>
        <v>3048.5</v>
      </c>
      <c r="AR31" s="636">
        <f>$G$31/12</f>
        <v>3048.5</v>
      </c>
      <c r="AS31" s="301">
        <v>11252</v>
      </c>
      <c r="AT31" s="301">
        <f>5368-2368-500</f>
        <v>2500</v>
      </c>
      <c r="AU31" s="751">
        <f t="shared" ref="AU31:AU59" si="78">AT31+AS31</f>
        <v>13752</v>
      </c>
      <c r="AV31" s="592">
        <f t="shared" si="22"/>
        <v>6.1281158935997668</v>
      </c>
      <c r="AW31" s="592">
        <f t="shared" si="23"/>
        <v>1.3615614765374526</v>
      </c>
      <c r="AX31" s="592">
        <f t="shared" si="24"/>
        <v>7.4896773701372199</v>
      </c>
      <c r="AY31" s="636">
        <f>$G$31/12</f>
        <v>3048.5</v>
      </c>
      <c r="AZ31" s="636">
        <f>$G$31/12</f>
        <v>3048.5</v>
      </c>
      <c r="BA31" s="636">
        <f>$G$31/12</f>
        <v>3048.5</v>
      </c>
      <c r="BB31" s="636"/>
      <c r="BC31" s="301">
        <f>8479+618</f>
        <v>9097</v>
      </c>
      <c r="BD31" s="301"/>
      <c r="BE31" s="751">
        <f t="shared" ref="BE31:BE59" si="79">BD31+BC31</f>
        <v>9097</v>
      </c>
      <c r="BF31" s="592">
        <f t="shared" si="26"/>
        <v>4.9544499008244829</v>
      </c>
      <c r="BG31" s="592">
        <f t="shared" si="27"/>
        <v>0</v>
      </c>
      <c r="BH31" s="592">
        <f t="shared" si="28"/>
        <v>4.9544499008244829</v>
      </c>
      <c r="BI31" s="636"/>
      <c r="BJ31" s="636"/>
      <c r="BK31" s="636"/>
      <c r="BL31" s="636"/>
      <c r="BM31" s="301"/>
      <c r="BN31" s="301"/>
      <c r="BO31" s="751">
        <f t="shared" ref="BO31:BO59" si="80">BN31+BM31</f>
        <v>0</v>
      </c>
      <c r="BP31" s="592">
        <f t="shared" si="30"/>
        <v>0</v>
      </c>
      <c r="BQ31" s="592">
        <f t="shared" si="31"/>
        <v>0</v>
      </c>
      <c r="BR31" s="592">
        <f t="shared" si="32"/>
        <v>0</v>
      </c>
      <c r="BS31" s="359">
        <f>SUM(K31:BL31)</f>
        <v>109785.84691354775</v>
      </c>
      <c r="BT31" s="315" t="e">
        <f>BS31-#REF!</f>
        <v>#REF!</v>
      </c>
      <c r="BU31" s="315"/>
      <c r="BV31" s="6">
        <f t="shared" si="71"/>
        <v>31214</v>
      </c>
      <c r="BW31" s="6">
        <f t="shared" si="72"/>
        <v>5368</v>
      </c>
      <c r="BX31" s="6">
        <f t="shared" si="73"/>
        <v>36582</v>
      </c>
      <c r="BY31" s="6">
        <f t="shared" si="74"/>
        <v>0</v>
      </c>
      <c r="BZ31" s="6">
        <f t="shared" si="75"/>
        <v>0</v>
      </c>
      <c r="CA31" s="6">
        <f t="shared" si="76"/>
        <v>0</v>
      </c>
    </row>
    <row r="32" spans="1:79" s="640" customFormat="1" ht="12.75" customHeight="1" thickBot="1" x14ac:dyDescent="0.25">
      <c r="A32" s="639"/>
      <c r="B32" s="1244" t="s">
        <v>196</v>
      </c>
      <c r="C32" s="1245"/>
      <c r="D32" s="1245"/>
      <c r="H32" s="882">
        <f>E33/$F$82*100</f>
        <v>0.21434733914571868</v>
      </c>
      <c r="I32" s="882">
        <f>F33/$F$82*100</f>
        <v>2.5614507027913382</v>
      </c>
      <c r="J32" s="882">
        <f>G33/$F$82*100</f>
        <v>2.7757980419370569</v>
      </c>
      <c r="K32" s="843">
        <f t="shared" ref="K32:Q32" si="81">K34+K39+K43</f>
        <v>0</v>
      </c>
      <c r="L32" s="843">
        <f t="shared" si="81"/>
        <v>0</v>
      </c>
      <c r="M32" s="843">
        <f t="shared" si="81"/>
        <v>0</v>
      </c>
      <c r="N32" s="843">
        <f t="shared" si="81"/>
        <v>0</v>
      </c>
      <c r="O32" s="903">
        <f t="shared" si="81"/>
        <v>0</v>
      </c>
      <c r="P32" s="925">
        <f t="shared" si="81"/>
        <v>0</v>
      </c>
      <c r="Q32" s="927">
        <f t="shared" si="81"/>
        <v>0</v>
      </c>
      <c r="R32" s="901">
        <f t="shared" si="3"/>
        <v>0</v>
      </c>
      <c r="S32" s="901">
        <f t="shared" si="4"/>
        <v>0</v>
      </c>
      <c r="T32" s="901">
        <f t="shared" si="5"/>
        <v>0</v>
      </c>
      <c r="U32" s="843">
        <f>U34+U39+U43</f>
        <v>0</v>
      </c>
      <c r="V32" s="843">
        <f t="shared" ref="V32:AA32" si="82">V34+V39+V43</f>
        <v>40</v>
      </c>
      <c r="W32" s="843">
        <f t="shared" si="82"/>
        <v>1230</v>
      </c>
      <c r="X32" s="843">
        <f t="shared" si="82"/>
        <v>40</v>
      </c>
      <c r="Y32" s="843">
        <f t="shared" si="82"/>
        <v>80</v>
      </c>
      <c r="Z32" s="843">
        <f t="shared" si="82"/>
        <v>1230</v>
      </c>
      <c r="AA32" s="843">
        <f t="shared" si="82"/>
        <v>1310</v>
      </c>
      <c r="AB32" s="592">
        <f t="shared" si="14"/>
        <v>4.3569967249198482E-2</v>
      </c>
      <c r="AC32" s="592">
        <f t="shared" si="15"/>
        <v>0.66988824645642675</v>
      </c>
      <c r="AD32" s="592">
        <f t="shared" si="16"/>
        <v>0.71345821370562512</v>
      </c>
      <c r="AE32" s="843">
        <f>AE34+AE39+AE43</f>
        <v>40</v>
      </c>
      <c r="AF32" s="843">
        <f t="shared" ref="AF32:AK32" si="83">AF34+AF39+AF43</f>
        <v>950</v>
      </c>
      <c r="AG32" s="843">
        <f t="shared" si="83"/>
        <v>1240</v>
      </c>
      <c r="AH32" s="843">
        <f t="shared" si="83"/>
        <v>0</v>
      </c>
      <c r="AI32" s="843">
        <f t="shared" si="83"/>
        <v>80</v>
      </c>
      <c r="AJ32" s="843">
        <f t="shared" si="83"/>
        <v>2150</v>
      </c>
      <c r="AK32" s="843">
        <f t="shared" si="83"/>
        <v>2230</v>
      </c>
      <c r="AL32" s="592">
        <f t="shared" si="18"/>
        <v>4.3569967249198482E-2</v>
      </c>
      <c r="AM32" s="592">
        <f t="shared" si="19"/>
        <v>1.1709428698222093</v>
      </c>
      <c r="AN32" s="592">
        <f t="shared" si="20"/>
        <v>1.2145128370714078</v>
      </c>
      <c r="AO32" s="843">
        <f>AO34+AO39+AO43</f>
        <v>40</v>
      </c>
      <c r="AP32" s="843">
        <f t="shared" ref="AP32:AU32" si="84">AP34+AP39+AP43</f>
        <v>600</v>
      </c>
      <c r="AQ32" s="843">
        <f t="shared" si="84"/>
        <v>0</v>
      </c>
      <c r="AR32" s="843">
        <f t="shared" si="84"/>
        <v>500</v>
      </c>
      <c r="AS32" s="843">
        <f t="shared" si="84"/>
        <v>200</v>
      </c>
      <c r="AT32" s="843">
        <f t="shared" si="84"/>
        <v>940</v>
      </c>
      <c r="AU32" s="843">
        <f t="shared" si="84"/>
        <v>1140</v>
      </c>
      <c r="AV32" s="592">
        <f t="shared" si="22"/>
        <v>0.10892491812299621</v>
      </c>
      <c r="AW32" s="592">
        <f t="shared" si="23"/>
        <v>0.51194711517808222</v>
      </c>
      <c r="AX32" s="592">
        <f t="shared" si="24"/>
        <v>0.62087203330107843</v>
      </c>
      <c r="AY32" s="843">
        <f>AY34+AY39+AY43</f>
        <v>0</v>
      </c>
      <c r="AZ32" s="843">
        <f t="shared" ref="AZ32:BE32" si="85">AZ34+AZ39+AZ43</f>
        <v>0</v>
      </c>
      <c r="BA32" s="843">
        <f t="shared" si="85"/>
        <v>0</v>
      </c>
      <c r="BB32" s="843">
        <f t="shared" si="85"/>
        <v>500</v>
      </c>
      <c r="BC32" s="843">
        <f t="shared" si="85"/>
        <v>0</v>
      </c>
      <c r="BD32" s="843">
        <f t="shared" si="85"/>
        <v>500</v>
      </c>
      <c r="BE32" s="843">
        <f t="shared" si="85"/>
        <v>500</v>
      </c>
      <c r="BF32" s="592">
        <f t="shared" si="26"/>
        <v>0</v>
      </c>
      <c r="BG32" s="592">
        <f t="shared" si="27"/>
        <v>0.27231229530749052</v>
      </c>
      <c r="BH32" s="592">
        <f t="shared" si="28"/>
        <v>0.27231229530749052</v>
      </c>
      <c r="BI32" s="843">
        <f>BI34+BI39+BI43</f>
        <v>0</v>
      </c>
      <c r="BJ32" s="843">
        <f t="shared" ref="BJ32:BO32" si="86">BJ34+BJ39+BJ43</f>
        <v>0</v>
      </c>
      <c r="BK32" s="843">
        <f t="shared" si="86"/>
        <v>0</v>
      </c>
      <c r="BL32" s="843">
        <f t="shared" si="86"/>
        <v>0</v>
      </c>
      <c r="BM32" s="843">
        <f t="shared" si="86"/>
        <v>0</v>
      </c>
      <c r="BN32" s="843">
        <f t="shared" si="86"/>
        <v>0</v>
      </c>
      <c r="BO32" s="843">
        <f t="shared" si="86"/>
        <v>0</v>
      </c>
      <c r="BP32" s="592">
        <f t="shared" si="30"/>
        <v>0</v>
      </c>
      <c r="BQ32" s="592">
        <f t="shared" si="31"/>
        <v>0</v>
      </c>
      <c r="BR32" s="592">
        <f t="shared" si="32"/>
        <v>0</v>
      </c>
      <c r="BS32" s="359">
        <f t="shared" si="64"/>
        <v>15545.642310758769</v>
      </c>
      <c r="BT32" s="315">
        <f>BS32-G33</f>
        <v>10365.642310758769</v>
      </c>
      <c r="BU32" s="315"/>
      <c r="BV32" s="6">
        <f t="shared" si="71"/>
        <v>360</v>
      </c>
      <c r="BW32" s="6">
        <f t="shared" si="72"/>
        <v>4820</v>
      </c>
      <c r="BX32" s="6">
        <f t="shared" si="73"/>
        <v>5180</v>
      </c>
      <c r="BY32" s="6">
        <f>E33-BV32</f>
        <v>40</v>
      </c>
      <c r="BZ32" s="6">
        <f>F33-BW32</f>
        <v>-40</v>
      </c>
      <c r="CA32" s="6">
        <f>G33-BX32</f>
        <v>0</v>
      </c>
    </row>
    <row r="33" spans="1:79" s="629" customFormat="1" ht="29.25" customHeight="1" thickBot="1" x14ac:dyDescent="0.25">
      <c r="A33" s="622"/>
      <c r="B33" s="1246"/>
      <c r="C33" s="1247"/>
      <c r="D33" s="1247"/>
      <c r="E33" s="842">
        <f>E34+E39+E43</f>
        <v>400</v>
      </c>
      <c r="F33" s="842">
        <f t="shared" ref="F33:T33" si="87">F34+F39+F43</f>
        <v>4780</v>
      </c>
      <c r="G33" s="842">
        <f t="shared" si="87"/>
        <v>5180</v>
      </c>
      <c r="H33" s="842">
        <f t="shared" si="87"/>
        <v>0.21434733914571868</v>
      </c>
      <c r="I33" s="842">
        <f t="shared" si="87"/>
        <v>2.5614507027913382</v>
      </c>
      <c r="J33" s="842">
        <f t="shared" si="87"/>
        <v>2.7757980419370574</v>
      </c>
      <c r="K33" s="842">
        <f t="shared" si="87"/>
        <v>0</v>
      </c>
      <c r="L33" s="842">
        <f t="shared" si="87"/>
        <v>0</v>
      </c>
      <c r="M33" s="842">
        <f t="shared" si="87"/>
        <v>0</v>
      </c>
      <c r="N33" s="842">
        <f t="shared" si="87"/>
        <v>0</v>
      </c>
      <c r="O33" s="842">
        <f t="shared" si="87"/>
        <v>0</v>
      </c>
      <c r="P33" s="842">
        <f t="shared" si="87"/>
        <v>0</v>
      </c>
      <c r="Q33" s="842">
        <f t="shared" si="87"/>
        <v>0</v>
      </c>
      <c r="R33" s="842">
        <f t="shared" si="87"/>
        <v>0</v>
      </c>
      <c r="S33" s="842">
        <f t="shared" si="87"/>
        <v>0</v>
      </c>
      <c r="T33" s="842">
        <f t="shared" si="87"/>
        <v>0</v>
      </c>
      <c r="U33" s="844"/>
      <c r="V33" s="833"/>
      <c r="W33" s="833"/>
      <c r="X33" s="880"/>
      <c r="Y33" s="829"/>
      <c r="Z33" s="861"/>
      <c r="AA33" s="830">
        <f t="shared" si="77"/>
        <v>0</v>
      </c>
      <c r="AB33" s="592">
        <f t="shared" si="14"/>
        <v>0</v>
      </c>
      <c r="AC33" s="592">
        <f t="shared" si="15"/>
        <v>0</v>
      </c>
      <c r="AD33" s="592">
        <f t="shared" si="16"/>
        <v>0</v>
      </c>
      <c r="AE33" s="844"/>
      <c r="AF33" s="833"/>
      <c r="AG33" s="833"/>
      <c r="AH33" s="880"/>
      <c r="AI33" s="829"/>
      <c r="AJ33" s="827"/>
      <c r="AK33" s="751">
        <f t="shared" ref="AK33:AK59" si="88">AJ33+AI33</f>
        <v>0</v>
      </c>
      <c r="AL33" s="592">
        <f t="shared" si="18"/>
        <v>0</v>
      </c>
      <c r="AM33" s="592">
        <f t="shared" si="19"/>
        <v>0</v>
      </c>
      <c r="AN33" s="592">
        <f t="shared" si="20"/>
        <v>0</v>
      </c>
      <c r="AO33" s="844"/>
      <c r="AP33" s="833"/>
      <c r="AQ33" s="833"/>
      <c r="AR33" s="845"/>
      <c r="AS33" s="881"/>
      <c r="AT33" s="827"/>
      <c r="AU33" s="751">
        <f t="shared" si="78"/>
        <v>0</v>
      </c>
      <c r="AV33" s="592">
        <f t="shared" si="22"/>
        <v>0</v>
      </c>
      <c r="AW33" s="592">
        <f t="shared" si="23"/>
        <v>0</v>
      </c>
      <c r="AX33" s="592">
        <f t="shared" si="24"/>
        <v>0</v>
      </c>
      <c r="AY33" s="844"/>
      <c r="AZ33" s="833"/>
      <c r="BA33" s="833"/>
      <c r="BB33" s="845"/>
      <c r="BC33" s="881"/>
      <c r="BD33" s="827"/>
      <c r="BE33" s="751">
        <f t="shared" si="79"/>
        <v>0</v>
      </c>
      <c r="BF33" s="592">
        <f t="shared" si="26"/>
        <v>0</v>
      </c>
      <c r="BG33" s="592">
        <f t="shared" si="27"/>
        <v>0</v>
      </c>
      <c r="BH33" s="592">
        <f t="shared" si="28"/>
        <v>0</v>
      </c>
      <c r="BI33" s="844"/>
      <c r="BJ33" s="833"/>
      <c r="BK33" s="833"/>
      <c r="BL33" s="845"/>
      <c r="BM33" s="881"/>
      <c r="BN33" s="827"/>
      <c r="BO33" s="751">
        <f t="shared" si="80"/>
        <v>0</v>
      </c>
      <c r="BP33" s="592">
        <f t="shared" si="30"/>
        <v>0</v>
      </c>
      <c r="BQ33" s="592">
        <f t="shared" si="31"/>
        <v>0</v>
      </c>
      <c r="BR33" s="592">
        <f t="shared" si="32"/>
        <v>0</v>
      </c>
      <c r="BS33" s="359">
        <f t="shared" si="64"/>
        <v>0</v>
      </c>
      <c r="BT33" s="315" t="e">
        <f>BS33-#REF!</f>
        <v>#REF!</v>
      </c>
      <c r="BU33" s="315"/>
      <c r="BV33" s="6">
        <f t="shared" si="71"/>
        <v>0</v>
      </c>
      <c r="BW33" s="6">
        <f t="shared" si="72"/>
        <v>0</v>
      </c>
      <c r="BX33" s="6">
        <f t="shared" si="73"/>
        <v>0</v>
      </c>
      <c r="BY33" s="6" t="e">
        <f>#REF!-BV33</f>
        <v>#REF!</v>
      </c>
      <c r="BZ33" s="6" t="e">
        <f>#REF!-BW33</f>
        <v>#REF!</v>
      </c>
      <c r="CA33" s="6" t="e">
        <f>#REF!-BX33</f>
        <v>#REF!</v>
      </c>
    </row>
    <row r="34" spans="1:79" s="244" customFormat="1" ht="31.5" customHeight="1" thickBot="1" x14ac:dyDescent="0.25">
      <c r="A34" s="135"/>
      <c r="B34" s="846" t="s">
        <v>167</v>
      </c>
      <c r="C34" s="847"/>
      <c r="D34" s="848"/>
      <c r="E34" s="498">
        <f>E35+E36+E37+E38</f>
        <v>200</v>
      </c>
      <c r="F34" s="498">
        <f>F35+F36+F37+F38</f>
        <v>2030</v>
      </c>
      <c r="G34" s="498">
        <f>G35+G36+G37+G38</f>
        <v>2230</v>
      </c>
      <c r="H34" s="882">
        <f t="shared" ref="H34:H54" si="89">E34/$F$82*100</f>
        <v>0.10717366957285934</v>
      </c>
      <c r="I34" s="882">
        <f t="shared" ref="I34:I54" si="90">F34/$F$82*100</f>
        <v>1.0878127461645224</v>
      </c>
      <c r="J34" s="882">
        <f t="shared" ref="J34:J54" si="91">G34/$F$82*100</f>
        <v>1.1949864157373817</v>
      </c>
      <c r="K34" s="498">
        <f t="shared" ref="K34:Q34" si="92">K35+K36+K37+K38</f>
        <v>0</v>
      </c>
      <c r="L34" s="498">
        <f t="shared" si="92"/>
        <v>0</v>
      </c>
      <c r="M34" s="498">
        <f t="shared" si="92"/>
        <v>0</v>
      </c>
      <c r="N34" s="579">
        <f t="shared" si="92"/>
        <v>0</v>
      </c>
      <c r="O34" s="903">
        <f t="shared" si="92"/>
        <v>0</v>
      </c>
      <c r="P34" s="925">
        <f t="shared" si="92"/>
        <v>0</v>
      </c>
      <c r="Q34" s="927">
        <f t="shared" si="92"/>
        <v>0</v>
      </c>
      <c r="R34" s="901">
        <f t="shared" ref="R34:R54" si="93">O34/$F$82*100</f>
        <v>0</v>
      </c>
      <c r="S34" s="901">
        <f t="shared" ref="S34:S54" si="94">P34/$F$82*100</f>
        <v>0</v>
      </c>
      <c r="T34" s="901">
        <f t="shared" ref="T34:T54" si="95">Q34/$F$82*100</f>
        <v>0</v>
      </c>
      <c r="U34" s="498">
        <f t="shared" ref="U34:AA34" si="96">U35+U36+U37+U38</f>
        <v>0</v>
      </c>
      <c r="V34" s="498">
        <f t="shared" si="96"/>
        <v>40</v>
      </c>
      <c r="W34" s="498">
        <f t="shared" si="96"/>
        <v>1230</v>
      </c>
      <c r="X34" s="498">
        <f t="shared" si="96"/>
        <v>40</v>
      </c>
      <c r="Y34" s="498">
        <f t="shared" si="96"/>
        <v>80</v>
      </c>
      <c r="Z34" s="498">
        <f t="shared" si="96"/>
        <v>1230</v>
      </c>
      <c r="AA34" s="498">
        <f t="shared" si="96"/>
        <v>1310</v>
      </c>
      <c r="AB34" s="592">
        <f t="shared" si="14"/>
        <v>4.3569967249198482E-2</v>
      </c>
      <c r="AC34" s="592">
        <f t="shared" si="15"/>
        <v>0.66988824645642675</v>
      </c>
      <c r="AD34" s="592">
        <f t="shared" si="16"/>
        <v>0.71345821370562512</v>
      </c>
      <c r="AE34" s="498">
        <f t="shared" ref="AE34:AK34" si="97">AE35+AE36+AE37+AE38</f>
        <v>40</v>
      </c>
      <c r="AF34" s="498">
        <f t="shared" si="97"/>
        <v>0</v>
      </c>
      <c r="AG34" s="498">
        <f t="shared" si="97"/>
        <v>440</v>
      </c>
      <c r="AH34" s="498">
        <f t="shared" si="97"/>
        <v>0</v>
      </c>
      <c r="AI34" s="498">
        <f t="shared" si="97"/>
        <v>80</v>
      </c>
      <c r="AJ34" s="498">
        <f t="shared" si="97"/>
        <v>400</v>
      </c>
      <c r="AK34" s="498">
        <f t="shared" si="97"/>
        <v>480</v>
      </c>
      <c r="AL34" s="592">
        <f t="shared" si="18"/>
        <v>4.3569967249198482E-2</v>
      </c>
      <c r="AM34" s="592">
        <f t="shared" si="19"/>
        <v>0.21784983624599241</v>
      </c>
      <c r="AN34" s="592">
        <f t="shared" si="20"/>
        <v>0.26141980349519089</v>
      </c>
      <c r="AO34" s="498">
        <f t="shared" ref="AO34:AU34" si="98">AO35+AO36+AO37+AO38</f>
        <v>40</v>
      </c>
      <c r="AP34" s="498">
        <f t="shared" si="98"/>
        <v>400</v>
      </c>
      <c r="AQ34" s="498">
        <f t="shared" si="98"/>
        <v>0</v>
      </c>
      <c r="AR34" s="498">
        <f t="shared" si="98"/>
        <v>0</v>
      </c>
      <c r="AS34" s="498">
        <f t="shared" si="98"/>
        <v>0</v>
      </c>
      <c r="AT34" s="498">
        <f t="shared" si="98"/>
        <v>440</v>
      </c>
      <c r="AU34" s="498">
        <f t="shared" si="98"/>
        <v>440</v>
      </c>
      <c r="AV34" s="592">
        <f t="shared" si="22"/>
        <v>0</v>
      </c>
      <c r="AW34" s="592">
        <f t="shared" si="23"/>
        <v>0.23963481987059168</v>
      </c>
      <c r="AX34" s="592">
        <f t="shared" si="24"/>
        <v>0.23963481987059168</v>
      </c>
      <c r="AY34" s="498">
        <f t="shared" ref="AY34:BE34" si="99">AY35+AY36+AY37+AY38</f>
        <v>0</v>
      </c>
      <c r="AZ34" s="498">
        <f t="shared" si="99"/>
        <v>0</v>
      </c>
      <c r="BA34" s="498">
        <f t="shared" si="99"/>
        <v>0</v>
      </c>
      <c r="BB34" s="498">
        <f t="shared" si="99"/>
        <v>0</v>
      </c>
      <c r="BC34" s="498">
        <f t="shared" si="99"/>
        <v>0</v>
      </c>
      <c r="BD34" s="498">
        <f t="shared" si="99"/>
        <v>0</v>
      </c>
      <c r="BE34" s="498">
        <f t="shared" si="99"/>
        <v>0</v>
      </c>
      <c r="BF34" s="592">
        <f t="shared" si="26"/>
        <v>0</v>
      </c>
      <c r="BG34" s="592">
        <f t="shared" si="27"/>
        <v>0</v>
      </c>
      <c r="BH34" s="592">
        <f t="shared" si="28"/>
        <v>0</v>
      </c>
      <c r="BI34" s="498">
        <f t="shared" ref="BI34:BO34" si="100">BI35+BI36+BI37+BI38</f>
        <v>0</v>
      </c>
      <c r="BJ34" s="498">
        <f t="shared" si="100"/>
        <v>0</v>
      </c>
      <c r="BK34" s="498">
        <f t="shared" si="100"/>
        <v>0</v>
      </c>
      <c r="BL34" s="498">
        <f t="shared" si="100"/>
        <v>0</v>
      </c>
      <c r="BM34" s="498">
        <f t="shared" si="100"/>
        <v>0</v>
      </c>
      <c r="BN34" s="498">
        <f t="shared" si="100"/>
        <v>0</v>
      </c>
      <c r="BO34" s="498">
        <f t="shared" si="100"/>
        <v>0</v>
      </c>
      <c r="BP34" s="592">
        <f t="shared" si="30"/>
        <v>0</v>
      </c>
      <c r="BQ34" s="592">
        <f t="shared" si="31"/>
        <v>0</v>
      </c>
      <c r="BR34" s="592">
        <f t="shared" si="32"/>
        <v>0</v>
      </c>
      <c r="BS34" s="359">
        <f t="shared" si="64"/>
        <v>6692.4290256741442</v>
      </c>
      <c r="BT34" s="315">
        <f>BS34-G34</f>
        <v>4462.4290256741442</v>
      </c>
      <c r="BU34" s="315"/>
      <c r="BV34" s="6">
        <f t="shared" si="71"/>
        <v>160</v>
      </c>
      <c r="BW34" s="6">
        <f t="shared" si="72"/>
        <v>2070</v>
      </c>
      <c r="BX34" s="6">
        <f t="shared" si="73"/>
        <v>2230</v>
      </c>
      <c r="BY34" s="6">
        <f t="shared" si="74"/>
        <v>40</v>
      </c>
      <c r="BZ34" s="6">
        <f t="shared" si="75"/>
        <v>-40</v>
      </c>
      <c r="CA34" s="6">
        <f t="shared" si="76"/>
        <v>0</v>
      </c>
    </row>
    <row r="35" spans="1:79" s="244" customFormat="1" ht="25.5" customHeight="1" thickBot="1" x14ac:dyDescent="0.25">
      <c r="A35" s="135"/>
      <c r="B35" s="849" t="s">
        <v>145</v>
      </c>
      <c r="C35" s="773"/>
      <c r="D35" s="773"/>
      <c r="E35" s="654">
        <v>0</v>
      </c>
      <c r="F35" s="649">
        <v>350</v>
      </c>
      <c r="G35" s="377">
        <v>350</v>
      </c>
      <c r="H35" s="882">
        <f t="shared" si="89"/>
        <v>0</v>
      </c>
      <c r="I35" s="882">
        <f t="shared" si="90"/>
        <v>0.18755392175250385</v>
      </c>
      <c r="J35" s="882">
        <f t="shared" si="91"/>
        <v>0.18755392175250385</v>
      </c>
      <c r="K35" s="834"/>
      <c r="L35" s="751"/>
      <c r="M35" s="751"/>
      <c r="N35" s="751"/>
      <c r="O35" s="917"/>
      <c r="P35" s="925"/>
      <c r="Q35" s="927">
        <f t="shared" ref="Q35:Q59" si="101">P35+O35</f>
        <v>0</v>
      </c>
      <c r="R35" s="901">
        <f t="shared" si="93"/>
        <v>0</v>
      </c>
      <c r="S35" s="901">
        <f t="shared" si="94"/>
        <v>0</v>
      </c>
      <c r="T35" s="901">
        <f t="shared" si="95"/>
        <v>0</v>
      </c>
      <c r="U35" s="434"/>
      <c r="V35" s="425"/>
      <c r="W35" s="455">
        <v>350</v>
      </c>
      <c r="X35" s="435"/>
      <c r="Y35" s="829"/>
      <c r="Z35" s="861">
        <v>350</v>
      </c>
      <c r="AA35" s="830">
        <f t="shared" si="77"/>
        <v>350</v>
      </c>
      <c r="AB35" s="592">
        <f t="shared" si="14"/>
        <v>0</v>
      </c>
      <c r="AC35" s="592">
        <f t="shared" si="15"/>
        <v>0.19061860671524336</v>
      </c>
      <c r="AD35" s="592">
        <f t="shared" si="16"/>
        <v>0.19061860671524336</v>
      </c>
      <c r="AE35" s="442"/>
      <c r="AF35" s="443"/>
      <c r="AG35" s="443"/>
      <c r="AH35" s="444"/>
      <c r="AI35" s="829"/>
      <c r="AJ35" s="773"/>
      <c r="AK35" s="751">
        <f t="shared" si="88"/>
        <v>0</v>
      </c>
      <c r="AL35" s="592">
        <f t="shared" si="18"/>
        <v>0</v>
      </c>
      <c r="AM35" s="592">
        <f t="shared" si="19"/>
        <v>0</v>
      </c>
      <c r="AN35" s="592">
        <f t="shared" si="20"/>
        <v>0</v>
      </c>
      <c r="AO35" s="1162"/>
      <c r="AP35" s="1163"/>
      <c r="AQ35" s="1163"/>
      <c r="AR35" s="1163"/>
      <c r="AS35" s="773"/>
      <c r="AT35" s="773"/>
      <c r="AU35" s="751">
        <f t="shared" si="78"/>
        <v>0</v>
      </c>
      <c r="AV35" s="592">
        <f t="shared" si="22"/>
        <v>0</v>
      </c>
      <c r="AW35" s="592">
        <f t="shared" si="23"/>
        <v>0</v>
      </c>
      <c r="AX35" s="592">
        <f t="shared" si="24"/>
        <v>0</v>
      </c>
      <c r="AY35" s="1162"/>
      <c r="AZ35" s="1163"/>
      <c r="BA35" s="1163"/>
      <c r="BB35" s="1163"/>
      <c r="BC35" s="773"/>
      <c r="BD35" s="773"/>
      <c r="BE35" s="751">
        <f t="shared" si="79"/>
        <v>0</v>
      </c>
      <c r="BF35" s="592">
        <f t="shared" si="26"/>
        <v>0</v>
      </c>
      <c r="BG35" s="592">
        <f t="shared" si="27"/>
        <v>0</v>
      </c>
      <c r="BH35" s="592">
        <f t="shared" si="28"/>
        <v>0</v>
      </c>
      <c r="BI35" s="1162"/>
      <c r="BJ35" s="1163"/>
      <c r="BK35" s="1163"/>
      <c r="BL35" s="1163"/>
      <c r="BM35" s="773"/>
      <c r="BN35" s="773"/>
      <c r="BO35" s="751">
        <f t="shared" si="80"/>
        <v>0</v>
      </c>
      <c r="BP35" s="592">
        <f t="shared" si="30"/>
        <v>0</v>
      </c>
      <c r="BQ35" s="592">
        <f t="shared" si="31"/>
        <v>0</v>
      </c>
      <c r="BR35" s="592">
        <f t="shared" si="32"/>
        <v>0</v>
      </c>
      <c r="BS35" s="359">
        <f t="shared" ref="BS35:BS47" si="102">SUM(K35:BL35)</f>
        <v>1050.3812372134303</v>
      </c>
      <c r="BT35" s="315" t="e">
        <f>BS35-#REF!</f>
        <v>#REF!</v>
      </c>
      <c r="BU35" s="315"/>
      <c r="BV35" s="6">
        <f t="shared" si="71"/>
        <v>0</v>
      </c>
      <c r="BW35" s="6">
        <f t="shared" si="72"/>
        <v>350</v>
      </c>
      <c r="BX35" s="6">
        <f t="shared" si="73"/>
        <v>350</v>
      </c>
      <c r="BY35" s="6">
        <f t="shared" si="74"/>
        <v>0</v>
      </c>
      <c r="BZ35" s="6">
        <f t="shared" si="75"/>
        <v>0</v>
      </c>
      <c r="CA35" s="6">
        <f t="shared" si="76"/>
        <v>0</v>
      </c>
    </row>
    <row r="36" spans="1:79" s="244" customFormat="1" ht="28.5" customHeight="1" thickBot="1" x14ac:dyDescent="0.25">
      <c r="A36" s="135"/>
      <c r="B36" s="849" t="s">
        <v>146</v>
      </c>
      <c r="C36" s="773"/>
      <c r="D36" s="773"/>
      <c r="E36" s="654">
        <v>0</v>
      </c>
      <c r="F36" s="649">
        <v>480</v>
      </c>
      <c r="G36" s="377">
        <v>480</v>
      </c>
      <c r="H36" s="882">
        <f t="shared" si="89"/>
        <v>0</v>
      </c>
      <c r="I36" s="882">
        <f t="shared" si="90"/>
        <v>0.25721680697486243</v>
      </c>
      <c r="J36" s="882">
        <f t="shared" si="91"/>
        <v>0.25721680697486243</v>
      </c>
      <c r="K36" s="834"/>
      <c r="L36" s="751"/>
      <c r="M36" s="751"/>
      <c r="N36" s="751"/>
      <c r="O36" s="917"/>
      <c r="P36" s="925"/>
      <c r="Q36" s="927">
        <f t="shared" si="101"/>
        <v>0</v>
      </c>
      <c r="R36" s="901">
        <f t="shared" si="93"/>
        <v>0</v>
      </c>
      <c r="S36" s="901">
        <f t="shared" si="94"/>
        <v>0</v>
      </c>
      <c r="T36" s="901">
        <f t="shared" si="95"/>
        <v>0</v>
      </c>
      <c r="U36" s="434"/>
      <c r="V36" s="425"/>
      <c r="W36" s="455">
        <v>480</v>
      </c>
      <c r="X36" s="435"/>
      <c r="Y36" s="829"/>
      <c r="Z36" s="861">
        <v>480</v>
      </c>
      <c r="AA36" s="830">
        <f t="shared" si="77"/>
        <v>480</v>
      </c>
      <c r="AB36" s="592">
        <f t="shared" si="14"/>
        <v>0</v>
      </c>
      <c r="AC36" s="592">
        <f t="shared" si="15"/>
        <v>0.26141980349519089</v>
      </c>
      <c r="AD36" s="592">
        <f t="shared" si="16"/>
        <v>0.26141980349519089</v>
      </c>
      <c r="AE36" s="1162"/>
      <c r="AF36" s="1163"/>
      <c r="AG36" s="1163"/>
      <c r="AH36" s="1163"/>
      <c r="AI36" s="829"/>
      <c r="AJ36" s="773"/>
      <c r="AK36" s="751">
        <f t="shared" si="88"/>
        <v>0</v>
      </c>
      <c r="AL36" s="592">
        <f t="shared" si="18"/>
        <v>0</v>
      </c>
      <c r="AM36" s="592">
        <f t="shared" si="19"/>
        <v>0</v>
      </c>
      <c r="AN36" s="592">
        <f t="shared" si="20"/>
        <v>0</v>
      </c>
      <c r="AO36" s="1162"/>
      <c r="AP36" s="1163"/>
      <c r="AQ36" s="1163"/>
      <c r="AR36" s="1163"/>
      <c r="AS36" s="773"/>
      <c r="AT36" s="773"/>
      <c r="AU36" s="751">
        <f t="shared" si="78"/>
        <v>0</v>
      </c>
      <c r="AV36" s="592">
        <f t="shared" si="22"/>
        <v>0</v>
      </c>
      <c r="AW36" s="592">
        <f t="shared" si="23"/>
        <v>0</v>
      </c>
      <c r="AX36" s="592">
        <f t="shared" si="24"/>
        <v>0</v>
      </c>
      <c r="AY36" s="1162"/>
      <c r="AZ36" s="1163"/>
      <c r="BA36" s="1163"/>
      <c r="BB36" s="1163"/>
      <c r="BC36" s="773"/>
      <c r="BD36" s="773"/>
      <c r="BE36" s="751">
        <f t="shared" si="79"/>
        <v>0</v>
      </c>
      <c r="BF36" s="592">
        <f t="shared" si="26"/>
        <v>0</v>
      </c>
      <c r="BG36" s="592">
        <f t="shared" si="27"/>
        <v>0</v>
      </c>
      <c r="BH36" s="592">
        <f t="shared" si="28"/>
        <v>0</v>
      </c>
      <c r="BI36" s="1162"/>
      <c r="BJ36" s="1163"/>
      <c r="BK36" s="1163"/>
      <c r="BL36" s="1163"/>
      <c r="BM36" s="773"/>
      <c r="BN36" s="773"/>
      <c r="BO36" s="751">
        <f t="shared" si="80"/>
        <v>0</v>
      </c>
      <c r="BP36" s="592">
        <f t="shared" si="30"/>
        <v>0</v>
      </c>
      <c r="BQ36" s="592">
        <f t="shared" si="31"/>
        <v>0</v>
      </c>
      <c r="BR36" s="592">
        <f t="shared" si="32"/>
        <v>0</v>
      </c>
      <c r="BS36" s="359">
        <f t="shared" si="102"/>
        <v>1440.5228396069906</v>
      </c>
      <c r="BT36" s="315" t="e">
        <f>BS36-#REF!</f>
        <v>#REF!</v>
      </c>
      <c r="BU36" s="315"/>
      <c r="BV36" s="6">
        <f t="shared" si="71"/>
        <v>0</v>
      </c>
      <c r="BW36" s="6">
        <f t="shared" si="72"/>
        <v>480</v>
      </c>
      <c r="BX36" s="6">
        <f t="shared" si="73"/>
        <v>480</v>
      </c>
      <c r="BY36" s="6">
        <f t="shared" si="74"/>
        <v>0</v>
      </c>
      <c r="BZ36" s="6">
        <f t="shared" si="75"/>
        <v>0</v>
      </c>
      <c r="CA36" s="6">
        <f t="shared" si="76"/>
        <v>0</v>
      </c>
    </row>
    <row r="37" spans="1:79" s="244" customFormat="1" ht="22.5" customHeight="1" thickBot="1" x14ac:dyDescent="0.25">
      <c r="A37" s="135"/>
      <c r="B37" s="849" t="s">
        <v>147</v>
      </c>
      <c r="C37" s="773"/>
      <c r="D37" s="773"/>
      <c r="E37" s="648">
        <v>0</v>
      </c>
      <c r="F37" s="649">
        <v>1200</v>
      </c>
      <c r="G37" s="377">
        <v>1200</v>
      </c>
      <c r="H37" s="882">
        <f t="shared" si="89"/>
        <v>0</v>
      </c>
      <c r="I37" s="882">
        <f t="shared" si="90"/>
        <v>0.64304201743715605</v>
      </c>
      <c r="J37" s="882">
        <f t="shared" si="91"/>
        <v>0.64304201743715605</v>
      </c>
      <c r="K37" s="834"/>
      <c r="L37" s="751"/>
      <c r="M37" s="751"/>
      <c r="N37" s="751"/>
      <c r="O37" s="917"/>
      <c r="P37" s="925"/>
      <c r="Q37" s="927">
        <f t="shared" si="101"/>
        <v>0</v>
      </c>
      <c r="R37" s="901">
        <f t="shared" si="93"/>
        <v>0</v>
      </c>
      <c r="S37" s="901">
        <f t="shared" si="94"/>
        <v>0</v>
      </c>
      <c r="T37" s="901">
        <f t="shared" si="95"/>
        <v>0</v>
      </c>
      <c r="U37" s="434"/>
      <c r="V37" s="425"/>
      <c r="W37" s="455">
        <v>400</v>
      </c>
      <c r="X37" s="435"/>
      <c r="Y37" s="829"/>
      <c r="Z37" s="861">
        <v>400</v>
      </c>
      <c r="AA37" s="830">
        <f t="shared" si="77"/>
        <v>400</v>
      </c>
      <c r="AB37" s="592">
        <f t="shared" si="14"/>
        <v>0</v>
      </c>
      <c r="AC37" s="592">
        <f t="shared" si="15"/>
        <v>0.21784983624599241</v>
      </c>
      <c r="AD37" s="592">
        <f t="shared" si="16"/>
        <v>0.21784983624599241</v>
      </c>
      <c r="AE37" s="442"/>
      <c r="AF37" s="443"/>
      <c r="AG37" s="455">
        <v>400</v>
      </c>
      <c r="AH37" s="444"/>
      <c r="AI37" s="829"/>
      <c r="AJ37" s="773">
        <v>400</v>
      </c>
      <c r="AK37" s="751">
        <f t="shared" si="88"/>
        <v>400</v>
      </c>
      <c r="AL37" s="592">
        <f t="shared" si="18"/>
        <v>0</v>
      </c>
      <c r="AM37" s="592">
        <f t="shared" si="19"/>
        <v>0.21784983624599241</v>
      </c>
      <c r="AN37" s="592">
        <f t="shared" si="20"/>
        <v>0.21784983624599241</v>
      </c>
      <c r="AO37" s="317"/>
      <c r="AP37" s="455">
        <v>400</v>
      </c>
      <c r="AQ37" s="318"/>
      <c r="AR37" s="319"/>
      <c r="AS37" s="773"/>
      <c r="AT37" s="773">
        <v>400</v>
      </c>
      <c r="AU37" s="751">
        <f t="shared" si="78"/>
        <v>400</v>
      </c>
      <c r="AV37" s="592">
        <f t="shared" si="22"/>
        <v>0</v>
      </c>
      <c r="AW37" s="592">
        <f t="shared" si="23"/>
        <v>0.21784983624599241</v>
      </c>
      <c r="AX37" s="592">
        <f t="shared" si="24"/>
        <v>0.21784983624599241</v>
      </c>
      <c r="AY37" s="1162"/>
      <c r="AZ37" s="1163"/>
      <c r="BA37" s="1163"/>
      <c r="BB37" s="1163"/>
      <c r="BC37" s="773"/>
      <c r="BD37" s="773"/>
      <c r="BE37" s="751">
        <f t="shared" si="79"/>
        <v>0</v>
      </c>
      <c r="BF37" s="592">
        <f t="shared" si="26"/>
        <v>0</v>
      </c>
      <c r="BG37" s="592">
        <f t="shared" si="27"/>
        <v>0</v>
      </c>
      <c r="BH37" s="592">
        <f t="shared" si="28"/>
        <v>0</v>
      </c>
      <c r="BI37" s="1162"/>
      <c r="BJ37" s="1163"/>
      <c r="BK37" s="1163"/>
      <c r="BL37" s="1163"/>
      <c r="BM37" s="773"/>
      <c r="BN37" s="773"/>
      <c r="BO37" s="751">
        <f t="shared" si="80"/>
        <v>0</v>
      </c>
      <c r="BP37" s="592">
        <f t="shared" si="30"/>
        <v>0</v>
      </c>
      <c r="BQ37" s="592">
        <f t="shared" si="31"/>
        <v>0</v>
      </c>
      <c r="BR37" s="592">
        <f t="shared" si="32"/>
        <v>0</v>
      </c>
      <c r="BS37" s="359">
        <f t="shared" si="102"/>
        <v>3601.3070990174756</v>
      </c>
      <c r="BT37" s="315" t="e">
        <f>BS37-#REF!</f>
        <v>#REF!</v>
      </c>
      <c r="BU37" s="315"/>
      <c r="BV37" s="6">
        <f t="shared" ref="BV37:BV57" si="103">BM37+BC37+AS37+AI37+Y37+O37</f>
        <v>0</v>
      </c>
      <c r="BW37" s="6">
        <f t="shared" ref="BW37:BW58" si="104">BN37+BD37+AT37+AJ37+Z37+P37</f>
        <v>1200</v>
      </c>
      <c r="BX37" s="6">
        <f t="shared" ref="BX37:BX58" si="105">BO37+BE37+AU37+AK37+AA37+Q37</f>
        <v>1200</v>
      </c>
      <c r="BY37" s="6">
        <f t="shared" si="36"/>
        <v>0</v>
      </c>
      <c r="BZ37" s="6">
        <f t="shared" si="37"/>
        <v>0</v>
      </c>
      <c r="CA37" s="6">
        <f t="shared" si="38"/>
        <v>0</v>
      </c>
    </row>
    <row r="38" spans="1:79" s="244" customFormat="1" ht="22.5" customHeight="1" thickBot="1" x14ac:dyDescent="0.25">
      <c r="A38" s="135"/>
      <c r="B38" s="849" t="s">
        <v>155</v>
      </c>
      <c r="C38" s="773"/>
      <c r="D38" s="773"/>
      <c r="E38" s="331">
        <v>200</v>
      </c>
      <c r="F38" s="332"/>
      <c r="G38" s="333">
        <v>200</v>
      </c>
      <c r="H38" s="882">
        <f t="shared" si="89"/>
        <v>0.10717366957285934</v>
      </c>
      <c r="I38" s="882">
        <f t="shared" si="90"/>
        <v>0</v>
      </c>
      <c r="J38" s="882">
        <f t="shared" si="91"/>
        <v>0.10717366957285934</v>
      </c>
      <c r="K38" s="834"/>
      <c r="L38" s="751"/>
      <c r="M38" s="751"/>
      <c r="N38" s="751"/>
      <c r="O38" s="917"/>
      <c r="P38" s="925"/>
      <c r="Q38" s="927">
        <f t="shared" si="101"/>
        <v>0</v>
      </c>
      <c r="R38" s="901">
        <f t="shared" si="93"/>
        <v>0</v>
      </c>
      <c r="S38" s="901">
        <f t="shared" si="94"/>
        <v>0</v>
      </c>
      <c r="T38" s="901">
        <f t="shared" si="95"/>
        <v>0</v>
      </c>
      <c r="U38" s="336"/>
      <c r="V38" s="455">
        <v>40</v>
      </c>
      <c r="W38" s="425"/>
      <c r="X38" s="455">
        <v>40</v>
      </c>
      <c r="Y38" s="829">
        <v>80</v>
      </c>
      <c r="Z38" s="861"/>
      <c r="AA38" s="830">
        <f t="shared" si="77"/>
        <v>80</v>
      </c>
      <c r="AB38" s="592">
        <f t="shared" si="14"/>
        <v>4.3569967249198482E-2</v>
      </c>
      <c r="AC38" s="592">
        <f t="shared" si="15"/>
        <v>0</v>
      </c>
      <c r="AD38" s="592">
        <f t="shared" si="16"/>
        <v>4.3569967249198482E-2</v>
      </c>
      <c r="AE38" s="455">
        <v>40</v>
      </c>
      <c r="AF38" s="442"/>
      <c r="AG38" s="455">
        <v>40</v>
      </c>
      <c r="AH38" s="326"/>
      <c r="AI38" s="829">
        <v>80</v>
      </c>
      <c r="AJ38" s="773"/>
      <c r="AK38" s="751">
        <f t="shared" si="88"/>
        <v>80</v>
      </c>
      <c r="AL38" s="592">
        <f t="shared" si="18"/>
        <v>4.3569967249198482E-2</v>
      </c>
      <c r="AM38" s="592">
        <f t="shared" si="19"/>
        <v>0</v>
      </c>
      <c r="AN38" s="592">
        <f t="shared" si="20"/>
        <v>4.3569967249198482E-2</v>
      </c>
      <c r="AO38" s="455">
        <v>40</v>
      </c>
      <c r="AP38" s="328"/>
      <c r="AQ38" s="328"/>
      <c r="AR38" s="326"/>
      <c r="AS38" s="773"/>
      <c r="AT38" s="773">
        <v>40</v>
      </c>
      <c r="AU38" s="751">
        <f t="shared" si="78"/>
        <v>40</v>
      </c>
      <c r="AV38" s="592">
        <f t="shared" si="22"/>
        <v>0</v>
      </c>
      <c r="AW38" s="592">
        <f t="shared" si="23"/>
        <v>2.1784983624599241E-2</v>
      </c>
      <c r="AX38" s="592">
        <f t="shared" si="24"/>
        <v>2.1784983624599241E-2</v>
      </c>
      <c r="AY38" s="1162"/>
      <c r="AZ38" s="1163"/>
      <c r="BA38" s="1163"/>
      <c r="BB38" s="1163"/>
      <c r="BC38" s="773"/>
      <c r="BD38" s="773"/>
      <c r="BE38" s="751">
        <f t="shared" si="79"/>
        <v>0</v>
      </c>
      <c r="BF38" s="592">
        <f t="shared" si="26"/>
        <v>0</v>
      </c>
      <c r="BG38" s="592">
        <f t="shared" si="27"/>
        <v>0</v>
      </c>
      <c r="BH38" s="592">
        <f t="shared" si="28"/>
        <v>0</v>
      </c>
      <c r="BI38" s="1162"/>
      <c r="BJ38" s="1163"/>
      <c r="BK38" s="1163"/>
      <c r="BL38" s="1163"/>
      <c r="BM38" s="773"/>
      <c r="BN38" s="773"/>
      <c r="BO38" s="751">
        <f t="shared" si="80"/>
        <v>0</v>
      </c>
      <c r="BP38" s="592">
        <f t="shared" si="30"/>
        <v>0</v>
      </c>
      <c r="BQ38" s="592">
        <f t="shared" si="31"/>
        <v>0</v>
      </c>
      <c r="BR38" s="592">
        <f t="shared" si="32"/>
        <v>0</v>
      </c>
      <c r="BS38" s="359">
        <f t="shared" si="102"/>
        <v>600.21784983624593</v>
      </c>
      <c r="BT38" s="315" t="e">
        <f>BS38-#REF!</f>
        <v>#REF!</v>
      </c>
      <c r="BU38" s="315"/>
      <c r="BV38" s="6">
        <f t="shared" si="103"/>
        <v>160</v>
      </c>
      <c r="BW38" s="6">
        <f t="shared" si="104"/>
        <v>40</v>
      </c>
      <c r="BX38" s="6">
        <f t="shared" si="105"/>
        <v>200</v>
      </c>
      <c r="BY38" s="6">
        <f t="shared" si="36"/>
        <v>40</v>
      </c>
      <c r="BZ38" s="6">
        <f t="shared" si="37"/>
        <v>-40</v>
      </c>
      <c r="CA38" s="6">
        <f t="shared" si="38"/>
        <v>0</v>
      </c>
    </row>
    <row r="39" spans="1:79" s="244" customFormat="1" ht="13.5" customHeight="1" thickBot="1" x14ac:dyDescent="0.25">
      <c r="A39" s="135"/>
      <c r="B39" s="850" t="s">
        <v>191</v>
      </c>
      <c r="C39" s="850"/>
      <c r="D39" s="850"/>
      <c r="E39" s="851">
        <f>E41+E42</f>
        <v>0</v>
      </c>
      <c r="F39" s="851">
        <f>F41+F42</f>
        <v>1800</v>
      </c>
      <c r="G39" s="852">
        <f>G41+G42</f>
        <v>1800</v>
      </c>
      <c r="H39" s="882">
        <f t="shared" si="89"/>
        <v>0</v>
      </c>
      <c r="I39" s="882">
        <f t="shared" si="90"/>
        <v>0.96456302615573408</v>
      </c>
      <c r="J39" s="882">
        <f t="shared" si="91"/>
        <v>0.96456302615573408</v>
      </c>
      <c r="K39" s="851">
        <f t="shared" ref="K39:Q39" si="106">K41+K42</f>
        <v>0</v>
      </c>
      <c r="L39" s="851">
        <f t="shared" si="106"/>
        <v>0</v>
      </c>
      <c r="M39" s="852">
        <f t="shared" si="106"/>
        <v>0</v>
      </c>
      <c r="N39" s="851">
        <f t="shared" si="106"/>
        <v>0</v>
      </c>
      <c r="O39" s="903">
        <f t="shared" si="106"/>
        <v>0</v>
      </c>
      <c r="P39" s="925">
        <f t="shared" si="106"/>
        <v>0</v>
      </c>
      <c r="Q39" s="927">
        <f t="shared" si="106"/>
        <v>0</v>
      </c>
      <c r="R39" s="901">
        <f t="shared" si="93"/>
        <v>0</v>
      </c>
      <c r="S39" s="901">
        <f t="shared" si="94"/>
        <v>0</v>
      </c>
      <c r="T39" s="901">
        <f t="shared" si="95"/>
        <v>0</v>
      </c>
      <c r="U39" s="851">
        <f t="shared" ref="U39:AA39" si="107">U41+U42</f>
        <v>0</v>
      </c>
      <c r="V39" s="851">
        <f t="shared" si="107"/>
        <v>0</v>
      </c>
      <c r="W39" s="852">
        <f t="shared" si="107"/>
        <v>0</v>
      </c>
      <c r="X39" s="852">
        <f t="shared" si="107"/>
        <v>0</v>
      </c>
      <c r="Y39" s="852">
        <f t="shared" si="107"/>
        <v>0</v>
      </c>
      <c r="Z39" s="852">
        <f t="shared" si="107"/>
        <v>0</v>
      </c>
      <c r="AA39" s="852">
        <f t="shared" si="107"/>
        <v>0</v>
      </c>
      <c r="AB39" s="592">
        <f t="shared" si="14"/>
        <v>0</v>
      </c>
      <c r="AC39" s="592">
        <f t="shared" si="15"/>
        <v>0</v>
      </c>
      <c r="AD39" s="592">
        <f t="shared" si="16"/>
        <v>0</v>
      </c>
      <c r="AE39" s="851">
        <f t="shared" ref="AE39:AK39" si="108">AE41+AE42</f>
        <v>0</v>
      </c>
      <c r="AF39" s="851">
        <f t="shared" si="108"/>
        <v>0</v>
      </c>
      <c r="AG39" s="852">
        <f t="shared" si="108"/>
        <v>800</v>
      </c>
      <c r="AH39" s="852">
        <f t="shared" si="108"/>
        <v>0</v>
      </c>
      <c r="AI39" s="852">
        <f t="shared" si="108"/>
        <v>0</v>
      </c>
      <c r="AJ39" s="852">
        <f t="shared" si="108"/>
        <v>800</v>
      </c>
      <c r="AK39" s="852">
        <f t="shared" si="108"/>
        <v>800</v>
      </c>
      <c r="AL39" s="592">
        <f t="shared" si="18"/>
        <v>0</v>
      </c>
      <c r="AM39" s="592">
        <f t="shared" si="19"/>
        <v>0.43569967249198482</v>
      </c>
      <c r="AN39" s="592">
        <f t="shared" si="20"/>
        <v>0.43569967249198482</v>
      </c>
      <c r="AO39" s="851">
        <f t="shared" ref="AO39:AU39" si="109">AO41+AO42</f>
        <v>0</v>
      </c>
      <c r="AP39" s="851">
        <f t="shared" si="109"/>
        <v>0</v>
      </c>
      <c r="AQ39" s="852">
        <f t="shared" si="109"/>
        <v>0</v>
      </c>
      <c r="AR39" s="852">
        <f t="shared" si="109"/>
        <v>500</v>
      </c>
      <c r="AS39" s="852">
        <f t="shared" si="109"/>
        <v>0</v>
      </c>
      <c r="AT39" s="852">
        <f t="shared" si="109"/>
        <v>500</v>
      </c>
      <c r="AU39" s="852">
        <f t="shared" si="109"/>
        <v>500</v>
      </c>
      <c r="AV39" s="592">
        <f t="shared" si="22"/>
        <v>0</v>
      </c>
      <c r="AW39" s="592">
        <f t="shared" si="23"/>
        <v>0.27231229530749052</v>
      </c>
      <c r="AX39" s="592">
        <f t="shared" si="24"/>
        <v>0.27231229530749052</v>
      </c>
      <c r="AY39" s="851">
        <f t="shared" ref="AY39:BE39" si="110">AY41+AY42</f>
        <v>0</v>
      </c>
      <c r="AZ39" s="851">
        <f t="shared" si="110"/>
        <v>0</v>
      </c>
      <c r="BA39" s="852">
        <f t="shared" si="110"/>
        <v>0</v>
      </c>
      <c r="BB39" s="852">
        <f t="shared" si="110"/>
        <v>500</v>
      </c>
      <c r="BC39" s="852">
        <f t="shared" si="110"/>
        <v>0</v>
      </c>
      <c r="BD39" s="852">
        <f t="shared" si="110"/>
        <v>500</v>
      </c>
      <c r="BE39" s="852">
        <f t="shared" si="110"/>
        <v>500</v>
      </c>
      <c r="BF39" s="592">
        <f t="shared" si="26"/>
        <v>0</v>
      </c>
      <c r="BG39" s="592">
        <f t="shared" si="27"/>
        <v>0.27231229530749052</v>
      </c>
      <c r="BH39" s="592">
        <f t="shared" si="28"/>
        <v>0.27231229530749052</v>
      </c>
      <c r="BI39" s="851">
        <f t="shared" ref="BI39:BO39" si="111">BI41+BI42</f>
        <v>0</v>
      </c>
      <c r="BJ39" s="851">
        <f t="shared" si="111"/>
        <v>0</v>
      </c>
      <c r="BK39" s="852">
        <f t="shared" si="111"/>
        <v>0</v>
      </c>
      <c r="BL39" s="852">
        <f t="shared" si="111"/>
        <v>0</v>
      </c>
      <c r="BM39" s="852">
        <f t="shared" si="111"/>
        <v>0</v>
      </c>
      <c r="BN39" s="852">
        <f t="shared" si="111"/>
        <v>0</v>
      </c>
      <c r="BO39" s="852">
        <f t="shared" si="111"/>
        <v>0</v>
      </c>
      <c r="BP39" s="592">
        <f t="shared" si="30"/>
        <v>0</v>
      </c>
      <c r="BQ39" s="592">
        <f t="shared" si="31"/>
        <v>0</v>
      </c>
      <c r="BR39" s="592">
        <f t="shared" si="32"/>
        <v>0</v>
      </c>
      <c r="BS39" s="359">
        <f t="shared" si="102"/>
        <v>5401.9606485262138</v>
      </c>
      <c r="BT39" s="315">
        <f>BS39-G39</f>
        <v>3601.9606485262138</v>
      </c>
      <c r="BU39" s="315"/>
      <c r="BV39" s="6">
        <f t="shared" si="103"/>
        <v>0</v>
      </c>
      <c r="BW39" s="6">
        <f t="shared" si="104"/>
        <v>1800</v>
      </c>
      <c r="BX39" s="6">
        <f t="shared" si="105"/>
        <v>1800</v>
      </c>
      <c r="BY39" s="6">
        <f t="shared" si="36"/>
        <v>0</v>
      </c>
      <c r="BZ39" s="6">
        <f t="shared" si="37"/>
        <v>0</v>
      </c>
      <c r="CA39" s="6">
        <f t="shared" si="38"/>
        <v>0</v>
      </c>
    </row>
    <row r="40" spans="1:79" s="244" customFormat="1" ht="13.5" customHeight="1" thickBot="1" x14ac:dyDescent="0.25">
      <c r="A40" s="135"/>
      <c r="B40" s="853"/>
      <c r="C40" s="853"/>
      <c r="D40" s="853"/>
      <c r="E40" s="854"/>
      <c r="F40" s="854"/>
      <c r="G40" s="855"/>
      <c r="H40" s="882">
        <f t="shared" si="89"/>
        <v>0</v>
      </c>
      <c r="I40" s="882">
        <f t="shared" si="90"/>
        <v>0</v>
      </c>
      <c r="J40" s="882">
        <f t="shared" si="91"/>
        <v>0</v>
      </c>
      <c r="K40" s="856"/>
      <c r="L40" s="854"/>
      <c r="M40" s="854"/>
      <c r="N40" s="854"/>
      <c r="O40" s="903"/>
      <c r="P40" s="925"/>
      <c r="Q40" s="927">
        <f t="shared" si="101"/>
        <v>0</v>
      </c>
      <c r="R40" s="901">
        <f t="shared" si="93"/>
        <v>0</v>
      </c>
      <c r="S40" s="901">
        <f t="shared" si="94"/>
        <v>0</v>
      </c>
      <c r="T40" s="901">
        <f t="shared" si="95"/>
        <v>0</v>
      </c>
      <c r="U40" s="856"/>
      <c r="V40" s="854"/>
      <c r="W40" s="854"/>
      <c r="X40" s="855"/>
      <c r="Y40" s="829"/>
      <c r="Z40" s="861"/>
      <c r="AA40" s="830"/>
      <c r="AB40" s="592">
        <f t="shared" si="14"/>
        <v>0</v>
      </c>
      <c r="AC40" s="592">
        <f t="shared" si="15"/>
        <v>0</v>
      </c>
      <c r="AD40" s="592">
        <f t="shared" si="16"/>
        <v>0</v>
      </c>
      <c r="AE40" s="856"/>
      <c r="AF40" s="854"/>
      <c r="AG40" s="854"/>
      <c r="AH40" s="855"/>
      <c r="AI40" s="829"/>
      <c r="AJ40" s="815"/>
      <c r="AK40" s="751">
        <f t="shared" si="88"/>
        <v>0</v>
      </c>
      <c r="AL40" s="592">
        <f t="shared" si="18"/>
        <v>0</v>
      </c>
      <c r="AM40" s="592">
        <f t="shared" si="19"/>
        <v>0</v>
      </c>
      <c r="AN40" s="592">
        <f t="shared" si="20"/>
        <v>0</v>
      </c>
      <c r="AO40" s="856"/>
      <c r="AP40" s="854"/>
      <c r="AQ40" s="854"/>
      <c r="AR40" s="854"/>
      <c r="AS40" s="854"/>
      <c r="AT40" s="815"/>
      <c r="AU40" s="751">
        <f t="shared" si="78"/>
        <v>0</v>
      </c>
      <c r="AV40" s="592">
        <f t="shared" si="22"/>
        <v>0</v>
      </c>
      <c r="AW40" s="592">
        <f t="shared" si="23"/>
        <v>0</v>
      </c>
      <c r="AX40" s="592">
        <f t="shared" si="24"/>
        <v>0</v>
      </c>
      <c r="AY40" s="856"/>
      <c r="AZ40" s="854"/>
      <c r="BA40" s="854"/>
      <c r="BB40" s="854"/>
      <c r="BC40" s="854"/>
      <c r="BD40" s="815"/>
      <c r="BE40" s="751">
        <f t="shared" si="79"/>
        <v>0</v>
      </c>
      <c r="BF40" s="592">
        <f t="shared" si="26"/>
        <v>0</v>
      </c>
      <c r="BG40" s="592">
        <f t="shared" si="27"/>
        <v>0</v>
      </c>
      <c r="BH40" s="592">
        <f t="shared" si="28"/>
        <v>0</v>
      </c>
      <c r="BI40" s="856"/>
      <c r="BJ40" s="854"/>
      <c r="BK40" s="854"/>
      <c r="BL40" s="854"/>
      <c r="BM40" s="854"/>
      <c r="BN40" s="815"/>
      <c r="BO40" s="751">
        <f t="shared" si="80"/>
        <v>0</v>
      </c>
      <c r="BP40" s="592">
        <f t="shared" si="30"/>
        <v>0</v>
      </c>
      <c r="BQ40" s="592">
        <f t="shared" si="31"/>
        <v>0</v>
      </c>
      <c r="BR40" s="592">
        <f t="shared" si="32"/>
        <v>0</v>
      </c>
      <c r="BS40" s="359">
        <f t="shared" si="102"/>
        <v>0</v>
      </c>
      <c r="BT40" s="315">
        <f>BS40-G40</f>
        <v>0</v>
      </c>
      <c r="BU40" s="315"/>
      <c r="BV40" s="6">
        <f t="shared" si="103"/>
        <v>0</v>
      </c>
      <c r="BW40" s="6">
        <f t="shared" si="104"/>
        <v>0</v>
      </c>
      <c r="BX40" s="6">
        <f t="shared" si="105"/>
        <v>0</v>
      </c>
      <c r="BY40" s="6">
        <f t="shared" si="36"/>
        <v>0</v>
      </c>
      <c r="BZ40" s="6">
        <f t="shared" si="37"/>
        <v>0</v>
      </c>
      <c r="CA40" s="6">
        <f t="shared" si="38"/>
        <v>0</v>
      </c>
    </row>
    <row r="41" spans="1:79" s="244" customFormat="1" ht="24" customHeight="1" thickBot="1" x14ac:dyDescent="0.25">
      <c r="A41" s="135"/>
      <c r="B41" s="849" t="s">
        <v>148</v>
      </c>
      <c r="C41" s="773"/>
      <c r="D41" s="773"/>
      <c r="E41" s="654"/>
      <c r="F41" s="655">
        <v>800</v>
      </c>
      <c r="G41" s="656">
        <v>800</v>
      </c>
      <c r="H41" s="882">
        <f t="shared" si="89"/>
        <v>0</v>
      </c>
      <c r="I41" s="882">
        <f t="shared" si="90"/>
        <v>0.42869467829143737</v>
      </c>
      <c r="J41" s="882">
        <f t="shared" si="91"/>
        <v>0.42869467829143737</v>
      </c>
      <c r="K41" s="834"/>
      <c r="L41" s="751"/>
      <c r="M41" s="751"/>
      <c r="N41" s="751"/>
      <c r="O41" s="917"/>
      <c r="P41" s="925"/>
      <c r="Q41" s="927">
        <f t="shared" si="101"/>
        <v>0</v>
      </c>
      <c r="R41" s="901">
        <f t="shared" si="93"/>
        <v>0</v>
      </c>
      <c r="S41" s="901">
        <f t="shared" si="94"/>
        <v>0</v>
      </c>
      <c r="T41" s="901">
        <f t="shared" si="95"/>
        <v>0</v>
      </c>
      <c r="U41" s="1162"/>
      <c r="V41" s="1163"/>
      <c r="W41" s="1163"/>
      <c r="X41" s="1163"/>
      <c r="Y41" s="829"/>
      <c r="Z41" s="861"/>
      <c r="AA41" s="830">
        <f t="shared" si="77"/>
        <v>0</v>
      </c>
      <c r="AB41" s="592">
        <f t="shared" si="14"/>
        <v>0</v>
      </c>
      <c r="AC41" s="592">
        <f t="shared" si="15"/>
        <v>0</v>
      </c>
      <c r="AD41" s="592">
        <f t="shared" si="16"/>
        <v>0</v>
      </c>
      <c r="AE41" s="435"/>
      <c r="AF41" s="442"/>
      <c r="AG41" s="455">
        <v>800</v>
      </c>
      <c r="AH41" s="326"/>
      <c r="AI41" s="829"/>
      <c r="AJ41" s="773">
        <v>800</v>
      </c>
      <c r="AK41" s="751">
        <f t="shared" si="88"/>
        <v>800</v>
      </c>
      <c r="AL41" s="592">
        <f t="shared" si="18"/>
        <v>0</v>
      </c>
      <c r="AM41" s="592">
        <f t="shared" si="19"/>
        <v>0.43569967249198482</v>
      </c>
      <c r="AN41" s="592">
        <f t="shared" si="20"/>
        <v>0.43569967249198482</v>
      </c>
      <c r="AO41" s="1162"/>
      <c r="AP41" s="1163"/>
      <c r="AQ41" s="1163"/>
      <c r="AR41" s="1163"/>
      <c r="AS41" s="773"/>
      <c r="AT41" s="773"/>
      <c r="AU41" s="751">
        <f t="shared" si="78"/>
        <v>0</v>
      </c>
      <c r="AV41" s="592">
        <f t="shared" si="22"/>
        <v>0</v>
      </c>
      <c r="AW41" s="592">
        <f t="shared" si="23"/>
        <v>0</v>
      </c>
      <c r="AX41" s="592">
        <f t="shared" si="24"/>
        <v>0</v>
      </c>
      <c r="AY41" s="1162"/>
      <c r="AZ41" s="1163"/>
      <c r="BA41" s="1163"/>
      <c r="BB41" s="1163"/>
      <c r="BC41" s="773"/>
      <c r="BD41" s="773"/>
      <c r="BE41" s="751">
        <f t="shared" si="79"/>
        <v>0</v>
      </c>
      <c r="BF41" s="592">
        <f t="shared" si="26"/>
        <v>0</v>
      </c>
      <c r="BG41" s="592">
        <f t="shared" si="27"/>
        <v>0</v>
      </c>
      <c r="BH41" s="592">
        <f t="shared" si="28"/>
        <v>0</v>
      </c>
      <c r="BI41" s="1162"/>
      <c r="BJ41" s="1163"/>
      <c r="BK41" s="1163"/>
      <c r="BL41" s="1163"/>
      <c r="BM41" s="773"/>
      <c r="BN41" s="773"/>
      <c r="BO41" s="751">
        <f t="shared" si="80"/>
        <v>0</v>
      </c>
      <c r="BP41" s="592">
        <f t="shared" si="30"/>
        <v>0</v>
      </c>
      <c r="BQ41" s="592">
        <f t="shared" si="31"/>
        <v>0</v>
      </c>
      <c r="BR41" s="592">
        <f t="shared" si="32"/>
        <v>0</v>
      </c>
      <c r="BS41" s="359">
        <f t="shared" si="102"/>
        <v>2400.8713993449837</v>
      </c>
      <c r="BT41" s="315" t="e">
        <f>BS41-#REF!</f>
        <v>#REF!</v>
      </c>
      <c r="BU41" s="315"/>
      <c r="BV41" s="6">
        <f t="shared" si="103"/>
        <v>0</v>
      </c>
      <c r="BW41" s="6">
        <f t="shared" si="104"/>
        <v>800</v>
      </c>
      <c r="BX41" s="6">
        <f t="shared" si="105"/>
        <v>800</v>
      </c>
      <c r="BY41" s="6">
        <f t="shared" si="36"/>
        <v>0</v>
      </c>
      <c r="BZ41" s="6">
        <f t="shared" si="37"/>
        <v>0</v>
      </c>
      <c r="CA41" s="6">
        <f t="shared" si="38"/>
        <v>0</v>
      </c>
    </row>
    <row r="42" spans="1:79" s="244" customFormat="1" ht="33.75" customHeight="1" thickBot="1" x14ac:dyDescent="0.25">
      <c r="A42" s="135"/>
      <c r="B42" s="849" t="s">
        <v>154</v>
      </c>
      <c r="C42" s="773"/>
      <c r="D42" s="773"/>
      <c r="E42" s="654"/>
      <c r="F42" s="655">
        <v>1000</v>
      </c>
      <c r="G42" s="658">
        <v>1000</v>
      </c>
      <c r="H42" s="882">
        <f t="shared" si="89"/>
        <v>0</v>
      </c>
      <c r="I42" s="882">
        <f t="shared" si="90"/>
        <v>0.53586834786429671</v>
      </c>
      <c r="J42" s="882">
        <f t="shared" si="91"/>
        <v>0.53586834786429671</v>
      </c>
      <c r="K42" s="327"/>
      <c r="L42" s="328"/>
      <c r="M42" s="328"/>
      <c r="N42" s="740"/>
      <c r="O42" s="917"/>
      <c r="P42" s="925"/>
      <c r="Q42" s="927">
        <f t="shared" si="101"/>
        <v>0</v>
      </c>
      <c r="R42" s="901">
        <f t="shared" si="93"/>
        <v>0</v>
      </c>
      <c r="S42" s="901">
        <f t="shared" si="94"/>
        <v>0</v>
      </c>
      <c r="T42" s="901">
        <f t="shared" si="95"/>
        <v>0</v>
      </c>
      <c r="U42" s="1162"/>
      <c r="V42" s="1163"/>
      <c r="W42" s="1163"/>
      <c r="X42" s="1163"/>
      <c r="Y42" s="829"/>
      <c r="Z42" s="861"/>
      <c r="AA42" s="830">
        <f t="shared" si="77"/>
        <v>0</v>
      </c>
      <c r="AB42" s="592">
        <f t="shared" si="14"/>
        <v>0</v>
      </c>
      <c r="AC42" s="592">
        <f t="shared" si="15"/>
        <v>0</v>
      </c>
      <c r="AD42" s="592">
        <f t="shared" si="16"/>
        <v>0</v>
      </c>
      <c r="AE42" s="1162"/>
      <c r="AF42" s="1163"/>
      <c r="AG42" s="1163"/>
      <c r="AH42" s="1163"/>
      <c r="AI42" s="829"/>
      <c r="AJ42" s="773"/>
      <c r="AK42" s="751">
        <f t="shared" si="88"/>
        <v>0</v>
      </c>
      <c r="AL42" s="592">
        <f t="shared" si="18"/>
        <v>0</v>
      </c>
      <c r="AM42" s="592">
        <f t="shared" si="19"/>
        <v>0</v>
      </c>
      <c r="AN42" s="592">
        <f t="shared" si="20"/>
        <v>0</v>
      </c>
      <c r="AO42" s="425"/>
      <c r="AP42" s="435"/>
      <c r="AQ42" s="442"/>
      <c r="AR42" s="455">
        <v>500</v>
      </c>
      <c r="AS42" s="773"/>
      <c r="AT42" s="773">
        <v>500</v>
      </c>
      <c r="AU42" s="751">
        <f t="shared" si="78"/>
        <v>500</v>
      </c>
      <c r="AV42" s="592">
        <f t="shared" si="22"/>
        <v>0</v>
      </c>
      <c r="AW42" s="592">
        <f t="shared" si="23"/>
        <v>0.27231229530749052</v>
      </c>
      <c r="AX42" s="592">
        <f t="shared" si="24"/>
        <v>0.27231229530749052</v>
      </c>
      <c r="AY42" s="425"/>
      <c r="AZ42" s="435"/>
      <c r="BA42" s="442"/>
      <c r="BB42" s="455">
        <v>500</v>
      </c>
      <c r="BC42" s="773"/>
      <c r="BD42" s="773">
        <v>500</v>
      </c>
      <c r="BE42" s="751">
        <f t="shared" si="79"/>
        <v>500</v>
      </c>
      <c r="BF42" s="592">
        <f t="shared" si="26"/>
        <v>0</v>
      </c>
      <c r="BG42" s="592">
        <f t="shared" si="27"/>
        <v>0.27231229530749052</v>
      </c>
      <c r="BH42" s="592">
        <f t="shared" si="28"/>
        <v>0.27231229530749052</v>
      </c>
      <c r="BI42" s="1162"/>
      <c r="BJ42" s="1163"/>
      <c r="BK42" s="1163"/>
      <c r="BL42" s="1163"/>
      <c r="BM42" s="773"/>
      <c r="BN42" s="773"/>
      <c r="BO42" s="751">
        <f t="shared" si="80"/>
        <v>0</v>
      </c>
      <c r="BP42" s="592">
        <f t="shared" si="30"/>
        <v>0</v>
      </c>
      <c r="BQ42" s="592">
        <f t="shared" si="31"/>
        <v>0</v>
      </c>
      <c r="BR42" s="592">
        <f t="shared" si="32"/>
        <v>0</v>
      </c>
      <c r="BS42" s="359">
        <f>SUM(K42:BL42)</f>
        <v>3001.0892491812301</v>
      </c>
      <c r="BT42" s="315" t="e">
        <f>BS42-#REF!</f>
        <v>#REF!</v>
      </c>
      <c r="BU42" s="315"/>
      <c r="BV42" s="6">
        <f t="shared" si="103"/>
        <v>0</v>
      </c>
      <c r="BW42" s="6">
        <f t="shared" si="104"/>
        <v>1000</v>
      </c>
      <c r="BX42" s="6">
        <f t="shared" si="105"/>
        <v>1000</v>
      </c>
      <c r="BY42" s="6">
        <f t="shared" si="36"/>
        <v>0</v>
      </c>
      <c r="BZ42" s="6">
        <f t="shared" si="37"/>
        <v>0</v>
      </c>
      <c r="CA42" s="6">
        <f t="shared" si="38"/>
        <v>0</v>
      </c>
    </row>
    <row r="43" spans="1:79" ht="13.5" customHeight="1" thickBot="1" x14ac:dyDescent="0.25">
      <c r="B43" s="774" t="s">
        <v>195</v>
      </c>
      <c r="C43" s="775"/>
      <c r="D43" s="776"/>
      <c r="E43" s="857">
        <f>E45+E47+E46+E44</f>
        <v>200</v>
      </c>
      <c r="F43" s="857">
        <f>F45+F47+F46+F44</f>
        <v>950</v>
      </c>
      <c r="G43" s="857">
        <f>G45+G47+G46+G44</f>
        <v>1150</v>
      </c>
      <c r="H43" s="882">
        <f t="shared" si="89"/>
        <v>0.10717366957285934</v>
      </c>
      <c r="I43" s="882">
        <f t="shared" si="90"/>
        <v>0.50907493047108188</v>
      </c>
      <c r="J43" s="882">
        <f t="shared" si="91"/>
        <v>0.61624860004394122</v>
      </c>
      <c r="K43" s="857">
        <f>K45+K47+K46+K44</f>
        <v>0</v>
      </c>
      <c r="L43" s="857">
        <f>L45+L47+L46+L44</f>
        <v>0</v>
      </c>
      <c r="M43" s="857">
        <f>M45+M47+M46+M44</f>
        <v>0</v>
      </c>
      <c r="N43" s="857">
        <f>N45+N47+N46+N44</f>
        <v>0</v>
      </c>
      <c r="O43" s="911">
        <f>O45+O47+O46</f>
        <v>0</v>
      </c>
      <c r="P43" s="925">
        <f>P45+P47+P46</f>
        <v>0</v>
      </c>
      <c r="Q43" s="927">
        <f>Q45+Q47+Q46</f>
        <v>0</v>
      </c>
      <c r="R43" s="901">
        <f t="shared" si="93"/>
        <v>0</v>
      </c>
      <c r="S43" s="901">
        <f t="shared" si="94"/>
        <v>0</v>
      </c>
      <c r="T43" s="901">
        <f t="shared" si="95"/>
        <v>0</v>
      </c>
      <c r="U43" s="857">
        <f>U45+U47+U46+U44</f>
        <v>0</v>
      </c>
      <c r="V43" s="857">
        <f>V45+V47+V46+V44</f>
        <v>0</v>
      </c>
      <c r="W43" s="857">
        <f>W45+W47+W46</f>
        <v>0</v>
      </c>
      <c r="X43" s="857">
        <f>X45+X47+X46</f>
        <v>0</v>
      </c>
      <c r="Y43" s="857">
        <f>Y45+Y47+Y46</f>
        <v>0</v>
      </c>
      <c r="Z43" s="857">
        <f>Z45+Z47+Z46</f>
        <v>0</v>
      </c>
      <c r="AA43" s="857">
        <f>AA45+AA47+AA46</f>
        <v>0</v>
      </c>
      <c r="AB43" s="592">
        <f t="shared" si="14"/>
        <v>0</v>
      </c>
      <c r="AC43" s="592">
        <f t="shared" si="15"/>
        <v>0</v>
      </c>
      <c r="AD43" s="592">
        <f t="shared" si="16"/>
        <v>0</v>
      </c>
      <c r="AE43" s="857">
        <f t="shared" ref="AE43:AK43" si="112">AE45+AE47+AE46+AE44</f>
        <v>0</v>
      </c>
      <c r="AF43" s="857">
        <f t="shared" si="112"/>
        <v>950</v>
      </c>
      <c r="AG43" s="857">
        <f t="shared" si="112"/>
        <v>0</v>
      </c>
      <c r="AH43" s="857">
        <f t="shared" si="112"/>
        <v>0</v>
      </c>
      <c r="AI43" s="857">
        <f t="shared" si="112"/>
        <v>0</v>
      </c>
      <c r="AJ43" s="857">
        <f t="shared" si="112"/>
        <v>950</v>
      </c>
      <c r="AK43" s="857">
        <f t="shared" si="112"/>
        <v>950</v>
      </c>
      <c r="AL43" s="592">
        <f t="shared" si="18"/>
        <v>0</v>
      </c>
      <c r="AM43" s="592">
        <f t="shared" si="19"/>
        <v>0.51739336108423195</v>
      </c>
      <c r="AN43" s="592">
        <f t="shared" si="20"/>
        <v>0.51739336108423195</v>
      </c>
      <c r="AO43" s="857">
        <f t="shared" ref="AO43:AU43" si="113">AO45+AO47+AO46+AO44</f>
        <v>0</v>
      </c>
      <c r="AP43" s="857">
        <f t="shared" si="113"/>
        <v>200</v>
      </c>
      <c r="AQ43" s="857">
        <f t="shared" si="113"/>
        <v>0</v>
      </c>
      <c r="AR43" s="857">
        <f t="shared" si="113"/>
        <v>0</v>
      </c>
      <c r="AS43" s="857">
        <f t="shared" si="113"/>
        <v>200</v>
      </c>
      <c r="AT43" s="857">
        <f t="shared" si="113"/>
        <v>0</v>
      </c>
      <c r="AU43" s="857">
        <f t="shared" si="113"/>
        <v>200</v>
      </c>
      <c r="AV43" s="592">
        <f t="shared" si="22"/>
        <v>0.10892491812299621</v>
      </c>
      <c r="AW43" s="592">
        <f t="shared" si="23"/>
        <v>0</v>
      </c>
      <c r="AX43" s="592">
        <f t="shared" si="24"/>
        <v>0.10892491812299621</v>
      </c>
      <c r="AY43" s="857">
        <f t="shared" ref="AY43:BE43" si="114">AY45+AY47+AY46</f>
        <v>0</v>
      </c>
      <c r="AZ43" s="857">
        <f t="shared" si="114"/>
        <v>0</v>
      </c>
      <c r="BA43" s="857">
        <f t="shared" si="114"/>
        <v>0</v>
      </c>
      <c r="BB43" s="857">
        <f t="shared" si="114"/>
        <v>0</v>
      </c>
      <c r="BC43" s="857">
        <f t="shared" si="114"/>
        <v>0</v>
      </c>
      <c r="BD43" s="857">
        <f t="shared" si="114"/>
        <v>0</v>
      </c>
      <c r="BE43" s="857">
        <f t="shared" si="114"/>
        <v>0</v>
      </c>
      <c r="BF43" s="592">
        <f t="shared" si="26"/>
        <v>0</v>
      </c>
      <c r="BG43" s="592">
        <f t="shared" si="27"/>
        <v>0</v>
      </c>
      <c r="BH43" s="592">
        <f t="shared" si="28"/>
        <v>0</v>
      </c>
      <c r="BI43" s="857">
        <f t="shared" ref="BI43:BO43" si="115">BI45+BI47+BI46</f>
        <v>0</v>
      </c>
      <c r="BJ43" s="857">
        <f t="shared" si="115"/>
        <v>0</v>
      </c>
      <c r="BK43" s="857">
        <f t="shared" si="115"/>
        <v>0</v>
      </c>
      <c r="BL43" s="857">
        <f t="shared" si="115"/>
        <v>0</v>
      </c>
      <c r="BM43" s="857">
        <f t="shared" si="115"/>
        <v>0</v>
      </c>
      <c r="BN43" s="857">
        <f t="shared" si="115"/>
        <v>0</v>
      </c>
      <c r="BO43" s="857">
        <f t="shared" si="115"/>
        <v>0</v>
      </c>
      <c r="BP43" s="592">
        <f t="shared" si="30"/>
        <v>0</v>
      </c>
      <c r="BQ43" s="592">
        <f t="shared" si="31"/>
        <v>0</v>
      </c>
      <c r="BR43" s="592">
        <f t="shared" si="32"/>
        <v>0</v>
      </c>
      <c r="BS43" s="359">
        <f t="shared" si="102"/>
        <v>3451.2526365584145</v>
      </c>
      <c r="BT43" s="315">
        <f>BS43-G43</f>
        <v>2301.2526365584145</v>
      </c>
      <c r="BU43" s="315"/>
      <c r="BV43" s="6">
        <f t="shared" si="103"/>
        <v>200</v>
      </c>
      <c r="BW43" s="6">
        <f t="shared" si="104"/>
        <v>950</v>
      </c>
      <c r="BX43" s="6">
        <f t="shared" si="105"/>
        <v>1150</v>
      </c>
      <c r="BY43" s="6">
        <f t="shared" si="36"/>
        <v>0</v>
      </c>
      <c r="BZ43" s="6">
        <f t="shared" si="37"/>
        <v>0</v>
      </c>
      <c r="CA43" s="6">
        <f t="shared" si="38"/>
        <v>0</v>
      </c>
    </row>
    <row r="44" spans="1:79" s="244" customFormat="1" ht="12.75" customHeight="1" thickBot="1" x14ac:dyDescent="0.25">
      <c r="A44" s="135"/>
      <c r="B44" s="858" t="s">
        <v>190</v>
      </c>
      <c r="C44" s="777"/>
      <c r="D44" s="777"/>
      <c r="E44" s="777">
        <v>0</v>
      </c>
      <c r="F44" s="777">
        <v>550</v>
      </c>
      <c r="G44" s="777">
        <v>550</v>
      </c>
      <c r="H44" s="882">
        <f t="shared" si="89"/>
        <v>0</v>
      </c>
      <c r="I44" s="882">
        <f t="shared" si="90"/>
        <v>0.29472759132536319</v>
      </c>
      <c r="J44" s="882">
        <f t="shared" si="91"/>
        <v>0.29472759132536319</v>
      </c>
      <c r="K44" s="834"/>
      <c r="L44" s="751"/>
      <c r="M44" s="751"/>
      <c r="N44" s="751"/>
      <c r="O44" s="912"/>
      <c r="P44" s="925"/>
      <c r="Q44" s="927">
        <f t="shared" si="101"/>
        <v>0</v>
      </c>
      <c r="R44" s="901">
        <f t="shared" si="93"/>
        <v>0</v>
      </c>
      <c r="S44" s="901">
        <f t="shared" si="94"/>
        <v>0</v>
      </c>
      <c r="T44" s="901">
        <f t="shared" si="95"/>
        <v>0</v>
      </c>
      <c r="U44" s="1162"/>
      <c r="V44" s="1163"/>
      <c r="W44" s="1163"/>
      <c r="X44" s="1163"/>
      <c r="Y44" s="829"/>
      <c r="Z44" s="861"/>
      <c r="AA44" s="830">
        <f t="shared" si="77"/>
        <v>0</v>
      </c>
      <c r="AB44" s="592">
        <f t="shared" si="14"/>
        <v>0</v>
      </c>
      <c r="AC44" s="592">
        <f t="shared" si="15"/>
        <v>0</v>
      </c>
      <c r="AD44" s="592">
        <f t="shared" si="16"/>
        <v>0</v>
      </c>
      <c r="AE44" s="442"/>
      <c r="AF44" s="455">
        <v>550</v>
      </c>
      <c r="AG44" s="328"/>
      <c r="AH44" s="326"/>
      <c r="AI44" s="829"/>
      <c r="AJ44" s="777">
        <v>550</v>
      </c>
      <c r="AK44" s="751">
        <f t="shared" si="88"/>
        <v>550</v>
      </c>
      <c r="AL44" s="592">
        <f t="shared" si="18"/>
        <v>0</v>
      </c>
      <c r="AM44" s="592">
        <f t="shared" si="19"/>
        <v>0.29954352483823954</v>
      </c>
      <c r="AN44" s="592">
        <f t="shared" si="20"/>
        <v>0.29954352483823954</v>
      </c>
      <c r="AO44" s="1162"/>
      <c r="AP44" s="1163"/>
      <c r="AQ44" s="1163"/>
      <c r="AR44" s="1163"/>
      <c r="AS44" s="777"/>
      <c r="AT44" s="777"/>
      <c r="AU44" s="751">
        <f t="shared" si="78"/>
        <v>0</v>
      </c>
      <c r="AV44" s="592">
        <f t="shared" si="22"/>
        <v>0</v>
      </c>
      <c r="AW44" s="592">
        <f t="shared" si="23"/>
        <v>0</v>
      </c>
      <c r="AX44" s="592">
        <f t="shared" si="24"/>
        <v>0</v>
      </c>
      <c r="AY44" s="1162"/>
      <c r="AZ44" s="1163"/>
      <c r="BA44" s="1163"/>
      <c r="BB44" s="1163"/>
      <c r="BC44" s="777"/>
      <c r="BD44" s="777"/>
      <c r="BE44" s="751">
        <f t="shared" si="79"/>
        <v>0</v>
      </c>
      <c r="BF44" s="592">
        <f t="shared" si="26"/>
        <v>0</v>
      </c>
      <c r="BG44" s="592">
        <f t="shared" si="27"/>
        <v>0</v>
      </c>
      <c r="BH44" s="592">
        <f t="shared" si="28"/>
        <v>0</v>
      </c>
      <c r="BI44" s="1162"/>
      <c r="BJ44" s="1163"/>
      <c r="BK44" s="1163"/>
      <c r="BL44" s="1163"/>
      <c r="BM44" s="777"/>
      <c r="BN44" s="777"/>
      <c r="BO44" s="751">
        <f t="shared" si="80"/>
        <v>0</v>
      </c>
      <c r="BP44" s="592">
        <f t="shared" si="30"/>
        <v>0</v>
      </c>
      <c r="BQ44" s="592">
        <f t="shared" si="31"/>
        <v>0</v>
      </c>
      <c r="BR44" s="592">
        <f t="shared" si="32"/>
        <v>0</v>
      </c>
      <c r="BS44" s="359">
        <f t="shared" si="102"/>
        <v>1650.5990870496767</v>
      </c>
      <c r="BT44" s="315">
        <f>BS44-G44</f>
        <v>1100.5990870496767</v>
      </c>
      <c r="BU44" s="315"/>
      <c r="BV44" s="6">
        <f t="shared" si="103"/>
        <v>0</v>
      </c>
      <c r="BW44" s="6">
        <f t="shared" si="104"/>
        <v>550</v>
      </c>
      <c r="BX44" s="6">
        <f t="shared" si="105"/>
        <v>550</v>
      </c>
      <c r="BY44" s="6">
        <f t="shared" si="36"/>
        <v>0</v>
      </c>
      <c r="BZ44" s="6">
        <f t="shared" si="37"/>
        <v>0</v>
      </c>
      <c r="CA44" s="6">
        <f t="shared" si="38"/>
        <v>0</v>
      </c>
    </row>
    <row r="45" spans="1:79" s="244" customFormat="1" ht="22.5" customHeight="1" thickBot="1" x14ac:dyDescent="0.25">
      <c r="A45" s="135"/>
      <c r="B45" s="858" t="s">
        <v>156</v>
      </c>
      <c r="C45" s="777"/>
      <c r="D45" s="777"/>
      <c r="E45" s="654">
        <v>100</v>
      </c>
      <c r="F45" s="654"/>
      <c r="G45" s="656">
        <f>SUM(E45:E45)</f>
        <v>100</v>
      </c>
      <c r="H45" s="882">
        <f t="shared" si="89"/>
        <v>5.3586834786429671E-2</v>
      </c>
      <c r="I45" s="882">
        <f t="shared" si="90"/>
        <v>0</v>
      </c>
      <c r="J45" s="882">
        <f t="shared" si="91"/>
        <v>5.3586834786429671E-2</v>
      </c>
      <c r="K45" s="834"/>
      <c r="L45" s="751"/>
      <c r="M45" s="751"/>
      <c r="N45" s="751"/>
      <c r="O45" s="912"/>
      <c r="P45" s="925"/>
      <c r="Q45" s="927">
        <f t="shared" si="101"/>
        <v>0</v>
      </c>
      <c r="R45" s="901">
        <f t="shared" si="93"/>
        <v>0</v>
      </c>
      <c r="S45" s="901">
        <f t="shared" si="94"/>
        <v>0</v>
      </c>
      <c r="T45" s="901">
        <f t="shared" si="95"/>
        <v>0</v>
      </c>
      <c r="U45" s="1162"/>
      <c r="V45" s="1163"/>
      <c r="W45" s="1163"/>
      <c r="X45" s="1163"/>
      <c r="Y45" s="829"/>
      <c r="Z45" s="861"/>
      <c r="AA45" s="830">
        <f t="shared" si="77"/>
        <v>0</v>
      </c>
      <c r="AB45" s="592">
        <f t="shared" si="14"/>
        <v>0</v>
      </c>
      <c r="AC45" s="592">
        <f t="shared" si="15"/>
        <v>0</v>
      </c>
      <c r="AD45" s="592">
        <f t="shared" si="16"/>
        <v>0</v>
      </c>
      <c r="AE45" s="1162"/>
      <c r="AF45" s="1163"/>
      <c r="AG45" s="1163"/>
      <c r="AH45" s="1163"/>
      <c r="AI45" s="829"/>
      <c r="AJ45" s="777"/>
      <c r="AK45" s="751">
        <f t="shared" si="88"/>
        <v>0</v>
      </c>
      <c r="AL45" s="592">
        <f t="shared" si="18"/>
        <v>0</v>
      </c>
      <c r="AM45" s="592">
        <f t="shared" si="19"/>
        <v>0</v>
      </c>
      <c r="AN45" s="592">
        <f t="shared" si="20"/>
        <v>0</v>
      </c>
      <c r="AO45" s="442"/>
      <c r="AP45" s="455">
        <v>100</v>
      </c>
      <c r="AQ45" s="328"/>
      <c r="AR45" s="326"/>
      <c r="AS45" s="777">
        <v>100</v>
      </c>
      <c r="AT45" s="777"/>
      <c r="AU45" s="751">
        <f t="shared" si="78"/>
        <v>100</v>
      </c>
      <c r="AV45" s="592">
        <f t="shared" si="22"/>
        <v>5.4462459061498103E-2</v>
      </c>
      <c r="AW45" s="592">
        <f t="shared" si="23"/>
        <v>0</v>
      </c>
      <c r="AX45" s="592">
        <f t="shared" si="24"/>
        <v>5.4462459061498103E-2</v>
      </c>
      <c r="AY45" s="1162"/>
      <c r="AZ45" s="1163"/>
      <c r="BA45" s="1163"/>
      <c r="BB45" s="1163"/>
      <c r="BC45" s="777"/>
      <c r="BD45" s="777"/>
      <c r="BE45" s="751">
        <f t="shared" si="79"/>
        <v>0</v>
      </c>
      <c r="BF45" s="592">
        <f t="shared" si="26"/>
        <v>0</v>
      </c>
      <c r="BG45" s="592">
        <f t="shared" si="27"/>
        <v>0</v>
      </c>
      <c r="BH45" s="592">
        <f t="shared" si="28"/>
        <v>0</v>
      </c>
      <c r="BI45" s="1162"/>
      <c r="BJ45" s="1163"/>
      <c r="BK45" s="1163"/>
      <c r="BL45" s="1163"/>
      <c r="BM45" s="777"/>
      <c r="BN45" s="777"/>
      <c r="BO45" s="751">
        <f t="shared" si="80"/>
        <v>0</v>
      </c>
      <c r="BP45" s="592">
        <f t="shared" si="30"/>
        <v>0</v>
      </c>
      <c r="BQ45" s="592">
        <f t="shared" si="31"/>
        <v>0</v>
      </c>
      <c r="BR45" s="592">
        <f t="shared" si="32"/>
        <v>0</v>
      </c>
      <c r="BS45" s="359">
        <f t="shared" si="102"/>
        <v>300.10892491812297</v>
      </c>
      <c r="BT45" s="315" t="e">
        <f>BS45-#REF!</f>
        <v>#REF!</v>
      </c>
      <c r="BU45" s="315"/>
      <c r="BV45" s="6">
        <f t="shared" si="103"/>
        <v>100</v>
      </c>
      <c r="BW45" s="6">
        <f t="shared" si="104"/>
        <v>0</v>
      </c>
      <c r="BX45" s="6">
        <f t="shared" si="105"/>
        <v>100</v>
      </c>
      <c r="BY45" s="6">
        <f t="shared" si="36"/>
        <v>0</v>
      </c>
      <c r="BZ45" s="6">
        <f t="shared" si="37"/>
        <v>0</v>
      </c>
      <c r="CA45" s="6">
        <f t="shared" si="38"/>
        <v>0</v>
      </c>
    </row>
    <row r="46" spans="1:79" s="244" customFormat="1" ht="28.5" customHeight="1" thickBot="1" x14ac:dyDescent="0.25">
      <c r="A46" s="135"/>
      <c r="B46" s="858" t="s">
        <v>168</v>
      </c>
      <c r="C46" s="777"/>
      <c r="D46" s="777"/>
      <c r="E46" s="654">
        <v>100</v>
      </c>
      <c r="F46" s="654"/>
      <c r="G46" s="656">
        <f>SUM(E46:E46)</f>
        <v>100</v>
      </c>
      <c r="H46" s="882">
        <f t="shared" si="89"/>
        <v>5.3586834786429671E-2</v>
      </c>
      <c r="I46" s="882">
        <f t="shared" si="90"/>
        <v>0</v>
      </c>
      <c r="J46" s="882">
        <f t="shared" si="91"/>
        <v>5.3586834786429671E-2</v>
      </c>
      <c r="K46" s="834"/>
      <c r="L46" s="751"/>
      <c r="M46" s="751"/>
      <c r="N46" s="751"/>
      <c r="O46" s="912"/>
      <c r="P46" s="925"/>
      <c r="Q46" s="927">
        <f t="shared" si="101"/>
        <v>0</v>
      </c>
      <c r="R46" s="901">
        <f t="shared" si="93"/>
        <v>0</v>
      </c>
      <c r="S46" s="901">
        <f t="shared" si="94"/>
        <v>0</v>
      </c>
      <c r="T46" s="901">
        <f t="shared" si="95"/>
        <v>0</v>
      </c>
      <c r="U46" s="1162"/>
      <c r="V46" s="1163"/>
      <c r="W46" s="1163"/>
      <c r="X46" s="1163"/>
      <c r="Y46" s="829"/>
      <c r="Z46" s="861"/>
      <c r="AA46" s="830">
        <f t="shared" si="77"/>
        <v>0</v>
      </c>
      <c r="AB46" s="592">
        <f t="shared" si="14"/>
        <v>0</v>
      </c>
      <c r="AC46" s="592">
        <f t="shared" si="15"/>
        <v>0</v>
      </c>
      <c r="AD46" s="592">
        <f t="shared" si="16"/>
        <v>0</v>
      </c>
      <c r="AE46" s="1162"/>
      <c r="AF46" s="1163"/>
      <c r="AG46" s="1163"/>
      <c r="AH46" s="1163"/>
      <c r="AI46" s="829"/>
      <c r="AJ46" s="777"/>
      <c r="AK46" s="751">
        <f t="shared" si="88"/>
        <v>0</v>
      </c>
      <c r="AL46" s="592">
        <f t="shared" si="18"/>
        <v>0</v>
      </c>
      <c r="AM46" s="592">
        <f t="shared" si="19"/>
        <v>0</v>
      </c>
      <c r="AN46" s="592">
        <f t="shared" si="20"/>
        <v>0</v>
      </c>
      <c r="AO46" s="442"/>
      <c r="AP46" s="455">
        <v>100</v>
      </c>
      <c r="AQ46" s="328"/>
      <c r="AR46" s="326"/>
      <c r="AS46" s="777">
        <v>100</v>
      </c>
      <c r="AT46" s="777"/>
      <c r="AU46" s="751">
        <f t="shared" si="78"/>
        <v>100</v>
      </c>
      <c r="AV46" s="592">
        <f t="shared" si="22"/>
        <v>5.4462459061498103E-2</v>
      </c>
      <c r="AW46" s="592">
        <f t="shared" si="23"/>
        <v>0</v>
      </c>
      <c r="AX46" s="592">
        <f t="shared" si="24"/>
        <v>5.4462459061498103E-2</v>
      </c>
      <c r="AY46" s="1162"/>
      <c r="AZ46" s="1163"/>
      <c r="BA46" s="1163"/>
      <c r="BB46" s="1163"/>
      <c r="BC46" s="777"/>
      <c r="BD46" s="777"/>
      <c r="BE46" s="751">
        <f t="shared" si="79"/>
        <v>0</v>
      </c>
      <c r="BF46" s="592">
        <f t="shared" si="26"/>
        <v>0</v>
      </c>
      <c r="BG46" s="592">
        <f t="shared" si="27"/>
        <v>0</v>
      </c>
      <c r="BH46" s="592">
        <f t="shared" si="28"/>
        <v>0</v>
      </c>
      <c r="BI46" s="1162"/>
      <c r="BJ46" s="1163"/>
      <c r="BK46" s="1163"/>
      <c r="BL46" s="1163"/>
      <c r="BM46" s="777"/>
      <c r="BN46" s="777"/>
      <c r="BO46" s="751">
        <f t="shared" si="80"/>
        <v>0</v>
      </c>
      <c r="BP46" s="592">
        <f t="shared" si="30"/>
        <v>0</v>
      </c>
      <c r="BQ46" s="592">
        <f t="shared" si="31"/>
        <v>0</v>
      </c>
      <c r="BR46" s="592">
        <f t="shared" si="32"/>
        <v>0</v>
      </c>
      <c r="BS46" s="359">
        <f t="shared" si="102"/>
        <v>300.10892491812297</v>
      </c>
      <c r="BT46" s="315" t="e">
        <f>BS46-#REF!</f>
        <v>#REF!</v>
      </c>
      <c r="BU46" s="315"/>
      <c r="BV46" s="6">
        <f t="shared" si="103"/>
        <v>100</v>
      </c>
      <c r="BW46" s="6">
        <f t="shared" si="104"/>
        <v>0</v>
      </c>
      <c r="BX46" s="6">
        <f t="shared" si="105"/>
        <v>100</v>
      </c>
      <c r="BY46" s="6">
        <f t="shared" si="36"/>
        <v>0</v>
      </c>
      <c r="BZ46" s="6">
        <f t="shared" si="37"/>
        <v>0</v>
      </c>
      <c r="CA46" s="6">
        <f t="shared" si="38"/>
        <v>0</v>
      </c>
    </row>
    <row r="47" spans="1:79" s="244" customFormat="1" ht="34.5" customHeight="1" thickBot="1" x14ac:dyDescent="0.25">
      <c r="A47" s="135"/>
      <c r="B47" s="858" t="s">
        <v>157</v>
      </c>
      <c r="C47" s="777"/>
      <c r="D47" s="777"/>
      <c r="E47" s="654"/>
      <c r="F47" s="655">
        <v>400</v>
      </c>
      <c r="G47" s="656">
        <v>400</v>
      </c>
      <c r="H47" s="882">
        <f t="shared" si="89"/>
        <v>0</v>
      </c>
      <c r="I47" s="882">
        <f t="shared" si="90"/>
        <v>0.21434733914571868</v>
      </c>
      <c r="J47" s="882">
        <f t="shared" si="91"/>
        <v>0.21434733914571868</v>
      </c>
      <c r="K47" s="834"/>
      <c r="L47" s="751"/>
      <c r="M47" s="751"/>
      <c r="N47" s="751"/>
      <c r="O47" s="912"/>
      <c r="P47" s="925"/>
      <c r="Q47" s="927">
        <f t="shared" si="101"/>
        <v>0</v>
      </c>
      <c r="R47" s="901">
        <f t="shared" si="93"/>
        <v>0</v>
      </c>
      <c r="S47" s="901">
        <f t="shared" si="94"/>
        <v>0</v>
      </c>
      <c r="T47" s="901">
        <f t="shared" si="95"/>
        <v>0</v>
      </c>
      <c r="U47" s="1162"/>
      <c r="V47" s="1163"/>
      <c r="W47" s="1163"/>
      <c r="X47" s="1163"/>
      <c r="Y47" s="829"/>
      <c r="Z47" s="861"/>
      <c r="AA47" s="830">
        <f t="shared" si="77"/>
        <v>0</v>
      </c>
      <c r="AB47" s="592">
        <f t="shared" si="14"/>
        <v>0</v>
      </c>
      <c r="AC47" s="592">
        <f t="shared" si="15"/>
        <v>0</v>
      </c>
      <c r="AD47" s="592">
        <f t="shared" si="16"/>
        <v>0</v>
      </c>
      <c r="AE47" s="442"/>
      <c r="AF47" s="455">
        <v>400</v>
      </c>
      <c r="AG47" s="328"/>
      <c r="AH47" s="326"/>
      <c r="AI47" s="829"/>
      <c r="AJ47" s="777">
        <v>400</v>
      </c>
      <c r="AK47" s="751">
        <f t="shared" si="88"/>
        <v>400</v>
      </c>
      <c r="AL47" s="592">
        <f t="shared" si="18"/>
        <v>0</v>
      </c>
      <c r="AM47" s="592">
        <f t="shared" si="19"/>
        <v>0.21784983624599241</v>
      </c>
      <c r="AN47" s="592">
        <f t="shared" si="20"/>
        <v>0.21784983624599241</v>
      </c>
      <c r="AO47" s="1162"/>
      <c r="AP47" s="1163"/>
      <c r="AQ47" s="1163"/>
      <c r="AR47" s="1163"/>
      <c r="AS47" s="777"/>
      <c r="AT47" s="777"/>
      <c r="AU47" s="751">
        <f t="shared" si="78"/>
        <v>0</v>
      </c>
      <c r="AV47" s="592">
        <f t="shared" si="22"/>
        <v>0</v>
      </c>
      <c r="AW47" s="592">
        <f t="shared" si="23"/>
        <v>0</v>
      </c>
      <c r="AX47" s="592">
        <f t="shared" si="24"/>
        <v>0</v>
      </c>
      <c r="AY47" s="1162"/>
      <c r="AZ47" s="1163"/>
      <c r="BA47" s="1163"/>
      <c r="BB47" s="1163"/>
      <c r="BC47" s="777"/>
      <c r="BD47" s="777"/>
      <c r="BE47" s="751">
        <f t="shared" si="79"/>
        <v>0</v>
      </c>
      <c r="BF47" s="592">
        <f t="shared" si="26"/>
        <v>0</v>
      </c>
      <c r="BG47" s="592">
        <f t="shared" si="27"/>
        <v>0</v>
      </c>
      <c r="BH47" s="592">
        <f t="shared" si="28"/>
        <v>0</v>
      </c>
      <c r="BI47" s="1162"/>
      <c r="BJ47" s="1163"/>
      <c r="BK47" s="1163"/>
      <c r="BL47" s="1163"/>
      <c r="BM47" s="777"/>
      <c r="BN47" s="777"/>
      <c r="BO47" s="751">
        <f t="shared" si="80"/>
        <v>0</v>
      </c>
      <c r="BP47" s="592">
        <f t="shared" si="30"/>
        <v>0</v>
      </c>
      <c r="BQ47" s="592">
        <f t="shared" si="31"/>
        <v>0</v>
      </c>
      <c r="BR47" s="592">
        <f t="shared" si="32"/>
        <v>0</v>
      </c>
      <c r="BS47" s="359">
        <f t="shared" si="102"/>
        <v>1200.4356996724919</v>
      </c>
      <c r="BT47" s="315" t="e">
        <f>BS47-#REF!</f>
        <v>#REF!</v>
      </c>
      <c r="BU47" s="315"/>
      <c r="BV47" s="6">
        <f t="shared" si="103"/>
        <v>0</v>
      </c>
      <c r="BW47" s="6">
        <f t="shared" si="104"/>
        <v>400</v>
      </c>
      <c r="BX47" s="6">
        <f t="shared" si="105"/>
        <v>400</v>
      </c>
      <c r="BY47" s="6">
        <f t="shared" si="36"/>
        <v>0</v>
      </c>
      <c r="BZ47" s="6">
        <f t="shared" si="37"/>
        <v>0</v>
      </c>
      <c r="CA47" s="6">
        <f t="shared" si="38"/>
        <v>0</v>
      </c>
    </row>
    <row r="48" spans="1:79" s="640" customFormat="1" ht="37.5" customHeight="1" thickBot="1" x14ac:dyDescent="0.25">
      <c r="A48" s="639"/>
      <c r="B48" s="1293" t="s">
        <v>170</v>
      </c>
      <c r="C48" s="1294"/>
      <c r="D48" s="1295"/>
      <c r="E48" s="705">
        <f>E49+E72</f>
        <v>7858</v>
      </c>
      <c r="F48" s="705">
        <f t="shared" ref="F48:BQ48" si="116">F49+F72</f>
        <v>19310</v>
      </c>
      <c r="G48" s="705">
        <f t="shared" si="116"/>
        <v>27168</v>
      </c>
      <c r="H48" s="882">
        <f t="shared" si="89"/>
        <v>4.2108534775176434</v>
      </c>
      <c r="I48" s="882">
        <f t="shared" si="90"/>
        <v>10.347617797259568</v>
      </c>
      <c r="J48" s="882">
        <f t="shared" si="91"/>
        <v>14.558471274777213</v>
      </c>
      <c r="K48" s="705">
        <f t="shared" si="116"/>
        <v>0</v>
      </c>
      <c r="L48" s="705">
        <f t="shared" si="116"/>
        <v>3808</v>
      </c>
      <c r="M48" s="705">
        <f t="shared" si="116"/>
        <v>0</v>
      </c>
      <c r="N48" s="898">
        <f t="shared" si="116"/>
        <v>600</v>
      </c>
      <c r="O48" s="916">
        <f t="shared" si="116"/>
        <v>4308</v>
      </c>
      <c r="P48" s="925">
        <f t="shared" si="116"/>
        <v>100</v>
      </c>
      <c r="Q48" s="927">
        <f t="shared" si="116"/>
        <v>4408</v>
      </c>
      <c r="R48" s="901">
        <f t="shared" si="93"/>
        <v>2.3085208425993904</v>
      </c>
      <c r="S48" s="901">
        <f t="shared" si="94"/>
        <v>5.3586834786429671E-2</v>
      </c>
      <c r="T48" s="901">
        <f t="shared" si="95"/>
        <v>2.3621076773858198</v>
      </c>
      <c r="U48" s="705">
        <f t="shared" si="116"/>
        <v>1650</v>
      </c>
      <c r="V48" s="705">
        <f t="shared" si="116"/>
        <v>340</v>
      </c>
      <c r="W48" s="705">
        <f t="shared" si="116"/>
        <v>10</v>
      </c>
      <c r="X48" s="705">
        <f t="shared" si="116"/>
        <v>112</v>
      </c>
      <c r="Y48" s="705">
        <f t="shared" si="116"/>
        <v>1800</v>
      </c>
      <c r="Z48" s="705">
        <f t="shared" si="116"/>
        <v>322</v>
      </c>
      <c r="AA48" s="705">
        <f t="shared" si="116"/>
        <v>2122</v>
      </c>
      <c r="AB48" s="705">
        <f t="shared" si="116"/>
        <v>0.98032426310696574</v>
      </c>
      <c r="AC48" s="705">
        <f t="shared" si="116"/>
        <v>0.17536911817802389</v>
      </c>
      <c r="AD48" s="705">
        <f t="shared" si="116"/>
        <v>1.1556933812849897</v>
      </c>
      <c r="AE48" s="705">
        <f t="shared" si="116"/>
        <v>3210</v>
      </c>
      <c r="AF48" s="705">
        <f t="shared" si="116"/>
        <v>4503</v>
      </c>
      <c r="AG48" s="705">
        <f t="shared" si="116"/>
        <v>2978</v>
      </c>
      <c r="AH48" s="705">
        <f t="shared" si="116"/>
        <v>2562</v>
      </c>
      <c r="AI48" s="705">
        <f t="shared" si="116"/>
        <v>1750</v>
      </c>
      <c r="AJ48" s="705">
        <f t="shared" si="116"/>
        <v>11503</v>
      </c>
      <c r="AK48" s="705">
        <f t="shared" si="116"/>
        <v>13253</v>
      </c>
      <c r="AL48" s="705">
        <f t="shared" si="116"/>
        <v>0.95309303357621677</v>
      </c>
      <c r="AM48" s="705">
        <f t="shared" si="116"/>
        <v>6.2648166658441271</v>
      </c>
      <c r="AN48" s="705">
        <f t="shared" si="116"/>
        <v>7.2179096994203427</v>
      </c>
      <c r="AO48" s="705">
        <f t="shared" si="116"/>
        <v>310</v>
      </c>
      <c r="AP48" s="705">
        <f t="shared" si="116"/>
        <v>1654</v>
      </c>
      <c r="AQ48" s="705">
        <f t="shared" si="116"/>
        <v>900</v>
      </c>
      <c r="AR48" s="705">
        <f t="shared" si="116"/>
        <v>826</v>
      </c>
      <c r="AS48" s="705">
        <f t="shared" si="116"/>
        <v>0</v>
      </c>
      <c r="AT48" s="705">
        <f t="shared" si="116"/>
        <v>3690</v>
      </c>
      <c r="AU48" s="705">
        <f t="shared" si="116"/>
        <v>3690</v>
      </c>
      <c r="AV48" s="705">
        <f t="shared" si="116"/>
        <v>0</v>
      </c>
      <c r="AW48" s="705">
        <f t="shared" si="116"/>
        <v>2.0096647393692799</v>
      </c>
      <c r="AX48" s="705">
        <f t="shared" si="116"/>
        <v>2.0096647393692799</v>
      </c>
      <c r="AY48" s="705">
        <f t="shared" si="116"/>
        <v>750</v>
      </c>
      <c r="AZ48" s="705">
        <f t="shared" si="116"/>
        <v>0</v>
      </c>
      <c r="BA48" s="705">
        <f t="shared" si="116"/>
        <v>76</v>
      </c>
      <c r="BB48" s="705">
        <f t="shared" si="116"/>
        <v>13</v>
      </c>
      <c r="BC48" s="705">
        <f t="shared" si="116"/>
        <v>0</v>
      </c>
      <c r="BD48" s="705">
        <f t="shared" si="116"/>
        <v>839</v>
      </c>
      <c r="BE48" s="705">
        <f t="shared" si="116"/>
        <v>839</v>
      </c>
      <c r="BF48" s="705">
        <f t="shared" si="116"/>
        <v>0</v>
      </c>
      <c r="BG48" s="705">
        <f t="shared" si="116"/>
        <v>0.45694003152596913</v>
      </c>
      <c r="BH48" s="705">
        <f t="shared" si="116"/>
        <v>0.45694003152596913</v>
      </c>
      <c r="BI48" s="705">
        <f t="shared" si="116"/>
        <v>0</v>
      </c>
      <c r="BJ48" s="705">
        <f t="shared" si="116"/>
        <v>0</v>
      </c>
      <c r="BK48" s="705">
        <f t="shared" si="116"/>
        <v>0</v>
      </c>
      <c r="BL48" s="705">
        <f t="shared" si="116"/>
        <v>66</v>
      </c>
      <c r="BM48" s="705">
        <f t="shared" si="116"/>
        <v>0</v>
      </c>
      <c r="BN48" s="705">
        <f t="shared" si="116"/>
        <v>66</v>
      </c>
      <c r="BO48" s="705">
        <f t="shared" si="116"/>
        <v>66</v>
      </c>
      <c r="BP48" s="705">
        <f t="shared" si="116"/>
        <v>0</v>
      </c>
      <c r="BQ48" s="705">
        <f t="shared" si="116"/>
        <v>3.5945222980588748E-2</v>
      </c>
      <c r="BR48" s="705">
        <f>BR49+BR72</f>
        <v>3.5945222980588748E-2</v>
      </c>
      <c r="BS48" s="705">
        <f>BS49+BS72</f>
        <v>73018.404631057958</v>
      </c>
      <c r="BT48" s="705" t="e">
        <f>BT49+BT72</f>
        <v>#REF!</v>
      </c>
      <c r="BU48" s="315"/>
      <c r="BV48" s="6">
        <f t="shared" si="103"/>
        <v>7858</v>
      </c>
      <c r="BW48" s="6">
        <f t="shared" si="104"/>
        <v>16520</v>
      </c>
      <c r="BX48" s="6">
        <f t="shared" si="105"/>
        <v>24378</v>
      </c>
      <c r="BY48" s="6">
        <f t="shared" si="36"/>
        <v>0</v>
      </c>
      <c r="BZ48" s="6">
        <f t="shared" si="37"/>
        <v>2790</v>
      </c>
      <c r="CA48" s="6">
        <f t="shared" si="38"/>
        <v>2790</v>
      </c>
    </row>
    <row r="49" spans="1:79" s="6" customFormat="1" ht="13.5" thickBot="1" x14ac:dyDescent="0.25">
      <c r="B49" s="860" t="s">
        <v>137</v>
      </c>
      <c r="C49" s="725"/>
      <c r="D49" s="859"/>
      <c r="E49" s="664">
        <f>E50+E58+E63+E65</f>
        <v>750</v>
      </c>
      <c r="F49" s="664">
        <f t="shared" ref="F49:BQ49" si="117">F50+F58+F63+F65</f>
        <v>16510</v>
      </c>
      <c r="G49" s="664">
        <f t="shared" si="117"/>
        <v>17260</v>
      </c>
      <c r="H49" s="882">
        <f t="shared" si="89"/>
        <v>0.40190126089822253</v>
      </c>
      <c r="I49" s="882">
        <f t="shared" si="90"/>
        <v>8.8471864232395383</v>
      </c>
      <c r="J49" s="882">
        <f t="shared" si="91"/>
        <v>9.2490876841377609</v>
      </c>
      <c r="K49" s="664">
        <f t="shared" si="117"/>
        <v>0</v>
      </c>
      <c r="L49" s="664">
        <f t="shared" si="117"/>
        <v>0</v>
      </c>
      <c r="M49" s="664">
        <f t="shared" si="117"/>
        <v>0</v>
      </c>
      <c r="N49" s="664">
        <f t="shared" si="117"/>
        <v>0</v>
      </c>
      <c r="O49" s="916">
        <f t="shared" si="117"/>
        <v>0</v>
      </c>
      <c r="P49" s="925">
        <f t="shared" si="117"/>
        <v>0</v>
      </c>
      <c r="Q49" s="927">
        <f t="shared" si="117"/>
        <v>0</v>
      </c>
      <c r="R49" s="901">
        <f t="shared" si="93"/>
        <v>0</v>
      </c>
      <c r="S49" s="901">
        <f t="shared" si="94"/>
        <v>0</v>
      </c>
      <c r="T49" s="901">
        <f t="shared" si="95"/>
        <v>0</v>
      </c>
      <c r="U49" s="664">
        <f t="shared" si="117"/>
        <v>0</v>
      </c>
      <c r="V49" s="664">
        <f t="shared" si="117"/>
        <v>90</v>
      </c>
      <c r="W49" s="664">
        <f t="shared" si="117"/>
        <v>10</v>
      </c>
      <c r="X49" s="664">
        <f t="shared" si="117"/>
        <v>112</v>
      </c>
      <c r="Y49" s="664">
        <f t="shared" si="117"/>
        <v>0</v>
      </c>
      <c r="Z49" s="664">
        <f t="shared" si="117"/>
        <v>222</v>
      </c>
      <c r="AA49" s="664">
        <f t="shared" si="117"/>
        <v>222</v>
      </c>
      <c r="AB49" s="664">
        <f t="shared" si="117"/>
        <v>0</v>
      </c>
      <c r="AC49" s="664">
        <f t="shared" si="117"/>
        <v>0.12090665911652579</v>
      </c>
      <c r="AD49" s="664">
        <f t="shared" si="117"/>
        <v>0.12090665911652579</v>
      </c>
      <c r="AE49" s="664">
        <f t="shared" si="117"/>
        <v>3210</v>
      </c>
      <c r="AF49" s="664">
        <f t="shared" si="117"/>
        <v>4403</v>
      </c>
      <c r="AG49" s="664">
        <f t="shared" si="117"/>
        <v>2978</v>
      </c>
      <c r="AH49" s="664">
        <f t="shared" si="117"/>
        <v>1562</v>
      </c>
      <c r="AI49" s="664">
        <f t="shared" si="117"/>
        <v>750</v>
      </c>
      <c r="AJ49" s="664">
        <f t="shared" si="117"/>
        <v>11403</v>
      </c>
      <c r="AK49" s="664">
        <f t="shared" si="117"/>
        <v>12153</v>
      </c>
      <c r="AL49" s="664">
        <f t="shared" si="117"/>
        <v>0.40846844296123574</v>
      </c>
      <c r="AM49" s="664">
        <f t="shared" si="117"/>
        <v>6.2103542067826289</v>
      </c>
      <c r="AN49" s="664">
        <f t="shared" si="117"/>
        <v>6.6188226497438638</v>
      </c>
      <c r="AO49" s="664">
        <f t="shared" si="117"/>
        <v>210</v>
      </c>
      <c r="AP49" s="664">
        <f t="shared" si="117"/>
        <v>1654</v>
      </c>
      <c r="AQ49" s="664">
        <f t="shared" si="117"/>
        <v>900</v>
      </c>
      <c r="AR49" s="664">
        <f t="shared" si="117"/>
        <v>826</v>
      </c>
      <c r="AS49" s="664">
        <f t="shared" si="117"/>
        <v>0</v>
      </c>
      <c r="AT49" s="664">
        <f t="shared" si="117"/>
        <v>3590</v>
      </c>
      <c r="AU49" s="664">
        <f t="shared" si="117"/>
        <v>3590</v>
      </c>
      <c r="AV49" s="664">
        <f t="shared" si="117"/>
        <v>0</v>
      </c>
      <c r="AW49" s="664">
        <f t="shared" si="117"/>
        <v>1.9552022803077818</v>
      </c>
      <c r="AX49" s="664">
        <f t="shared" si="117"/>
        <v>1.9552022803077818</v>
      </c>
      <c r="AY49" s="664">
        <f t="shared" si="117"/>
        <v>650</v>
      </c>
      <c r="AZ49" s="664">
        <f t="shared" si="117"/>
        <v>0</v>
      </c>
      <c r="BA49" s="664">
        <f t="shared" si="117"/>
        <v>76</v>
      </c>
      <c r="BB49" s="664">
        <f t="shared" si="117"/>
        <v>13</v>
      </c>
      <c r="BC49" s="664">
        <f t="shared" si="117"/>
        <v>0</v>
      </c>
      <c r="BD49" s="664">
        <f t="shared" si="117"/>
        <v>739</v>
      </c>
      <c r="BE49" s="664">
        <f t="shared" si="117"/>
        <v>739</v>
      </c>
      <c r="BF49" s="664">
        <f t="shared" si="117"/>
        <v>0</v>
      </c>
      <c r="BG49" s="664">
        <f t="shared" si="117"/>
        <v>0.40247757246447102</v>
      </c>
      <c r="BH49" s="664">
        <f t="shared" si="117"/>
        <v>0.40247757246447102</v>
      </c>
      <c r="BI49" s="664">
        <f t="shared" si="117"/>
        <v>0</v>
      </c>
      <c r="BJ49" s="664">
        <f t="shared" si="117"/>
        <v>0</v>
      </c>
      <c r="BK49" s="664">
        <f t="shared" si="117"/>
        <v>0</v>
      </c>
      <c r="BL49" s="664">
        <f t="shared" si="117"/>
        <v>66</v>
      </c>
      <c r="BM49" s="664">
        <f t="shared" si="117"/>
        <v>0</v>
      </c>
      <c r="BN49" s="664">
        <f t="shared" si="117"/>
        <v>66</v>
      </c>
      <c r="BO49" s="664">
        <f t="shared" si="117"/>
        <v>66</v>
      </c>
      <c r="BP49" s="664">
        <f t="shared" si="117"/>
        <v>0</v>
      </c>
      <c r="BQ49" s="664">
        <f t="shared" si="117"/>
        <v>3.5945222980588748E-2</v>
      </c>
      <c r="BR49" s="664">
        <f>BR50+BR58+BR63+BR65</f>
        <v>3.5945222980588748E-2</v>
      </c>
      <c r="BS49" s="664">
        <f>BS50+BS58+BS63+BS65</f>
        <v>50186.194818323253</v>
      </c>
      <c r="BT49" s="664" t="e">
        <f>BT50+BT58+BT63+BT65</f>
        <v>#REF!</v>
      </c>
      <c r="BU49" s="315"/>
      <c r="BV49" s="6">
        <f t="shared" si="103"/>
        <v>750</v>
      </c>
      <c r="BW49" s="6">
        <f t="shared" si="104"/>
        <v>16020</v>
      </c>
      <c r="BX49" s="6">
        <f t="shared" si="105"/>
        <v>16770</v>
      </c>
      <c r="BY49" s="6">
        <f t="shared" si="36"/>
        <v>0</v>
      </c>
      <c r="BZ49" s="6">
        <f t="shared" si="37"/>
        <v>490</v>
      </c>
      <c r="CA49" s="6">
        <f t="shared" si="38"/>
        <v>490</v>
      </c>
    </row>
    <row r="50" spans="1:79" s="6" customFormat="1" ht="15" customHeight="1" thickBot="1" x14ac:dyDescent="0.25">
      <c r="A50" s="662"/>
      <c r="B50" s="778" t="s">
        <v>30</v>
      </c>
      <c r="C50" s="779"/>
      <c r="D50" s="780"/>
      <c r="E50" s="661">
        <f>SUM(E51:E57)</f>
        <v>750</v>
      </c>
      <c r="F50" s="661">
        <f>SUM(F51:F57)</f>
        <v>7400</v>
      </c>
      <c r="G50" s="661">
        <f>SUM(G51:G57)</f>
        <v>8150</v>
      </c>
      <c r="H50" s="882">
        <f t="shared" si="89"/>
        <v>0.40190126089822253</v>
      </c>
      <c r="I50" s="882">
        <f t="shared" si="90"/>
        <v>3.9654257741957957</v>
      </c>
      <c r="J50" s="882">
        <f t="shared" si="91"/>
        <v>4.3673270350940179</v>
      </c>
      <c r="K50" s="661">
        <f t="shared" ref="K50:BQ50" si="118">K51+K52+K53+K54+K56+K57</f>
        <v>0</v>
      </c>
      <c r="L50" s="661">
        <f t="shared" si="118"/>
        <v>0</v>
      </c>
      <c r="M50" s="661">
        <f t="shared" si="118"/>
        <v>0</v>
      </c>
      <c r="N50" s="823">
        <f t="shared" si="118"/>
        <v>0</v>
      </c>
      <c r="O50" s="911">
        <f t="shared" si="118"/>
        <v>0</v>
      </c>
      <c r="P50" s="925">
        <f t="shared" si="118"/>
        <v>0</v>
      </c>
      <c r="Q50" s="927">
        <f t="shared" si="118"/>
        <v>0</v>
      </c>
      <c r="R50" s="901">
        <f t="shared" si="93"/>
        <v>0</v>
      </c>
      <c r="S50" s="901">
        <f t="shared" si="94"/>
        <v>0</v>
      </c>
      <c r="T50" s="901">
        <f t="shared" si="95"/>
        <v>0</v>
      </c>
      <c r="U50" s="661">
        <f t="shared" si="118"/>
        <v>0</v>
      </c>
      <c r="V50" s="661">
        <f t="shared" si="118"/>
        <v>0</v>
      </c>
      <c r="W50" s="661">
        <f t="shared" si="118"/>
        <v>0</v>
      </c>
      <c r="X50" s="661">
        <f t="shared" si="118"/>
        <v>0</v>
      </c>
      <c r="Y50" s="661">
        <f t="shared" si="118"/>
        <v>0</v>
      </c>
      <c r="Z50" s="661">
        <f t="shared" si="118"/>
        <v>0</v>
      </c>
      <c r="AA50" s="661">
        <f t="shared" si="118"/>
        <v>0</v>
      </c>
      <c r="AB50" s="661">
        <f t="shared" si="118"/>
        <v>0</v>
      </c>
      <c r="AC50" s="661">
        <f t="shared" si="118"/>
        <v>0</v>
      </c>
      <c r="AD50" s="661">
        <f t="shared" si="118"/>
        <v>0</v>
      </c>
      <c r="AE50" s="661">
        <f t="shared" si="118"/>
        <v>2150</v>
      </c>
      <c r="AF50" s="661">
        <f t="shared" si="118"/>
        <v>1250</v>
      </c>
      <c r="AG50" s="661">
        <f t="shared" si="118"/>
        <v>950</v>
      </c>
      <c r="AH50" s="661">
        <f t="shared" si="118"/>
        <v>0</v>
      </c>
      <c r="AI50" s="661">
        <f t="shared" si="118"/>
        <v>750</v>
      </c>
      <c r="AJ50" s="661">
        <f t="shared" si="118"/>
        <v>3600</v>
      </c>
      <c r="AK50" s="661">
        <f t="shared" si="118"/>
        <v>4350</v>
      </c>
      <c r="AL50" s="661">
        <f t="shared" si="118"/>
        <v>0.40846844296123574</v>
      </c>
      <c r="AM50" s="661">
        <f t="shared" si="118"/>
        <v>1.9606485262139319</v>
      </c>
      <c r="AN50" s="661">
        <f t="shared" si="118"/>
        <v>2.3691169691751672</v>
      </c>
      <c r="AO50" s="661">
        <f t="shared" si="118"/>
        <v>0</v>
      </c>
      <c r="AP50" s="661">
        <f t="shared" si="118"/>
        <v>1200</v>
      </c>
      <c r="AQ50" s="661">
        <f t="shared" si="118"/>
        <v>800</v>
      </c>
      <c r="AR50" s="661">
        <f t="shared" si="118"/>
        <v>800</v>
      </c>
      <c r="AS50" s="661">
        <f t="shared" si="118"/>
        <v>0</v>
      </c>
      <c r="AT50" s="661">
        <f t="shared" si="118"/>
        <v>2800</v>
      </c>
      <c r="AU50" s="661">
        <f t="shared" si="118"/>
        <v>2800</v>
      </c>
      <c r="AV50" s="661">
        <f t="shared" si="118"/>
        <v>0</v>
      </c>
      <c r="AW50" s="661">
        <f t="shared" si="118"/>
        <v>1.5249488537219469</v>
      </c>
      <c r="AX50" s="661">
        <f t="shared" si="118"/>
        <v>1.5249488537219469</v>
      </c>
      <c r="AY50" s="661">
        <f t="shared" si="118"/>
        <v>400</v>
      </c>
      <c r="AZ50" s="661">
        <f t="shared" si="118"/>
        <v>0</v>
      </c>
      <c r="BA50" s="661">
        <f t="shared" si="118"/>
        <v>0</v>
      </c>
      <c r="BB50" s="661">
        <f t="shared" si="118"/>
        <v>0</v>
      </c>
      <c r="BC50" s="661">
        <f t="shared" si="118"/>
        <v>0</v>
      </c>
      <c r="BD50" s="661">
        <f t="shared" si="118"/>
        <v>400</v>
      </c>
      <c r="BE50" s="661">
        <f t="shared" si="118"/>
        <v>400</v>
      </c>
      <c r="BF50" s="661">
        <f t="shared" si="118"/>
        <v>0</v>
      </c>
      <c r="BG50" s="661">
        <f t="shared" si="118"/>
        <v>0.21784983624599241</v>
      </c>
      <c r="BH50" s="661">
        <f t="shared" si="118"/>
        <v>0.21784983624599241</v>
      </c>
      <c r="BI50" s="661">
        <f t="shared" si="118"/>
        <v>0</v>
      </c>
      <c r="BJ50" s="661">
        <f t="shared" si="118"/>
        <v>0</v>
      </c>
      <c r="BK50" s="661">
        <f t="shared" si="118"/>
        <v>0</v>
      </c>
      <c r="BL50" s="661">
        <f t="shared" si="118"/>
        <v>0</v>
      </c>
      <c r="BM50" s="661">
        <f t="shared" si="118"/>
        <v>0</v>
      </c>
      <c r="BN50" s="661">
        <f t="shared" si="118"/>
        <v>0</v>
      </c>
      <c r="BO50" s="661">
        <f t="shared" si="118"/>
        <v>0</v>
      </c>
      <c r="BP50" s="661">
        <f t="shared" si="118"/>
        <v>0</v>
      </c>
      <c r="BQ50" s="661">
        <f t="shared" si="118"/>
        <v>0</v>
      </c>
      <c r="BR50" s="661">
        <f>BR51+BR52+BR53+BR54+BR56+BR57</f>
        <v>0</v>
      </c>
      <c r="BS50" s="661">
        <f>BS51+BS52+BS53+BS54+BS56+BS57</f>
        <v>22658.223831318286</v>
      </c>
      <c r="BT50" s="661" t="e">
        <f>BT51+BT52+BT53+BT54+BT56+BT57</f>
        <v>#REF!</v>
      </c>
      <c r="BU50" s="315"/>
      <c r="BV50" s="6">
        <f t="shared" si="103"/>
        <v>750</v>
      </c>
      <c r="BW50" s="6">
        <f t="shared" si="104"/>
        <v>6800</v>
      </c>
      <c r="BX50" s="6">
        <f t="shared" si="105"/>
        <v>7550</v>
      </c>
      <c r="BY50" s="6">
        <f t="shared" si="36"/>
        <v>0</v>
      </c>
      <c r="BZ50" s="6">
        <f t="shared" si="37"/>
        <v>600</v>
      </c>
      <c r="CA50" s="6">
        <f t="shared" si="38"/>
        <v>600</v>
      </c>
    </row>
    <row r="51" spans="1:79" s="244" customFormat="1" ht="12.75" customHeight="1" thickBot="1" x14ac:dyDescent="0.25">
      <c r="A51" s="135"/>
      <c r="B51" s="1127" t="s">
        <v>46</v>
      </c>
      <c r="C51" s="1212"/>
      <c r="D51" s="1212"/>
      <c r="E51" s="384">
        <v>0</v>
      </c>
      <c r="F51" s="387">
        <v>2100</v>
      </c>
      <c r="G51" s="377">
        <v>2100</v>
      </c>
      <c r="H51" s="882">
        <f t="shared" si="89"/>
        <v>0</v>
      </c>
      <c r="I51" s="882">
        <f t="shared" si="90"/>
        <v>1.1253235305150231</v>
      </c>
      <c r="J51" s="882">
        <f t="shared" si="91"/>
        <v>1.1253235305150231</v>
      </c>
      <c r="K51" s="1162"/>
      <c r="L51" s="1163"/>
      <c r="M51" s="1163"/>
      <c r="N51" s="1163"/>
      <c r="O51" s="918"/>
      <c r="P51" s="925"/>
      <c r="Q51" s="927">
        <f t="shared" si="101"/>
        <v>0</v>
      </c>
      <c r="R51" s="901">
        <f t="shared" si="93"/>
        <v>0</v>
      </c>
      <c r="S51" s="901">
        <f t="shared" si="94"/>
        <v>0</v>
      </c>
      <c r="T51" s="901">
        <f t="shared" si="95"/>
        <v>0</v>
      </c>
      <c r="U51" s="1162"/>
      <c r="V51" s="1163"/>
      <c r="W51" s="1163"/>
      <c r="X51" s="1163"/>
      <c r="Y51" s="829"/>
      <c r="Z51" s="861"/>
      <c r="AA51" s="830">
        <f t="shared" si="77"/>
        <v>0</v>
      </c>
      <c r="AB51" s="592">
        <f t="shared" ref="AB51:AD54" si="119">Y51/$G$81*100</f>
        <v>0</v>
      </c>
      <c r="AC51" s="592">
        <f t="shared" si="119"/>
        <v>0</v>
      </c>
      <c r="AD51" s="592">
        <f t="shared" si="119"/>
        <v>0</v>
      </c>
      <c r="AE51" s="455">
        <v>700</v>
      </c>
      <c r="AF51" s="455">
        <v>700</v>
      </c>
      <c r="AG51" s="455">
        <v>700</v>
      </c>
      <c r="AH51" s="326"/>
      <c r="AI51" s="829"/>
      <c r="AJ51" s="782">
        <v>2100</v>
      </c>
      <c r="AK51" s="751">
        <f t="shared" si="88"/>
        <v>2100</v>
      </c>
      <c r="AL51" s="592">
        <f t="shared" ref="AL51:AN54" si="120">AI51/$G$81*100</f>
        <v>0</v>
      </c>
      <c r="AM51" s="592">
        <f t="shared" si="120"/>
        <v>1.1437116402914602</v>
      </c>
      <c r="AN51" s="592">
        <f t="shared" si="120"/>
        <v>1.1437116402914602</v>
      </c>
      <c r="AO51" s="1162"/>
      <c r="AP51" s="1163"/>
      <c r="AQ51" s="1163"/>
      <c r="AR51" s="1163"/>
      <c r="AS51" s="782"/>
      <c r="AT51" s="782"/>
      <c r="AU51" s="751">
        <f t="shared" si="78"/>
        <v>0</v>
      </c>
      <c r="AV51" s="592">
        <f t="shared" ref="AV51:AX54" si="121">AS51/$G$81*100</f>
        <v>0</v>
      </c>
      <c r="AW51" s="592">
        <f t="shared" si="121"/>
        <v>0</v>
      </c>
      <c r="AX51" s="592">
        <f t="shared" si="121"/>
        <v>0</v>
      </c>
      <c r="AY51" s="1162"/>
      <c r="AZ51" s="1163"/>
      <c r="BA51" s="1163"/>
      <c r="BB51" s="1163"/>
      <c r="BC51" s="782"/>
      <c r="BD51" s="782"/>
      <c r="BE51" s="751">
        <f t="shared" si="79"/>
        <v>0</v>
      </c>
      <c r="BF51" s="592">
        <f t="shared" ref="BF51:BH54" si="122">BC51/$G$81*100</f>
        <v>0</v>
      </c>
      <c r="BG51" s="592">
        <f t="shared" si="122"/>
        <v>0</v>
      </c>
      <c r="BH51" s="592">
        <f t="shared" si="122"/>
        <v>0</v>
      </c>
      <c r="BI51" s="1162"/>
      <c r="BJ51" s="1163"/>
      <c r="BK51" s="1163"/>
      <c r="BL51" s="1163"/>
      <c r="BM51" s="782"/>
      <c r="BN51" s="782"/>
      <c r="BO51" s="751">
        <f t="shared" si="80"/>
        <v>0</v>
      </c>
      <c r="BP51" s="592">
        <f t="shared" ref="BP51:BR54" si="123">BM51/$G$81*100</f>
        <v>0</v>
      </c>
      <c r="BQ51" s="592">
        <f t="shared" si="123"/>
        <v>0</v>
      </c>
      <c r="BR51" s="592">
        <f t="shared" si="123"/>
        <v>0</v>
      </c>
      <c r="BS51" s="359">
        <f t="shared" ref="BS51:BS62" si="124">SUM(K51:BL51)</f>
        <v>6302.2874232805825</v>
      </c>
      <c r="BT51" s="315" t="e">
        <f>BS51-#REF!</f>
        <v>#REF!</v>
      </c>
      <c r="BU51" s="315"/>
      <c r="BV51" s="6">
        <f t="shared" si="103"/>
        <v>0</v>
      </c>
      <c r="BW51" s="6">
        <f t="shared" si="104"/>
        <v>2100</v>
      </c>
      <c r="BX51" s="6">
        <f t="shared" si="105"/>
        <v>2100</v>
      </c>
      <c r="BY51" s="6">
        <f t="shared" si="36"/>
        <v>0</v>
      </c>
      <c r="BZ51" s="6">
        <f t="shared" si="37"/>
        <v>0</v>
      </c>
      <c r="CA51" s="6">
        <f t="shared" si="38"/>
        <v>0</v>
      </c>
    </row>
    <row r="52" spans="1:79" s="244" customFormat="1" ht="12.75" customHeight="1" thickBot="1" x14ac:dyDescent="0.25">
      <c r="A52" s="135"/>
      <c r="B52" s="1127" t="s">
        <v>47</v>
      </c>
      <c r="C52" s="1128"/>
      <c r="D52" s="1292"/>
      <c r="E52" s="384">
        <v>0</v>
      </c>
      <c r="F52" s="387">
        <v>1200</v>
      </c>
      <c r="G52" s="377">
        <v>1200</v>
      </c>
      <c r="H52" s="882">
        <f t="shared" si="89"/>
        <v>0</v>
      </c>
      <c r="I52" s="882">
        <f t="shared" si="90"/>
        <v>0.64304201743715605</v>
      </c>
      <c r="J52" s="882">
        <f t="shared" si="91"/>
        <v>0.64304201743715605</v>
      </c>
      <c r="K52" s="1162"/>
      <c r="L52" s="1163"/>
      <c r="M52" s="1163"/>
      <c r="N52" s="1163"/>
      <c r="O52" s="918"/>
      <c r="P52" s="925"/>
      <c r="Q52" s="927">
        <f t="shared" si="101"/>
        <v>0</v>
      </c>
      <c r="R52" s="901">
        <f t="shared" si="93"/>
        <v>0</v>
      </c>
      <c r="S52" s="901">
        <f t="shared" si="94"/>
        <v>0</v>
      </c>
      <c r="T52" s="901">
        <f t="shared" si="95"/>
        <v>0</v>
      </c>
      <c r="U52" s="1162"/>
      <c r="V52" s="1163"/>
      <c r="W52" s="1163"/>
      <c r="X52" s="1163"/>
      <c r="Y52" s="829"/>
      <c r="Z52" s="861"/>
      <c r="AA52" s="830">
        <f t="shared" si="77"/>
        <v>0</v>
      </c>
      <c r="AB52" s="592">
        <f t="shared" si="119"/>
        <v>0</v>
      </c>
      <c r="AC52" s="592">
        <f t="shared" si="119"/>
        <v>0</v>
      </c>
      <c r="AD52" s="592">
        <f t="shared" si="119"/>
        <v>0</v>
      </c>
      <c r="AE52" s="1162"/>
      <c r="AF52" s="1163"/>
      <c r="AG52" s="1163"/>
      <c r="AH52" s="1163"/>
      <c r="AI52" s="829"/>
      <c r="AJ52" s="782"/>
      <c r="AK52" s="751">
        <f t="shared" si="88"/>
        <v>0</v>
      </c>
      <c r="AL52" s="592">
        <f t="shared" si="120"/>
        <v>0</v>
      </c>
      <c r="AM52" s="592">
        <f t="shared" si="120"/>
        <v>0</v>
      </c>
      <c r="AN52" s="592">
        <f t="shared" si="120"/>
        <v>0</v>
      </c>
      <c r="AO52" s="468"/>
      <c r="AP52" s="455">
        <v>400</v>
      </c>
      <c r="AQ52" s="455">
        <v>400</v>
      </c>
      <c r="AR52" s="455">
        <v>400</v>
      </c>
      <c r="AS52" s="782"/>
      <c r="AT52" s="782">
        <v>1200</v>
      </c>
      <c r="AU52" s="751">
        <f t="shared" si="78"/>
        <v>1200</v>
      </c>
      <c r="AV52" s="592">
        <f t="shared" si="121"/>
        <v>0</v>
      </c>
      <c r="AW52" s="592">
        <f t="shared" si="121"/>
        <v>0.65354950873797724</v>
      </c>
      <c r="AX52" s="592">
        <f t="shared" si="121"/>
        <v>0.65354950873797724</v>
      </c>
      <c r="AY52" s="1162"/>
      <c r="AZ52" s="1163"/>
      <c r="BA52" s="1163"/>
      <c r="BB52" s="1163"/>
      <c r="BC52" s="782"/>
      <c r="BD52" s="782"/>
      <c r="BE52" s="751">
        <f t="shared" si="79"/>
        <v>0</v>
      </c>
      <c r="BF52" s="592">
        <f t="shared" si="122"/>
        <v>0</v>
      </c>
      <c r="BG52" s="592">
        <f t="shared" si="122"/>
        <v>0</v>
      </c>
      <c r="BH52" s="592">
        <f t="shared" si="122"/>
        <v>0</v>
      </c>
      <c r="BI52" s="1162"/>
      <c r="BJ52" s="1163"/>
      <c r="BK52" s="1163"/>
      <c r="BL52" s="1163"/>
      <c r="BM52" s="782"/>
      <c r="BN52" s="782"/>
      <c r="BO52" s="751">
        <f t="shared" si="80"/>
        <v>0</v>
      </c>
      <c r="BP52" s="592">
        <f t="shared" si="123"/>
        <v>0</v>
      </c>
      <c r="BQ52" s="592">
        <f t="shared" si="123"/>
        <v>0</v>
      </c>
      <c r="BR52" s="592">
        <f t="shared" si="123"/>
        <v>0</v>
      </c>
      <c r="BS52" s="359">
        <f t="shared" si="124"/>
        <v>3601.3070990174756</v>
      </c>
      <c r="BT52" s="315" t="e">
        <f>BS52-#REF!</f>
        <v>#REF!</v>
      </c>
      <c r="BU52" s="315"/>
      <c r="BV52" s="6">
        <f t="shared" si="103"/>
        <v>0</v>
      </c>
      <c r="BW52" s="6">
        <f t="shared" si="104"/>
        <v>1200</v>
      </c>
      <c r="BX52" s="6">
        <f t="shared" si="105"/>
        <v>1200</v>
      </c>
      <c r="BY52" s="6">
        <f t="shared" si="36"/>
        <v>0</v>
      </c>
      <c r="BZ52" s="6">
        <f t="shared" si="37"/>
        <v>0</v>
      </c>
      <c r="CA52" s="6">
        <f t="shared" si="38"/>
        <v>0</v>
      </c>
    </row>
    <row r="53" spans="1:79" s="244" customFormat="1" ht="12.75" customHeight="1" thickBot="1" x14ac:dyDescent="0.25">
      <c r="A53" s="135"/>
      <c r="B53" s="1127" t="s">
        <v>199</v>
      </c>
      <c r="C53" s="1128"/>
      <c r="D53" s="1292"/>
      <c r="E53" s="384">
        <v>750</v>
      </c>
      <c r="F53" s="387">
        <v>500</v>
      </c>
      <c r="G53" s="377">
        <v>1250</v>
      </c>
      <c r="H53" s="882">
        <f t="shared" si="89"/>
        <v>0.40190126089822253</v>
      </c>
      <c r="I53" s="882">
        <f t="shared" si="90"/>
        <v>0.26793417393214836</v>
      </c>
      <c r="J53" s="882">
        <f t="shared" si="91"/>
        <v>0.66983543483037089</v>
      </c>
      <c r="K53" s="1162"/>
      <c r="L53" s="1163"/>
      <c r="M53" s="1163"/>
      <c r="N53" s="1163"/>
      <c r="O53" s="918"/>
      <c r="P53" s="925"/>
      <c r="Q53" s="927">
        <f t="shared" si="101"/>
        <v>0</v>
      </c>
      <c r="R53" s="901">
        <f t="shared" si="93"/>
        <v>0</v>
      </c>
      <c r="S53" s="901">
        <f t="shared" si="94"/>
        <v>0</v>
      </c>
      <c r="T53" s="901">
        <f t="shared" si="95"/>
        <v>0</v>
      </c>
      <c r="U53" s="1162"/>
      <c r="V53" s="1163"/>
      <c r="W53" s="1163"/>
      <c r="X53" s="1163"/>
      <c r="Y53" s="829"/>
      <c r="Z53" s="861"/>
      <c r="AA53" s="830">
        <f t="shared" si="77"/>
        <v>0</v>
      </c>
      <c r="AB53" s="592">
        <f t="shared" si="119"/>
        <v>0</v>
      </c>
      <c r="AC53" s="592">
        <f t="shared" si="119"/>
        <v>0</v>
      </c>
      <c r="AD53" s="592">
        <f t="shared" si="119"/>
        <v>0</v>
      </c>
      <c r="AE53" s="455">
        <v>750</v>
      </c>
      <c r="AF53" s="455">
        <v>250</v>
      </c>
      <c r="AG53" s="455">
        <v>250</v>
      </c>
      <c r="AH53" s="458"/>
      <c r="AI53" s="829">
        <v>750</v>
      </c>
      <c r="AJ53" s="782">
        <v>500</v>
      </c>
      <c r="AK53" s="751">
        <f t="shared" si="88"/>
        <v>1250</v>
      </c>
      <c r="AL53" s="592">
        <f t="shared" si="120"/>
        <v>0.40846844296123574</v>
      </c>
      <c r="AM53" s="592">
        <f t="shared" si="120"/>
        <v>0.27231229530749052</v>
      </c>
      <c r="AN53" s="592">
        <f t="shared" si="120"/>
        <v>0.68078073826872632</v>
      </c>
      <c r="AO53" s="1162"/>
      <c r="AP53" s="1163"/>
      <c r="AQ53" s="1163"/>
      <c r="AR53" s="1163"/>
      <c r="AS53" s="782"/>
      <c r="AT53" s="782"/>
      <c r="AU53" s="751">
        <f t="shared" si="78"/>
        <v>0</v>
      </c>
      <c r="AV53" s="592">
        <f t="shared" si="121"/>
        <v>0</v>
      </c>
      <c r="AW53" s="592">
        <f t="shared" si="121"/>
        <v>0</v>
      </c>
      <c r="AX53" s="592">
        <f t="shared" si="121"/>
        <v>0</v>
      </c>
      <c r="AY53" s="1162"/>
      <c r="AZ53" s="1163"/>
      <c r="BA53" s="1163"/>
      <c r="BB53" s="1163"/>
      <c r="BC53" s="782"/>
      <c r="BD53" s="782"/>
      <c r="BE53" s="751">
        <f t="shared" si="79"/>
        <v>0</v>
      </c>
      <c r="BF53" s="592">
        <f t="shared" si="122"/>
        <v>0</v>
      </c>
      <c r="BG53" s="592">
        <f t="shared" si="122"/>
        <v>0</v>
      </c>
      <c r="BH53" s="592">
        <f t="shared" si="122"/>
        <v>0</v>
      </c>
      <c r="BI53" s="1162"/>
      <c r="BJ53" s="1163"/>
      <c r="BK53" s="1163"/>
      <c r="BL53" s="1163"/>
      <c r="BM53" s="782"/>
      <c r="BN53" s="782"/>
      <c r="BO53" s="751">
        <f t="shared" si="80"/>
        <v>0</v>
      </c>
      <c r="BP53" s="592">
        <f t="shared" si="123"/>
        <v>0</v>
      </c>
      <c r="BQ53" s="592">
        <f t="shared" si="123"/>
        <v>0</v>
      </c>
      <c r="BR53" s="592">
        <f t="shared" si="123"/>
        <v>0</v>
      </c>
      <c r="BS53" s="359">
        <f t="shared" si="124"/>
        <v>3751.3615614765376</v>
      </c>
      <c r="BT53" s="315" t="e">
        <f>BS53-#REF!</f>
        <v>#REF!</v>
      </c>
      <c r="BU53" s="315"/>
      <c r="BV53" s="6">
        <f t="shared" si="103"/>
        <v>750</v>
      </c>
      <c r="BW53" s="6">
        <f t="shared" si="104"/>
        <v>500</v>
      </c>
      <c r="BX53" s="6">
        <f t="shared" si="105"/>
        <v>1250</v>
      </c>
      <c r="BY53" s="6">
        <f t="shared" si="36"/>
        <v>0</v>
      </c>
      <c r="BZ53" s="6">
        <f t="shared" si="37"/>
        <v>0</v>
      </c>
      <c r="CA53" s="6">
        <f t="shared" si="38"/>
        <v>0</v>
      </c>
    </row>
    <row r="54" spans="1:79" s="244" customFormat="1" ht="12.75" customHeight="1" thickBot="1" x14ac:dyDescent="0.25">
      <c r="A54" s="135"/>
      <c r="B54" s="1127" t="s">
        <v>49</v>
      </c>
      <c r="C54" s="1128"/>
      <c r="D54" s="1292"/>
      <c r="E54" s="384">
        <v>0</v>
      </c>
      <c r="F54" s="387">
        <v>2000</v>
      </c>
      <c r="G54" s="377">
        <v>2000</v>
      </c>
      <c r="H54" s="882">
        <f t="shared" si="89"/>
        <v>0</v>
      </c>
      <c r="I54" s="882">
        <f t="shared" si="90"/>
        <v>1.0717366957285934</v>
      </c>
      <c r="J54" s="882">
        <f t="shared" si="91"/>
        <v>1.0717366957285934</v>
      </c>
      <c r="K54" s="1162"/>
      <c r="L54" s="1163"/>
      <c r="M54" s="1163"/>
      <c r="N54" s="1163"/>
      <c r="O54" s="918"/>
      <c r="P54" s="925"/>
      <c r="Q54" s="927">
        <f t="shared" si="101"/>
        <v>0</v>
      </c>
      <c r="R54" s="901">
        <f t="shared" si="93"/>
        <v>0</v>
      </c>
      <c r="S54" s="901">
        <f t="shared" si="94"/>
        <v>0</v>
      </c>
      <c r="T54" s="901">
        <f t="shared" si="95"/>
        <v>0</v>
      </c>
      <c r="U54" s="1162"/>
      <c r="V54" s="1163"/>
      <c r="W54" s="1163"/>
      <c r="X54" s="1163"/>
      <c r="Y54" s="829"/>
      <c r="Z54" s="861"/>
      <c r="AA54" s="830">
        <f t="shared" si="77"/>
        <v>0</v>
      </c>
      <c r="AB54" s="592">
        <f t="shared" si="119"/>
        <v>0</v>
      </c>
      <c r="AC54" s="592">
        <f t="shared" si="119"/>
        <v>0</v>
      </c>
      <c r="AD54" s="592">
        <f t="shared" si="119"/>
        <v>0</v>
      </c>
      <c r="AE54" s="1162"/>
      <c r="AF54" s="1163"/>
      <c r="AG54" s="1163"/>
      <c r="AH54" s="1163"/>
      <c r="AI54" s="829"/>
      <c r="AJ54" s="782"/>
      <c r="AK54" s="751">
        <f t="shared" si="88"/>
        <v>0</v>
      </c>
      <c r="AL54" s="592">
        <f t="shared" si="120"/>
        <v>0</v>
      </c>
      <c r="AM54" s="592">
        <f t="shared" si="120"/>
        <v>0</v>
      </c>
      <c r="AN54" s="592">
        <f t="shared" si="120"/>
        <v>0</v>
      </c>
      <c r="AO54" s="468"/>
      <c r="AP54" s="455">
        <v>800</v>
      </c>
      <c r="AQ54" s="455">
        <v>400</v>
      </c>
      <c r="AR54" s="455">
        <v>400</v>
      </c>
      <c r="AS54" s="782"/>
      <c r="AT54" s="782">
        <v>1600</v>
      </c>
      <c r="AU54" s="751">
        <f t="shared" si="78"/>
        <v>1600</v>
      </c>
      <c r="AV54" s="592">
        <f t="shared" si="121"/>
        <v>0</v>
      </c>
      <c r="AW54" s="592">
        <f t="shared" si="121"/>
        <v>0.87139934498396965</v>
      </c>
      <c r="AX54" s="592">
        <f t="shared" si="121"/>
        <v>0.87139934498396965</v>
      </c>
      <c r="AY54" s="455">
        <v>400</v>
      </c>
      <c r="AZ54" s="322"/>
      <c r="BA54" s="322"/>
      <c r="BB54" s="330"/>
      <c r="BC54" s="782"/>
      <c r="BD54" s="782">
        <v>400</v>
      </c>
      <c r="BE54" s="751">
        <f t="shared" si="79"/>
        <v>400</v>
      </c>
      <c r="BF54" s="592">
        <f t="shared" si="122"/>
        <v>0</v>
      </c>
      <c r="BG54" s="592">
        <f t="shared" si="122"/>
        <v>0.21784983624599241</v>
      </c>
      <c r="BH54" s="592">
        <f t="shared" si="122"/>
        <v>0.21784983624599241</v>
      </c>
      <c r="BI54" s="1162"/>
      <c r="BJ54" s="1163"/>
      <c r="BK54" s="1163"/>
      <c r="BL54" s="1163"/>
      <c r="BM54" s="782"/>
      <c r="BN54" s="782"/>
      <c r="BO54" s="751">
        <f t="shared" si="80"/>
        <v>0</v>
      </c>
      <c r="BP54" s="592">
        <f t="shared" si="123"/>
        <v>0</v>
      </c>
      <c r="BQ54" s="592">
        <f t="shared" si="123"/>
        <v>0</v>
      </c>
      <c r="BR54" s="592">
        <f t="shared" si="123"/>
        <v>0</v>
      </c>
      <c r="BS54" s="359">
        <f t="shared" si="124"/>
        <v>6002.1784983624602</v>
      </c>
      <c r="BT54" s="315" t="e">
        <f>BS54-#REF!</f>
        <v>#REF!</v>
      </c>
      <c r="BU54" s="315"/>
      <c r="BV54" s="6">
        <f t="shared" si="103"/>
        <v>0</v>
      </c>
      <c r="BW54" s="6">
        <f t="shared" si="104"/>
        <v>2000</v>
      </c>
      <c r="BX54" s="6">
        <f t="shared" si="105"/>
        <v>2000</v>
      </c>
      <c r="BY54" s="6">
        <f t="shared" si="36"/>
        <v>0</v>
      </c>
      <c r="BZ54" s="6">
        <f t="shared" si="37"/>
        <v>0</v>
      </c>
      <c r="CA54" s="6">
        <f t="shared" si="38"/>
        <v>0</v>
      </c>
    </row>
    <row r="55" spans="1:79" s="244" customFormat="1" ht="12.75" customHeight="1" thickBot="1" x14ac:dyDescent="0.25">
      <c r="A55" s="135"/>
      <c r="B55" s="1127" t="s">
        <v>201</v>
      </c>
      <c r="C55" s="1128"/>
      <c r="D55" s="1292"/>
      <c r="E55" s="384"/>
      <c r="F55" s="387">
        <v>600</v>
      </c>
      <c r="G55" s="377">
        <v>600</v>
      </c>
      <c r="H55" s="882"/>
      <c r="I55" s="882">
        <f t="shared" ref="I55:I69" si="125">F55/$F$82*100</f>
        <v>0.32152100871857803</v>
      </c>
      <c r="J55" s="882">
        <f t="shared" ref="J55:J69" si="126">G55/$F$82*100</f>
        <v>0.32152100871857803</v>
      </c>
      <c r="K55" s="818"/>
      <c r="L55" s="819"/>
      <c r="M55" s="819"/>
      <c r="N55" s="819"/>
      <c r="O55" s="918"/>
      <c r="P55" s="925"/>
      <c r="Q55" s="927"/>
      <c r="R55" s="901"/>
      <c r="S55" s="901"/>
      <c r="T55" s="901"/>
      <c r="U55" s="818"/>
      <c r="V55" s="819"/>
      <c r="W55" s="819"/>
      <c r="X55" s="819"/>
      <c r="Y55" s="829"/>
      <c r="Z55" s="861"/>
      <c r="AA55" s="830"/>
      <c r="AB55" s="592"/>
      <c r="AC55" s="592"/>
      <c r="AD55" s="592"/>
      <c r="AE55" s="818"/>
      <c r="AF55" s="819"/>
      <c r="AG55" s="819"/>
      <c r="AH55" s="819"/>
      <c r="AI55" s="829"/>
      <c r="AJ55" s="782"/>
      <c r="AK55" s="751"/>
      <c r="AL55" s="592"/>
      <c r="AM55" s="592"/>
      <c r="AN55" s="592"/>
      <c r="AO55" s="930">
        <v>300</v>
      </c>
      <c r="AP55" s="930">
        <v>300</v>
      </c>
      <c r="AQ55" s="930">
        <v>300</v>
      </c>
      <c r="AR55" s="744"/>
      <c r="AS55" s="782"/>
      <c r="AT55" s="782">
        <v>600</v>
      </c>
      <c r="AU55" s="751">
        <v>600</v>
      </c>
      <c r="AV55" s="592"/>
      <c r="AW55" s="592"/>
      <c r="AX55" s="592"/>
      <c r="AY55" s="930"/>
      <c r="AZ55" s="301"/>
      <c r="BA55" s="301"/>
      <c r="BB55" s="301"/>
      <c r="BC55" s="782"/>
      <c r="BD55" s="782"/>
      <c r="BE55" s="751"/>
      <c r="BF55" s="592"/>
      <c r="BG55" s="592"/>
      <c r="BH55" s="592"/>
      <c r="BI55" s="818"/>
      <c r="BJ55" s="819"/>
      <c r="BK55" s="819"/>
      <c r="BL55" s="819"/>
      <c r="BM55" s="782"/>
      <c r="BN55" s="782"/>
      <c r="BO55" s="751"/>
      <c r="BP55" s="592"/>
      <c r="BQ55" s="592"/>
      <c r="BR55" s="592"/>
      <c r="BS55" s="359"/>
      <c r="BT55" s="315"/>
      <c r="BU55" s="315"/>
      <c r="BV55" s="6"/>
      <c r="BW55" s="6"/>
      <c r="BX55" s="6"/>
      <c r="BY55" s="6"/>
      <c r="BZ55" s="6"/>
      <c r="CA55" s="6"/>
    </row>
    <row r="56" spans="1:79" s="244" customFormat="1" ht="12.75" customHeight="1" thickBot="1" x14ac:dyDescent="0.25">
      <c r="A56" s="135"/>
      <c r="B56" s="1127" t="s">
        <v>202</v>
      </c>
      <c r="C56" s="1128"/>
      <c r="D56" s="1292"/>
      <c r="E56" s="384">
        <v>0</v>
      </c>
      <c r="F56" s="387">
        <v>400</v>
      </c>
      <c r="G56" s="377">
        <v>400</v>
      </c>
      <c r="H56" s="882">
        <f t="shared" ref="H56:H69" si="127">E56/$F$82*100</f>
        <v>0</v>
      </c>
      <c r="I56" s="882">
        <f t="shared" si="125"/>
        <v>0.21434733914571868</v>
      </c>
      <c r="J56" s="882">
        <f t="shared" si="126"/>
        <v>0.21434733914571868</v>
      </c>
      <c r="K56" s="1162"/>
      <c r="L56" s="1163"/>
      <c r="M56" s="1163"/>
      <c r="N56" s="1163"/>
      <c r="O56" s="918"/>
      <c r="P56" s="925"/>
      <c r="Q56" s="927">
        <f t="shared" si="101"/>
        <v>0</v>
      </c>
      <c r="R56" s="901">
        <f t="shared" ref="R56:R69" si="128">O56/$F$82*100</f>
        <v>0</v>
      </c>
      <c r="S56" s="901">
        <f t="shared" ref="S56:S69" si="129">P56/$F$82*100</f>
        <v>0</v>
      </c>
      <c r="T56" s="901">
        <f t="shared" ref="T56:T69" si="130">Q56/$F$82*100</f>
        <v>0</v>
      </c>
      <c r="U56" s="1162"/>
      <c r="V56" s="1163"/>
      <c r="W56" s="1163"/>
      <c r="X56" s="1163"/>
      <c r="Y56" s="829"/>
      <c r="Z56" s="861"/>
      <c r="AA56" s="830">
        <f t="shared" si="77"/>
        <v>0</v>
      </c>
      <c r="AB56" s="592">
        <f t="shared" ref="AB56:AD57" si="131">Y56/$G$81*100</f>
        <v>0</v>
      </c>
      <c r="AC56" s="592">
        <f t="shared" si="131"/>
        <v>0</v>
      </c>
      <c r="AD56" s="592">
        <f t="shared" si="131"/>
        <v>0</v>
      </c>
      <c r="AE56" s="455">
        <v>400</v>
      </c>
      <c r="AF56" s="458"/>
      <c r="AG56" s="458"/>
      <c r="AH56" s="326"/>
      <c r="AI56" s="829"/>
      <c r="AJ56" s="782">
        <v>400</v>
      </c>
      <c r="AK56" s="751">
        <f t="shared" si="88"/>
        <v>400</v>
      </c>
      <c r="AL56" s="592">
        <f t="shared" ref="AL56:AN57" si="132">AI56/$G$81*100</f>
        <v>0</v>
      </c>
      <c r="AM56" s="592">
        <f t="shared" si="132"/>
        <v>0.21784983624599241</v>
      </c>
      <c r="AN56" s="592">
        <f t="shared" si="132"/>
        <v>0.21784983624599241</v>
      </c>
      <c r="AO56" s="1162"/>
      <c r="AP56" s="1163"/>
      <c r="AQ56" s="1163"/>
      <c r="AR56" s="1163"/>
      <c r="AS56" s="782"/>
      <c r="AT56" s="782"/>
      <c r="AU56" s="751">
        <f t="shared" si="78"/>
        <v>0</v>
      </c>
      <c r="AV56" s="592">
        <f t="shared" ref="AV56:AX57" si="133">AS56/$G$81*100</f>
        <v>0</v>
      </c>
      <c r="AW56" s="592">
        <f t="shared" si="133"/>
        <v>0</v>
      </c>
      <c r="AX56" s="592">
        <f t="shared" si="133"/>
        <v>0</v>
      </c>
      <c r="AY56" s="1162"/>
      <c r="AZ56" s="1163"/>
      <c r="BA56" s="1163"/>
      <c r="BB56" s="1163"/>
      <c r="BC56" s="782"/>
      <c r="BD56" s="782"/>
      <c r="BE56" s="751">
        <f t="shared" si="79"/>
        <v>0</v>
      </c>
      <c r="BF56" s="592">
        <f t="shared" ref="BF56:BH57" si="134">BC56/$G$81*100</f>
        <v>0</v>
      </c>
      <c r="BG56" s="592">
        <f t="shared" si="134"/>
        <v>0</v>
      </c>
      <c r="BH56" s="592">
        <f t="shared" si="134"/>
        <v>0</v>
      </c>
      <c r="BI56" s="1162"/>
      <c r="BJ56" s="1163"/>
      <c r="BK56" s="1163"/>
      <c r="BL56" s="1163"/>
      <c r="BM56" s="782"/>
      <c r="BN56" s="782"/>
      <c r="BO56" s="751">
        <f t="shared" si="80"/>
        <v>0</v>
      </c>
      <c r="BP56" s="592">
        <f t="shared" ref="BP56:BR57" si="135">BM56/$G$81*100</f>
        <v>0</v>
      </c>
      <c r="BQ56" s="592">
        <f t="shared" si="135"/>
        <v>0</v>
      </c>
      <c r="BR56" s="592">
        <f t="shared" si="135"/>
        <v>0</v>
      </c>
      <c r="BS56" s="359">
        <f t="shared" si="124"/>
        <v>1200.4356996724919</v>
      </c>
      <c r="BT56" s="315" t="e">
        <f>BS56-#REF!</f>
        <v>#REF!</v>
      </c>
      <c r="BU56" s="315"/>
      <c r="BV56" s="6">
        <f t="shared" si="103"/>
        <v>0</v>
      </c>
      <c r="BW56" s="6">
        <f t="shared" si="104"/>
        <v>400</v>
      </c>
      <c r="BX56" s="6">
        <f t="shared" si="105"/>
        <v>400</v>
      </c>
      <c r="BY56" s="6">
        <f t="shared" si="36"/>
        <v>0</v>
      </c>
      <c r="BZ56" s="6">
        <f t="shared" si="37"/>
        <v>0</v>
      </c>
      <c r="CA56" s="6">
        <f t="shared" si="38"/>
        <v>0</v>
      </c>
    </row>
    <row r="57" spans="1:79" s="244" customFormat="1" ht="12.75" customHeight="1" thickBot="1" x14ac:dyDescent="0.25">
      <c r="A57" s="135"/>
      <c r="B57" s="1127" t="s">
        <v>51</v>
      </c>
      <c r="C57" s="1128"/>
      <c r="D57" s="1292"/>
      <c r="E57" s="384">
        <v>0</v>
      </c>
      <c r="F57" s="387">
        <v>600</v>
      </c>
      <c r="G57" s="377">
        <v>600</v>
      </c>
      <c r="H57" s="882">
        <f t="shared" si="127"/>
        <v>0</v>
      </c>
      <c r="I57" s="882">
        <f t="shared" si="125"/>
        <v>0.32152100871857803</v>
      </c>
      <c r="J57" s="882">
        <f t="shared" si="126"/>
        <v>0.32152100871857803</v>
      </c>
      <c r="K57" s="1162"/>
      <c r="L57" s="1163"/>
      <c r="M57" s="1163"/>
      <c r="N57" s="1163"/>
      <c r="O57" s="918"/>
      <c r="P57" s="925"/>
      <c r="Q57" s="927">
        <f t="shared" si="101"/>
        <v>0</v>
      </c>
      <c r="R57" s="901">
        <f t="shared" si="128"/>
        <v>0</v>
      </c>
      <c r="S57" s="901">
        <f t="shared" si="129"/>
        <v>0</v>
      </c>
      <c r="T57" s="901">
        <f t="shared" si="130"/>
        <v>0</v>
      </c>
      <c r="U57" s="1162"/>
      <c r="V57" s="1163"/>
      <c r="W57" s="1163"/>
      <c r="X57" s="1163"/>
      <c r="Y57" s="829"/>
      <c r="Z57" s="861"/>
      <c r="AA57" s="830">
        <f t="shared" si="77"/>
        <v>0</v>
      </c>
      <c r="AB57" s="592">
        <f t="shared" si="131"/>
        <v>0</v>
      </c>
      <c r="AC57" s="592">
        <f t="shared" si="131"/>
        <v>0</v>
      </c>
      <c r="AD57" s="592">
        <f t="shared" si="131"/>
        <v>0</v>
      </c>
      <c r="AE57" s="455">
        <v>300</v>
      </c>
      <c r="AF57" s="455">
        <v>300</v>
      </c>
      <c r="AG57" s="458"/>
      <c r="AH57" s="6"/>
      <c r="AI57" s="829"/>
      <c r="AJ57" s="782">
        <v>600</v>
      </c>
      <c r="AK57" s="751">
        <f t="shared" si="88"/>
        <v>600</v>
      </c>
      <c r="AL57" s="592">
        <f t="shared" si="132"/>
        <v>0</v>
      </c>
      <c r="AM57" s="592">
        <f t="shared" si="132"/>
        <v>0.32677475436898862</v>
      </c>
      <c r="AN57" s="592">
        <f t="shared" si="132"/>
        <v>0.32677475436898862</v>
      </c>
      <c r="AO57" s="1162"/>
      <c r="AP57" s="1163"/>
      <c r="AQ57" s="1163"/>
      <c r="AR57" s="1163"/>
      <c r="AS57" s="782"/>
      <c r="AT57" s="782"/>
      <c r="AU57" s="751">
        <f t="shared" si="78"/>
        <v>0</v>
      </c>
      <c r="AV57" s="592">
        <f t="shared" si="133"/>
        <v>0</v>
      </c>
      <c r="AW57" s="592">
        <f t="shared" si="133"/>
        <v>0</v>
      </c>
      <c r="AX57" s="592">
        <f t="shared" si="133"/>
        <v>0</v>
      </c>
      <c r="AY57" s="1162"/>
      <c r="AZ57" s="1163"/>
      <c r="BA57" s="1163"/>
      <c r="BB57" s="1163"/>
      <c r="BC57" s="782"/>
      <c r="BD57" s="782"/>
      <c r="BE57" s="751">
        <f t="shared" si="79"/>
        <v>0</v>
      </c>
      <c r="BF57" s="592">
        <f t="shared" si="134"/>
        <v>0</v>
      </c>
      <c r="BG57" s="592">
        <f t="shared" si="134"/>
        <v>0</v>
      </c>
      <c r="BH57" s="592">
        <f t="shared" si="134"/>
        <v>0</v>
      </c>
      <c r="BI57" s="1162"/>
      <c r="BJ57" s="1163"/>
      <c r="BK57" s="1163"/>
      <c r="BL57" s="1163"/>
      <c r="BM57" s="782"/>
      <c r="BN57" s="782"/>
      <c r="BO57" s="751">
        <f t="shared" si="80"/>
        <v>0</v>
      </c>
      <c r="BP57" s="592">
        <f t="shared" si="135"/>
        <v>0</v>
      </c>
      <c r="BQ57" s="592">
        <f t="shared" si="135"/>
        <v>0</v>
      </c>
      <c r="BR57" s="592">
        <f t="shared" si="135"/>
        <v>0</v>
      </c>
      <c r="BS57" s="359">
        <f t="shared" si="124"/>
        <v>1800.6535495087378</v>
      </c>
      <c r="BT57" s="315" t="e">
        <f>BS57-#REF!</f>
        <v>#REF!</v>
      </c>
      <c r="BU57" s="315"/>
      <c r="BV57" s="6">
        <f t="shared" si="103"/>
        <v>0</v>
      </c>
      <c r="BW57" s="6">
        <f t="shared" si="104"/>
        <v>600</v>
      </c>
      <c r="BX57" s="6">
        <f t="shared" si="105"/>
        <v>600</v>
      </c>
      <c r="BY57" s="6">
        <f t="shared" si="36"/>
        <v>0</v>
      </c>
      <c r="BZ57" s="6">
        <f t="shared" si="37"/>
        <v>0</v>
      </c>
      <c r="CA57" s="6">
        <f t="shared" si="38"/>
        <v>0</v>
      </c>
    </row>
    <row r="58" spans="1:79" s="6" customFormat="1" ht="13.5" thickBot="1" x14ac:dyDescent="0.25">
      <c r="B58" s="1229" t="s">
        <v>31</v>
      </c>
      <c r="C58" s="1212"/>
      <c r="D58" s="1230"/>
      <c r="E58" s="811">
        <f>SUM(E59:E62)</f>
        <v>0</v>
      </c>
      <c r="F58" s="820">
        <f>SUM(F59:F62)</f>
        <v>8200</v>
      </c>
      <c r="G58" s="820">
        <f>SUM(G59:G62)</f>
        <v>8200</v>
      </c>
      <c r="H58" s="882">
        <f t="shared" si="127"/>
        <v>0</v>
      </c>
      <c r="I58" s="882">
        <f t="shared" si="125"/>
        <v>4.3941204524872335</v>
      </c>
      <c r="J58" s="882">
        <f t="shared" si="126"/>
        <v>4.3941204524872335</v>
      </c>
      <c r="K58" s="820">
        <f t="shared" ref="K58:BQ58" si="136">K59+K60+K61+K62</f>
        <v>0</v>
      </c>
      <c r="L58" s="820">
        <f t="shared" si="136"/>
        <v>0</v>
      </c>
      <c r="M58" s="820">
        <f t="shared" si="136"/>
        <v>0</v>
      </c>
      <c r="N58" s="823">
        <f t="shared" si="136"/>
        <v>0</v>
      </c>
      <c r="O58" s="911">
        <f t="shared" si="136"/>
        <v>0</v>
      </c>
      <c r="P58" s="925">
        <f t="shared" si="136"/>
        <v>0</v>
      </c>
      <c r="Q58" s="927">
        <f t="shared" si="136"/>
        <v>0</v>
      </c>
      <c r="R58" s="901">
        <f t="shared" si="128"/>
        <v>0</v>
      </c>
      <c r="S58" s="901">
        <f t="shared" si="129"/>
        <v>0</v>
      </c>
      <c r="T58" s="901">
        <f t="shared" si="130"/>
        <v>0</v>
      </c>
      <c r="U58" s="820">
        <f t="shared" si="136"/>
        <v>0</v>
      </c>
      <c r="V58" s="820">
        <f t="shared" si="136"/>
        <v>0</v>
      </c>
      <c r="W58" s="820">
        <f t="shared" si="136"/>
        <v>0</v>
      </c>
      <c r="X58" s="820">
        <f t="shared" si="136"/>
        <v>0</v>
      </c>
      <c r="Y58" s="820">
        <f t="shared" si="136"/>
        <v>0</v>
      </c>
      <c r="Z58" s="820">
        <f t="shared" si="136"/>
        <v>0</v>
      </c>
      <c r="AA58" s="820">
        <f t="shared" si="136"/>
        <v>0</v>
      </c>
      <c r="AB58" s="820">
        <f t="shared" si="136"/>
        <v>0</v>
      </c>
      <c r="AC58" s="820">
        <f t="shared" si="136"/>
        <v>0</v>
      </c>
      <c r="AD58" s="820">
        <f t="shared" si="136"/>
        <v>0</v>
      </c>
      <c r="AE58" s="820">
        <f t="shared" si="136"/>
        <v>1060</v>
      </c>
      <c r="AF58" s="820">
        <f t="shared" si="136"/>
        <v>3065</v>
      </c>
      <c r="AG58" s="820">
        <f t="shared" si="136"/>
        <v>2000</v>
      </c>
      <c r="AH58" s="820">
        <f t="shared" si="136"/>
        <v>1150</v>
      </c>
      <c r="AI58" s="820">
        <f t="shared" si="136"/>
        <v>0</v>
      </c>
      <c r="AJ58" s="820">
        <f t="shared" si="136"/>
        <v>7275</v>
      </c>
      <c r="AK58" s="820">
        <f t="shared" si="136"/>
        <v>7275</v>
      </c>
      <c r="AL58" s="820">
        <f t="shared" si="136"/>
        <v>0</v>
      </c>
      <c r="AM58" s="820">
        <f t="shared" si="136"/>
        <v>3.9621438967239868</v>
      </c>
      <c r="AN58" s="820">
        <f t="shared" si="136"/>
        <v>3.9621438967239868</v>
      </c>
      <c r="AO58" s="820">
        <f t="shared" si="136"/>
        <v>210</v>
      </c>
      <c r="AP58" s="820">
        <f t="shared" si="136"/>
        <v>365</v>
      </c>
      <c r="AQ58" s="820">
        <f t="shared" si="136"/>
        <v>100</v>
      </c>
      <c r="AR58" s="820">
        <f t="shared" si="136"/>
        <v>0</v>
      </c>
      <c r="AS58" s="820">
        <f t="shared" si="136"/>
        <v>0</v>
      </c>
      <c r="AT58" s="820">
        <f t="shared" si="136"/>
        <v>675</v>
      </c>
      <c r="AU58" s="820">
        <f t="shared" si="136"/>
        <v>675</v>
      </c>
      <c r="AV58" s="820">
        <f t="shared" si="136"/>
        <v>0</v>
      </c>
      <c r="AW58" s="820">
        <f t="shared" si="136"/>
        <v>0.36762159866511218</v>
      </c>
      <c r="AX58" s="820">
        <f t="shared" si="136"/>
        <v>0.36762159866511218</v>
      </c>
      <c r="AY58" s="820">
        <f t="shared" si="136"/>
        <v>250</v>
      </c>
      <c r="AZ58" s="820">
        <f t="shared" si="136"/>
        <v>0</v>
      </c>
      <c r="BA58" s="820">
        <f t="shared" si="136"/>
        <v>0</v>
      </c>
      <c r="BB58" s="820">
        <f t="shared" si="136"/>
        <v>0</v>
      </c>
      <c r="BC58" s="820">
        <f t="shared" si="136"/>
        <v>0</v>
      </c>
      <c r="BD58" s="820">
        <f t="shared" si="136"/>
        <v>250</v>
      </c>
      <c r="BE58" s="820">
        <f t="shared" si="136"/>
        <v>250</v>
      </c>
      <c r="BF58" s="820">
        <f t="shared" si="136"/>
        <v>0</v>
      </c>
      <c r="BG58" s="820">
        <f t="shared" si="136"/>
        <v>0.13615614765374526</v>
      </c>
      <c r="BH58" s="820">
        <f t="shared" si="136"/>
        <v>0.13615614765374526</v>
      </c>
      <c r="BI58" s="820">
        <f t="shared" si="136"/>
        <v>0</v>
      </c>
      <c r="BJ58" s="820">
        <f t="shared" si="136"/>
        <v>0</v>
      </c>
      <c r="BK58" s="820">
        <f t="shared" si="136"/>
        <v>0</v>
      </c>
      <c r="BL58" s="820">
        <f t="shared" si="136"/>
        <v>0</v>
      </c>
      <c r="BM58" s="820">
        <f t="shared" si="136"/>
        <v>0</v>
      </c>
      <c r="BN58" s="820">
        <f t="shared" si="136"/>
        <v>0</v>
      </c>
      <c r="BO58" s="820">
        <f t="shared" si="136"/>
        <v>0</v>
      </c>
      <c r="BP58" s="820">
        <f t="shared" si="136"/>
        <v>0</v>
      </c>
      <c r="BQ58" s="820">
        <f t="shared" si="136"/>
        <v>0</v>
      </c>
      <c r="BR58" s="820">
        <f>BR59+BR60+BR61+BR62</f>
        <v>0</v>
      </c>
      <c r="BS58" s="820">
        <f>BS59+BS60+BS61+BS62</f>
        <v>24608.931843286082</v>
      </c>
      <c r="BT58" s="820" t="e">
        <f>BT59+BT60+BT61+BT62</f>
        <v>#REF!</v>
      </c>
      <c r="BU58" s="315"/>
      <c r="BV58" s="6">
        <f t="shared" ref="BV58:BV78" si="137">BM58+BC58+AS58+AI58+Y58+O58</f>
        <v>0</v>
      </c>
      <c r="BW58" s="6">
        <f t="shared" si="104"/>
        <v>8200</v>
      </c>
      <c r="BX58" s="6">
        <f t="shared" si="105"/>
        <v>8200</v>
      </c>
      <c r="BY58" s="6">
        <f t="shared" si="36"/>
        <v>0</v>
      </c>
      <c r="BZ58" s="6">
        <f t="shared" si="37"/>
        <v>0</v>
      </c>
      <c r="CA58" s="6">
        <f t="shared" si="38"/>
        <v>0</v>
      </c>
    </row>
    <row r="59" spans="1:79" s="244" customFormat="1" ht="12.75" customHeight="1" thickBot="1" x14ac:dyDescent="0.25">
      <c r="A59" s="135"/>
      <c r="B59" s="1127" t="s">
        <v>52</v>
      </c>
      <c r="C59" s="1128"/>
      <c r="D59" s="1128"/>
      <c r="E59" s="384"/>
      <c r="F59" s="387">
        <v>200</v>
      </c>
      <c r="G59" s="377">
        <v>200</v>
      </c>
      <c r="H59" s="882">
        <f t="shared" si="127"/>
        <v>0</v>
      </c>
      <c r="I59" s="882">
        <f t="shared" si="125"/>
        <v>0.10717366957285934</v>
      </c>
      <c r="J59" s="882">
        <f t="shared" si="126"/>
        <v>0.10717366957285934</v>
      </c>
      <c r="K59" s="321"/>
      <c r="L59" s="322"/>
      <c r="M59" s="322"/>
      <c r="N59" s="886"/>
      <c r="O59" s="918"/>
      <c r="P59" s="925"/>
      <c r="Q59" s="927">
        <f t="shared" si="101"/>
        <v>0</v>
      </c>
      <c r="R59" s="901">
        <f t="shared" si="128"/>
        <v>0</v>
      </c>
      <c r="S59" s="901">
        <f t="shared" si="129"/>
        <v>0</v>
      </c>
      <c r="T59" s="901">
        <f t="shared" si="130"/>
        <v>0</v>
      </c>
      <c r="U59" s="1162"/>
      <c r="V59" s="1163"/>
      <c r="W59" s="1163"/>
      <c r="X59" s="1163"/>
      <c r="Y59" s="829"/>
      <c r="Z59" s="861"/>
      <c r="AA59" s="830">
        <f t="shared" si="77"/>
        <v>0</v>
      </c>
      <c r="AB59" s="592">
        <f t="shared" ref="AB59:AD62" si="138">Y59/$G$81*100</f>
        <v>0</v>
      </c>
      <c r="AC59" s="592">
        <f t="shared" si="138"/>
        <v>0</v>
      </c>
      <c r="AD59" s="592">
        <f t="shared" si="138"/>
        <v>0</v>
      </c>
      <c r="AE59" s="1162"/>
      <c r="AF59" s="1163"/>
      <c r="AG59" s="1163"/>
      <c r="AH59" s="1163"/>
      <c r="AI59" s="829"/>
      <c r="AJ59" s="782"/>
      <c r="AK59" s="751">
        <f t="shared" si="88"/>
        <v>0</v>
      </c>
      <c r="AL59" s="592">
        <f t="shared" ref="AL59:AN62" si="139">AI59/$G$81*100</f>
        <v>0</v>
      </c>
      <c r="AM59" s="592">
        <f t="shared" si="139"/>
        <v>0</v>
      </c>
      <c r="AN59" s="592">
        <f t="shared" si="139"/>
        <v>0</v>
      </c>
      <c r="AO59" s="326"/>
      <c r="AP59" s="455">
        <v>100</v>
      </c>
      <c r="AQ59" s="455">
        <v>100</v>
      </c>
      <c r="AR59" s="330"/>
      <c r="AS59" s="782"/>
      <c r="AT59" s="782">
        <v>200</v>
      </c>
      <c r="AU59" s="751">
        <f t="shared" si="78"/>
        <v>200</v>
      </c>
      <c r="AV59" s="592">
        <f t="shared" ref="AV59:AX62" si="140">AS59/$G$81*100</f>
        <v>0</v>
      </c>
      <c r="AW59" s="592">
        <f t="shared" si="140"/>
        <v>0.10892491812299621</v>
      </c>
      <c r="AX59" s="592">
        <f t="shared" si="140"/>
        <v>0.10892491812299621</v>
      </c>
      <c r="AY59" s="1162"/>
      <c r="AZ59" s="1163"/>
      <c r="BA59" s="1163"/>
      <c r="BB59" s="1163"/>
      <c r="BC59" s="782"/>
      <c r="BD59" s="782"/>
      <c r="BE59" s="751">
        <f t="shared" si="79"/>
        <v>0</v>
      </c>
      <c r="BF59" s="592">
        <f t="shared" ref="BF59:BH62" si="141">BC59/$G$81*100</f>
        <v>0</v>
      </c>
      <c r="BG59" s="592">
        <f t="shared" si="141"/>
        <v>0</v>
      </c>
      <c r="BH59" s="592">
        <f t="shared" si="141"/>
        <v>0</v>
      </c>
      <c r="BI59" s="1162"/>
      <c r="BJ59" s="1163"/>
      <c r="BK59" s="1163"/>
      <c r="BL59" s="1163"/>
      <c r="BM59" s="782"/>
      <c r="BN59" s="782"/>
      <c r="BO59" s="751">
        <f t="shared" si="80"/>
        <v>0</v>
      </c>
      <c r="BP59" s="592">
        <f t="shared" ref="BP59:BR64" si="142">BM59/$G$81*100</f>
        <v>0</v>
      </c>
      <c r="BQ59" s="592">
        <f t="shared" si="142"/>
        <v>0</v>
      </c>
      <c r="BR59" s="592">
        <f t="shared" si="142"/>
        <v>0</v>
      </c>
      <c r="BS59" s="359">
        <f>SUM(K59:BL59)</f>
        <v>600.21784983624593</v>
      </c>
      <c r="BT59" s="315" t="e">
        <f>BS59-#REF!</f>
        <v>#REF!</v>
      </c>
      <c r="BU59" s="315"/>
      <c r="BV59" s="6">
        <f t="shared" si="137"/>
        <v>0</v>
      </c>
      <c r="BW59" s="6">
        <f t="shared" ref="BW59:BW78" si="143">BN59+BD59+AT59+AJ59+Z59+P59</f>
        <v>200</v>
      </c>
      <c r="BX59" s="6">
        <f t="shared" ref="BX59:BX78" si="144">BO59+BE59+AU59+AK59+AA59+Q59</f>
        <v>200</v>
      </c>
      <c r="BY59" s="6">
        <f t="shared" si="36"/>
        <v>0</v>
      </c>
      <c r="BZ59" s="6">
        <f t="shared" si="37"/>
        <v>0</v>
      </c>
      <c r="CA59" s="6">
        <f t="shared" si="38"/>
        <v>0</v>
      </c>
    </row>
    <row r="60" spans="1:79" s="244" customFormat="1" ht="28.5" customHeight="1" thickBot="1" x14ac:dyDescent="0.25">
      <c r="A60" s="135"/>
      <c r="B60" s="1231" t="s">
        <v>159</v>
      </c>
      <c r="C60" s="1232"/>
      <c r="D60" s="1232"/>
      <c r="E60" s="384"/>
      <c r="F60" s="387">
        <v>7000</v>
      </c>
      <c r="G60" s="377">
        <v>7000</v>
      </c>
      <c r="H60" s="882">
        <f t="shared" si="127"/>
        <v>0</v>
      </c>
      <c r="I60" s="882">
        <f t="shared" si="125"/>
        <v>3.7510784350500765</v>
      </c>
      <c r="J60" s="882">
        <f t="shared" si="126"/>
        <v>3.7510784350500765</v>
      </c>
      <c r="K60" s="1162"/>
      <c r="L60" s="1163"/>
      <c r="M60" s="1163"/>
      <c r="N60" s="1163"/>
      <c r="O60" s="919"/>
      <c r="P60" s="925"/>
      <c r="Q60" s="927">
        <f t="shared" ref="Q60:Q79" si="145">P60+O60</f>
        <v>0</v>
      </c>
      <c r="R60" s="901">
        <f t="shared" si="128"/>
        <v>0</v>
      </c>
      <c r="S60" s="901">
        <f t="shared" si="129"/>
        <v>0</v>
      </c>
      <c r="T60" s="901">
        <f t="shared" si="130"/>
        <v>0</v>
      </c>
      <c r="U60" s="1162"/>
      <c r="V60" s="1163"/>
      <c r="W60" s="1163"/>
      <c r="X60" s="1163"/>
      <c r="Y60" s="829"/>
      <c r="Z60" s="861"/>
      <c r="AA60" s="830">
        <f t="shared" ref="AA60:AA79" si="146">Z60+Y60</f>
        <v>0</v>
      </c>
      <c r="AB60" s="592">
        <f t="shared" si="138"/>
        <v>0</v>
      </c>
      <c r="AC60" s="592">
        <f t="shared" si="138"/>
        <v>0</v>
      </c>
      <c r="AD60" s="592">
        <f t="shared" si="138"/>
        <v>0</v>
      </c>
      <c r="AE60" s="455">
        <v>1000</v>
      </c>
      <c r="AF60" s="455">
        <v>3000</v>
      </c>
      <c r="AG60" s="455">
        <v>2000</v>
      </c>
      <c r="AH60" s="455">
        <v>1000</v>
      </c>
      <c r="AI60" s="829"/>
      <c r="AJ60" s="786">
        <v>7000</v>
      </c>
      <c r="AK60" s="751">
        <f t="shared" ref="AK60:AK79" si="147">AJ60+AI60</f>
        <v>7000</v>
      </c>
      <c r="AL60" s="592">
        <f t="shared" si="139"/>
        <v>0</v>
      </c>
      <c r="AM60" s="592">
        <f t="shared" si="139"/>
        <v>3.8123721343048671</v>
      </c>
      <c r="AN60" s="592">
        <f t="shared" si="139"/>
        <v>3.8123721343048671</v>
      </c>
      <c r="AO60" s="1162"/>
      <c r="AP60" s="1163"/>
      <c r="AQ60" s="1163"/>
      <c r="AR60" s="1163"/>
      <c r="AS60" s="786"/>
      <c r="AT60" s="786"/>
      <c r="AU60" s="751">
        <f t="shared" ref="AU60:AU79" si="148">AT60+AS60</f>
        <v>0</v>
      </c>
      <c r="AV60" s="592">
        <f t="shared" si="140"/>
        <v>0</v>
      </c>
      <c r="AW60" s="592">
        <f t="shared" si="140"/>
        <v>0</v>
      </c>
      <c r="AX60" s="592">
        <f t="shared" si="140"/>
        <v>0</v>
      </c>
      <c r="AY60" s="1162"/>
      <c r="AZ60" s="1163"/>
      <c r="BA60" s="1163"/>
      <c r="BB60" s="1163"/>
      <c r="BC60" s="786"/>
      <c r="BD60" s="786"/>
      <c r="BE60" s="751">
        <f t="shared" ref="BE60:BE79" si="149">BD60+BC60</f>
        <v>0</v>
      </c>
      <c r="BF60" s="592">
        <f t="shared" si="141"/>
        <v>0</v>
      </c>
      <c r="BG60" s="592">
        <f t="shared" si="141"/>
        <v>0</v>
      </c>
      <c r="BH60" s="592">
        <f t="shared" si="141"/>
        <v>0</v>
      </c>
      <c r="BI60" s="1162"/>
      <c r="BJ60" s="1163"/>
      <c r="BK60" s="1163"/>
      <c r="BL60" s="1163"/>
      <c r="BM60" s="786"/>
      <c r="BN60" s="786"/>
      <c r="BO60" s="751">
        <f t="shared" ref="BO60:BO79" si="150">BN60+BM60</f>
        <v>0</v>
      </c>
      <c r="BP60" s="592">
        <f t="shared" si="142"/>
        <v>0</v>
      </c>
      <c r="BQ60" s="592">
        <f t="shared" si="142"/>
        <v>0</v>
      </c>
      <c r="BR60" s="592">
        <f t="shared" si="142"/>
        <v>0</v>
      </c>
      <c r="BS60" s="359">
        <f t="shared" si="124"/>
        <v>21007.624744268607</v>
      </c>
      <c r="BT60" s="315" t="e">
        <f>BS60-#REF!</f>
        <v>#REF!</v>
      </c>
      <c r="BU60" s="315"/>
      <c r="BV60" s="6">
        <f t="shared" si="137"/>
        <v>0</v>
      </c>
      <c r="BW60" s="6">
        <f t="shared" si="143"/>
        <v>7000</v>
      </c>
      <c r="BX60" s="6">
        <f t="shared" si="144"/>
        <v>7000</v>
      </c>
      <c r="BY60" s="6">
        <f t="shared" si="36"/>
        <v>0</v>
      </c>
      <c r="BZ60" s="6">
        <f t="shared" si="37"/>
        <v>0</v>
      </c>
      <c r="CA60" s="6">
        <f t="shared" si="38"/>
        <v>0</v>
      </c>
    </row>
    <row r="61" spans="1:79" s="244" customFormat="1" ht="12.75" customHeight="1" thickBot="1" x14ac:dyDescent="0.25">
      <c r="A61" s="135"/>
      <c r="B61" s="1127" t="s">
        <v>54</v>
      </c>
      <c r="C61" s="1128"/>
      <c r="D61" s="1128"/>
      <c r="E61" s="384"/>
      <c r="F61" s="387">
        <v>500</v>
      </c>
      <c r="G61" s="377">
        <v>500</v>
      </c>
      <c r="H61" s="882">
        <f t="shared" si="127"/>
        <v>0</v>
      </c>
      <c r="I61" s="882">
        <f t="shared" si="125"/>
        <v>0.26793417393214836</v>
      </c>
      <c r="J61" s="882">
        <f t="shared" si="126"/>
        <v>0.26793417393214836</v>
      </c>
      <c r="K61" s="1162"/>
      <c r="L61" s="1163"/>
      <c r="M61" s="1163"/>
      <c r="N61" s="1163"/>
      <c r="O61" s="918"/>
      <c r="P61" s="925"/>
      <c r="Q61" s="927">
        <f t="shared" si="145"/>
        <v>0</v>
      </c>
      <c r="R61" s="901">
        <f t="shared" si="128"/>
        <v>0</v>
      </c>
      <c r="S61" s="901">
        <f t="shared" si="129"/>
        <v>0</v>
      </c>
      <c r="T61" s="901">
        <f t="shared" si="130"/>
        <v>0</v>
      </c>
      <c r="U61" s="1162"/>
      <c r="V61" s="1163"/>
      <c r="W61" s="1163"/>
      <c r="X61" s="1163"/>
      <c r="Y61" s="829"/>
      <c r="Z61" s="861"/>
      <c r="AA61" s="830">
        <f t="shared" si="146"/>
        <v>0</v>
      </c>
      <c r="AB61" s="592">
        <f t="shared" si="138"/>
        <v>0</v>
      </c>
      <c r="AC61" s="592">
        <f t="shared" si="138"/>
        <v>0</v>
      </c>
      <c r="AD61" s="592">
        <f t="shared" si="138"/>
        <v>0</v>
      </c>
      <c r="AE61" s="330"/>
      <c r="AF61" s="321"/>
      <c r="AG61" s="328"/>
      <c r="AH61" s="455">
        <v>150</v>
      </c>
      <c r="AI61" s="829"/>
      <c r="AJ61" s="782">
        <v>150</v>
      </c>
      <c r="AK61" s="751">
        <f t="shared" si="147"/>
        <v>150</v>
      </c>
      <c r="AL61" s="592">
        <f t="shared" si="139"/>
        <v>0</v>
      </c>
      <c r="AM61" s="592">
        <f t="shared" si="139"/>
        <v>8.1693688592247155E-2</v>
      </c>
      <c r="AN61" s="592">
        <f t="shared" si="139"/>
        <v>8.1693688592247155E-2</v>
      </c>
      <c r="AO61" s="455">
        <v>150</v>
      </c>
      <c r="AP61" s="455">
        <v>200</v>
      </c>
      <c r="AQ61" s="469"/>
      <c r="AR61" s="330"/>
      <c r="AS61" s="782"/>
      <c r="AT61" s="782">
        <v>350</v>
      </c>
      <c r="AU61" s="751">
        <f t="shared" si="148"/>
        <v>350</v>
      </c>
      <c r="AV61" s="592">
        <f t="shared" si="140"/>
        <v>0</v>
      </c>
      <c r="AW61" s="592">
        <f t="shared" si="140"/>
        <v>0.19061860671524336</v>
      </c>
      <c r="AX61" s="592">
        <f t="shared" si="140"/>
        <v>0.19061860671524336</v>
      </c>
      <c r="AY61" s="1162"/>
      <c r="AZ61" s="1163"/>
      <c r="BA61" s="1163"/>
      <c r="BB61" s="1163"/>
      <c r="BC61" s="782"/>
      <c r="BD61" s="782"/>
      <c r="BE61" s="751">
        <f t="shared" si="149"/>
        <v>0</v>
      </c>
      <c r="BF61" s="592">
        <f t="shared" si="141"/>
        <v>0</v>
      </c>
      <c r="BG61" s="592">
        <f t="shared" si="141"/>
        <v>0</v>
      </c>
      <c r="BH61" s="592">
        <f t="shared" si="141"/>
        <v>0</v>
      </c>
      <c r="BI61" s="1162"/>
      <c r="BJ61" s="1163"/>
      <c r="BK61" s="1163"/>
      <c r="BL61" s="1163"/>
      <c r="BM61" s="782"/>
      <c r="BN61" s="782"/>
      <c r="BO61" s="751">
        <f t="shared" si="150"/>
        <v>0</v>
      </c>
      <c r="BP61" s="592">
        <f t="shared" si="142"/>
        <v>0</v>
      </c>
      <c r="BQ61" s="592">
        <f t="shared" si="142"/>
        <v>0</v>
      </c>
      <c r="BR61" s="592">
        <f t="shared" si="142"/>
        <v>0</v>
      </c>
      <c r="BS61" s="359">
        <f t="shared" si="124"/>
        <v>1500.5446245906146</v>
      </c>
      <c r="BT61" s="315" t="e">
        <f>BS61-#REF!</f>
        <v>#REF!</v>
      </c>
      <c r="BU61" s="315"/>
      <c r="BV61" s="6">
        <f t="shared" si="137"/>
        <v>0</v>
      </c>
      <c r="BW61" s="6">
        <f t="shared" si="143"/>
        <v>500</v>
      </c>
      <c r="BX61" s="6">
        <f t="shared" si="144"/>
        <v>500</v>
      </c>
      <c r="BY61" s="6">
        <f t="shared" si="36"/>
        <v>0</v>
      </c>
      <c r="BZ61" s="6">
        <f t="shared" si="37"/>
        <v>0</v>
      </c>
      <c r="CA61" s="6">
        <f t="shared" si="38"/>
        <v>0</v>
      </c>
    </row>
    <row r="62" spans="1:79" s="244" customFormat="1" ht="12.75" customHeight="1" thickBot="1" x14ac:dyDescent="0.25">
      <c r="A62" s="135"/>
      <c r="B62" s="1127" t="s">
        <v>55</v>
      </c>
      <c r="C62" s="1128"/>
      <c r="D62" s="1128"/>
      <c r="E62" s="384"/>
      <c r="F62" s="387">
        <v>500</v>
      </c>
      <c r="G62" s="377">
        <v>500</v>
      </c>
      <c r="H62" s="882">
        <f t="shared" si="127"/>
        <v>0</v>
      </c>
      <c r="I62" s="882">
        <f t="shared" si="125"/>
        <v>0.26793417393214836</v>
      </c>
      <c r="J62" s="882">
        <f t="shared" si="126"/>
        <v>0.26793417393214836</v>
      </c>
      <c r="K62" s="1162"/>
      <c r="L62" s="1163"/>
      <c r="M62" s="1163"/>
      <c r="N62" s="1163"/>
      <c r="O62" s="918"/>
      <c r="P62" s="925"/>
      <c r="Q62" s="927">
        <f t="shared" si="145"/>
        <v>0</v>
      </c>
      <c r="R62" s="901">
        <f t="shared" si="128"/>
        <v>0</v>
      </c>
      <c r="S62" s="901">
        <f t="shared" si="129"/>
        <v>0</v>
      </c>
      <c r="T62" s="901">
        <f t="shared" si="130"/>
        <v>0</v>
      </c>
      <c r="U62" s="1162"/>
      <c r="V62" s="1163"/>
      <c r="W62" s="1163"/>
      <c r="X62" s="1163"/>
      <c r="Y62" s="829"/>
      <c r="Z62" s="861"/>
      <c r="AA62" s="830">
        <f t="shared" si="146"/>
        <v>0</v>
      </c>
      <c r="AB62" s="592">
        <f t="shared" si="138"/>
        <v>0</v>
      </c>
      <c r="AC62" s="592">
        <f t="shared" si="138"/>
        <v>0</v>
      </c>
      <c r="AD62" s="592">
        <f t="shared" si="138"/>
        <v>0</v>
      </c>
      <c r="AE62" s="455">
        <v>60</v>
      </c>
      <c r="AF62" s="455">
        <v>65</v>
      </c>
      <c r="AG62" s="458"/>
      <c r="AH62" s="326"/>
      <c r="AI62" s="829"/>
      <c r="AJ62" s="782">
        <v>125</v>
      </c>
      <c r="AK62" s="751">
        <f t="shared" si="147"/>
        <v>125</v>
      </c>
      <c r="AL62" s="592">
        <f t="shared" si="139"/>
        <v>0</v>
      </c>
      <c r="AM62" s="592">
        <f t="shared" si="139"/>
        <v>6.8078073826872629E-2</v>
      </c>
      <c r="AN62" s="592">
        <f t="shared" si="139"/>
        <v>6.8078073826872629E-2</v>
      </c>
      <c r="AO62" s="455">
        <v>60</v>
      </c>
      <c r="AP62" s="455">
        <v>65</v>
      </c>
      <c r="AQ62" s="322"/>
      <c r="AR62" s="326"/>
      <c r="AS62" s="782"/>
      <c r="AT62" s="782">
        <v>125</v>
      </c>
      <c r="AU62" s="751">
        <f t="shared" si="148"/>
        <v>125</v>
      </c>
      <c r="AV62" s="592">
        <f t="shared" si="140"/>
        <v>0</v>
      </c>
      <c r="AW62" s="592">
        <f t="shared" si="140"/>
        <v>6.8078073826872629E-2</v>
      </c>
      <c r="AX62" s="592">
        <f t="shared" si="140"/>
        <v>6.8078073826872629E-2</v>
      </c>
      <c r="AY62" s="455">
        <v>250</v>
      </c>
      <c r="AZ62" s="455">
        <v>0</v>
      </c>
      <c r="BA62" s="328"/>
      <c r="BB62" s="326"/>
      <c r="BC62" s="782"/>
      <c r="BD62" s="782">
        <v>250</v>
      </c>
      <c r="BE62" s="751">
        <f t="shared" si="149"/>
        <v>250</v>
      </c>
      <c r="BF62" s="592">
        <f t="shared" si="141"/>
        <v>0</v>
      </c>
      <c r="BG62" s="592">
        <f t="shared" si="141"/>
        <v>0.13615614765374526</v>
      </c>
      <c r="BH62" s="592">
        <f t="shared" si="141"/>
        <v>0.13615614765374526</v>
      </c>
      <c r="BI62" s="1162"/>
      <c r="BJ62" s="1163"/>
      <c r="BK62" s="1163"/>
      <c r="BL62" s="1163"/>
      <c r="BM62" s="782"/>
      <c r="BN62" s="782"/>
      <c r="BO62" s="751">
        <f t="shared" si="150"/>
        <v>0</v>
      </c>
      <c r="BP62" s="592">
        <f t="shared" si="142"/>
        <v>0</v>
      </c>
      <c r="BQ62" s="592">
        <f t="shared" si="142"/>
        <v>0</v>
      </c>
      <c r="BR62" s="592">
        <f t="shared" si="142"/>
        <v>0</v>
      </c>
      <c r="BS62" s="359">
        <f t="shared" si="124"/>
        <v>1500.5446245906151</v>
      </c>
      <c r="BT62" s="315" t="e">
        <f>BS62-#REF!</f>
        <v>#REF!</v>
      </c>
      <c r="BU62" s="315"/>
      <c r="BV62" s="6">
        <f t="shared" si="137"/>
        <v>0</v>
      </c>
      <c r="BW62" s="6">
        <f t="shared" si="143"/>
        <v>500</v>
      </c>
      <c r="BX62" s="6">
        <f t="shared" si="144"/>
        <v>500</v>
      </c>
      <c r="BY62" s="6">
        <f t="shared" si="36"/>
        <v>0</v>
      </c>
      <c r="BZ62" s="6">
        <f t="shared" si="37"/>
        <v>0</v>
      </c>
      <c r="CA62" s="6">
        <f t="shared" si="38"/>
        <v>0</v>
      </c>
    </row>
    <row r="63" spans="1:79" s="6" customFormat="1" ht="13.5" thickBot="1" x14ac:dyDescent="0.25">
      <c r="B63" s="783" t="s">
        <v>56</v>
      </c>
      <c r="C63" s="784"/>
      <c r="D63" s="785"/>
      <c r="E63" s="811">
        <f>E64</f>
        <v>0</v>
      </c>
      <c r="F63" s="820">
        <f t="shared" ref="F63:BO63" si="151">F64</f>
        <v>400</v>
      </c>
      <c r="G63" s="820">
        <f t="shared" si="151"/>
        <v>400</v>
      </c>
      <c r="H63" s="882">
        <f t="shared" si="127"/>
        <v>0</v>
      </c>
      <c r="I63" s="882">
        <f t="shared" si="125"/>
        <v>0.21434733914571868</v>
      </c>
      <c r="J63" s="882">
        <f t="shared" si="126"/>
        <v>0.21434733914571868</v>
      </c>
      <c r="K63" s="820">
        <f t="shared" si="151"/>
        <v>0</v>
      </c>
      <c r="L63" s="820">
        <f t="shared" si="151"/>
        <v>0</v>
      </c>
      <c r="M63" s="820">
        <f t="shared" si="151"/>
        <v>0</v>
      </c>
      <c r="N63" s="823">
        <f t="shared" si="151"/>
        <v>0</v>
      </c>
      <c r="O63" s="911">
        <f t="shared" si="151"/>
        <v>0</v>
      </c>
      <c r="P63" s="925">
        <f t="shared" si="151"/>
        <v>0</v>
      </c>
      <c r="Q63" s="927">
        <f t="shared" si="151"/>
        <v>0</v>
      </c>
      <c r="R63" s="901">
        <f t="shared" si="128"/>
        <v>0</v>
      </c>
      <c r="S63" s="901">
        <f t="shared" si="129"/>
        <v>0</v>
      </c>
      <c r="T63" s="901">
        <f t="shared" si="130"/>
        <v>0</v>
      </c>
      <c r="U63" s="820">
        <f t="shared" si="151"/>
        <v>0</v>
      </c>
      <c r="V63" s="820">
        <f t="shared" si="151"/>
        <v>0</v>
      </c>
      <c r="W63" s="820">
        <f t="shared" si="151"/>
        <v>0</v>
      </c>
      <c r="X63" s="820">
        <f t="shared" si="151"/>
        <v>100</v>
      </c>
      <c r="Y63" s="820">
        <f t="shared" si="151"/>
        <v>0</v>
      </c>
      <c r="Z63" s="820">
        <f t="shared" si="151"/>
        <v>100</v>
      </c>
      <c r="AA63" s="820">
        <f t="shared" si="151"/>
        <v>100</v>
      </c>
      <c r="AB63" s="820">
        <f t="shared" si="151"/>
        <v>0</v>
      </c>
      <c r="AC63" s="820">
        <f t="shared" si="151"/>
        <v>5.4462459061498103E-2</v>
      </c>
      <c r="AD63" s="820">
        <f t="shared" si="151"/>
        <v>5.4462459061498103E-2</v>
      </c>
      <c r="AE63" s="820">
        <f t="shared" si="151"/>
        <v>0</v>
      </c>
      <c r="AF63" s="820">
        <f t="shared" si="151"/>
        <v>0</v>
      </c>
      <c r="AG63" s="820">
        <f t="shared" si="151"/>
        <v>0</v>
      </c>
      <c r="AH63" s="820">
        <f t="shared" si="151"/>
        <v>400</v>
      </c>
      <c r="AI63" s="820">
        <f t="shared" si="151"/>
        <v>0</v>
      </c>
      <c r="AJ63" s="820">
        <v>400</v>
      </c>
      <c r="AK63" s="820">
        <v>400</v>
      </c>
      <c r="AL63" s="820">
        <f t="shared" si="151"/>
        <v>0</v>
      </c>
      <c r="AM63" s="820">
        <f t="shared" si="151"/>
        <v>0.21784983624599241</v>
      </c>
      <c r="AN63" s="820">
        <f t="shared" si="151"/>
        <v>0.21784983624599241</v>
      </c>
      <c r="AO63" s="820">
        <f t="shared" si="151"/>
        <v>0</v>
      </c>
      <c r="AP63" s="820">
        <f t="shared" si="151"/>
        <v>0</v>
      </c>
      <c r="AQ63" s="820">
        <f t="shared" si="151"/>
        <v>0</v>
      </c>
      <c r="AR63" s="820">
        <f t="shared" si="151"/>
        <v>0</v>
      </c>
      <c r="AS63" s="820">
        <f t="shared" si="151"/>
        <v>0</v>
      </c>
      <c r="AT63" s="820">
        <f t="shared" si="151"/>
        <v>0</v>
      </c>
      <c r="AU63" s="820">
        <f t="shared" si="151"/>
        <v>0</v>
      </c>
      <c r="AV63" s="820">
        <f t="shared" si="151"/>
        <v>0</v>
      </c>
      <c r="AW63" s="820">
        <f t="shared" si="151"/>
        <v>0</v>
      </c>
      <c r="AX63" s="820">
        <f t="shared" si="151"/>
        <v>0</v>
      </c>
      <c r="AY63" s="820">
        <f t="shared" si="151"/>
        <v>0</v>
      </c>
      <c r="AZ63" s="820">
        <f t="shared" si="151"/>
        <v>0</v>
      </c>
      <c r="BA63" s="820">
        <f t="shared" si="151"/>
        <v>0</v>
      </c>
      <c r="BB63" s="820">
        <f t="shared" si="151"/>
        <v>0</v>
      </c>
      <c r="BC63" s="820">
        <f t="shared" si="151"/>
        <v>0</v>
      </c>
      <c r="BD63" s="820">
        <f t="shared" si="151"/>
        <v>0</v>
      </c>
      <c r="BE63" s="820">
        <f t="shared" si="151"/>
        <v>0</v>
      </c>
      <c r="BF63" s="820">
        <f t="shared" si="151"/>
        <v>0</v>
      </c>
      <c r="BG63" s="820">
        <f t="shared" si="151"/>
        <v>0</v>
      </c>
      <c r="BH63" s="820">
        <f t="shared" si="151"/>
        <v>0</v>
      </c>
      <c r="BI63" s="820">
        <f t="shared" si="151"/>
        <v>0</v>
      </c>
      <c r="BJ63" s="820">
        <f t="shared" si="151"/>
        <v>0</v>
      </c>
      <c r="BK63" s="820">
        <f t="shared" si="151"/>
        <v>0</v>
      </c>
      <c r="BL63" s="820">
        <f t="shared" si="151"/>
        <v>0</v>
      </c>
      <c r="BM63" s="820">
        <f t="shared" si="151"/>
        <v>0</v>
      </c>
      <c r="BN63" s="820">
        <f t="shared" si="151"/>
        <v>0</v>
      </c>
      <c r="BO63" s="820">
        <f t="shared" si="151"/>
        <v>0</v>
      </c>
      <c r="BP63" s="592">
        <f t="shared" si="142"/>
        <v>0</v>
      </c>
      <c r="BQ63" s="592">
        <f t="shared" si="142"/>
        <v>0</v>
      </c>
      <c r="BR63" s="592">
        <f t="shared" si="142"/>
        <v>0</v>
      </c>
      <c r="BS63" s="359">
        <f>SUM(K63:BL63)</f>
        <v>1500.5446245906148</v>
      </c>
      <c r="BT63" s="315">
        <f>BS63-G63</f>
        <v>1100.5446245906148</v>
      </c>
      <c r="BU63" s="315"/>
      <c r="BV63" s="6">
        <f t="shared" si="137"/>
        <v>0</v>
      </c>
      <c r="BW63" s="6">
        <f t="shared" si="143"/>
        <v>500</v>
      </c>
      <c r="BX63" s="6">
        <f t="shared" si="144"/>
        <v>500</v>
      </c>
      <c r="BY63" s="6">
        <f t="shared" si="36"/>
        <v>0</v>
      </c>
      <c r="BZ63" s="6">
        <f t="shared" si="37"/>
        <v>-100</v>
      </c>
      <c r="CA63" s="6">
        <f t="shared" si="38"/>
        <v>-100</v>
      </c>
    </row>
    <row r="64" spans="1:79" s="244" customFormat="1" ht="12.75" customHeight="1" thickBot="1" x14ac:dyDescent="0.25">
      <c r="A64" s="135"/>
      <c r="B64" s="1127" t="s">
        <v>203</v>
      </c>
      <c r="C64" s="1128"/>
      <c r="D64" s="1128"/>
      <c r="E64" s="782"/>
      <c r="F64" s="782">
        <v>400</v>
      </c>
      <c r="G64" s="820">
        <v>400</v>
      </c>
      <c r="H64" s="882">
        <f t="shared" si="127"/>
        <v>0</v>
      </c>
      <c r="I64" s="882">
        <f t="shared" si="125"/>
        <v>0.21434733914571868</v>
      </c>
      <c r="J64" s="882">
        <f t="shared" si="126"/>
        <v>0.21434733914571868</v>
      </c>
      <c r="K64" s="1162"/>
      <c r="L64" s="1163"/>
      <c r="M64" s="1163"/>
      <c r="N64" s="1163"/>
      <c r="O64" s="918"/>
      <c r="P64" s="925"/>
      <c r="Q64" s="927">
        <f t="shared" si="145"/>
        <v>0</v>
      </c>
      <c r="R64" s="901">
        <f t="shared" si="128"/>
        <v>0</v>
      </c>
      <c r="S64" s="901">
        <f t="shared" si="129"/>
        <v>0</v>
      </c>
      <c r="T64" s="901">
        <f t="shared" si="130"/>
        <v>0</v>
      </c>
      <c r="U64" s="472"/>
      <c r="V64" s="386"/>
      <c r="W64" s="346"/>
      <c r="X64" s="455">
        <v>100</v>
      </c>
      <c r="Y64" s="829"/>
      <c r="Z64" s="861">
        <v>100</v>
      </c>
      <c r="AA64" s="830">
        <f t="shared" si="146"/>
        <v>100</v>
      </c>
      <c r="AB64" s="592">
        <f>Y64/$G$81*100</f>
        <v>0</v>
      </c>
      <c r="AC64" s="592">
        <f>Z64/$G$81*100</f>
        <v>5.4462459061498103E-2</v>
      </c>
      <c r="AD64" s="592">
        <f>AA64/$G$81*100</f>
        <v>5.4462459061498103E-2</v>
      </c>
      <c r="AE64" s="472"/>
      <c r="AF64" s="386"/>
      <c r="AG64" s="346"/>
      <c r="AH64" s="455">
        <v>400</v>
      </c>
      <c r="AI64" s="829"/>
      <c r="AJ64" s="782">
        <v>400</v>
      </c>
      <c r="AK64" s="751">
        <f t="shared" si="147"/>
        <v>400</v>
      </c>
      <c r="AL64" s="592">
        <f>AI64/$G$81*100</f>
        <v>0</v>
      </c>
      <c r="AM64" s="592">
        <f>AJ64/$G$81*100</f>
        <v>0.21784983624599241</v>
      </c>
      <c r="AN64" s="592">
        <f>AK64/$G$81*100</f>
        <v>0.21784983624599241</v>
      </c>
      <c r="AO64" s="1162"/>
      <c r="AP64" s="1163"/>
      <c r="AQ64" s="1163"/>
      <c r="AR64" s="1163"/>
      <c r="AS64" s="782"/>
      <c r="AT64" s="782"/>
      <c r="AU64" s="751">
        <f t="shared" si="148"/>
        <v>0</v>
      </c>
      <c r="AV64" s="592">
        <f>AS64/$G$81*100</f>
        <v>0</v>
      </c>
      <c r="AW64" s="592">
        <f>AT64/$G$81*100</f>
        <v>0</v>
      </c>
      <c r="AX64" s="592">
        <f>AU64/$G$81*100</f>
        <v>0</v>
      </c>
      <c r="AY64" s="1162"/>
      <c r="AZ64" s="1163"/>
      <c r="BA64" s="1163"/>
      <c r="BB64" s="1163"/>
      <c r="BC64" s="782"/>
      <c r="BD64" s="782"/>
      <c r="BE64" s="751">
        <f t="shared" si="149"/>
        <v>0</v>
      </c>
      <c r="BF64" s="592">
        <f>BC64/$G$81*100</f>
        <v>0</v>
      </c>
      <c r="BG64" s="592">
        <f>BD64/$G$81*100</f>
        <v>0</v>
      </c>
      <c r="BH64" s="592">
        <f>BE64/$G$81*100</f>
        <v>0</v>
      </c>
      <c r="BI64" s="1162"/>
      <c r="BJ64" s="1163"/>
      <c r="BK64" s="1163"/>
      <c r="BL64" s="1163"/>
      <c r="BM64" s="782"/>
      <c r="BN64" s="782"/>
      <c r="BO64" s="751">
        <f t="shared" si="150"/>
        <v>0</v>
      </c>
      <c r="BP64" s="592">
        <f t="shared" si="142"/>
        <v>0</v>
      </c>
      <c r="BQ64" s="592">
        <f t="shared" si="142"/>
        <v>0</v>
      </c>
      <c r="BR64" s="592">
        <f t="shared" si="142"/>
        <v>0</v>
      </c>
      <c r="BS64" s="359">
        <f>SUM(K64:BL64)</f>
        <v>1500.5446245906148</v>
      </c>
      <c r="BT64" s="315">
        <f>BS64-G64</f>
        <v>1100.5446245906148</v>
      </c>
      <c r="BU64" s="315"/>
      <c r="BV64" s="6">
        <f t="shared" si="137"/>
        <v>0</v>
      </c>
      <c r="BW64" s="6">
        <f t="shared" si="143"/>
        <v>500</v>
      </c>
      <c r="BX64" s="6">
        <f t="shared" si="144"/>
        <v>500</v>
      </c>
      <c r="BY64" s="6">
        <f t="shared" si="36"/>
        <v>0</v>
      </c>
      <c r="BZ64" s="6">
        <f t="shared" si="37"/>
        <v>-100</v>
      </c>
      <c r="CA64" s="6">
        <f t="shared" si="38"/>
        <v>-100</v>
      </c>
    </row>
    <row r="65" spans="1:79" s="6" customFormat="1" ht="12.75" customHeight="1" thickBot="1" x14ac:dyDescent="0.25">
      <c r="B65" s="783" t="s">
        <v>192</v>
      </c>
      <c r="C65" s="787"/>
      <c r="D65" s="788"/>
      <c r="E65" s="820">
        <f>SUM(E66:E71)</f>
        <v>0</v>
      </c>
      <c r="F65" s="820">
        <f>SUM(F66:F71)</f>
        <v>510</v>
      </c>
      <c r="G65" s="820">
        <f>SUM(G66:G71)</f>
        <v>510</v>
      </c>
      <c r="H65" s="882">
        <f t="shared" si="127"/>
        <v>0</v>
      </c>
      <c r="I65" s="882">
        <f t="shared" si="125"/>
        <v>0.27329285741079129</v>
      </c>
      <c r="J65" s="882">
        <f t="shared" si="126"/>
        <v>0.27329285741079129</v>
      </c>
      <c r="K65" s="820">
        <f t="shared" ref="K65:BQ65" si="152">K66+K67+K68+K69+K70+K71</f>
        <v>0</v>
      </c>
      <c r="L65" s="820">
        <f t="shared" si="152"/>
        <v>0</v>
      </c>
      <c r="M65" s="820">
        <f t="shared" si="152"/>
        <v>0</v>
      </c>
      <c r="N65" s="823">
        <f t="shared" si="152"/>
        <v>0</v>
      </c>
      <c r="O65" s="911">
        <f t="shared" si="152"/>
        <v>0</v>
      </c>
      <c r="P65" s="925">
        <f t="shared" si="152"/>
        <v>0</v>
      </c>
      <c r="Q65" s="927">
        <f t="shared" si="152"/>
        <v>0</v>
      </c>
      <c r="R65" s="901">
        <f t="shared" si="128"/>
        <v>0</v>
      </c>
      <c r="S65" s="901">
        <f t="shared" si="129"/>
        <v>0</v>
      </c>
      <c r="T65" s="901">
        <f t="shared" si="130"/>
        <v>0</v>
      </c>
      <c r="U65" s="820">
        <f t="shared" si="152"/>
        <v>0</v>
      </c>
      <c r="V65" s="820">
        <f t="shared" si="152"/>
        <v>90</v>
      </c>
      <c r="W65" s="820">
        <f t="shared" si="152"/>
        <v>10</v>
      </c>
      <c r="X65" s="820">
        <f t="shared" si="152"/>
        <v>12</v>
      </c>
      <c r="Y65" s="820">
        <f t="shared" si="152"/>
        <v>0</v>
      </c>
      <c r="Z65" s="820">
        <f t="shared" si="152"/>
        <v>122</v>
      </c>
      <c r="AA65" s="820">
        <f t="shared" si="152"/>
        <v>122</v>
      </c>
      <c r="AB65" s="820">
        <f t="shared" si="152"/>
        <v>0</v>
      </c>
      <c r="AC65" s="820">
        <f t="shared" si="152"/>
        <v>6.6444200055027686E-2</v>
      </c>
      <c r="AD65" s="820">
        <f t="shared" si="152"/>
        <v>6.6444200055027686E-2</v>
      </c>
      <c r="AE65" s="820">
        <f t="shared" si="152"/>
        <v>0</v>
      </c>
      <c r="AF65" s="820">
        <f t="shared" si="152"/>
        <v>88</v>
      </c>
      <c r="AG65" s="820">
        <f t="shared" si="152"/>
        <v>28</v>
      </c>
      <c r="AH65" s="820">
        <f t="shared" si="152"/>
        <v>12</v>
      </c>
      <c r="AI65" s="820">
        <f t="shared" si="152"/>
        <v>0</v>
      </c>
      <c r="AJ65" s="820">
        <f t="shared" si="152"/>
        <v>128</v>
      </c>
      <c r="AK65" s="820">
        <f t="shared" si="152"/>
        <v>128</v>
      </c>
      <c r="AL65" s="820">
        <f t="shared" si="152"/>
        <v>0</v>
      </c>
      <c r="AM65" s="820">
        <f t="shared" si="152"/>
        <v>6.9711947598717572E-2</v>
      </c>
      <c r="AN65" s="820">
        <f t="shared" si="152"/>
        <v>6.9711947598717572E-2</v>
      </c>
      <c r="AO65" s="820">
        <f t="shared" si="152"/>
        <v>0</v>
      </c>
      <c r="AP65" s="820">
        <f t="shared" si="152"/>
        <v>89</v>
      </c>
      <c r="AQ65" s="820">
        <f t="shared" si="152"/>
        <v>0</v>
      </c>
      <c r="AR65" s="820">
        <f t="shared" si="152"/>
        <v>26</v>
      </c>
      <c r="AS65" s="820">
        <f t="shared" si="152"/>
        <v>0</v>
      </c>
      <c r="AT65" s="820">
        <f t="shared" si="152"/>
        <v>115</v>
      </c>
      <c r="AU65" s="820">
        <f t="shared" si="152"/>
        <v>115</v>
      </c>
      <c r="AV65" s="820">
        <f t="shared" si="152"/>
        <v>0</v>
      </c>
      <c r="AW65" s="820">
        <f t="shared" si="152"/>
        <v>6.2631827920722818E-2</v>
      </c>
      <c r="AX65" s="820">
        <f t="shared" si="152"/>
        <v>6.2631827920722818E-2</v>
      </c>
      <c r="AY65" s="820">
        <f t="shared" si="152"/>
        <v>0</v>
      </c>
      <c r="AZ65" s="820">
        <f t="shared" si="152"/>
        <v>0</v>
      </c>
      <c r="BA65" s="820">
        <f t="shared" si="152"/>
        <v>76</v>
      </c>
      <c r="BB65" s="820">
        <f t="shared" si="152"/>
        <v>13</v>
      </c>
      <c r="BC65" s="820">
        <f t="shared" si="152"/>
        <v>0</v>
      </c>
      <c r="BD65" s="820">
        <f t="shared" si="152"/>
        <v>89</v>
      </c>
      <c r="BE65" s="820">
        <f t="shared" si="152"/>
        <v>89</v>
      </c>
      <c r="BF65" s="820">
        <f t="shared" si="152"/>
        <v>0</v>
      </c>
      <c r="BG65" s="820">
        <f t="shared" si="152"/>
        <v>4.8471588564733312E-2</v>
      </c>
      <c r="BH65" s="820">
        <f t="shared" si="152"/>
        <v>4.8471588564733312E-2</v>
      </c>
      <c r="BI65" s="820">
        <f t="shared" si="152"/>
        <v>0</v>
      </c>
      <c r="BJ65" s="820">
        <f t="shared" si="152"/>
        <v>0</v>
      </c>
      <c r="BK65" s="820">
        <f t="shared" si="152"/>
        <v>0</v>
      </c>
      <c r="BL65" s="820">
        <f t="shared" si="152"/>
        <v>66</v>
      </c>
      <c r="BM65" s="820">
        <f t="shared" si="152"/>
        <v>0</v>
      </c>
      <c r="BN65" s="820">
        <f t="shared" si="152"/>
        <v>66</v>
      </c>
      <c r="BO65" s="820">
        <f t="shared" si="152"/>
        <v>66</v>
      </c>
      <c r="BP65" s="820">
        <f t="shared" si="152"/>
        <v>0</v>
      </c>
      <c r="BQ65" s="820">
        <f t="shared" si="152"/>
        <v>3.5945222980588748E-2</v>
      </c>
      <c r="BR65" s="820">
        <f>BR66+BR67+BR68+BR69+BR70+BR71</f>
        <v>3.5945222980588748E-2</v>
      </c>
      <c r="BS65" s="811">
        <f>BS66+BS67+BS68+BS69+BS70+BS71</f>
        <v>1418.4945191282782</v>
      </c>
      <c r="BT65" s="315">
        <f>BS65-G65</f>
        <v>908.49451912827817</v>
      </c>
      <c r="BU65" s="315"/>
      <c r="BV65" s="6">
        <f t="shared" si="137"/>
        <v>0</v>
      </c>
      <c r="BW65" s="6">
        <f t="shared" si="143"/>
        <v>520</v>
      </c>
      <c r="BX65" s="6">
        <f t="shared" si="144"/>
        <v>520</v>
      </c>
      <c r="BY65" s="6">
        <f t="shared" si="36"/>
        <v>0</v>
      </c>
      <c r="BZ65" s="6">
        <f t="shared" si="37"/>
        <v>-10</v>
      </c>
      <c r="CA65" s="6">
        <f t="shared" si="38"/>
        <v>-10</v>
      </c>
    </row>
    <row r="66" spans="1:79" s="244" customFormat="1" ht="12.75" customHeight="1" thickBot="1" x14ac:dyDescent="0.25">
      <c r="A66" s="135"/>
      <c r="B66" s="781" t="s">
        <v>110</v>
      </c>
      <c r="C66" s="782"/>
      <c r="D66" s="782"/>
      <c r="E66" s="684"/>
      <c r="F66" s="805">
        <v>100</v>
      </c>
      <c r="G66" s="686">
        <v>100</v>
      </c>
      <c r="H66" s="882">
        <f t="shared" si="127"/>
        <v>0</v>
      </c>
      <c r="I66" s="882">
        <f t="shared" si="125"/>
        <v>5.3586834786429671E-2</v>
      </c>
      <c r="J66" s="882">
        <f t="shared" si="126"/>
        <v>5.3586834786429671E-2</v>
      </c>
      <c r="K66" s="1162"/>
      <c r="L66" s="1163"/>
      <c r="M66" s="1163"/>
      <c r="N66" s="1163"/>
      <c r="O66" s="918"/>
      <c r="P66" s="925"/>
      <c r="Q66" s="927">
        <f t="shared" si="145"/>
        <v>0</v>
      </c>
      <c r="R66" s="901">
        <f t="shared" si="128"/>
        <v>0</v>
      </c>
      <c r="S66" s="901">
        <f t="shared" si="129"/>
        <v>0</v>
      </c>
      <c r="T66" s="901">
        <f t="shared" si="130"/>
        <v>0</v>
      </c>
      <c r="U66" s="327"/>
      <c r="V66" s="455">
        <v>25</v>
      </c>
      <c r="W66" s="458"/>
      <c r="X66" s="326"/>
      <c r="Y66" s="829"/>
      <c r="Z66" s="861">
        <v>25</v>
      </c>
      <c r="AA66" s="830">
        <f t="shared" si="146"/>
        <v>25</v>
      </c>
      <c r="AB66" s="592">
        <f t="shared" ref="AB66:AD71" si="153">Y66/$G$81*100</f>
        <v>0</v>
      </c>
      <c r="AC66" s="592">
        <f t="shared" si="153"/>
        <v>1.3615614765374526E-2</v>
      </c>
      <c r="AD66" s="592">
        <f t="shared" si="153"/>
        <v>1.3615614765374526E-2</v>
      </c>
      <c r="AE66" s="485"/>
      <c r="AF66" s="455">
        <v>25</v>
      </c>
      <c r="AG66" s="458"/>
      <c r="AH66" s="326"/>
      <c r="AI66" s="829"/>
      <c r="AJ66" s="782">
        <v>25</v>
      </c>
      <c r="AK66" s="751">
        <f t="shared" si="147"/>
        <v>25</v>
      </c>
      <c r="AL66" s="592">
        <f t="shared" ref="AL66:AN71" si="154">AI66/$G$81*100</f>
        <v>0</v>
      </c>
      <c r="AM66" s="592">
        <f t="shared" si="154"/>
        <v>1.3615614765374526E-2</v>
      </c>
      <c r="AN66" s="592">
        <f t="shared" si="154"/>
        <v>1.3615614765374526E-2</v>
      </c>
      <c r="AO66" s="485"/>
      <c r="AP66" s="455">
        <v>25</v>
      </c>
      <c r="AQ66" s="135"/>
      <c r="AR66" s="458"/>
      <c r="AS66" s="782"/>
      <c r="AT66" s="782">
        <v>25</v>
      </c>
      <c r="AU66" s="751">
        <f t="shared" si="148"/>
        <v>25</v>
      </c>
      <c r="AV66" s="592">
        <f t="shared" ref="AV66:AX71" si="155">AS66/$G$81*100</f>
        <v>0</v>
      </c>
      <c r="AW66" s="592">
        <f t="shared" si="155"/>
        <v>1.3615614765374526E-2</v>
      </c>
      <c r="AX66" s="592">
        <f t="shared" si="155"/>
        <v>1.3615614765374526E-2</v>
      </c>
      <c r="AY66" s="326"/>
      <c r="AZ66" s="485"/>
      <c r="BA66" s="455">
        <v>13</v>
      </c>
      <c r="BB66" s="326"/>
      <c r="BC66" s="782"/>
      <c r="BD66" s="782">
        <v>13</v>
      </c>
      <c r="BE66" s="751">
        <f t="shared" si="149"/>
        <v>13</v>
      </c>
      <c r="BF66" s="592">
        <f t="shared" ref="BF66:BH71" si="156">BC66/$G$81*100</f>
        <v>0</v>
      </c>
      <c r="BG66" s="592">
        <f t="shared" si="156"/>
        <v>7.0801196779947534E-3</v>
      </c>
      <c r="BH66" s="592">
        <f t="shared" si="156"/>
        <v>7.0801196779947534E-3</v>
      </c>
      <c r="BI66" s="744"/>
      <c r="BJ66" s="744"/>
      <c r="BK66" s="744"/>
      <c r="BL66" s="455">
        <v>12</v>
      </c>
      <c r="BM66" s="782"/>
      <c r="BN66" s="782">
        <v>12</v>
      </c>
      <c r="BO66" s="751">
        <f t="shared" si="150"/>
        <v>12</v>
      </c>
      <c r="BP66" s="592">
        <f t="shared" ref="BP66:BR71" si="157">BM66/$G$81*100</f>
        <v>0</v>
      </c>
      <c r="BQ66" s="592">
        <f t="shared" si="157"/>
        <v>6.5354950873797724E-3</v>
      </c>
      <c r="BR66" s="592">
        <f t="shared" si="157"/>
        <v>6.5354950873797724E-3</v>
      </c>
      <c r="BS66" s="359">
        <f t="shared" ref="BS66:BS71" si="158">SUM(K66:BL66)</f>
        <v>276.09585392794821</v>
      </c>
      <c r="BT66" s="315" t="e">
        <f>BS66-#REF!</f>
        <v>#REF!</v>
      </c>
      <c r="BU66" s="315"/>
      <c r="BV66" s="6">
        <f t="shared" si="137"/>
        <v>0</v>
      </c>
      <c r="BW66" s="6">
        <f t="shared" si="143"/>
        <v>100</v>
      </c>
      <c r="BX66" s="6">
        <f t="shared" si="144"/>
        <v>100</v>
      </c>
      <c r="BY66" s="6">
        <f t="shared" si="36"/>
        <v>0</v>
      </c>
      <c r="BZ66" s="6">
        <f t="shared" si="37"/>
        <v>0</v>
      </c>
      <c r="CA66" s="6">
        <f t="shared" si="38"/>
        <v>0</v>
      </c>
    </row>
    <row r="67" spans="1:79" s="244" customFormat="1" ht="12.75" customHeight="1" thickBot="1" x14ac:dyDescent="0.25">
      <c r="A67" s="135"/>
      <c r="B67" s="781" t="s">
        <v>111</v>
      </c>
      <c r="C67" s="782"/>
      <c r="D67" s="782"/>
      <c r="E67" s="684"/>
      <c r="F67" s="805">
        <v>50</v>
      </c>
      <c r="G67" s="686">
        <v>50</v>
      </c>
      <c r="H67" s="882">
        <f t="shared" si="127"/>
        <v>0</v>
      </c>
      <c r="I67" s="882">
        <f t="shared" si="125"/>
        <v>2.6793417393214836E-2</v>
      </c>
      <c r="J67" s="882">
        <f t="shared" si="126"/>
        <v>2.6793417393214836E-2</v>
      </c>
      <c r="K67" s="1162"/>
      <c r="L67" s="1163"/>
      <c r="M67" s="1163"/>
      <c r="N67" s="1163"/>
      <c r="O67" s="918"/>
      <c r="P67" s="925"/>
      <c r="Q67" s="927">
        <f t="shared" si="145"/>
        <v>0</v>
      </c>
      <c r="R67" s="901">
        <f t="shared" si="128"/>
        <v>0</v>
      </c>
      <c r="S67" s="901">
        <f t="shared" si="129"/>
        <v>0</v>
      </c>
      <c r="T67" s="901">
        <f t="shared" si="130"/>
        <v>0</v>
      </c>
      <c r="U67" s="328"/>
      <c r="V67" s="455">
        <v>13</v>
      </c>
      <c r="W67" s="432"/>
      <c r="X67" s="327"/>
      <c r="Y67" s="829"/>
      <c r="Z67" s="861">
        <v>13</v>
      </c>
      <c r="AA67" s="830">
        <f t="shared" si="146"/>
        <v>13</v>
      </c>
      <c r="AB67" s="592">
        <f t="shared" si="153"/>
        <v>0</v>
      </c>
      <c r="AC67" s="592">
        <f t="shared" si="153"/>
        <v>7.0801196779947534E-3</v>
      </c>
      <c r="AD67" s="592">
        <f t="shared" si="153"/>
        <v>7.0801196779947534E-3</v>
      </c>
      <c r="AE67" s="328"/>
      <c r="AF67" s="455">
        <v>12</v>
      </c>
      <c r="AG67" s="326"/>
      <c r="AH67" s="327"/>
      <c r="AI67" s="829"/>
      <c r="AJ67" s="782">
        <v>12</v>
      </c>
      <c r="AK67" s="751">
        <f t="shared" si="147"/>
        <v>12</v>
      </c>
      <c r="AL67" s="592">
        <f t="shared" si="154"/>
        <v>0</v>
      </c>
      <c r="AM67" s="592">
        <f t="shared" si="154"/>
        <v>6.5354950873797724E-3</v>
      </c>
      <c r="AN67" s="592">
        <f t="shared" si="154"/>
        <v>6.5354950873797724E-3</v>
      </c>
      <c r="AO67" s="328"/>
      <c r="AP67" s="455">
        <v>13</v>
      </c>
      <c r="AQ67" s="135"/>
      <c r="AR67" s="471"/>
      <c r="AS67" s="782"/>
      <c r="AT67" s="782">
        <v>13</v>
      </c>
      <c r="AU67" s="751">
        <f t="shared" si="148"/>
        <v>13</v>
      </c>
      <c r="AV67" s="592">
        <f t="shared" si="155"/>
        <v>0</v>
      </c>
      <c r="AW67" s="592">
        <f t="shared" si="155"/>
        <v>7.0801196779947534E-3</v>
      </c>
      <c r="AX67" s="592">
        <f t="shared" si="155"/>
        <v>7.0801196779947534E-3</v>
      </c>
      <c r="AY67" s="327"/>
      <c r="AZ67" s="328"/>
      <c r="BA67" s="455">
        <v>12</v>
      </c>
      <c r="BB67" s="471"/>
      <c r="BC67" s="782"/>
      <c r="BD67" s="782">
        <v>12</v>
      </c>
      <c r="BE67" s="751">
        <f t="shared" si="149"/>
        <v>12</v>
      </c>
      <c r="BF67" s="592">
        <f t="shared" si="156"/>
        <v>0</v>
      </c>
      <c r="BG67" s="592">
        <f t="shared" si="156"/>
        <v>6.5354950873797724E-3</v>
      </c>
      <c r="BH67" s="592">
        <f t="shared" si="156"/>
        <v>6.5354950873797724E-3</v>
      </c>
      <c r="BI67" s="1162"/>
      <c r="BJ67" s="1163"/>
      <c r="BK67" s="1163"/>
      <c r="BL67" s="1163"/>
      <c r="BM67" s="782"/>
      <c r="BN67" s="782"/>
      <c r="BO67" s="751">
        <f t="shared" si="150"/>
        <v>0</v>
      </c>
      <c r="BP67" s="592">
        <f t="shared" si="157"/>
        <v>0</v>
      </c>
      <c r="BQ67" s="592">
        <f t="shared" si="157"/>
        <v>0</v>
      </c>
      <c r="BR67" s="592">
        <f t="shared" si="157"/>
        <v>0</v>
      </c>
      <c r="BS67" s="359">
        <f t="shared" si="158"/>
        <v>150.05446245906148</v>
      </c>
      <c r="BT67" s="315" t="e">
        <f>BS67-#REF!</f>
        <v>#REF!</v>
      </c>
      <c r="BU67" s="315"/>
      <c r="BV67" s="6">
        <f t="shared" si="137"/>
        <v>0</v>
      </c>
      <c r="BW67" s="6">
        <f t="shared" si="143"/>
        <v>50</v>
      </c>
      <c r="BX67" s="6">
        <f t="shared" si="144"/>
        <v>50</v>
      </c>
      <c r="BY67" s="6">
        <f t="shared" si="36"/>
        <v>0</v>
      </c>
      <c r="BZ67" s="6">
        <f t="shared" si="37"/>
        <v>0</v>
      </c>
      <c r="CA67" s="6">
        <f t="shared" si="38"/>
        <v>0</v>
      </c>
    </row>
    <row r="68" spans="1:79" s="244" customFormat="1" ht="12.75" customHeight="1" thickBot="1" x14ac:dyDescent="0.25">
      <c r="A68" s="135"/>
      <c r="B68" s="781" t="s">
        <v>112</v>
      </c>
      <c r="C68" s="782"/>
      <c r="D68" s="782"/>
      <c r="E68" s="492"/>
      <c r="F68" s="691">
        <v>80</v>
      </c>
      <c r="G68" s="692">
        <v>80</v>
      </c>
      <c r="H68" s="882">
        <f t="shared" si="127"/>
        <v>0</v>
      </c>
      <c r="I68" s="882">
        <f t="shared" si="125"/>
        <v>4.2869467829143734E-2</v>
      </c>
      <c r="J68" s="882">
        <f t="shared" si="126"/>
        <v>4.2869467829143734E-2</v>
      </c>
      <c r="K68" s="1162"/>
      <c r="L68" s="1163"/>
      <c r="M68" s="1163"/>
      <c r="N68" s="1163"/>
      <c r="O68" s="918"/>
      <c r="P68" s="925"/>
      <c r="Q68" s="927">
        <f t="shared" si="145"/>
        <v>0</v>
      </c>
      <c r="R68" s="901">
        <f t="shared" si="128"/>
        <v>0</v>
      </c>
      <c r="S68" s="901">
        <f t="shared" si="129"/>
        <v>0</v>
      </c>
      <c r="T68" s="901">
        <f t="shared" si="130"/>
        <v>0</v>
      </c>
      <c r="U68" s="328"/>
      <c r="V68" s="455">
        <v>13</v>
      </c>
      <c r="W68" s="135"/>
      <c r="X68" s="330"/>
      <c r="Y68" s="829"/>
      <c r="Z68" s="861">
        <v>13</v>
      </c>
      <c r="AA68" s="830">
        <f t="shared" si="146"/>
        <v>13</v>
      </c>
      <c r="AB68" s="592">
        <f t="shared" si="153"/>
        <v>0</v>
      </c>
      <c r="AC68" s="592">
        <f t="shared" si="153"/>
        <v>7.0801196779947534E-3</v>
      </c>
      <c r="AD68" s="592">
        <f t="shared" si="153"/>
        <v>7.0801196779947534E-3</v>
      </c>
      <c r="AE68" s="327"/>
      <c r="AF68" s="455">
        <v>13</v>
      </c>
      <c r="AG68" s="455">
        <v>15</v>
      </c>
      <c r="AH68" s="135"/>
      <c r="AI68" s="829"/>
      <c r="AJ68" s="782">
        <v>28</v>
      </c>
      <c r="AK68" s="751">
        <f t="shared" si="147"/>
        <v>28</v>
      </c>
      <c r="AL68" s="592">
        <f t="shared" si="154"/>
        <v>0</v>
      </c>
      <c r="AM68" s="592">
        <f t="shared" si="154"/>
        <v>1.5249488537219471E-2</v>
      </c>
      <c r="AN68" s="592">
        <f t="shared" si="154"/>
        <v>1.5249488537219471E-2</v>
      </c>
      <c r="AO68" s="327"/>
      <c r="AP68" s="455">
        <v>13</v>
      </c>
      <c r="AQ68" s="458"/>
      <c r="AR68" s="135"/>
      <c r="AS68" s="782"/>
      <c r="AT68" s="782">
        <v>13</v>
      </c>
      <c r="AU68" s="751">
        <f t="shared" si="148"/>
        <v>13</v>
      </c>
      <c r="AV68" s="592">
        <f t="shared" si="155"/>
        <v>0</v>
      </c>
      <c r="AW68" s="592">
        <f t="shared" si="155"/>
        <v>7.0801196779947534E-3</v>
      </c>
      <c r="AX68" s="592">
        <f t="shared" si="155"/>
        <v>7.0801196779947534E-3</v>
      </c>
      <c r="AY68" s="327"/>
      <c r="AZ68" s="328"/>
      <c r="BA68" s="455">
        <v>13</v>
      </c>
      <c r="BB68" s="326"/>
      <c r="BC68" s="782"/>
      <c r="BD68" s="782">
        <v>13</v>
      </c>
      <c r="BE68" s="751">
        <f t="shared" si="149"/>
        <v>13</v>
      </c>
      <c r="BF68" s="592">
        <f t="shared" si="156"/>
        <v>0</v>
      </c>
      <c r="BG68" s="592">
        <f t="shared" si="156"/>
        <v>7.0801196779947534E-3</v>
      </c>
      <c r="BH68" s="592">
        <f t="shared" si="156"/>
        <v>7.0801196779947534E-3</v>
      </c>
      <c r="BI68" s="135"/>
      <c r="BJ68" s="327"/>
      <c r="BK68" s="328"/>
      <c r="BL68" s="455">
        <v>13</v>
      </c>
      <c r="BM68" s="782"/>
      <c r="BN68" s="782">
        <v>13</v>
      </c>
      <c r="BO68" s="751">
        <f t="shared" si="150"/>
        <v>13</v>
      </c>
      <c r="BP68" s="592">
        <f t="shared" si="157"/>
        <v>0</v>
      </c>
      <c r="BQ68" s="592">
        <f t="shared" si="157"/>
        <v>7.0801196779947534E-3</v>
      </c>
      <c r="BR68" s="592">
        <f t="shared" si="157"/>
        <v>7.0801196779947534E-3</v>
      </c>
      <c r="BS68" s="359">
        <f t="shared" si="158"/>
        <v>214.07297969514241</v>
      </c>
      <c r="BT68" s="315" t="e">
        <f>BS68-#REF!</f>
        <v>#REF!</v>
      </c>
      <c r="BU68" s="315"/>
      <c r="BV68" s="6">
        <f t="shared" si="137"/>
        <v>0</v>
      </c>
      <c r="BW68" s="6">
        <f t="shared" si="143"/>
        <v>80</v>
      </c>
      <c r="BX68" s="6">
        <f t="shared" si="144"/>
        <v>80</v>
      </c>
      <c r="BY68" s="6">
        <f t="shared" si="36"/>
        <v>0</v>
      </c>
      <c r="BZ68" s="6">
        <f t="shared" si="37"/>
        <v>0</v>
      </c>
      <c r="CA68" s="6">
        <f t="shared" si="38"/>
        <v>0</v>
      </c>
    </row>
    <row r="69" spans="1:79" s="244" customFormat="1" ht="12.75" customHeight="1" thickBot="1" x14ac:dyDescent="0.25">
      <c r="A69" s="135"/>
      <c r="B69" s="781" t="s">
        <v>113</v>
      </c>
      <c r="C69" s="782"/>
      <c r="D69" s="782"/>
      <c r="E69" s="492"/>
      <c r="F69" s="691">
        <v>100</v>
      </c>
      <c r="G69" s="692">
        <v>100</v>
      </c>
      <c r="H69" s="882">
        <f t="shared" si="127"/>
        <v>0</v>
      </c>
      <c r="I69" s="882">
        <f t="shared" si="125"/>
        <v>5.3586834786429671E-2</v>
      </c>
      <c r="J69" s="882">
        <f t="shared" si="126"/>
        <v>5.3586834786429671E-2</v>
      </c>
      <c r="K69" s="1162"/>
      <c r="L69" s="1163"/>
      <c r="M69" s="1163"/>
      <c r="N69" s="1163"/>
      <c r="O69" s="918"/>
      <c r="P69" s="925"/>
      <c r="Q69" s="927">
        <f t="shared" si="145"/>
        <v>0</v>
      </c>
      <c r="R69" s="901">
        <f t="shared" si="128"/>
        <v>0</v>
      </c>
      <c r="S69" s="901">
        <f t="shared" si="129"/>
        <v>0</v>
      </c>
      <c r="T69" s="901">
        <f t="shared" si="130"/>
        <v>0</v>
      </c>
      <c r="U69" s="327"/>
      <c r="V69" s="455">
        <v>13</v>
      </c>
      <c r="W69" s="455">
        <v>10</v>
      </c>
      <c r="X69" s="326"/>
      <c r="Y69" s="829"/>
      <c r="Z69" s="861">
        <v>23</v>
      </c>
      <c r="AA69" s="830">
        <f t="shared" si="146"/>
        <v>23</v>
      </c>
      <c r="AB69" s="592">
        <f t="shared" si="153"/>
        <v>0</v>
      </c>
      <c r="AC69" s="592">
        <f t="shared" si="153"/>
        <v>1.2526365584144564E-2</v>
      </c>
      <c r="AD69" s="592">
        <f t="shared" si="153"/>
        <v>1.2526365584144564E-2</v>
      </c>
      <c r="AE69" s="327"/>
      <c r="AF69" s="455">
        <v>12</v>
      </c>
      <c r="AG69" s="455">
        <v>13</v>
      </c>
      <c r="AH69" s="326"/>
      <c r="AI69" s="829"/>
      <c r="AJ69" s="782">
        <v>25</v>
      </c>
      <c r="AK69" s="751">
        <f t="shared" si="147"/>
        <v>25</v>
      </c>
      <c r="AL69" s="592">
        <f t="shared" si="154"/>
        <v>0</v>
      </c>
      <c r="AM69" s="592">
        <f t="shared" si="154"/>
        <v>1.3615614765374526E-2</v>
      </c>
      <c r="AN69" s="592">
        <f t="shared" si="154"/>
        <v>1.3615614765374526E-2</v>
      </c>
      <c r="AO69" s="327"/>
      <c r="AP69" s="455">
        <v>13</v>
      </c>
      <c r="AQ69" s="458"/>
      <c r="AR69" s="455">
        <v>13</v>
      </c>
      <c r="AS69" s="782"/>
      <c r="AT69" s="782">
        <v>26</v>
      </c>
      <c r="AU69" s="751">
        <f t="shared" si="148"/>
        <v>26</v>
      </c>
      <c r="AV69" s="592">
        <f t="shared" si="155"/>
        <v>0</v>
      </c>
      <c r="AW69" s="592">
        <f t="shared" si="155"/>
        <v>1.4160239355989507E-2</v>
      </c>
      <c r="AX69" s="592">
        <f t="shared" si="155"/>
        <v>1.4160239355989507E-2</v>
      </c>
      <c r="AY69" s="327"/>
      <c r="AZ69" s="135"/>
      <c r="BA69" s="455">
        <v>13</v>
      </c>
      <c r="BB69" s="135"/>
      <c r="BC69" s="782"/>
      <c r="BD69" s="782">
        <v>13</v>
      </c>
      <c r="BE69" s="751">
        <f t="shared" si="149"/>
        <v>13</v>
      </c>
      <c r="BF69" s="592">
        <f t="shared" si="156"/>
        <v>0</v>
      </c>
      <c r="BG69" s="592">
        <f t="shared" si="156"/>
        <v>7.0801196779947534E-3</v>
      </c>
      <c r="BH69" s="592">
        <f t="shared" si="156"/>
        <v>7.0801196779947534E-3</v>
      </c>
      <c r="BI69" s="458"/>
      <c r="BJ69" s="458"/>
      <c r="BK69" s="458"/>
      <c r="BL69" s="455">
        <v>13</v>
      </c>
      <c r="BM69" s="782"/>
      <c r="BN69" s="782">
        <v>13</v>
      </c>
      <c r="BO69" s="751">
        <f t="shared" si="150"/>
        <v>13</v>
      </c>
      <c r="BP69" s="592">
        <f t="shared" si="157"/>
        <v>0</v>
      </c>
      <c r="BQ69" s="592">
        <f t="shared" si="157"/>
        <v>7.0801196779947534E-3</v>
      </c>
      <c r="BR69" s="592">
        <f t="shared" si="157"/>
        <v>7.0801196779947534E-3</v>
      </c>
      <c r="BS69" s="359">
        <f t="shared" si="158"/>
        <v>274.09476467876698</v>
      </c>
      <c r="BT69" s="315" t="e">
        <f>BS69-#REF!</f>
        <v>#REF!</v>
      </c>
      <c r="BU69" s="315"/>
      <c r="BV69" s="6">
        <f t="shared" si="137"/>
        <v>0</v>
      </c>
      <c r="BW69" s="6">
        <f t="shared" si="143"/>
        <v>100</v>
      </c>
      <c r="BX69" s="6">
        <f t="shared" si="144"/>
        <v>100</v>
      </c>
      <c r="BY69" s="6">
        <f t="shared" si="36"/>
        <v>0</v>
      </c>
      <c r="BZ69" s="6">
        <f t="shared" si="37"/>
        <v>0</v>
      </c>
      <c r="CA69" s="6">
        <f t="shared" si="38"/>
        <v>0</v>
      </c>
    </row>
    <row r="70" spans="1:79" s="244" customFormat="1" ht="12.75" customHeight="1" thickBot="1" x14ac:dyDescent="0.25">
      <c r="A70" s="135"/>
      <c r="B70" s="781" t="s">
        <v>114</v>
      </c>
      <c r="C70" s="782"/>
      <c r="D70" s="782"/>
      <c r="E70" s="492"/>
      <c r="F70" s="691">
        <v>80</v>
      </c>
      <c r="G70" s="692">
        <v>80</v>
      </c>
      <c r="H70" s="882">
        <f t="shared" ref="H70:H81" si="159">E70/$F$82*100</f>
        <v>0</v>
      </c>
      <c r="I70" s="882">
        <f t="shared" ref="I70:I81" si="160">F70/$F$82*100</f>
        <v>4.2869467829143734E-2</v>
      </c>
      <c r="J70" s="882">
        <f t="shared" ref="J70:J81" si="161">G70/$F$82*100</f>
        <v>4.2869467829143734E-2</v>
      </c>
      <c r="K70" s="1162"/>
      <c r="L70" s="1163"/>
      <c r="M70" s="1163"/>
      <c r="N70" s="1163"/>
      <c r="O70" s="918"/>
      <c r="P70" s="925"/>
      <c r="Q70" s="927">
        <f t="shared" si="145"/>
        <v>0</v>
      </c>
      <c r="R70" s="901">
        <f t="shared" ref="R70:R81" si="162">O70/$F$82*100</f>
        <v>0</v>
      </c>
      <c r="S70" s="901">
        <f t="shared" ref="S70:S81" si="163">P70/$F$82*100</f>
        <v>0</v>
      </c>
      <c r="T70" s="901">
        <f t="shared" ref="T70:T81" si="164">Q70/$F$82*100</f>
        <v>0</v>
      </c>
      <c r="U70" s="447"/>
      <c r="V70" s="455">
        <v>13</v>
      </c>
      <c r="W70" s="135"/>
      <c r="X70" s="326"/>
      <c r="Y70" s="829"/>
      <c r="Z70" s="861">
        <v>23</v>
      </c>
      <c r="AA70" s="830">
        <f t="shared" si="146"/>
        <v>23</v>
      </c>
      <c r="AB70" s="592">
        <f t="shared" si="153"/>
        <v>0</v>
      </c>
      <c r="AC70" s="592">
        <f t="shared" si="153"/>
        <v>1.2526365584144564E-2</v>
      </c>
      <c r="AD70" s="592">
        <f t="shared" si="153"/>
        <v>1.2526365584144564E-2</v>
      </c>
      <c r="AE70" s="327"/>
      <c r="AF70" s="455">
        <v>13</v>
      </c>
      <c r="AG70" s="326"/>
      <c r="AH70" s="447"/>
      <c r="AI70" s="829"/>
      <c r="AJ70" s="782">
        <v>13</v>
      </c>
      <c r="AK70" s="751">
        <f t="shared" si="147"/>
        <v>13</v>
      </c>
      <c r="AL70" s="592">
        <f t="shared" si="154"/>
        <v>0</v>
      </c>
      <c r="AM70" s="592">
        <f t="shared" si="154"/>
        <v>7.0801196779947534E-3</v>
      </c>
      <c r="AN70" s="592">
        <f t="shared" si="154"/>
        <v>7.0801196779947534E-3</v>
      </c>
      <c r="AO70" s="328"/>
      <c r="AP70" s="455">
        <v>13</v>
      </c>
      <c r="AQ70" s="135"/>
      <c r="AR70" s="135"/>
      <c r="AS70" s="782"/>
      <c r="AT70" s="782">
        <v>13</v>
      </c>
      <c r="AU70" s="751">
        <f t="shared" si="148"/>
        <v>13</v>
      </c>
      <c r="AV70" s="592">
        <f t="shared" si="155"/>
        <v>0</v>
      </c>
      <c r="AW70" s="592">
        <f t="shared" si="155"/>
        <v>7.0801196779947534E-3</v>
      </c>
      <c r="AX70" s="592">
        <f t="shared" si="155"/>
        <v>7.0801196779947534E-3</v>
      </c>
      <c r="AY70" s="326"/>
      <c r="AZ70" s="327"/>
      <c r="BA70" s="455">
        <v>13</v>
      </c>
      <c r="BB70" s="455">
        <v>13</v>
      </c>
      <c r="BC70" s="782"/>
      <c r="BD70" s="782">
        <v>26</v>
      </c>
      <c r="BE70" s="751">
        <f t="shared" si="149"/>
        <v>26</v>
      </c>
      <c r="BF70" s="592">
        <f t="shared" si="156"/>
        <v>0</v>
      </c>
      <c r="BG70" s="592">
        <f t="shared" si="156"/>
        <v>1.4160239355989507E-2</v>
      </c>
      <c r="BH70" s="592">
        <f t="shared" si="156"/>
        <v>1.4160239355989507E-2</v>
      </c>
      <c r="BI70" s="135"/>
      <c r="BJ70" s="135"/>
      <c r="BK70" s="135"/>
      <c r="BL70" s="455">
        <v>15</v>
      </c>
      <c r="BM70" s="782"/>
      <c r="BN70" s="782">
        <v>15</v>
      </c>
      <c r="BO70" s="751">
        <f t="shared" si="150"/>
        <v>15</v>
      </c>
      <c r="BP70" s="592">
        <f t="shared" si="157"/>
        <v>0</v>
      </c>
      <c r="BQ70" s="592">
        <f t="shared" si="157"/>
        <v>8.1693688592247155E-3</v>
      </c>
      <c r="BR70" s="592">
        <f t="shared" si="157"/>
        <v>8.1693688592247155E-3</v>
      </c>
      <c r="BS70" s="359">
        <f t="shared" si="158"/>
        <v>230.08169368859222</v>
      </c>
      <c r="BT70" s="315" t="e">
        <f>BS70-#REF!</f>
        <v>#REF!</v>
      </c>
      <c r="BU70" s="315"/>
      <c r="BV70" s="6">
        <f t="shared" si="137"/>
        <v>0</v>
      </c>
      <c r="BW70" s="6">
        <f t="shared" si="143"/>
        <v>90</v>
      </c>
      <c r="BX70" s="6">
        <f t="shared" si="144"/>
        <v>90</v>
      </c>
      <c r="BY70" s="6">
        <f t="shared" ref="BY70:CA85" si="165">E70-BV70</f>
        <v>0</v>
      </c>
      <c r="BZ70" s="6">
        <f t="shared" si="165"/>
        <v>-10</v>
      </c>
      <c r="CA70" s="6">
        <f t="shared" si="165"/>
        <v>-10</v>
      </c>
    </row>
    <row r="71" spans="1:79" s="244" customFormat="1" ht="12.75" customHeight="1" thickBot="1" x14ac:dyDescent="0.25">
      <c r="A71" s="629"/>
      <c r="B71" s="781" t="s">
        <v>115</v>
      </c>
      <c r="C71" s="782"/>
      <c r="D71" s="782"/>
      <c r="E71" s="492"/>
      <c r="F71" s="691">
        <v>100</v>
      </c>
      <c r="G71" s="692">
        <v>100</v>
      </c>
      <c r="H71" s="882">
        <f t="shared" si="159"/>
        <v>0</v>
      </c>
      <c r="I71" s="882">
        <f t="shared" si="160"/>
        <v>5.3586834786429671E-2</v>
      </c>
      <c r="J71" s="882">
        <f t="shared" si="161"/>
        <v>5.3586834786429671E-2</v>
      </c>
      <c r="K71" s="1162"/>
      <c r="L71" s="1163"/>
      <c r="M71" s="1163"/>
      <c r="N71" s="1163"/>
      <c r="O71" s="918"/>
      <c r="P71" s="925"/>
      <c r="Q71" s="927">
        <f t="shared" si="145"/>
        <v>0</v>
      </c>
      <c r="R71" s="901">
        <f t="shared" si="162"/>
        <v>0</v>
      </c>
      <c r="S71" s="901">
        <f t="shared" si="163"/>
        <v>0</v>
      </c>
      <c r="T71" s="901">
        <f t="shared" si="164"/>
        <v>0</v>
      </c>
      <c r="U71" s="348"/>
      <c r="V71" s="455">
        <v>13</v>
      </c>
      <c r="W71" s="439"/>
      <c r="X71" s="455">
        <v>12</v>
      </c>
      <c r="Y71" s="829"/>
      <c r="Z71" s="861">
        <v>25</v>
      </c>
      <c r="AA71" s="830">
        <f t="shared" si="146"/>
        <v>25</v>
      </c>
      <c r="AB71" s="592">
        <f t="shared" si="153"/>
        <v>0</v>
      </c>
      <c r="AC71" s="592">
        <f t="shared" si="153"/>
        <v>1.3615614765374526E-2</v>
      </c>
      <c r="AD71" s="592">
        <f t="shared" si="153"/>
        <v>1.3615614765374526E-2</v>
      </c>
      <c r="AE71" s="438"/>
      <c r="AF71" s="455">
        <v>13</v>
      </c>
      <c r="AG71" s="439"/>
      <c r="AH71" s="455">
        <v>12</v>
      </c>
      <c r="AI71" s="829"/>
      <c r="AJ71" s="782">
        <v>25</v>
      </c>
      <c r="AK71" s="751">
        <f t="shared" si="147"/>
        <v>25</v>
      </c>
      <c r="AL71" s="592">
        <f t="shared" si="154"/>
        <v>0</v>
      </c>
      <c r="AM71" s="592">
        <f t="shared" si="154"/>
        <v>1.3615614765374526E-2</v>
      </c>
      <c r="AN71" s="592">
        <f t="shared" si="154"/>
        <v>1.3615614765374526E-2</v>
      </c>
      <c r="AO71" s="438"/>
      <c r="AP71" s="455">
        <v>12</v>
      </c>
      <c r="AQ71" s="439"/>
      <c r="AR71" s="455">
        <v>13</v>
      </c>
      <c r="AS71" s="782"/>
      <c r="AT71" s="782">
        <v>25</v>
      </c>
      <c r="AU71" s="751">
        <f t="shared" si="148"/>
        <v>25</v>
      </c>
      <c r="AV71" s="592">
        <f t="shared" si="155"/>
        <v>0</v>
      </c>
      <c r="AW71" s="592">
        <f t="shared" si="155"/>
        <v>1.3615614765374526E-2</v>
      </c>
      <c r="AX71" s="592">
        <f t="shared" si="155"/>
        <v>1.3615614765374526E-2</v>
      </c>
      <c r="AY71" s="438"/>
      <c r="AZ71" s="135"/>
      <c r="BA71" s="455">
        <v>12</v>
      </c>
      <c r="BB71" s="135"/>
      <c r="BC71" s="782"/>
      <c r="BD71" s="782">
        <v>12</v>
      </c>
      <c r="BE71" s="751">
        <f t="shared" si="149"/>
        <v>12</v>
      </c>
      <c r="BF71" s="592">
        <f t="shared" si="156"/>
        <v>0</v>
      </c>
      <c r="BG71" s="592">
        <f t="shared" si="156"/>
        <v>6.5354950873797724E-3</v>
      </c>
      <c r="BH71" s="592">
        <f t="shared" si="156"/>
        <v>6.5354950873797724E-3</v>
      </c>
      <c r="BI71" s="650"/>
      <c r="BJ71" s="650"/>
      <c r="BK71" s="650"/>
      <c r="BL71" s="455">
        <v>13</v>
      </c>
      <c r="BM71" s="782"/>
      <c r="BN71" s="782">
        <v>13</v>
      </c>
      <c r="BO71" s="751">
        <f t="shared" si="150"/>
        <v>13</v>
      </c>
      <c r="BP71" s="592">
        <f t="shared" si="157"/>
        <v>0</v>
      </c>
      <c r="BQ71" s="592">
        <f t="shared" si="157"/>
        <v>7.0801196779947534E-3</v>
      </c>
      <c r="BR71" s="592">
        <f t="shared" si="157"/>
        <v>7.0801196779947534E-3</v>
      </c>
      <c r="BS71" s="359">
        <f t="shared" si="158"/>
        <v>274.09476467876704</v>
      </c>
      <c r="BT71" s="315" t="e">
        <f>BS71-#REF!</f>
        <v>#REF!</v>
      </c>
      <c r="BU71" s="315"/>
      <c r="BV71" s="6">
        <f t="shared" si="137"/>
        <v>0</v>
      </c>
      <c r="BW71" s="6">
        <f t="shared" si="143"/>
        <v>100</v>
      </c>
      <c r="BX71" s="6">
        <f t="shared" si="144"/>
        <v>100</v>
      </c>
      <c r="BY71" s="6">
        <f t="shared" si="165"/>
        <v>0</v>
      </c>
      <c r="BZ71" s="6">
        <f t="shared" si="165"/>
        <v>0</v>
      </c>
      <c r="CA71" s="6">
        <f t="shared" si="165"/>
        <v>0</v>
      </c>
    </row>
    <row r="72" spans="1:79" s="6" customFormat="1" ht="13.5" thickBot="1" x14ac:dyDescent="0.25">
      <c r="B72" s="783" t="s">
        <v>65</v>
      </c>
      <c r="C72" s="784"/>
      <c r="D72" s="785"/>
      <c r="E72" s="821">
        <f>SUM(E73:E80)</f>
        <v>7108</v>
      </c>
      <c r="F72" s="821">
        <f>SUM(F73:F80)</f>
        <v>2800</v>
      </c>
      <c r="G72" s="821">
        <f>SUM(G73:G80)</f>
        <v>9908</v>
      </c>
      <c r="H72" s="882">
        <f t="shared" si="159"/>
        <v>3.8089522166194212</v>
      </c>
      <c r="I72" s="882">
        <f t="shared" si="160"/>
        <v>1.5004313740200308</v>
      </c>
      <c r="J72" s="882">
        <f t="shared" si="161"/>
        <v>5.3093835906394515</v>
      </c>
      <c r="K72" s="821">
        <f t="shared" ref="K72:BQ72" si="166">K73+K74+K75+K76+K78+K80</f>
        <v>0</v>
      </c>
      <c r="L72" s="821">
        <f t="shared" si="166"/>
        <v>3808</v>
      </c>
      <c r="M72" s="821">
        <f t="shared" si="166"/>
        <v>0</v>
      </c>
      <c r="N72" s="899">
        <f t="shared" si="166"/>
        <v>600</v>
      </c>
      <c r="O72" s="911">
        <f t="shared" si="166"/>
        <v>4308</v>
      </c>
      <c r="P72" s="925">
        <f t="shared" si="166"/>
        <v>100</v>
      </c>
      <c r="Q72" s="927">
        <f t="shared" si="166"/>
        <v>4408</v>
      </c>
      <c r="R72" s="901">
        <f t="shared" si="162"/>
        <v>2.3085208425993904</v>
      </c>
      <c r="S72" s="901">
        <f t="shared" si="163"/>
        <v>5.3586834786429671E-2</v>
      </c>
      <c r="T72" s="901">
        <f t="shared" si="164"/>
        <v>2.3621076773858198</v>
      </c>
      <c r="U72" s="821">
        <f t="shared" si="166"/>
        <v>1650</v>
      </c>
      <c r="V72" s="821">
        <f t="shared" si="166"/>
        <v>250</v>
      </c>
      <c r="W72" s="821">
        <f t="shared" si="166"/>
        <v>0</v>
      </c>
      <c r="X72" s="821">
        <f t="shared" si="166"/>
        <v>0</v>
      </c>
      <c r="Y72" s="821">
        <f t="shared" si="166"/>
        <v>1800</v>
      </c>
      <c r="Z72" s="821">
        <f t="shared" si="166"/>
        <v>100</v>
      </c>
      <c r="AA72" s="821">
        <f t="shared" si="166"/>
        <v>1900</v>
      </c>
      <c r="AB72" s="821">
        <f t="shared" si="166"/>
        <v>0.98032426310696574</v>
      </c>
      <c r="AC72" s="821">
        <f t="shared" si="166"/>
        <v>5.4462459061498103E-2</v>
      </c>
      <c r="AD72" s="821">
        <f t="shared" si="166"/>
        <v>1.0347867221684639</v>
      </c>
      <c r="AE72" s="821">
        <f t="shared" si="166"/>
        <v>0</v>
      </c>
      <c r="AF72" s="821">
        <f t="shared" si="166"/>
        <v>100</v>
      </c>
      <c r="AG72" s="821">
        <f t="shared" si="166"/>
        <v>0</v>
      </c>
      <c r="AH72" s="821">
        <f t="shared" si="166"/>
        <v>1000</v>
      </c>
      <c r="AI72" s="821">
        <f t="shared" si="166"/>
        <v>1000</v>
      </c>
      <c r="AJ72" s="821">
        <f t="shared" si="166"/>
        <v>100</v>
      </c>
      <c r="AK72" s="821">
        <f t="shared" si="166"/>
        <v>1100</v>
      </c>
      <c r="AL72" s="821">
        <f t="shared" si="166"/>
        <v>0.54462459061498103</v>
      </c>
      <c r="AM72" s="821">
        <f t="shared" si="166"/>
        <v>5.4462459061498103E-2</v>
      </c>
      <c r="AN72" s="821">
        <f t="shared" si="166"/>
        <v>0.59908704967647908</v>
      </c>
      <c r="AO72" s="821">
        <f t="shared" si="166"/>
        <v>100</v>
      </c>
      <c r="AP72" s="821">
        <f t="shared" si="166"/>
        <v>0</v>
      </c>
      <c r="AQ72" s="821">
        <f t="shared" si="166"/>
        <v>0</v>
      </c>
      <c r="AR72" s="821">
        <f t="shared" si="166"/>
        <v>0</v>
      </c>
      <c r="AS72" s="821">
        <f t="shared" si="166"/>
        <v>0</v>
      </c>
      <c r="AT72" s="821">
        <f t="shared" si="166"/>
        <v>100</v>
      </c>
      <c r="AU72" s="821">
        <f t="shared" si="166"/>
        <v>100</v>
      </c>
      <c r="AV72" s="821">
        <f t="shared" si="166"/>
        <v>0</v>
      </c>
      <c r="AW72" s="821">
        <f t="shared" si="166"/>
        <v>5.4462459061498103E-2</v>
      </c>
      <c r="AX72" s="821">
        <f t="shared" si="166"/>
        <v>5.4462459061498103E-2</v>
      </c>
      <c r="AY72" s="821">
        <f t="shared" si="166"/>
        <v>100</v>
      </c>
      <c r="AZ72" s="821">
        <f t="shared" si="166"/>
        <v>0</v>
      </c>
      <c r="BA72" s="821">
        <f t="shared" si="166"/>
        <v>0</v>
      </c>
      <c r="BB72" s="821">
        <f t="shared" si="166"/>
        <v>0</v>
      </c>
      <c r="BC72" s="821">
        <f t="shared" si="166"/>
        <v>0</v>
      </c>
      <c r="BD72" s="821">
        <f t="shared" si="166"/>
        <v>100</v>
      </c>
      <c r="BE72" s="821">
        <f t="shared" si="166"/>
        <v>100</v>
      </c>
      <c r="BF72" s="821">
        <f t="shared" si="166"/>
        <v>0</v>
      </c>
      <c r="BG72" s="821">
        <f t="shared" si="166"/>
        <v>5.4462459061498103E-2</v>
      </c>
      <c r="BH72" s="821">
        <f t="shared" si="166"/>
        <v>5.4462459061498103E-2</v>
      </c>
      <c r="BI72" s="821">
        <f t="shared" si="166"/>
        <v>0</v>
      </c>
      <c r="BJ72" s="821">
        <f t="shared" si="166"/>
        <v>0</v>
      </c>
      <c r="BK72" s="821">
        <f t="shared" si="166"/>
        <v>0</v>
      </c>
      <c r="BL72" s="821">
        <f t="shared" si="166"/>
        <v>0</v>
      </c>
      <c r="BM72" s="821">
        <f t="shared" si="166"/>
        <v>0</v>
      </c>
      <c r="BN72" s="821">
        <f t="shared" si="166"/>
        <v>0</v>
      </c>
      <c r="BO72" s="821">
        <f t="shared" si="166"/>
        <v>0</v>
      </c>
      <c r="BP72" s="821">
        <f t="shared" si="166"/>
        <v>0</v>
      </c>
      <c r="BQ72" s="821">
        <f t="shared" si="166"/>
        <v>0</v>
      </c>
      <c r="BR72" s="821">
        <f>BR73+BR74+BR75+BR76+BR78+BR80</f>
        <v>0</v>
      </c>
      <c r="BS72" s="821">
        <f>BS73+BS74+BS75+BS76+BS78+BS80</f>
        <v>22832.209812734709</v>
      </c>
      <c r="BT72" s="315">
        <f>BS72-G72</f>
        <v>12924.209812734709</v>
      </c>
      <c r="BU72" s="315"/>
      <c r="BV72" s="6">
        <f t="shared" si="137"/>
        <v>7108</v>
      </c>
      <c r="BW72" s="6">
        <f t="shared" si="143"/>
        <v>500</v>
      </c>
      <c r="BX72" s="6">
        <f t="shared" si="144"/>
        <v>7608</v>
      </c>
      <c r="BY72" s="6">
        <f t="shared" si="165"/>
        <v>0</v>
      </c>
      <c r="BZ72" s="6">
        <f t="shared" si="165"/>
        <v>2300</v>
      </c>
      <c r="CA72" s="6">
        <f t="shared" si="165"/>
        <v>2300</v>
      </c>
    </row>
    <row r="73" spans="1:79" s="699" customFormat="1" ht="12.75" customHeight="1" thickBot="1" x14ac:dyDescent="0.25">
      <c r="A73" s="135"/>
      <c r="B73" s="1127" t="s">
        <v>83</v>
      </c>
      <c r="C73" s="1128"/>
      <c r="D73" s="1128"/>
      <c r="E73" s="370">
        <v>3808</v>
      </c>
      <c r="F73" s="372"/>
      <c r="G73" s="374">
        <v>3808</v>
      </c>
      <c r="H73" s="882">
        <f t="shared" si="159"/>
        <v>2.0405866686672418</v>
      </c>
      <c r="I73" s="882">
        <f t="shared" si="160"/>
        <v>0</v>
      </c>
      <c r="J73" s="882">
        <f t="shared" si="161"/>
        <v>2.0405866686672418</v>
      </c>
      <c r="K73" s="321"/>
      <c r="L73" s="455">
        <v>3808</v>
      </c>
      <c r="M73" s="328"/>
      <c r="N73" s="900"/>
      <c r="O73" s="918">
        <v>3808</v>
      </c>
      <c r="P73" s="925"/>
      <c r="Q73" s="927">
        <f t="shared" si="145"/>
        <v>3808</v>
      </c>
      <c r="R73" s="901">
        <f t="shared" si="162"/>
        <v>2.0405866686672418</v>
      </c>
      <c r="S73" s="901">
        <f t="shared" si="163"/>
        <v>0</v>
      </c>
      <c r="T73" s="901">
        <f t="shared" si="164"/>
        <v>2.0405866686672418</v>
      </c>
      <c r="U73" s="1162"/>
      <c r="V73" s="1163"/>
      <c r="W73" s="1163"/>
      <c r="X73" s="1163"/>
      <c r="Y73" s="829"/>
      <c r="Z73" s="861"/>
      <c r="AA73" s="830">
        <f t="shared" si="146"/>
        <v>0</v>
      </c>
      <c r="AB73" s="592">
        <f t="shared" ref="AB73:AB81" si="167">Y73/$G$81*100</f>
        <v>0</v>
      </c>
      <c r="AC73" s="592">
        <f t="shared" ref="AC73:AC81" si="168">Z73/$G$81*100</f>
        <v>0</v>
      </c>
      <c r="AD73" s="592">
        <f t="shared" ref="AD73:AD81" si="169">AA73/$G$81*100</f>
        <v>0</v>
      </c>
      <c r="AE73" s="1162"/>
      <c r="AF73" s="1163"/>
      <c r="AG73" s="1163"/>
      <c r="AH73" s="1163"/>
      <c r="AI73" s="829"/>
      <c r="AJ73" s="782"/>
      <c r="AK73" s="751">
        <f t="shared" si="147"/>
        <v>0</v>
      </c>
      <c r="AL73" s="592">
        <f t="shared" ref="AL73:AL81" si="170">AI73/$G$81*100</f>
        <v>0</v>
      </c>
      <c r="AM73" s="592">
        <f t="shared" ref="AM73:AM81" si="171">AJ73/$G$81*100</f>
        <v>0</v>
      </c>
      <c r="AN73" s="592">
        <f t="shared" ref="AN73:AN81" si="172">AK73/$G$81*100</f>
        <v>0</v>
      </c>
      <c r="AO73" s="1162"/>
      <c r="AP73" s="1163"/>
      <c r="AQ73" s="1163"/>
      <c r="AR73" s="1163"/>
      <c r="AS73" s="782"/>
      <c r="AT73" s="782"/>
      <c r="AU73" s="751">
        <f t="shared" si="148"/>
        <v>0</v>
      </c>
      <c r="AV73" s="592">
        <f t="shared" ref="AV73:AV81" si="173">AS73/$G$81*100</f>
        <v>0</v>
      </c>
      <c r="AW73" s="592">
        <f t="shared" ref="AW73:AW81" si="174">AT73/$G$81*100</f>
        <v>0</v>
      </c>
      <c r="AX73" s="592">
        <f t="shared" ref="AX73:AX81" si="175">AU73/$G$81*100</f>
        <v>0</v>
      </c>
      <c r="AY73" s="1162"/>
      <c r="AZ73" s="1163"/>
      <c r="BA73" s="1163"/>
      <c r="BB73" s="1163"/>
      <c r="BC73" s="782"/>
      <c r="BD73" s="782"/>
      <c r="BE73" s="751">
        <f t="shared" si="149"/>
        <v>0</v>
      </c>
      <c r="BF73" s="592">
        <f t="shared" ref="BF73:BF81" si="176">BC73/$G$81*100</f>
        <v>0</v>
      </c>
      <c r="BG73" s="592">
        <f t="shared" ref="BG73:BG81" si="177">BD73/$G$81*100</f>
        <v>0</v>
      </c>
      <c r="BH73" s="592">
        <f t="shared" ref="BH73:BH81" si="178">BE73/$G$81*100</f>
        <v>0</v>
      </c>
      <c r="BI73" s="1162"/>
      <c r="BJ73" s="1163"/>
      <c r="BK73" s="1163"/>
      <c r="BL73" s="1163"/>
      <c r="BM73" s="782"/>
      <c r="BN73" s="782"/>
      <c r="BO73" s="751">
        <f t="shared" si="150"/>
        <v>0</v>
      </c>
      <c r="BP73" s="592">
        <f t="shared" ref="BP73:BP81" si="179">BM73/$G$81*100</f>
        <v>0</v>
      </c>
      <c r="BQ73" s="592">
        <f t="shared" ref="BQ73:BQ81" si="180">BN73/$G$81*100</f>
        <v>0</v>
      </c>
      <c r="BR73" s="592">
        <f t="shared" ref="BR73:BR81" si="181">BO73/$G$81*100</f>
        <v>0</v>
      </c>
      <c r="BS73" s="359">
        <f t="shared" ref="BS73:BS80" si="182">SUM(K73:BL73)</f>
        <v>11428.081173337334</v>
      </c>
      <c r="BT73" s="315" t="e">
        <f>BS73-#REF!</f>
        <v>#REF!</v>
      </c>
      <c r="BU73" s="315"/>
      <c r="BV73" s="6">
        <f t="shared" si="137"/>
        <v>3808</v>
      </c>
      <c r="BW73" s="6">
        <f t="shared" si="143"/>
        <v>0</v>
      </c>
      <c r="BX73" s="6">
        <f t="shared" si="144"/>
        <v>3808</v>
      </c>
      <c r="BY73" s="6">
        <f t="shared" si="165"/>
        <v>0</v>
      </c>
      <c r="BZ73" s="6">
        <f t="shared" si="165"/>
        <v>0</v>
      </c>
      <c r="CA73" s="6">
        <f t="shared" si="165"/>
        <v>0</v>
      </c>
    </row>
    <row r="74" spans="1:79" s="244" customFormat="1" ht="12.75" customHeight="1" thickBot="1" x14ac:dyDescent="0.25">
      <c r="A74" s="135"/>
      <c r="B74" s="1127" t="s">
        <v>165</v>
      </c>
      <c r="C74" s="1128"/>
      <c r="D74" s="1128"/>
      <c r="E74" s="654">
        <v>1000</v>
      </c>
      <c r="F74" s="685"/>
      <c r="G74" s="700">
        <v>1000</v>
      </c>
      <c r="H74" s="882">
        <f t="shared" si="159"/>
        <v>0.53586834786429671</v>
      </c>
      <c r="I74" s="882">
        <f t="shared" si="160"/>
        <v>0</v>
      </c>
      <c r="J74" s="882">
        <f t="shared" si="161"/>
        <v>0.53586834786429671</v>
      </c>
      <c r="K74" s="1162"/>
      <c r="L74" s="1163"/>
      <c r="M74" s="1163"/>
      <c r="N74" s="1163"/>
      <c r="O74" s="918"/>
      <c r="P74" s="925"/>
      <c r="Q74" s="927">
        <f t="shared" si="145"/>
        <v>0</v>
      </c>
      <c r="R74" s="901">
        <f t="shared" si="162"/>
        <v>0</v>
      </c>
      <c r="S74" s="901">
        <f t="shared" si="163"/>
        <v>0</v>
      </c>
      <c r="T74" s="901">
        <f t="shared" si="164"/>
        <v>0</v>
      </c>
      <c r="U74" s="1162"/>
      <c r="V74" s="1163"/>
      <c r="W74" s="1163"/>
      <c r="X74" s="1163"/>
      <c r="Y74" s="829"/>
      <c r="Z74" s="861"/>
      <c r="AA74" s="830">
        <f t="shared" si="146"/>
        <v>0</v>
      </c>
      <c r="AB74" s="592">
        <f t="shared" si="167"/>
        <v>0</v>
      </c>
      <c r="AC74" s="592">
        <f t="shared" si="168"/>
        <v>0</v>
      </c>
      <c r="AD74" s="592">
        <f t="shared" si="169"/>
        <v>0</v>
      </c>
      <c r="AE74" s="321"/>
      <c r="AF74" s="322"/>
      <c r="AG74" s="321"/>
      <c r="AH74" s="455">
        <v>1000</v>
      </c>
      <c r="AI74" s="829">
        <v>1000</v>
      </c>
      <c r="AJ74" s="782"/>
      <c r="AK74" s="751">
        <f t="shared" si="147"/>
        <v>1000</v>
      </c>
      <c r="AL74" s="592">
        <f t="shared" si="170"/>
        <v>0.54462459061498103</v>
      </c>
      <c r="AM74" s="592">
        <f t="shared" si="171"/>
        <v>0</v>
      </c>
      <c r="AN74" s="592">
        <f t="shared" si="172"/>
        <v>0.54462459061498103</v>
      </c>
      <c r="AO74" s="1162"/>
      <c r="AP74" s="1163"/>
      <c r="AQ74" s="1163"/>
      <c r="AR74" s="1163"/>
      <c r="AS74" s="782"/>
      <c r="AT74" s="782"/>
      <c r="AU74" s="751">
        <f t="shared" si="148"/>
        <v>0</v>
      </c>
      <c r="AV74" s="592">
        <f t="shared" si="173"/>
        <v>0</v>
      </c>
      <c r="AW74" s="592">
        <f t="shared" si="174"/>
        <v>0</v>
      </c>
      <c r="AX74" s="592">
        <f t="shared" si="175"/>
        <v>0</v>
      </c>
      <c r="BC74" s="782"/>
      <c r="BD74" s="782"/>
      <c r="BE74" s="751">
        <f t="shared" si="149"/>
        <v>0</v>
      </c>
      <c r="BF74" s="592">
        <f t="shared" si="176"/>
        <v>0</v>
      </c>
      <c r="BG74" s="592">
        <f t="shared" si="177"/>
        <v>0</v>
      </c>
      <c r="BH74" s="592">
        <f t="shared" si="178"/>
        <v>0</v>
      </c>
      <c r="BI74" s="1162"/>
      <c r="BJ74" s="1163"/>
      <c r="BK74" s="1163"/>
      <c r="BL74" s="1163"/>
      <c r="BM74" s="782"/>
      <c r="BN74" s="782"/>
      <c r="BO74" s="751">
        <f t="shared" si="150"/>
        <v>0</v>
      </c>
      <c r="BP74" s="592">
        <f t="shared" si="179"/>
        <v>0</v>
      </c>
      <c r="BQ74" s="592">
        <f t="shared" si="180"/>
        <v>0</v>
      </c>
      <c r="BR74" s="592">
        <f t="shared" si="181"/>
        <v>0</v>
      </c>
      <c r="BS74" s="359">
        <f t="shared" si="182"/>
        <v>3001.0892491812301</v>
      </c>
      <c r="BT74" s="315" t="e">
        <f>BS74-#REF!</f>
        <v>#REF!</v>
      </c>
      <c r="BU74" s="315"/>
      <c r="BV74" s="6">
        <f t="shared" si="137"/>
        <v>1000</v>
      </c>
      <c r="BW74" s="6">
        <f t="shared" si="143"/>
        <v>0</v>
      </c>
      <c r="BX74" s="6">
        <f t="shared" si="144"/>
        <v>1000</v>
      </c>
      <c r="BY74" s="6">
        <f t="shared" si="165"/>
        <v>0</v>
      </c>
      <c r="BZ74" s="6">
        <f t="shared" si="165"/>
        <v>0</v>
      </c>
      <c r="CA74" s="6">
        <f t="shared" si="165"/>
        <v>0</v>
      </c>
    </row>
    <row r="75" spans="1:79" s="244" customFormat="1" ht="12.75" customHeight="1" thickBot="1" x14ac:dyDescent="0.25">
      <c r="A75" s="6"/>
      <c r="B75" s="1127" t="s">
        <v>66</v>
      </c>
      <c r="C75" s="1128"/>
      <c r="D75" s="1128"/>
      <c r="E75" s="409"/>
      <c r="F75" s="338">
        <v>400</v>
      </c>
      <c r="G75" s="408">
        <v>400</v>
      </c>
      <c r="H75" s="882">
        <f t="shared" si="159"/>
        <v>0</v>
      </c>
      <c r="I75" s="882">
        <f t="shared" si="160"/>
        <v>0.21434733914571868</v>
      </c>
      <c r="J75" s="882">
        <f t="shared" si="161"/>
        <v>0.21434733914571868</v>
      </c>
      <c r="K75" s="1162"/>
      <c r="L75" s="1163"/>
      <c r="M75" s="1163"/>
      <c r="N75" s="1163"/>
      <c r="O75" s="918"/>
      <c r="P75" s="925"/>
      <c r="Q75" s="927">
        <f t="shared" si="145"/>
        <v>0</v>
      </c>
      <c r="R75" s="901">
        <f t="shared" si="162"/>
        <v>0</v>
      </c>
      <c r="S75" s="901">
        <f t="shared" si="163"/>
        <v>0</v>
      </c>
      <c r="T75" s="901">
        <f t="shared" si="164"/>
        <v>0</v>
      </c>
      <c r="U75" s="327"/>
      <c r="V75" s="455">
        <v>100</v>
      </c>
      <c r="W75" s="322"/>
      <c r="X75" s="330"/>
      <c r="Y75" s="829"/>
      <c r="Z75" s="861">
        <v>100</v>
      </c>
      <c r="AA75" s="830">
        <f t="shared" si="146"/>
        <v>100</v>
      </c>
      <c r="AB75" s="592">
        <f t="shared" si="167"/>
        <v>0</v>
      </c>
      <c r="AC75" s="592">
        <f t="shared" si="168"/>
        <v>5.4462459061498103E-2</v>
      </c>
      <c r="AD75" s="592">
        <f t="shared" si="169"/>
        <v>5.4462459061498103E-2</v>
      </c>
      <c r="AE75" s="327"/>
      <c r="AF75" s="723">
        <v>100</v>
      </c>
      <c r="AG75" s="330"/>
      <c r="AH75" s="327"/>
      <c r="AI75" s="829"/>
      <c r="AJ75" s="782">
        <v>100</v>
      </c>
      <c r="AK75" s="751">
        <f t="shared" si="147"/>
        <v>100</v>
      </c>
      <c r="AL75" s="592">
        <f t="shared" si="170"/>
        <v>0</v>
      </c>
      <c r="AM75" s="592">
        <f t="shared" si="171"/>
        <v>5.4462459061498103E-2</v>
      </c>
      <c r="AN75" s="592">
        <f t="shared" si="172"/>
        <v>5.4462459061498103E-2</v>
      </c>
      <c r="AO75" s="455">
        <v>100</v>
      </c>
      <c r="AP75" s="322"/>
      <c r="AQ75" s="330"/>
      <c r="AR75" s="327"/>
      <c r="AS75" s="782"/>
      <c r="AT75" s="782">
        <v>100</v>
      </c>
      <c r="AU75" s="751">
        <f t="shared" si="148"/>
        <v>100</v>
      </c>
      <c r="AV75" s="592">
        <f t="shared" si="173"/>
        <v>0</v>
      </c>
      <c r="AW75" s="592">
        <f t="shared" si="174"/>
        <v>5.4462459061498103E-2</v>
      </c>
      <c r="AX75" s="592">
        <f t="shared" si="175"/>
        <v>5.4462459061498103E-2</v>
      </c>
      <c r="AY75" s="455">
        <v>100</v>
      </c>
      <c r="AZ75" s="322"/>
      <c r="BA75" s="322"/>
      <c r="BB75" s="330"/>
      <c r="BC75" s="782"/>
      <c r="BD75" s="782">
        <v>100</v>
      </c>
      <c r="BE75" s="751">
        <f t="shared" si="149"/>
        <v>100</v>
      </c>
      <c r="BF75" s="592">
        <f t="shared" si="176"/>
        <v>0</v>
      </c>
      <c r="BG75" s="592">
        <f t="shared" si="177"/>
        <v>5.4462459061498103E-2</v>
      </c>
      <c r="BH75" s="592">
        <f t="shared" si="178"/>
        <v>5.4462459061498103E-2</v>
      </c>
      <c r="BI75" s="1162"/>
      <c r="BJ75" s="1163"/>
      <c r="BK75" s="1163"/>
      <c r="BL75" s="1163"/>
      <c r="BM75" s="782"/>
      <c r="BN75" s="782"/>
      <c r="BO75" s="751">
        <f t="shared" si="150"/>
        <v>0</v>
      </c>
      <c r="BP75" s="592">
        <f t="shared" si="179"/>
        <v>0</v>
      </c>
      <c r="BQ75" s="592">
        <f t="shared" si="180"/>
        <v>0</v>
      </c>
      <c r="BR75" s="592">
        <f t="shared" si="181"/>
        <v>0</v>
      </c>
      <c r="BS75" s="359">
        <f t="shared" si="182"/>
        <v>1200.4356996724921</v>
      </c>
      <c r="BT75" s="315" t="e">
        <f>BS75-#REF!</f>
        <v>#REF!</v>
      </c>
      <c r="BU75" s="315"/>
      <c r="BV75" s="6">
        <f t="shared" si="137"/>
        <v>0</v>
      </c>
      <c r="BW75" s="6">
        <f t="shared" si="143"/>
        <v>400</v>
      </c>
      <c r="BX75" s="6">
        <f t="shared" si="144"/>
        <v>400</v>
      </c>
      <c r="BY75" s="6">
        <f t="shared" si="165"/>
        <v>0</v>
      </c>
      <c r="BZ75" s="6">
        <f t="shared" si="165"/>
        <v>0</v>
      </c>
      <c r="CA75" s="6">
        <f t="shared" si="165"/>
        <v>0</v>
      </c>
    </row>
    <row r="76" spans="1:79" s="244" customFormat="1" ht="13.5" thickBot="1" x14ac:dyDescent="0.25">
      <c r="A76" s="6"/>
      <c r="B76" s="1219" t="s">
        <v>162</v>
      </c>
      <c r="C76" s="1220"/>
      <c r="D76" s="1220"/>
      <c r="E76" s="409">
        <v>300</v>
      </c>
      <c r="F76" s="338"/>
      <c r="G76" s="408">
        <v>300</v>
      </c>
      <c r="H76" s="882">
        <f t="shared" si="159"/>
        <v>0.16076050435928901</v>
      </c>
      <c r="I76" s="882">
        <f t="shared" si="160"/>
        <v>0</v>
      </c>
      <c r="J76" s="882">
        <f t="shared" si="161"/>
        <v>0.16076050435928901</v>
      </c>
      <c r="K76" s="472"/>
      <c r="L76" s="702"/>
      <c r="M76" s="703"/>
      <c r="N76" s="379"/>
      <c r="O76" s="920"/>
      <c r="P76" s="925"/>
      <c r="Q76" s="927">
        <f t="shared" si="145"/>
        <v>0</v>
      </c>
      <c r="R76" s="901">
        <f t="shared" si="162"/>
        <v>0</v>
      </c>
      <c r="S76" s="901">
        <f t="shared" si="163"/>
        <v>0</v>
      </c>
      <c r="T76" s="901">
        <f t="shared" si="164"/>
        <v>0</v>
      </c>
      <c r="U76" s="704">
        <v>150</v>
      </c>
      <c r="V76" s="704">
        <v>150</v>
      </c>
      <c r="W76" s="346"/>
      <c r="X76" s="347"/>
      <c r="Y76" s="829">
        <v>300</v>
      </c>
      <c r="Z76" s="861"/>
      <c r="AA76" s="830">
        <f t="shared" si="146"/>
        <v>300</v>
      </c>
      <c r="AB76" s="592">
        <f t="shared" si="167"/>
        <v>0.16338737718449431</v>
      </c>
      <c r="AC76" s="592">
        <f t="shared" si="168"/>
        <v>0</v>
      </c>
      <c r="AD76" s="592">
        <f t="shared" si="169"/>
        <v>0.16338737718449431</v>
      </c>
      <c r="AE76" s="1162"/>
      <c r="AF76" s="1163"/>
      <c r="AG76" s="1163"/>
      <c r="AH76" s="1163"/>
      <c r="AI76" s="829"/>
      <c r="AJ76" s="789"/>
      <c r="AK76" s="751">
        <f t="shared" si="147"/>
        <v>0</v>
      </c>
      <c r="AL76" s="592">
        <f t="shared" si="170"/>
        <v>0</v>
      </c>
      <c r="AM76" s="592">
        <f t="shared" si="171"/>
        <v>0</v>
      </c>
      <c r="AN76" s="592">
        <f t="shared" si="172"/>
        <v>0</v>
      </c>
      <c r="AO76" s="1162"/>
      <c r="AP76" s="1163"/>
      <c r="AQ76" s="1163"/>
      <c r="AR76" s="1163"/>
      <c r="AS76" s="789"/>
      <c r="AT76" s="789"/>
      <c r="AU76" s="751">
        <f t="shared" si="148"/>
        <v>0</v>
      </c>
      <c r="AV76" s="592">
        <f t="shared" si="173"/>
        <v>0</v>
      </c>
      <c r="AW76" s="592">
        <f t="shared" si="174"/>
        <v>0</v>
      </c>
      <c r="AX76" s="592">
        <f t="shared" si="175"/>
        <v>0</v>
      </c>
      <c r="AY76" s="1162"/>
      <c r="AZ76" s="1163"/>
      <c r="BA76" s="1163"/>
      <c r="BB76" s="1163"/>
      <c r="BC76" s="789"/>
      <c r="BD76" s="789"/>
      <c r="BE76" s="751">
        <f t="shared" si="149"/>
        <v>0</v>
      </c>
      <c r="BF76" s="592">
        <f t="shared" si="176"/>
        <v>0</v>
      </c>
      <c r="BG76" s="592">
        <f t="shared" si="177"/>
        <v>0</v>
      </c>
      <c r="BH76" s="592">
        <f t="shared" si="178"/>
        <v>0</v>
      </c>
      <c r="BI76" s="1162"/>
      <c r="BJ76" s="1163"/>
      <c r="BK76" s="1163"/>
      <c r="BL76" s="1163"/>
      <c r="BM76" s="789"/>
      <c r="BN76" s="789"/>
      <c r="BO76" s="751">
        <f t="shared" si="150"/>
        <v>0</v>
      </c>
      <c r="BP76" s="592">
        <f t="shared" si="179"/>
        <v>0</v>
      </c>
      <c r="BQ76" s="592">
        <f t="shared" si="180"/>
        <v>0</v>
      </c>
      <c r="BR76" s="592">
        <f t="shared" si="181"/>
        <v>0</v>
      </c>
      <c r="BS76" s="359">
        <f t="shared" si="182"/>
        <v>900.3267747543689</v>
      </c>
      <c r="BT76" s="315" t="e">
        <f>BS76-#REF!</f>
        <v>#REF!</v>
      </c>
      <c r="BU76" s="315"/>
      <c r="BV76" s="6">
        <f t="shared" si="137"/>
        <v>300</v>
      </c>
      <c r="BW76" s="6">
        <f t="shared" si="143"/>
        <v>0</v>
      </c>
      <c r="BX76" s="6">
        <f t="shared" si="144"/>
        <v>300</v>
      </c>
      <c r="BY76" s="6">
        <f t="shared" si="165"/>
        <v>0</v>
      </c>
      <c r="BZ76" s="6">
        <f t="shared" si="165"/>
        <v>0</v>
      </c>
      <c r="CA76" s="6">
        <f t="shared" si="165"/>
        <v>0</v>
      </c>
    </row>
    <row r="77" spans="1:79" s="244" customFormat="1" ht="12.75" customHeight="1" thickBot="1" x14ac:dyDescent="0.25">
      <c r="A77" s="135"/>
      <c r="B77" s="1127" t="s">
        <v>176</v>
      </c>
      <c r="C77" s="1128"/>
      <c r="D77" s="1128"/>
      <c r="E77" s="782"/>
      <c r="F77" s="338">
        <v>1400</v>
      </c>
      <c r="G77" s="408">
        <v>1400</v>
      </c>
      <c r="H77" s="882">
        <f t="shared" si="159"/>
        <v>0</v>
      </c>
      <c r="I77" s="882">
        <f t="shared" si="160"/>
        <v>0.7502156870100154</v>
      </c>
      <c r="J77" s="882">
        <f t="shared" si="161"/>
        <v>0.7502156870100154</v>
      </c>
      <c r="K77" s="1162"/>
      <c r="L77" s="1163"/>
      <c r="M77" s="1163"/>
      <c r="N77" s="1163"/>
      <c r="O77" s="918"/>
      <c r="P77" s="925"/>
      <c r="Q77" s="927">
        <f t="shared" si="145"/>
        <v>0</v>
      </c>
      <c r="R77" s="901">
        <f t="shared" si="162"/>
        <v>0</v>
      </c>
      <c r="S77" s="901">
        <f t="shared" si="163"/>
        <v>0</v>
      </c>
      <c r="T77" s="901">
        <f t="shared" si="164"/>
        <v>0</v>
      </c>
      <c r="U77" s="1162"/>
      <c r="V77" s="1163"/>
      <c r="W77" s="1163"/>
      <c r="X77" s="1163"/>
      <c r="Y77" s="829"/>
      <c r="Z77" s="861"/>
      <c r="AA77" s="830">
        <f t="shared" si="146"/>
        <v>0</v>
      </c>
      <c r="AB77" s="592">
        <f t="shared" si="167"/>
        <v>0</v>
      </c>
      <c r="AC77" s="592">
        <f t="shared" si="168"/>
        <v>0</v>
      </c>
      <c r="AD77" s="592">
        <f t="shared" si="169"/>
        <v>0</v>
      </c>
      <c r="AE77" s="1162"/>
      <c r="AF77" s="1163"/>
      <c r="AG77" s="1163"/>
      <c r="AH77" s="1163"/>
      <c r="AI77" s="829"/>
      <c r="AJ77" s="782"/>
      <c r="AK77" s="751">
        <f t="shared" si="147"/>
        <v>0</v>
      </c>
      <c r="AL77" s="592">
        <f t="shared" si="170"/>
        <v>0</v>
      </c>
      <c r="AM77" s="592">
        <f t="shared" si="171"/>
        <v>0</v>
      </c>
      <c r="AN77" s="592">
        <f t="shared" si="172"/>
        <v>0</v>
      </c>
      <c r="AO77" s="327"/>
      <c r="AP77" s="455">
        <v>1000</v>
      </c>
      <c r="AQ77" s="455">
        <v>400</v>
      </c>
      <c r="AR77" s="330"/>
      <c r="AS77" s="782"/>
      <c r="AT77" s="782">
        <v>1400</v>
      </c>
      <c r="AU77" s="751">
        <f t="shared" si="148"/>
        <v>1400</v>
      </c>
      <c r="AV77" s="592">
        <f t="shared" si="173"/>
        <v>0</v>
      </c>
      <c r="AW77" s="592">
        <f t="shared" si="174"/>
        <v>0.76247442686097344</v>
      </c>
      <c r="AX77" s="592">
        <f t="shared" si="175"/>
        <v>0.76247442686097344</v>
      </c>
      <c r="AY77" s="1162"/>
      <c r="AZ77" s="1163"/>
      <c r="BA77" s="1163"/>
      <c r="BB77" s="1163"/>
      <c r="BC77" s="782"/>
      <c r="BD77" s="782"/>
      <c r="BE77" s="751">
        <f t="shared" si="149"/>
        <v>0</v>
      </c>
      <c r="BF77" s="592">
        <f t="shared" si="176"/>
        <v>0</v>
      </c>
      <c r="BG77" s="592">
        <f t="shared" si="177"/>
        <v>0</v>
      </c>
      <c r="BH77" s="592">
        <f t="shared" si="178"/>
        <v>0</v>
      </c>
      <c r="BI77" s="1162"/>
      <c r="BJ77" s="1163"/>
      <c r="BK77" s="1163"/>
      <c r="BL77" s="1163"/>
      <c r="BM77" s="782"/>
      <c r="BN77" s="782"/>
      <c r="BO77" s="751">
        <f t="shared" si="150"/>
        <v>0</v>
      </c>
      <c r="BP77" s="592">
        <f t="shared" si="179"/>
        <v>0</v>
      </c>
      <c r="BQ77" s="592">
        <f t="shared" si="180"/>
        <v>0</v>
      </c>
      <c r="BR77" s="592">
        <f t="shared" si="181"/>
        <v>0</v>
      </c>
      <c r="BS77" s="359">
        <f t="shared" si="182"/>
        <v>4201.5249488537211</v>
      </c>
      <c r="BT77" s="315" t="e">
        <f>BS77-#REF!</f>
        <v>#REF!</v>
      </c>
      <c r="BU77" s="315"/>
      <c r="BV77" s="6">
        <f t="shared" si="137"/>
        <v>0</v>
      </c>
      <c r="BW77" s="6">
        <f t="shared" si="143"/>
        <v>1400</v>
      </c>
      <c r="BX77" s="6">
        <f t="shared" si="144"/>
        <v>1400</v>
      </c>
      <c r="BY77" s="6">
        <f t="shared" si="165"/>
        <v>0</v>
      </c>
      <c r="BZ77" s="6">
        <f t="shared" si="165"/>
        <v>0</v>
      </c>
      <c r="CA77" s="6">
        <f t="shared" si="165"/>
        <v>0</v>
      </c>
    </row>
    <row r="78" spans="1:79" s="244" customFormat="1" ht="12.75" customHeight="1" thickBot="1" x14ac:dyDescent="0.25">
      <c r="A78" s="135"/>
      <c r="B78" s="1127" t="s">
        <v>69</v>
      </c>
      <c r="C78" s="1128"/>
      <c r="D78" s="1128"/>
      <c r="E78" s="409">
        <v>2000</v>
      </c>
      <c r="F78" s="338"/>
      <c r="G78" s="408">
        <v>2000</v>
      </c>
      <c r="H78" s="882">
        <f t="shared" si="159"/>
        <v>1.0717366957285934</v>
      </c>
      <c r="I78" s="882">
        <f t="shared" si="160"/>
        <v>0</v>
      </c>
      <c r="J78" s="882">
        <f t="shared" si="161"/>
        <v>1.0717366957285934</v>
      </c>
      <c r="K78" s="321"/>
      <c r="L78" s="322"/>
      <c r="M78" s="328"/>
      <c r="N78" s="892">
        <v>500</v>
      </c>
      <c r="O78" s="918">
        <v>500</v>
      </c>
      <c r="P78" s="925"/>
      <c r="Q78" s="927">
        <f t="shared" si="145"/>
        <v>500</v>
      </c>
      <c r="R78" s="901">
        <f t="shared" si="162"/>
        <v>0.26793417393214836</v>
      </c>
      <c r="S78" s="901">
        <f t="shared" si="163"/>
        <v>0</v>
      </c>
      <c r="T78" s="901">
        <f t="shared" si="164"/>
        <v>0.26793417393214836</v>
      </c>
      <c r="U78" s="455">
        <v>1500</v>
      </c>
      <c r="V78" s="322"/>
      <c r="W78" s="322"/>
      <c r="X78" s="330"/>
      <c r="Y78" s="829">
        <v>1500</v>
      </c>
      <c r="Z78" s="861"/>
      <c r="AA78" s="830">
        <f t="shared" si="146"/>
        <v>1500</v>
      </c>
      <c r="AB78" s="592">
        <f t="shared" si="167"/>
        <v>0.81693688592247149</v>
      </c>
      <c r="AC78" s="592">
        <f t="shared" si="168"/>
        <v>0</v>
      </c>
      <c r="AD78" s="592">
        <f t="shared" si="169"/>
        <v>0.81693688592247149</v>
      </c>
      <c r="AE78" s="1162"/>
      <c r="AF78" s="1163"/>
      <c r="AG78" s="1163"/>
      <c r="AH78" s="1163"/>
      <c r="AI78" s="829"/>
      <c r="AJ78" s="782"/>
      <c r="AK78" s="751">
        <f t="shared" si="147"/>
        <v>0</v>
      </c>
      <c r="AL78" s="592">
        <f t="shared" si="170"/>
        <v>0</v>
      </c>
      <c r="AM78" s="592">
        <f t="shared" si="171"/>
        <v>0</v>
      </c>
      <c r="AN78" s="592">
        <f t="shared" si="172"/>
        <v>0</v>
      </c>
      <c r="AO78" s="1162"/>
      <c r="AP78" s="1163"/>
      <c r="AQ78" s="1163"/>
      <c r="AR78" s="1163"/>
      <c r="AS78" s="782"/>
      <c r="AT78" s="782"/>
      <c r="AU78" s="751">
        <f t="shared" si="148"/>
        <v>0</v>
      </c>
      <c r="AV78" s="592">
        <f t="shared" si="173"/>
        <v>0</v>
      </c>
      <c r="AW78" s="592">
        <f t="shared" si="174"/>
        <v>0</v>
      </c>
      <c r="AX78" s="592">
        <f t="shared" si="175"/>
        <v>0</v>
      </c>
      <c r="AY78" s="1162"/>
      <c r="AZ78" s="1163"/>
      <c r="BA78" s="1163"/>
      <c r="BB78" s="1163"/>
      <c r="BC78" s="782"/>
      <c r="BD78" s="782"/>
      <c r="BE78" s="751">
        <f t="shared" si="149"/>
        <v>0</v>
      </c>
      <c r="BF78" s="592">
        <f t="shared" si="176"/>
        <v>0</v>
      </c>
      <c r="BG78" s="592">
        <f t="shared" si="177"/>
        <v>0</v>
      </c>
      <c r="BH78" s="592">
        <f t="shared" si="178"/>
        <v>0</v>
      </c>
      <c r="BI78" s="1162"/>
      <c r="BJ78" s="1163"/>
      <c r="BK78" s="1163"/>
      <c r="BL78" s="1163"/>
      <c r="BM78" s="782"/>
      <c r="BN78" s="782"/>
      <c r="BO78" s="751">
        <f t="shared" si="150"/>
        <v>0</v>
      </c>
      <c r="BP78" s="592">
        <f t="shared" si="179"/>
        <v>0</v>
      </c>
      <c r="BQ78" s="592">
        <f t="shared" si="180"/>
        <v>0</v>
      </c>
      <c r="BR78" s="592">
        <f t="shared" si="181"/>
        <v>0</v>
      </c>
      <c r="BS78" s="359">
        <f t="shared" si="182"/>
        <v>6002.1697421197096</v>
      </c>
      <c r="BT78" s="315" t="e">
        <f>BS78-#REF!</f>
        <v>#REF!</v>
      </c>
      <c r="BU78" s="315"/>
      <c r="BV78" s="6">
        <f t="shared" si="137"/>
        <v>2000</v>
      </c>
      <c r="BW78" s="6">
        <f t="shared" si="143"/>
        <v>0</v>
      </c>
      <c r="BX78" s="6">
        <f t="shared" si="144"/>
        <v>2000</v>
      </c>
      <c r="BY78" s="6">
        <f t="shared" si="165"/>
        <v>0</v>
      </c>
      <c r="BZ78" s="6">
        <f t="shared" si="165"/>
        <v>0</v>
      </c>
      <c r="CA78" s="6">
        <f t="shared" si="165"/>
        <v>0</v>
      </c>
    </row>
    <row r="79" spans="1:79" s="244" customFormat="1" ht="13.5" thickBot="1" x14ac:dyDescent="0.25">
      <c r="A79" s="135"/>
      <c r="B79" s="1127" t="s">
        <v>70</v>
      </c>
      <c r="C79" s="1128"/>
      <c r="D79" s="1128"/>
      <c r="E79" s="782"/>
      <c r="F79" s="338">
        <v>900</v>
      </c>
      <c r="G79" s="408">
        <v>900</v>
      </c>
      <c r="H79" s="882">
        <f t="shared" si="159"/>
        <v>0</v>
      </c>
      <c r="I79" s="882">
        <f t="shared" si="160"/>
        <v>0.48228151307786704</v>
      </c>
      <c r="J79" s="882">
        <f t="shared" si="161"/>
        <v>0.48228151307786704</v>
      </c>
      <c r="K79" s="321"/>
      <c r="L79" s="322"/>
      <c r="M79" s="328"/>
      <c r="N79" s="892">
        <v>900</v>
      </c>
      <c r="O79" s="918"/>
      <c r="P79" s="925">
        <v>900</v>
      </c>
      <c r="Q79" s="927">
        <f t="shared" si="145"/>
        <v>900</v>
      </c>
      <c r="R79" s="901">
        <f t="shared" si="162"/>
        <v>0</v>
      </c>
      <c r="S79" s="901">
        <f t="shared" si="163"/>
        <v>0.48228151307786704</v>
      </c>
      <c r="T79" s="901">
        <f t="shared" si="164"/>
        <v>0.48228151307786704</v>
      </c>
      <c r="U79" s="1162"/>
      <c r="V79" s="1163"/>
      <c r="W79" s="1163"/>
      <c r="X79" s="1163"/>
      <c r="Y79" s="829"/>
      <c r="Z79" s="861"/>
      <c r="AA79" s="830">
        <f t="shared" si="146"/>
        <v>0</v>
      </c>
      <c r="AB79" s="592">
        <f t="shared" si="167"/>
        <v>0</v>
      </c>
      <c r="AC79" s="592">
        <f t="shared" si="168"/>
        <v>0</v>
      </c>
      <c r="AD79" s="592">
        <f t="shared" si="169"/>
        <v>0</v>
      </c>
      <c r="AE79" s="1162"/>
      <c r="AF79" s="1163"/>
      <c r="AG79" s="1163"/>
      <c r="AH79" s="1163"/>
      <c r="AI79" s="829"/>
      <c r="AJ79" s="782"/>
      <c r="AK79" s="751">
        <f t="shared" si="147"/>
        <v>0</v>
      </c>
      <c r="AL79" s="592">
        <f t="shared" si="170"/>
        <v>0</v>
      </c>
      <c r="AM79" s="592">
        <f t="shared" si="171"/>
        <v>0</v>
      </c>
      <c r="AN79" s="592">
        <f t="shared" si="172"/>
        <v>0</v>
      </c>
      <c r="AO79" s="1162"/>
      <c r="AP79" s="1163"/>
      <c r="AQ79" s="1163"/>
      <c r="AR79" s="1163"/>
      <c r="AS79" s="782"/>
      <c r="AT79" s="782"/>
      <c r="AU79" s="751">
        <f t="shared" si="148"/>
        <v>0</v>
      </c>
      <c r="AV79" s="592">
        <f t="shared" si="173"/>
        <v>0</v>
      </c>
      <c r="AW79" s="592">
        <f t="shared" si="174"/>
        <v>0</v>
      </c>
      <c r="AX79" s="592">
        <f t="shared" si="175"/>
        <v>0</v>
      </c>
      <c r="AY79" s="1162"/>
      <c r="AZ79" s="1163"/>
      <c r="BA79" s="1163"/>
      <c r="BB79" s="1163"/>
      <c r="BC79" s="782"/>
      <c r="BD79" s="782"/>
      <c r="BE79" s="751">
        <f t="shared" si="149"/>
        <v>0</v>
      </c>
      <c r="BF79" s="592">
        <f t="shared" si="176"/>
        <v>0</v>
      </c>
      <c r="BG79" s="592">
        <f t="shared" si="177"/>
        <v>0</v>
      </c>
      <c r="BH79" s="592">
        <f t="shared" si="178"/>
        <v>0</v>
      </c>
      <c r="BI79" s="1162"/>
      <c r="BJ79" s="1163"/>
      <c r="BK79" s="1163"/>
      <c r="BL79" s="1163"/>
      <c r="BM79" s="782"/>
      <c r="BN79" s="782"/>
      <c r="BO79" s="751">
        <f t="shared" si="150"/>
        <v>0</v>
      </c>
      <c r="BP79" s="592">
        <f t="shared" si="179"/>
        <v>0</v>
      </c>
      <c r="BQ79" s="592">
        <f t="shared" si="180"/>
        <v>0</v>
      </c>
      <c r="BR79" s="592">
        <f t="shared" si="181"/>
        <v>0</v>
      </c>
      <c r="BS79" s="359">
        <f t="shared" si="182"/>
        <v>2700.9645630261557</v>
      </c>
      <c r="BT79" s="315" t="e">
        <f>BS79-#REF!</f>
        <v>#REF!</v>
      </c>
      <c r="BU79" s="315"/>
      <c r="BV79" s="6">
        <f t="shared" ref="BV79:BX82" si="183">BM79+BC79+AS79+AI79+Y79+O79</f>
        <v>0</v>
      </c>
      <c r="BW79" s="6">
        <f t="shared" si="183"/>
        <v>900</v>
      </c>
      <c r="BX79" s="6">
        <f t="shared" si="183"/>
        <v>900</v>
      </c>
      <c r="BY79" s="6">
        <f t="shared" si="165"/>
        <v>0</v>
      </c>
      <c r="BZ79" s="6">
        <f t="shared" si="165"/>
        <v>0</v>
      </c>
      <c r="CA79" s="6">
        <f t="shared" si="165"/>
        <v>0</v>
      </c>
    </row>
    <row r="80" spans="1:79" s="244" customFormat="1" ht="12.75" customHeight="1" thickBot="1" x14ac:dyDescent="0.25">
      <c r="A80" s="6"/>
      <c r="B80" s="1127" t="s">
        <v>164</v>
      </c>
      <c r="C80" s="1128"/>
      <c r="D80" s="1128"/>
      <c r="E80" s="358">
        <v>0</v>
      </c>
      <c r="F80" s="808">
        <v>100</v>
      </c>
      <c r="G80" s="495">
        <v>100</v>
      </c>
      <c r="H80" s="882">
        <f t="shared" si="159"/>
        <v>0</v>
      </c>
      <c r="I80" s="882">
        <f t="shared" si="160"/>
        <v>5.3586834786429671E-2</v>
      </c>
      <c r="J80" s="882">
        <f t="shared" si="161"/>
        <v>5.3586834786429671E-2</v>
      </c>
      <c r="K80" s="474"/>
      <c r="L80" s="385"/>
      <c r="M80" s="486"/>
      <c r="N80" s="892">
        <v>100</v>
      </c>
      <c r="O80" s="921"/>
      <c r="P80" s="925">
        <v>100</v>
      </c>
      <c r="Q80" s="927">
        <f>P80+O80</f>
        <v>100</v>
      </c>
      <c r="R80" s="901">
        <f t="shared" si="162"/>
        <v>0</v>
      </c>
      <c r="S80" s="901">
        <f t="shared" si="163"/>
        <v>5.3586834786429671E-2</v>
      </c>
      <c r="T80" s="901">
        <f t="shared" si="164"/>
        <v>5.3586834786429671E-2</v>
      </c>
      <c r="U80" s="1162"/>
      <c r="V80" s="1163"/>
      <c r="W80" s="1163"/>
      <c r="X80" s="1163"/>
      <c r="Y80" s="829"/>
      <c r="Z80" s="861"/>
      <c r="AA80" s="830">
        <f>Z80+Y80</f>
        <v>0</v>
      </c>
      <c r="AB80" s="592">
        <f t="shared" si="167"/>
        <v>0</v>
      </c>
      <c r="AC80" s="592">
        <f t="shared" si="168"/>
        <v>0</v>
      </c>
      <c r="AD80" s="592">
        <f t="shared" si="169"/>
        <v>0</v>
      </c>
      <c r="AE80" s="1162"/>
      <c r="AF80" s="1163"/>
      <c r="AG80" s="1163"/>
      <c r="AH80" s="1163"/>
      <c r="AI80" s="829"/>
      <c r="AJ80" s="782"/>
      <c r="AK80" s="751">
        <f>AJ80+AI80</f>
        <v>0</v>
      </c>
      <c r="AL80" s="592">
        <f t="shared" si="170"/>
        <v>0</v>
      </c>
      <c r="AM80" s="592">
        <f t="shared" si="171"/>
        <v>0</v>
      </c>
      <c r="AN80" s="592">
        <f t="shared" si="172"/>
        <v>0</v>
      </c>
      <c r="AO80" s="1162"/>
      <c r="AP80" s="1163"/>
      <c r="AQ80" s="1163"/>
      <c r="AR80" s="1163"/>
      <c r="AS80" s="782"/>
      <c r="AT80" s="782"/>
      <c r="AU80" s="751">
        <f>AT80+AS80</f>
        <v>0</v>
      </c>
      <c r="AV80" s="592">
        <f t="shared" si="173"/>
        <v>0</v>
      </c>
      <c r="AW80" s="592">
        <f t="shared" si="174"/>
        <v>0</v>
      </c>
      <c r="AX80" s="592">
        <f t="shared" si="175"/>
        <v>0</v>
      </c>
      <c r="AY80" s="1162"/>
      <c r="AZ80" s="1163"/>
      <c r="BA80" s="1163"/>
      <c r="BB80" s="1163"/>
      <c r="BC80" s="782"/>
      <c r="BD80" s="782"/>
      <c r="BE80" s="751">
        <f>BD80+BC80</f>
        <v>0</v>
      </c>
      <c r="BF80" s="592">
        <f t="shared" si="176"/>
        <v>0</v>
      </c>
      <c r="BG80" s="592">
        <f t="shared" si="177"/>
        <v>0</v>
      </c>
      <c r="BH80" s="592">
        <f t="shared" si="178"/>
        <v>0</v>
      </c>
      <c r="BI80" s="1162"/>
      <c r="BJ80" s="1163"/>
      <c r="BK80" s="1163"/>
      <c r="BL80" s="1163"/>
      <c r="BM80" s="782"/>
      <c r="BN80" s="782"/>
      <c r="BO80" s="751">
        <f>BN80+BM80</f>
        <v>0</v>
      </c>
      <c r="BP80" s="592">
        <f t="shared" si="179"/>
        <v>0</v>
      </c>
      <c r="BQ80" s="592">
        <f t="shared" si="180"/>
        <v>0</v>
      </c>
      <c r="BR80" s="592">
        <f t="shared" si="181"/>
        <v>0</v>
      </c>
      <c r="BS80" s="359">
        <f t="shared" si="182"/>
        <v>300.10717366957283</v>
      </c>
      <c r="BT80" s="315" t="e">
        <f>BS80-#REF!</f>
        <v>#REF!</v>
      </c>
      <c r="BU80" s="315"/>
      <c r="BV80" s="6">
        <f t="shared" si="183"/>
        <v>0</v>
      </c>
      <c r="BW80" s="6">
        <f t="shared" si="183"/>
        <v>100</v>
      </c>
      <c r="BX80" s="6">
        <f t="shared" si="183"/>
        <v>100</v>
      </c>
      <c r="BY80" s="6">
        <f t="shared" si="165"/>
        <v>0</v>
      </c>
      <c r="BZ80" s="6">
        <f t="shared" si="165"/>
        <v>0</v>
      </c>
      <c r="CA80" s="6">
        <f t="shared" si="165"/>
        <v>0</v>
      </c>
    </row>
    <row r="81" spans="1:79" ht="24.95" customHeight="1" thickBot="1" x14ac:dyDescent="0.25">
      <c r="A81" s="6"/>
      <c r="B81" s="577" t="s">
        <v>1</v>
      </c>
      <c r="C81" s="719"/>
      <c r="D81" s="578"/>
      <c r="E81" s="581">
        <f>E5+E12+E33+E48</f>
        <v>74046.715479999999</v>
      </c>
      <c r="F81" s="581">
        <f>F5+F12+F33+F48</f>
        <v>109566</v>
      </c>
      <c r="G81" s="581">
        <f>G5+G12+G33+G48</f>
        <v>183612.71548000001</v>
      </c>
      <c r="H81" s="882">
        <f t="shared" si="159"/>
        <v>39.679291089045243</v>
      </c>
      <c r="I81" s="882">
        <f t="shared" si="160"/>
        <v>58.712951402099534</v>
      </c>
      <c r="J81" s="882">
        <f t="shared" si="161"/>
        <v>98.392242491144785</v>
      </c>
      <c r="K81" s="1179">
        <f>K48+K32+K12+K5</f>
        <v>9371</v>
      </c>
      <c r="L81" s="1180">
        <f>L5+L28+L31+L32+L48</f>
        <v>3808</v>
      </c>
      <c r="M81" s="1180">
        <f>M5+M28+M31+M32+M48</f>
        <v>630</v>
      </c>
      <c r="N81" s="1181">
        <f>N5+N28+N31+N32+N48</f>
        <v>1347.2222222222222</v>
      </c>
      <c r="O81" s="922">
        <f>O5+O12+O32+O48</f>
        <v>23383</v>
      </c>
      <c r="P81" s="925">
        <f>P5+P12+P32+P48</f>
        <v>9785</v>
      </c>
      <c r="Q81" s="928">
        <f>Q5+Q12+Q32+Q48</f>
        <v>33168</v>
      </c>
      <c r="R81" s="901">
        <f t="shared" si="162"/>
        <v>12.530209578110849</v>
      </c>
      <c r="S81" s="901">
        <f t="shared" si="163"/>
        <v>5.2434717838521427</v>
      </c>
      <c r="T81" s="901">
        <f t="shared" si="164"/>
        <v>17.773681361962993</v>
      </c>
      <c r="U81" s="1179">
        <f>U48+U32+U12+U5</f>
        <v>7979</v>
      </c>
      <c r="V81" s="1180">
        <f>V5+V28+V31+V32+V48</f>
        <v>2077</v>
      </c>
      <c r="W81" s="1180">
        <f>W5+W28+W31+W32+W48</f>
        <v>2047</v>
      </c>
      <c r="X81" s="1181">
        <f>X5+X28+X31+X32+X48</f>
        <v>3897.5</v>
      </c>
      <c r="Y81" s="829">
        <f>Y5+Y12+Y32+Y48</f>
        <v>2380</v>
      </c>
      <c r="Z81" s="861">
        <f>Z5+Z12+Z32+Z48</f>
        <v>25082</v>
      </c>
      <c r="AA81" s="830">
        <f>AA5+AA12+AA32+AA48</f>
        <v>27462</v>
      </c>
      <c r="AB81" s="592">
        <f t="shared" si="167"/>
        <v>1.2962065256636548</v>
      </c>
      <c r="AC81" s="592">
        <f t="shared" si="168"/>
        <v>13.660273981804954</v>
      </c>
      <c r="AD81" s="592">
        <f t="shared" si="169"/>
        <v>14.956480507468608</v>
      </c>
      <c r="AE81" s="1179">
        <v>0</v>
      </c>
      <c r="AF81" s="1180">
        <f>AF5+AF28+AF31+AF32+AF48</f>
        <v>9198.5</v>
      </c>
      <c r="AG81" s="1180">
        <f>AG5+AG28+AG31+AG32+AG48</f>
        <v>7963.5</v>
      </c>
      <c r="AH81" s="1181">
        <f>AH5+AH28+AH31+AH32+AH48</f>
        <v>8807.5</v>
      </c>
      <c r="AI81" s="581">
        <f>AI5+AI12+AI32+AI48</f>
        <v>1830</v>
      </c>
      <c r="AJ81" s="581">
        <f>AJ5+AJ12+AJ32+AJ48</f>
        <v>21242</v>
      </c>
      <c r="AK81" s="581">
        <f>AK5+AK12+AK32+AK48</f>
        <v>23072</v>
      </c>
      <c r="AL81" s="592">
        <f t="shared" si="170"/>
        <v>0.99666300082541537</v>
      </c>
      <c r="AM81" s="592">
        <f t="shared" si="171"/>
        <v>11.568915553843427</v>
      </c>
      <c r="AN81" s="592">
        <f t="shared" si="172"/>
        <v>12.565578554668843</v>
      </c>
      <c r="AO81" s="1179">
        <f>AO48+AO32+AO12+AO5</f>
        <v>1244.5</v>
      </c>
      <c r="AP81" s="1180">
        <f>AP5+AP28+AP31+AP32+AP48</f>
        <v>5999.5</v>
      </c>
      <c r="AQ81" s="1180">
        <f>AQ5+AQ28+AQ31+AQ32+AQ48</f>
        <v>12645.5</v>
      </c>
      <c r="AR81" s="1181">
        <f>AR5+AR28+AR31+AR32+AR48</f>
        <v>19071.5</v>
      </c>
      <c r="AS81" s="310"/>
      <c r="AT81" s="828"/>
      <c r="AU81" s="751">
        <f>AT81+AS81</f>
        <v>0</v>
      </c>
      <c r="AV81" s="592">
        <f t="shared" si="173"/>
        <v>0</v>
      </c>
      <c r="AW81" s="592">
        <f t="shared" si="174"/>
        <v>0</v>
      </c>
      <c r="AX81" s="592">
        <f t="shared" si="175"/>
        <v>0</v>
      </c>
      <c r="AY81" s="1179">
        <f>AY48+AY32+AY12+AY5</f>
        <v>14557</v>
      </c>
      <c r="AZ81" s="1180">
        <f>AZ5+AZ28+AZ31+AZ32+AZ48</f>
        <v>14745.5</v>
      </c>
      <c r="BA81" s="1180">
        <f>BA5+BA28+BA31+BA32+BA48</f>
        <v>3821.5</v>
      </c>
      <c r="BB81" s="1181">
        <f>BB5+BB28+BB31+BB32+BB48</f>
        <v>1580</v>
      </c>
      <c r="BC81" s="310"/>
      <c r="BD81" s="828"/>
      <c r="BE81" s="751">
        <f>BD81+BC81</f>
        <v>0</v>
      </c>
      <c r="BF81" s="592">
        <f t="shared" si="176"/>
        <v>0</v>
      </c>
      <c r="BG81" s="592">
        <f t="shared" si="177"/>
        <v>0</v>
      </c>
      <c r="BH81" s="592">
        <f t="shared" si="178"/>
        <v>0</v>
      </c>
      <c r="BI81" s="1179">
        <f>BI48+BI32+BI12+BI5</f>
        <v>698</v>
      </c>
      <c r="BJ81" s="1180">
        <f>BJ5+BJ28+BJ31+BJ32+BJ48</f>
        <v>450</v>
      </c>
      <c r="BK81" s="1180">
        <f>BK5+BK28+BK31+BK32+BK48</f>
        <v>450</v>
      </c>
      <c r="BL81" s="1181">
        <f>BL5+BL28+BL31+BL32+BL48</f>
        <v>516</v>
      </c>
      <c r="BM81" s="310"/>
      <c r="BN81" s="828"/>
      <c r="BO81" s="751">
        <f>BN81+BM81</f>
        <v>0</v>
      </c>
      <c r="BP81" s="592">
        <f t="shared" si="179"/>
        <v>0</v>
      </c>
      <c r="BQ81" s="592">
        <f t="shared" si="180"/>
        <v>0</v>
      </c>
      <c r="BR81" s="592">
        <f t="shared" si="181"/>
        <v>0</v>
      </c>
      <c r="BS81" s="816">
        <f>BS48+BS32+BS12+BS5</f>
        <v>428013.9530864837</v>
      </c>
      <c r="BT81" s="315">
        <f>BS81-G81</f>
        <v>244401.23760648369</v>
      </c>
      <c r="BU81" s="315"/>
      <c r="BV81" s="6">
        <f t="shared" si="183"/>
        <v>27593</v>
      </c>
      <c r="BW81" s="6">
        <f t="shared" si="183"/>
        <v>56109</v>
      </c>
      <c r="BX81" s="6">
        <f t="shared" si="183"/>
        <v>83702</v>
      </c>
      <c r="BY81" s="6">
        <f t="shared" si="165"/>
        <v>46453.715479999999</v>
      </c>
      <c r="BZ81" s="6">
        <f t="shared" si="165"/>
        <v>53457</v>
      </c>
      <c r="CA81" s="6">
        <f t="shared" si="165"/>
        <v>99910.715480000013</v>
      </c>
    </row>
    <row r="82" spans="1:79" ht="12.75" customHeight="1" thickBot="1" x14ac:dyDescent="0.25">
      <c r="B82" s="1117" t="s">
        <v>29</v>
      </c>
      <c r="C82" s="1118"/>
      <c r="D82" s="1119"/>
      <c r="E82" s="360">
        <f>106.636*1000</f>
        <v>106636</v>
      </c>
      <c r="F82" s="809">
        <f>E82*1.75</f>
        <v>186613</v>
      </c>
      <c r="G82" s="361"/>
      <c r="H82" s="362"/>
      <c r="I82" s="362"/>
      <c r="J82" s="362"/>
      <c r="K82" s="1182"/>
      <c r="L82" s="1183"/>
      <c r="M82" s="1184"/>
      <c r="N82" s="1185"/>
      <c r="O82" s="923"/>
      <c r="P82" s="311"/>
      <c r="Q82" s="926"/>
      <c r="R82" s="367"/>
      <c r="S82" s="362"/>
      <c r="T82" s="362"/>
      <c r="U82" s="1177"/>
      <c r="V82" s="1178"/>
      <c r="W82" s="1190"/>
      <c r="X82" s="1192"/>
      <c r="Y82" s="829"/>
      <c r="Z82" s="861"/>
      <c r="AA82" s="830"/>
      <c r="AB82" s="367"/>
      <c r="AC82" s="362"/>
      <c r="AD82" s="362"/>
      <c r="AE82" s="1177"/>
      <c r="AF82" s="1178"/>
      <c r="AG82" s="1190"/>
      <c r="AH82" s="1191"/>
      <c r="AI82" s="311"/>
      <c r="AJ82" s="311"/>
      <c r="AK82" s="311"/>
      <c r="AL82" s="367"/>
      <c r="AM82" s="362"/>
      <c r="AN82" s="362"/>
      <c r="AO82" s="1177"/>
      <c r="AP82" s="1178"/>
      <c r="AQ82" s="1190"/>
      <c r="AR82" s="1191"/>
      <c r="AS82" s="311"/>
      <c r="AT82" s="311"/>
      <c r="AU82" s="311"/>
      <c r="AV82" s="367"/>
      <c r="AW82" s="362"/>
      <c r="AX82" s="362"/>
      <c r="AY82" s="1177"/>
      <c r="AZ82" s="1178"/>
      <c r="BA82" s="1190"/>
      <c r="BB82" s="1191"/>
      <c r="BC82" s="311"/>
      <c r="BD82" s="311"/>
      <c r="BE82" s="311"/>
      <c r="BF82" s="367"/>
      <c r="BG82" s="362"/>
      <c r="BH82" s="362"/>
      <c r="BI82" s="749"/>
      <c r="BJ82" s="749"/>
      <c r="BK82" s="749"/>
      <c r="BL82" s="749"/>
      <c r="BM82" s="311"/>
      <c r="BN82" s="311"/>
      <c r="BO82" s="311"/>
      <c r="BP82" s="367"/>
      <c r="BQ82" s="362"/>
      <c r="BR82" s="362"/>
      <c r="BS82" s="359">
        <f>SUM(K82:BL82)</f>
        <v>0</v>
      </c>
      <c r="BT82" s="315">
        <f>BS82-G82</f>
        <v>0</v>
      </c>
      <c r="BU82" s="315"/>
      <c r="BV82" s="6">
        <f t="shared" si="183"/>
        <v>0</v>
      </c>
      <c r="BW82" s="6">
        <f t="shared" si="183"/>
        <v>0</v>
      </c>
      <c r="BX82" s="6">
        <f t="shared" si="183"/>
        <v>0</v>
      </c>
      <c r="BY82" s="6">
        <f t="shared" si="165"/>
        <v>106636</v>
      </c>
      <c r="BZ82" s="6">
        <f t="shared" si="165"/>
        <v>186613</v>
      </c>
      <c r="CA82" s="6">
        <f t="shared" si="165"/>
        <v>0</v>
      </c>
    </row>
    <row r="83" spans="1:79" ht="13.5" thickBot="1" x14ac:dyDescent="0.25">
      <c r="E83" s="313">
        <f>F82*0.37</f>
        <v>69046.81</v>
      </c>
      <c r="F83" s="313">
        <f>F82*0.63</f>
        <v>117566.19</v>
      </c>
      <c r="G83" s="313">
        <f>F82-G81</f>
        <v>3000.2845199999865</v>
      </c>
      <c r="Q83" s="904"/>
      <c r="Y83" s="829"/>
      <c r="Z83" s="861"/>
      <c r="AA83" s="830"/>
      <c r="BT83" s="315">
        <f t="shared" ref="BT83:BT98" si="184">SUM(K83:BL83)</f>
        <v>0</v>
      </c>
      <c r="BV83" s="6">
        <f>BM83+BC83+AS83+AI83+Y83+O83</f>
        <v>0</v>
      </c>
      <c r="BY83" s="6">
        <f t="shared" si="165"/>
        <v>69046.81</v>
      </c>
      <c r="BZ83" s="6">
        <f t="shared" si="165"/>
        <v>117566.19</v>
      </c>
      <c r="CA83" s="6">
        <f t="shared" si="165"/>
        <v>3000.2845199999865</v>
      </c>
    </row>
    <row r="84" spans="1:79" ht="13.5" thickBot="1" x14ac:dyDescent="0.25">
      <c r="E84" s="313">
        <f>E83-E81</f>
        <v>-4999.9054800000013</v>
      </c>
      <c r="F84" s="313">
        <f>F81-F83</f>
        <v>-8000.1900000000023</v>
      </c>
      <c r="K84" s="363"/>
      <c r="L84" s="364" t="s">
        <v>27</v>
      </c>
      <c r="Y84" s="829"/>
      <c r="Z84" s="861"/>
      <c r="AA84" s="830"/>
      <c r="BS84" s="313">
        <f>BS81-G81</f>
        <v>244401.23760648369</v>
      </c>
      <c r="BT84" s="315">
        <f t="shared" si="184"/>
        <v>0</v>
      </c>
      <c r="BY84" s="6">
        <f t="shared" si="165"/>
        <v>-4999.9054800000013</v>
      </c>
      <c r="BZ84" s="6">
        <f t="shared" si="165"/>
        <v>-8000.1900000000023</v>
      </c>
      <c r="CA84" s="6">
        <f t="shared" si="165"/>
        <v>0</v>
      </c>
    </row>
    <row r="85" spans="1:79" ht="13.5" thickBot="1" x14ac:dyDescent="0.25">
      <c r="E85" s="365"/>
      <c r="F85" s="313">
        <f>F81+E81</f>
        <v>183612.71548000001</v>
      </c>
      <c r="K85" s="366"/>
      <c r="L85" s="364" t="s">
        <v>28</v>
      </c>
      <c r="Z85" s="861"/>
      <c r="AA85" s="830"/>
      <c r="BT85" s="315">
        <f t="shared" si="184"/>
        <v>0</v>
      </c>
      <c r="BY85" s="6">
        <f t="shared" si="165"/>
        <v>0</v>
      </c>
      <c r="BZ85" s="6">
        <f t="shared" si="165"/>
        <v>183612.71548000001</v>
      </c>
      <c r="CA85" s="6">
        <f t="shared" si="165"/>
        <v>0</v>
      </c>
    </row>
    <row r="86" spans="1:79" ht="13.5" thickBot="1" x14ac:dyDescent="0.25">
      <c r="B86" s="5"/>
      <c r="C86" s="4"/>
      <c r="D86" s="312"/>
      <c r="E86" s="313">
        <f>E83-E81</f>
        <v>-4999.9054800000013</v>
      </c>
      <c r="P86" s="312"/>
      <c r="Q86" s="312"/>
      <c r="Y86" s="312"/>
      <c r="Z86" s="861"/>
      <c r="AA86" s="830"/>
      <c r="AI86" s="312"/>
      <c r="AJ86" s="312"/>
      <c r="AK86" s="312"/>
      <c r="AS86" s="312"/>
      <c r="AT86" s="312"/>
      <c r="AU86" s="312"/>
      <c r="BC86" s="312"/>
      <c r="BD86" s="312"/>
      <c r="BE86" s="312"/>
      <c r="BM86" s="312"/>
      <c r="BN86" s="312"/>
      <c r="BO86" s="312"/>
      <c r="BT86" s="315">
        <f t="shared" si="184"/>
        <v>0</v>
      </c>
    </row>
    <row r="87" spans="1:79" ht="13.5" thickBot="1" x14ac:dyDescent="0.25">
      <c r="B87" s="4"/>
      <c r="Z87" s="861"/>
      <c r="AA87" s="830"/>
      <c r="BT87" s="315">
        <f t="shared" si="184"/>
        <v>0</v>
      </c>
    </row>
    <row r="88" spans="1:79" x14ac:dyDescent="0.2">
      <c r="Z88" s="861"/>
      <c r="AA88" s="830"/>
      <c r="BT88" s="315">
        <f t="shared" si="184"/>
        <v>0</v>
      </c>
    </row>
    <row r="89" spans="1:79" x14ac:dyDescent="0.2">
      <c r="K89" s="299">
        <f>G89/1.75</f>
        <v>0</v>
      </c>
      <c r="Z89" s="861"/>
      <c r="BT89" s="315">
        <f t="shared" si="184"/>
        <v>0</v>
      </c>
    </row>
    <row r="90" spans="1:79" x14ac:dyDescent="0.2">
      <c r="BT90" s="315">
        <f t="shared" si="184"/>
        <v>0</v>
      </c>
    </row>
    <row r="91" spans="1:79" s="313" customFormat="1" x14ac:dyDescent="0.2">
      <c r="A91" s="2"/>
      <c r="B91" s="2"/>
      <c r="C91" s="3"/>
      <c r="D91" s="299"/>
      <c r="H91" s="314"/>
      <c r="I91" s="314"/>
      <c r="J91" s="314"/>
      <c r="K91" s="299"/>
      <c r="L91" s="299"/>
      <c r="M91" s="299"/>
      <c r="N91" s="299"/>
      <c r="O91" s="924"/>
      <c r="P91" s="299"/>
      <c r="Q91" s="299"/>
      <c r="R91" s="299"/>
      <c r="S91" s="314"/>
      <c r="T91" s="314"/>
      <c r="U91" s="299"/>
      <c r="V91" s="299"/>
      <c r="W91" s="299"/>
      <c r="X91" s="299"/>
      <c r="Y91" s="299"/>
      <c r="Z91" s="299"/>
      <c r="AA91" s="299"/>
      <c r="AB91" s="299"/>
      <c r="AC91" s="314"/>
      <c r="AD91" s="314"/>
      <c r="AE91" s="299"/>
      <c r="AF91" s="299"/>
      <c r="AG91" s="299"/>
      <c r="AH91" s="299"/>
      <c r="AI91" s="299"/>
      <c r="AJ91" s="299"/>
      <c r="AK91" s="299"/>
      <c r="AL91" s="299"/>
      <c r="AM91" s="314"/>
      <c r="AN91" s="314"/>
      <c r="AO91" s="299"/>
      <c r="AP91" s="299"/>
      <c r="AQ91" s="299"/>
      <c r="AR91" s="299"/>
      <c r="AS91" s="299"/>
      <c r="AT91" s="299"/>
      <c r="AU91" s="299"/>
      <c r="AV91" s="299"/>
      <c r="AW91" s="314"/>
      <c r="AX91" s="314"/>
      <c r="AY91" s="299"/>
      <c r="AZ91" s="299"/>
      <c r="BA91" s="299"/>
      <c r="BB91" s="299"/>
      <c r="BC91" s="299"/>
      <c r="BD91" s="299"/>
      <c r="BE91" s="299"/>
      <c r="BF91" s="299"/>
      <c r="BG91" s="314"/>
      <c r="BH91" s="314"/>
      <c r="BI91" s="299"/>
      <c r="BJ91" s="299"/>
      <c r="BK91" s="299"/>
      <c r="BL91" s="299"/>
      <c r="BM91" s="299"/>
      <c r="BN91" s="299"/>
      <c r="BO91" s="299"/>
      <c r="BP91" s="299"/>
      <c r="BQ91" s="314"/>
      <c r="BR91" s="314"/>
      <c r="BT91" s="315">
        <f t="shared" si="184"/>
        <v>0</v>
      </c>
      <c r="BV91" s="2"/>
      <c r="BW91" s="2"/>
    </row>
    <row r="92" spans="1:79" s="313" customFormat="1" x14ac:dyDescent="0.2">
      <c r="A92" s="2"/>
      <c r="B92" s="2"/>
      <c r="C92" s="3"/>
      <c r="D92" s="299"/>
      <c r="H92" s="314"/>
      <c r="I92" s="314"/>
      <c r="J92" s="314"/>
      <c r="K92" s="299"/>
      <c r="L92" s="299"/>
      <c r="M92" s="299"/>
      <c r="N92" s="299"/>
      <c r="O92" s="924"/>
      <c r="P92" s="299"/>
      <c r="Q92" s="299"/>
      <c r="R92" s="299"/>
      <c r="S92" s="314"/>
      <c r="T92" s="314"/>
      <c r="U92" s="299"/>
      <c r="V92" s="299"/>
      <c r="W92" s="299"/>
      <c r="X92" s="299"/>
      <c r="Y92" s="299"/>
      <c r="Z92" s="299"/>
      <c r="AA92" s="299"/>
      <c r="AB92" s="299"/>
      <c r="AC92" s="314"/>
      <c r="AD92" s="314"/>
      <c r="AE92" s="299"/>
      <c r="AF92" s="299"/>
      <c r="AG92" s="299"/>
      <c r="AH92" s="299"/>
      <c r="AI92" s="299"/>
      <c r="AJ92" s="299"/>
      <c r="AK92" s="299"/>
      <c r="AL92" s="299"/>
      <c r="AM92" s="314"/>
      <c r="AN92" s="314"/>
      <c r="AO92" s="299"/>
      <c r="AP92" s="299"/>
      <c r="AQ92" s="299"/>
      <c r="AR92" s="299"/>
      <c r="AS92" s="299"/>
      <c r="AT92" s="299"/>
      <c r="AU92" s="299"/>
      <c r="AV92" s="299"/>
      <c r="AW92" s="314"/>
      <c r="AX92" s="314"/>
      <c r="AY92" s="299"/>
      <c r="AZ92" s="299"/>
      <c r="BA92" s="299"/>
      <c r="BB92" s="299"/>
      <c r="BC92" s="299"/>
      <c r="BD92" s="299"/>
      <c r="BE92" s="299"/>
      <c r="BF92" s="299"/>
      <c r="BG92" s="314"/>
      <c r="BH92" s="314"/>
      <c r="BI92" s="299"/>
      <c r="BJ92" s="299"/>
      <c r="BK92" s="299"/>
      <c r="BL92" s="299"/>
      <c r="BM92" s="299"/>
      <c r="BN92" s="299"/>
      <c r="BO92" s="299"/>
      <c r="BP92" s="299"/>
      <c r="BQ92" s="314"/>
      <c r="BR92" s="314"/>
      <c r="BT92" s="315">
        <f t="shared" si="184"/>
        <v>0</v>
      </c>
      <c r="BV92" s="2"/>
      <c r="BW92" s="2"/>
    </row>
    <row r="93" spans="1:79" s="313" customFormat="1" x14ac:dyDescent="0.2">
      <c r="A93" s="2"/>
      <c r="B93" s="2" t="s">
        <v>171</v>
      </c>
      <c r="C93" s="3"/>
      <c r="D93" s="299"/>
      <c r="E93" s="313">
        <f>E5</f>
        <v>4871</v>
      </c>
      <c r="G93" s="313">
        <f>G5</f>
        <v>23239</v>
      </c>
      <c r="H93" s="314"/>
      <c r="I93" s="314"/>
      <c r="J93" s="314"/>
      <c r="K93" s="299"/>
      <c r="L93" s="299"/>
      <c r="M93" s="299"/>
      <c r="N93" s="299"/>
      <c r="O93" s="924"/>
      <c r="P93" s="299"/>
      <c r="Q93" s="299"/>
      <c r="R93" s="299"/>
      <c r="S93" s="314"/>
      <c r="T93" s="314"/>
      <c r="U93" s="299"/>
      <c r="V93" s="299"/>
      <c r="W93" s="299"/>
      <c r="X93" s="299"/>
      <c r="Y93" s="299"/>
      <c r="Z93" s="299"/>
      <c r="AA93" s="299"/>
      <c r="AB93" s="299"/>
      <c r="AC93" s="314"/>
      <c r="AD93" s="314"/>
      <c r="AE93" s="299"/>
      <c r="AF93" s="299"/>
      <c r="AG93" s="299"/>
      <c r="AH93" s="299"/>
      <c r="AI93" s="299"/>
      <c r="AJ93" s="299"/>
      <c r="AK93" s="299"/>
      <c r="AL93" s="299"/>
      <c r="AM93" s="314"/>
      <c r="AN93" s="314"/>
      <c r="AO93" s="299"/>
      <c r="AP93" s="299"/>
      <c r="AQ93" s="299"/>
      <c r="AR93" s="299"/>
      <c r="AS93" s="299"/>
      <c r="AT93" s="299"/>
      <c r="AU93" s="299"/>
      <c r="AV93" s="299"/>
      <c r="AW93" s="314"/>
      <c r="AX93" s="314"/>
      <c r="AY93" s="299"/>
      <c r="AZ93" s="299"/>
      <c r="BA93" s="299"/>
      <c r="BB93" s="299"/>
      <c r="BC93" s="299"/>
      <c r="BD93" s="299"/>
      <c r="BE93" s="299"/>
      <c r="BF93" s="299"/>
      <c r="BG93" s="314"/>
      <c r="BH93" s="314"/>
      <c r="BI93" s="299"/>
      <c r="BJ93" s="299"/>
      <c r="BK93" s="299"/>
      <c r="BL93" s="299"/>
      <c r="BM93" s="299"/>
      <c r="BN93" s="299"/>
      <c r="BO93" s="299"/>
      <c r="BP93" s="299"/>
      <c r="BQ93" s="314"/>
      <c r="BR93" s="314"/>
      <c r="BT93" s="315">
        <f t="shared" si="184"/>
        <v>0</v>
      </c>
      <c r="BV93" s="2"/>
      <c r="BW93" s="2"/>
    </row>
    <row r="94" spans="1:79" s="313" customFormat="1" x14ac:dyDescent="0.2">
      <c r="A94" s="2"/>
      <c r="B94" s="2" t="s">
        <v>15</v>
      </c>
      <c r="C94" s="3"/>
      <c r="D94" s="299"/>
      <c r="E94" s="313">
        <f>E12</f>
        <v>60917.715479999999</v>
      </c>
      <c r="G94" s="313">
        <f>G12</f>
        <v>128025.71548</v>
      </c>
      <c r="H94" s="314"/>
      <c r="I94" s="314"/>
      <c r="J94" s="314"/>
      <c r="K94" s="299"/>
      <c r="L94" s="299"/>
      <c r="M94" s="299"/>
      <c r="N94" s="299"/>
      <c r="O94" s="924"/>
      <c r="P94" s="299"/>
      <c r="Q94" s="299"/>
      <c r="R94" s="299"/>
      <c r="S94" s="314"/>
      <c r="T94" s="314"/>
      <c r="U94" s="299"/>
      <c r="V94" s="299"/>
      <c r="W94" s="299"/>
      <c r="X94" s="299"/>
      <c r="Y94" s="299"/>
      <c r="Z94" s="299"/>
      <c r="AA94" s="299"/>
      <c r="AB94" s="299"/>
      <c r="AC94" s="314"/>
      <c r="AD94" s="314"/>
      <c r="AE94" s="299"/>
      <c r="AF94" s="299"/>
      <c r="AG94" s="299"/>
      <c r="AH94" s="299"/>
      <c r="AI94" s="299"/>
      <c r="AJ94" s="299"/>
      <c r="AK94" s="299"/>
      <c r="AL94" s="299"/>
      <c r="AM94" s="314"/>
      <c r="AN94" s="314"/>
      <c r="AO94" s="299"/>
      <c r="AP94" s="299"/>
      <c r="AQ94" s="299"/>
      <c r="AR94" s="299"/>
      <c r="AS94" s="299"/>
      <c r="AT94" s="299"/>
      <c r="AU94" s="299"/>
      <c r="AV94" s="299"/>
      <c r="AW94" s="314"/>
      <c r="AX94" s="314"/>
      <c r="AY94" s="299"/>
      <c r="AZ94" s="299"/>
      <c r="BA94" s="299"/>
      <c r="BB94" s="299"/>
      <c r="BC94" s="299"/>
      <c r="BD94" s="299"/>
      <c r="BE94" s="299"/>
      <c r="BF94" s="299"/>
      <c r="BG94" s="314"/>
      <c r="BH94" s="314"/>
      <c r="BI94" s="299"/>
      <c r="BJ94" s="299"/>
      <c r="BK94" s="299"/>
      <c r="BL94" s="299"/>
      <c r="BM94" s="299"/>
      <c r="BN94" s="299"/>
      <c r="BO94" s="299"/>
      <c r="BP94" s="299"/>
      <c r="BQ94" s="314"/>
      <c r="BR94" s="314"/>
      <c r="BT94" s="315">
        <f t="shared" si="184"/>
        <v>0</v>
      </c>
      <c r="BV94" s="2"/>
      <c r="BW94" s="2"/>
    </row>
    <row r="95" spans="1:79" s="313" customFormat="1" x14ac:dyDescent="0.2">
      <c r="A95" s="2"/>
      <c r="B95" s="2" t="s">
        <v>153</v>
      </c>
      <c r="C95" s="3"/>
      <c r="D95" s="299"/>
      <c r="E95" s="313">
        <f>E33</f>
        <v>400</v>
      </c>
      <c r="G95" s="313">
        <f>G33</f>
        <v>5180</v>
      </c>
      <c r="H95" s="314"/>
      <c r="I95" s="314"/>
      <c r="J95" s="314"/>
      <c r="K95" s="299"/>
      <c r="L95" s="299"/>
      <c r="M95" s="299"/>
      <c r="N95" s="299"/>
      <c r="O95" s="924"/>
      <c r="P95" s="299"/>
      <c r="Q95" s="299"/>
      <c r="R95" s="299"/>
      <c r="S95" s="314"/>
      <c r="T95" s="314"/>
      <c r="U95" s="299"/>
      <c r="V95" s="299"/>
      <c r="W95" s="299"/>
      <c r="X95" s="299"/>
      <c r="Y95" s="299"/>
      <c r="Z95" s="299"/>
      <c r="AA95" s="299"/>
      <c r="AB95" s="299"/>
      <c r="AC95" s="314"/>
      <c r="AD95" s="314"/>
      <c r="AE95" s="299"/>
      <c r="AF95" s="299"/>
      <c r="AG95" s="299"/>
      <c r="AH95" s="299"/>
      <c r="AI95" s="299"/>
      <c r="AJ95" s="299"/>
      <c r="AK95" s="299"/>
      <c r="AL95" s="299"/>
      <c r="AM95" s="314"/>
      <c r="AN95" s="314"/>
      <c r="AO95" s="299"/>
      <c r="AP95" s="299"/>
      <c r="AQ95" s="299"/>
      <c r="AR95" s="299"/>
      <c r="AS95" s="299"/>
      <c r="AT95" s="299"/>
      <c r="AU95" s="299"/>
      <c r="AV95" s="299"/>
      <c r="AW95" s="314"/>
      <c r="AX95" s="314"/>
      <c r="AY95" s="299"/>
      <c r="AZ95" s="299"/>
      <c r="BA95" s="299"/>
      <c r="BB95" s="299"/>
      <c r="BC95" s="299"/>
      <c r="BD95" s="299"/>
      <c r="BE95" s="299"/>
      <c r="BF95" s="299"/>
      <c r="BG95" s="314"/>
      <c r="BH95" s="314"/>
      <c r="BI95" s="299"/>
      <c r="BJ95" s="299"/>
      <c r="BK95" s="299"/>
      <c r="BL95" s="299"/>
      <c r="BM95" s="299"/>
      <c r="BN95" s="299"/>
      <c r="BO95" s="299"/>
      <c r="BP95" s="299"/>
      <c r="BQ95" s="314"/>
      <c r="BR95" s="314"/>
      <c r="BT95" s="315">
        <f t="shared" si="184"/>
        <v>0</v>
      </c>
      <c r="BV95" s="2"/>
      <c r="BW95" s="2"/>
    </row>
    <row r="96" spans="1:79" s="313" customFormat="1" x14ac:dyDescent="0.2">
      <c r="A96" s="2"/>
      <c r="B96" s="2" t="s">
        <v>170</v>
      </c>
      <c r="C96" s="800"/>
      <c r="D96" s="801"/>
      <c r="H96" s="314"/>
      <c r="I96" s="314"/>
      <c r="J96" s="314"/>
      <c r="K96" s="299"/>
      <c r="L96" s="299"/>
      <c r="M96" s="299"/>
      <c r="N96" s="299"/>
      <c r="O96" s="924"/>
      <c r="P96" s="299"/>
      <c r="Q96" s="299"/>
      <c r="R96" s="299"/>
      <c r="S96" s="314"/>
      <c r="T96" s="314"/>
      <c r="U96" s="299"/>
      <c r="V96" s="299"/>
      <c r="W96" s="299"/>
      <c r="X96" s="299"/>
      <c r="Y96" s="299"/>
      <c r="Z96" s="299"/>
      <c r="AA96" s="299"/>
      <c r="AB96" s="299"/>
      <c r="AC96" s="314"/>
      <c r="AD96" s="314"/>
      <c r="AE96" s="299"/>
      <c r="AF96" s="299"/>
      <c r="AG96" s="299"/>
      <c r="AH96" s="299"/>
      <c r="AI96" s="299"/>
      <c r="AJ96" s="299"/>
      <c r="AK96" s="299"/>
      <c r="AL96" s="299"/>
      <c r="AM96" s="314"/>
      <c r="AN96" s="314"/>
      <c r="AO96" s="299"/>
      <c r="AP96" s="299"/>
      <c r="AQ96" s="299"/>
      <c r="AR96" s="299"/>
      <c r="AS96" s="299"/>
      <c r="AT96" s="299"/>
      <c r="AU96" s="299"/>
      <c r="AV96" s="299"/>
      <c r="AW96" s="314"/>
      <c r="AX96" s="314"/>
      <c r="AY96" s="299"/>
      <c r="AZ96" s="299"/>
      <c r="BA96" s="299"/>
      <c r="BB96" s="299"/>
      <c r="BC96" s="299"/>
      <c r="BD96" s="299"/>
      <c r="BE96" s="299"/>
      <c r="BF96" s="299"/>
      <c r="BG96" s="314"/>
      <c r="BH96" s="314"/>
      <c r="BI96" s="299"/>
      <c r="BJ96" s="299"/>
      <c r="BK96" s="299"/>
      <c r="BL96" s="299"/>
      <c r="BM96" s="299"/>
      <c r="BN96" s="299"/>
      <c r="BO96" s="299"/>
      <c r="BP96" s="299"/>
      <c r="BQ96" s="314"/>
      <c r="BR96" s="314"/>
      <c r="BT96" s="315">
        <f t="shared" si="184"/>
        <v>0</v>
      </c>
      <c r="BV96" s="2"/>
      <c r="BW96" s="2"/>
    </row>
    <row r="97" spans="1:75" s="313" customFormat="1" x14ac:dyDescent="0.2">
      <c r="A97" s="2"/>
      <c r="B97" s="802"/>
      <c r="C97" s="800"/>
      <c r="D97" s="801"/>
      <c r="E97" s="313">
        <f>E48</f>
        <v>7858</v>
      </c>
      <c r="G97" s="313">
        <f>G48</f>
        <v>27168</v>
      </c>
      <c r="H97" s="314"/>
      <c r="I97" s="314"/>
      <c r="J97" s="314"/>
      <c r="K97" s="299"/>
      <c r="L97" s="299"/>
      <c r="M97" s="299"/>
      <c r="N97" s="299"/>
      <c r="O97" s="924"/>
      <c r="P97" s="299"/>
      <c r="Q97" s="299"/>
      <c r="R97" s="299"/>
      <c r="S97" s="314"/>
      <c r="T97" s="314"/>
      <c r="U97" s="299"/>
      <c r="V97" s="299"/>
      <c r="W97" s="299"/>
      <c r="X97" s="299"/>
      <c r="Y97" s="299"/>
      <c r="Z97" s="299"/>
      <c r="AA97" s="299"/>
      <c r="AB97" s="299"/>
      <c r="AC97" s="314"/>
      <c r="AD97" s="314"/>
      <c r="AE97" s="299"/>
      <c r="AF97" s="299"/>
      <c r="AG97" s="299"/>
      <c r="AH97" s="299"/>
      <c r="AI97" s="299"/>
      <c r="AJ97" s="299"/>
      <c r="AK97" s="299"/>
      <c r="AL97" s="299"/>
      <c r="AM97" s="314"/>
      <c r="AN97" s="314"/>
      <c r="AO97" s="299"/>
      <c r="AP97" s="299"/>
      <c r="AQ97" s="299"/>
      <c r="AR97" s="299"/>
      <c r="AS97" s="299"/>
      <c r="AT97" s="299"/>
      <c r="AU97" s="299"/>
      <c r="AV97" s="299"/>
      <c r="AW97" s="314"/>
      <c r="AX97" s="314"/>
      <c r="AY97" s="299"/>
      <c r="AZ97" s="299"/>
      <c r="BA97" s="299"/>
      <c r="BB97" s="299"/>
      <c r="BC97" s="299"/>
      <c r="BD97" s="299"/>
      <c r="BE97" s="299"/>
      <c r="BF97" s="299"/>
      <c r="BG97" s="314"/>
      <c r="BH97" s="314"/>
      <c r="BI97" s="299"/>
      <c r="BJ97" s="299"/>
      <c r="BK97" s="299"/>
      <c r="BL97" s="299"/>
      <c r="BM97" s="299"/>
      <c r="BN97" s="299"/>
      <c r="BO97" s="299"/>
      <c r="BP97" s="299"/>
      <c r="BQ97" s="314"/>
      <c r="BR97" s="314"/>
      <c r="BT97" s="315">
        <f t="shared" si="184"/>
        <v>0</v>
      </c>
      <c r="BV97" s="2"/>
      <c r="BW97" s="2"/>
    </row>
    <row r="98" spans="1:75" s="313" customFormat="1" x14ac:dyDescent="0.2">
      <c r="A98" s="2"/>
      <c r="B98" s="2"/>
      <c r="C98" s="3"/>
      <c r="D98" s="299"/>
      <c r="E98" s="313">
        <f>SUM(E93:E97)</f>
        <v>74046.715479999999</v>
      </c>
      <c r="G98" s="313">
        <f>SUM(G93:G97)</f>
        <v>183612.71548000001</v>
      </c>
      <c r="H98" s="314"/>
      <c r="I98" s="314"/>
      <c r="J98" s="314"/>
      <c r="K98" s="299"/>
      <c r="L98" s="299"/>
      <c r="M98" s="299"/>
      <c r="N98" s="299"/>
      <c r="O98" s="924"/>
      <c r="P98" s="299"/>
      <c r="Q98" s="299"/>
      <c r="R98" s="299"/>
      <c r="S98" s="314"/>
      <c r="T98" s="314"/>
      <c r="U98" s="299"/>
      <c r="V98" s="299"/>
      <c r="W98" s="299"/>
      <c r="X98" s="299"/>
      <c r="Y98" s="299"/>
      <c r="Z98" s="299"/>
      <c r="AA98" s="299"/>
      <c r="AB98" s="299"/>
      <c r="AC98" s="314"/>
      <c r="AD98" s="314"/>
      <c r="AE98" s="299"/>
      <c r="AF98" s="299"/>
      <c r="AG98" s="299"/>
      <c r="AH98" s="299"/>
      <c r="AI98" s="299"/>
      <c r="AJ98" s="299"/>
      <c r="AK98" s="299"/>
      <c r="AL98" s="299"/>
      <c r="AM98" s="314"/>
      <c r="AN98" s="314"/>
      <c r="AO98" s="299"/>
      <c r="AP98" s="299"/>
      <c r="AQ98" s="299"/>
      <c r="AR98" s="299"/>
      <c r="AS98" s="299"/>
      <c r="AT98" s="299"/>
      <c r="AU98" s="299"/>
      <c r="AV98" s="299"/>
      <c r="AW98" s="314"/>
      <c r="AX98" s="314"/>
      <c r="AY98" s="299"/>
      <c r="AZ98" s="299"/>
      <c r="BA98" s="299"/>
      <c r="BB98" s="299"/>
      <c r="BC98" s="299"/>
      <c r="BD98" s="299"/>
      <c r="BE98" s="299"/>
      <c r="BF98" s="299"/>
      <c r="BG98" s="314"/>
      <c r="BH98" s="314"/>
      <c r="BI98" s="299"/>
      <c r="BJ98" s="299"/>
      <c r="BK98" s="299"/>
      <c r="BL98" s="299"/>
      <c r="BM98" s="299"/>
      <c r="BN98" s="299"/>
      <c r="BO98" s="299"/>
      <c r="BP98" s="299"/>
      <c r="BQ98" s="314"/>
      <c r="BR98" s="314"/>
      <c r="BT98" s="315">
        <f t="shared" si="184"/>
        <v>0</v>
      </c>
      <c r="BV98" s="2"/>
      <c r="BW98" s="2"/>
    </row>
    <row r="99" spans="1:75" s="313" customFormat="1" x14ac:dyDescent="0.2">
      <c r="A99" s="2"/>
      <c r="B99" s="2"/>
      <c r="C99" s="3"/>
      <c r="D99" s="299"/>
      <c r="E99" s="313">
        <f>E83-E98</f>
        <v>-4999.9054800000013</v>
      </c>
      <c r="H99" s="314"/>
      <c r="I99" s="314"/>
      <c r="J99" s="314"/>
      <c r="K99" s="299"/>
      <c r="L99" s="299"/>
      <c r="M99" s="299"/>
      <c r="N99" s="299"/>
      <c r="O99" s="924"/>
      <c r="P99" s="299"/>
      <c r="Q99" s="299"/>
      <c r="R99" s="299"/>
      <c r="S99" s="314"/>
      <c r="T99" s="314"/>
      <c r="U99" s="299"/>
      <c r="V99" s="299"/>
      <c r="W99" s="299"/>
      <c r="X99" s="299"/>
      <c r="Y99" s="299"/>
      <c r="Z99" s="299"/>
      <c r="AA99" s="299"/>
      <c r="AB99" s="299"/>
      <c r="AC99" s="314"/>
      <c r="AD99" s="314"/>
      <c r="AE99" s="299"/>
      <c r="AF99" s="299"/>
      <c r="AG99" s="299"/>
      <c r="AH99" s="299"/>
      <c r="AI99" s="299"/>
      <c r="AJ99" s="299"/>
      <c r="AK99" s="299"/>
      <c r="AL99" s="299"/>
      <c r="AM99" s="314"/>
      <c r="AN99" s="314"/>
      <c r="AO99" s="299"/>
      <c r="AP99" s="299"/>
      <c r="AQ99" s="299"/>
      <c r="AR99" s="299"/>
      <c r="AS99" s="299"/>
      <c r="AT99" s="299"/>
      <c r="AU99" s="299"/>
      <c r="AV99" s="299"/>
      <c r="AW99" s="314"/>
      <c r="AX99" s="314"/>
      <c r="AY99" s="299"/>
      <c r="AZ99" s="299"/>
      <c r="BA99" s="299"/>
      <c r="BB99" s="299"/>
      <c r="BC99" s="299"/>
      <c r="BD99" s="299"/>
      <c r="BE99" s="299"/>
      <c r="BF99" s="299"/>
      <c r="BG99" s="314"/>
      <c r="BH99" s="314"/>
      <c r="BI99" s="299"/>
      <c r="BJ99" s="299"/>
      <c r="BK99" s="299"/>
      <c r="BL99" s="299"/>
      <c r="BM99" s="299"/>
      <c r="BN99" s="299"/>
      <c r="BO99" s="299"/>
      <c r="BP99" s="299"/>
      <c r="BQ99" s="314"/>
      <c r="BR99" s="314"/>
      <c r="BV99" s="2"/>
      <c r="BW99" s="2"/>
    </row>
  </sheetData>
  <mergeCells count="177">
    <mergeCell ref="J3:J4"/>
    <mergeCell ref="BS3:BS4"/>
    <mergeCell ref="B4:D4"/>
    <mergeCell ref="B32:D33"/>
    <mergeCell ref="B52:D52"/>
    <mergeCell ref="B53:D53"/>
    <mergeCell ref="B12:D12"/>
    <mergeCell ref="AO36:AR36"/>
    <mergeCell ref="AY36:BB36"/>
    <mergeCell ref="BI35:BL35"/>
    <mergeCell ref="BI47:BL47"/>
    <mergeCell ref="U47:X47"/>
    <mergeCell ref="AO47:AR47"/>
    <mergeCell ref="AY47:BB47"/>
    <mergeCell ref="BI46:BL46"/>
    <mergeCell ref="U46:X46"/>
    <mergeCell ref="AE46:AH46"/>
    <mergeCell ref="AY46:BB46"/>
    <mergeCell ref="BI51:BL51"/>
    <mergeCell ref="B51:D51"/>
    <mergeCell ref="K51:N51"/>
    <mergeCell ref="U51:X51"/>
    <mergeCell ref="AO51:AR51"/>
    <mergeCell ref="AY51:BB51"/>
    <mergeCell ref="B54:D54"/>
    <mergeCell ref="B55:D55"/>
    <mergeCell ref="B56:D56"/>
    <mergeCell ref="B57:D57"/>
    <mergeCell ref="B15:D15"/>
    <mergeCell ref="AE36:AH36"/>
    <mergeCell ref="B48:D48"/>
    <mergeCell ref="BI37:BL37"/>
    <mergeCell ref="AY37:BB37"/>
    <mergeCell ref="U41:X41"/>
    <mergeCell ref="AO41:AR41"/>
    <mergeCell ref="AY41:BB41"/>
    <mergeCell ref="BI41:BL41"/>
    <mergeCell ref="BI42:BL42"/>
    <mergeCell ref="U42:X42"/>
    <mergeCell ref="AE42:AH42"/>
    <mergeCell ref="BI45:BL45"/>
    <mergeCell ref="U45:X45"/>
    <mergeCell ref="AE45:AH45"/>
    <mergeCell ref="AY45:BB45"/>
    <mergeCell ref="BI44:BL44"/>
    <mergeCell ref="U44:X44"/>
    <mergeCell ref="AO44:AR44"/>
    <mergeCell ref="AY44:BB44"/>
    <mergeCell ref="BI52:BL52"/>
    <mergeCell ref="K52:N52"/>
    <mergeCell ref="U52:X52"/>
    <mergeCell ref="AE52:AH52"/>
    <mergeCell ref="AY52:BB52"/>
    <mergeCell ref="BI53:BL53"/>
    <mergeCell ref="K53:N53"/>
    <mergeCell ref="U53:X53"/>
    <mergeCell ref="AO53:AR53"/>
    <mergeCell ref="AY53:BB53"/>
    <mergeCell ref="BI54:BL54"/>
    <mergeCell ref="K54:N54"/>
    <mergeCell ref="U54:X54"/>
    <mergeCell ref="AE54:AH54"/>
    <mergeCell ref="BI56:BL56"/>
    <mergeCell ref="K56:N56"/>
    <mergeCell ref="U56:X56"/>
    <mergeCell ref="AO56:AR56"/>
    <mergeCell ref="AY56:BB56"/>
    <mergeCell ref="BI57:BL57"/>
    <mergeCell ref="K57:N57"/>
    <mergeCell ref="U57:X57"/>
    <mergeCell ref="AO57:AR57"/>
    <mergeCell ref="AY57:BB57"/>
    <mergeCell ref="B58:D58"/>
    <mergeCell ref="B59:D59"/>
    <mergeCell ref="U59:X59"/>
    <mergeCell ref="AE59:AH59"/>
    <mergeCell ref="AY59:BB59"/>
    <mergeCell ref="BI59:BL59"/>
    <mergeCell ref="BI60:BL60"/>
    <mergeCell ref="B60:D60"/>
    <mergeCell ref="K60:N60"/>
    <mergeCell ref="U60:X60"/>
    <mergeCell ref="AO60:AR60"/>
    <mergeCell ref="AY60:BB60"/>
    <mergeCell ref="BI61:BL61"/>
    <mergeCell ref="B61:D61"/>
    <mergeCell ref="K61:N61"/>
    <mergeCell ref="U61:X61"/>
    <mergeCell ref="AY61:BB61"/>
    <mergeCell ref="BI62:BL62"/>
    <mergeCell ref="B62:D62"/>
    <mergeCell ref="K62:N62"/>
    <mergeCell ref="U62:X62"/>
    <mergeCell ref="BI64:BL64"/>
    <mergeCell ref="B64:D64"/>
    <mergeCell ref="K64:N64"/>
    <mergeCell ref="AO64:AR64"/>
    <mergeCell ref="AY64:BB64"/>
    <mergeCell ref="BI67:BL67"/>
    <mergeCell ref="K66:N66"/>
    <mergeCell ref="K67:N67"/>
    <mergeCell ref="K68:N68"/>
    <mergeCell ref="K69:N69"/>
    <mergeCell ref="K70:N70"/>
    <mergeCell ref="K71:N71"/>
    <mergeCell ref="BI73:BL73"/>
    <mergeCell ref="B73:D73"/>
    <mergeCell ref="U73:X73"/>
    <mergeCell ref="AE73:AH73"/>
    <mergeCell ref="AO73:AR73"/>
    <mergeCell ref="AY73:BB73"/>
    <mergeCell ref="BI77:BL77"/>
    <mergeCell ref="BI78:BL78"/>
    <mergeCell ref="B78:D78"/>
    <mergeCell ref="AE78:AH78"/>
    <mergeCell ref="AO78:AR78"/>
    <mergeCell ref="AY78:BB78"/>
    <mergeCell ref="BI74:BL74"/>
    <mergeCell ref="B74:D74"/>
    <mergeCell ref="K74:N74"/>
    <mergeCell ref="U74:X74"/>
    <mergeCell ref="AO74:AR74"/>
    <mergeCell ref="BI75:BL75"/>
    <mergeCell ref="B75:D75"/>
    <mergeCell ref="K75:N75"/>
    <mergeCell ref="AE76:AH76"/>
    <mergeCell ref="AO76:AR76"/>
    <mergeCell ref="AY76:BB76"/>
    <mergeCell ref="BI76:BL76"/>
    <mergeCell ref="B82:D82"/>
    <mergeCell ref="K82:L82"/>
    <mergeCell ref="M82:N82"/>
    <mergeCell ref="U82:V82"/>
    <mergeCell ref="W82:X82"/>
    <mergeCell ref="AE82:AF82"/>
    <mergeCell ref="K81:N81"/>
    <mergeCell ref="U81:X81"/>
    <mergeCell ref="B3:G3"/>
    <mergeCell ref="I3:I4"/>
    <mergeCell ref="AE81:AH81"/>
    <mergeCell ref="B76:D76"/>
    <mergeCell ref="U3:AD3"/>
    <mergeCell ref="AE3:AN3"/>
    <mergeCell ref="B79:D79"/>
    <mergeCell ref="U79:X79"/>
    <mergeCell ref="AE79:AH79"/>
    <mergeCell ref="B80:D80"/>
    <mergeCell ref="U80:X80"/>
    <mergeCell ref="AE80:AH80"/>
    <mergeCell ref="B77:D77"/>
    <mergeCell ref="K77:N77"/>
    <mergeCell ref="U77:X77"/>
    <mergeCell ref="AE77:AH77"/>
    <mergeCell ref="BI38:BL38"/>
    <mergeCell ref="BI36:BL36"/>
    <mergeCell ref="AY3:BH3"/>
    <mergeCell ref="BI3:BR3"/>
    <mergeCell ref="AO35:AR35"/>
    <mergeCell ref="AY35:BB35"/>
    <mergeCell ref="AY38:BB38"/>
    <mergeCell ref="BA82:BB82"/>
    <mergeCell ref="K3:T3"/>
    <mergeCell ref="AG82:AH82"/>
    <mergeCell ref="AO82:AP82"/>
    <mergeCell ref="AQ82:AR82"/>
    <mergeCell ref="AY82:AZ82"/>
    <mergeCell ref="AO81:AR81"/>
    <mergeCell ref="AY81:BB81"/>
    <mergeCell ref="AO3:AX3"/>
    <mergeCell ref="BI79:BL79"/>
    <mergeCell ref="AO79:AR79"/>
    <mergeCell ref="AY79:BB79"/>
    <mergeCell ref="BI81:BL81"/>
    <mergeCell ref="BI80:BL80"/>
    <mergeCell ref="AO80:AR80"/>
    <mergeCell ref="AY80:BB80"/>
    <mergeCell ref="AY77:BB77"/>
  </mergeCells>
  <printOptions horizontalCentered="1" verticalCentered="1"/>
  <pageMargins left="0.19685039370078741" right="0.19685039370078741" top="0.78740157480314965" bottom="0.78740157480314965" header="0" footer="0"/>
  <pageSetup paperSize="257" scale="53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7:I23"/>
  <sheetViews>
    <sheetView workbookViewId="0">
      <selection activeCell="Q15" sqref="Q15"/>
    </sheetView>
  </sheetViews>
  <sheetFormatPr defaultRowHeight="12.75" x14ac:dyDescent="0.2"/>
  <cols>
    <col min="8" max="8" width="22.5703125" bestFit="1" customWidth="1"/>
    <col min="9" max="9" width="10.140625" bestFit="1" customWidth="1"/>
  </cols>
  <sheetData>
    <row r="7" spans="8:9" ht="15" thickBot="1" x14ac:dyDescent="0.25">
      <c r="H7" s="1024" t="s">
        <v>286</v>
      </c>
      <c r="I7" s="1025"/>
    </row>
    <row r="8" spans="8:9" ht="15.75" thickBot="1" x14ac:dyDescent="0.25">
      <c r="H8" s="1026" t="s">
        <v>287</v>
      </c>
      <c r="I8" s="1027">
        <f>3880900+432000</f>
        <v>4312900</v>
      </c>
    </row>
    <row r="9" spans="8:9" ht="15.75" thickBot="1" x14ac:dyDescent="0.25">
      <c r="H9" s="1026" t="s">
        <v>288</v>
      </c>
      <c r="I9" s="1027">
        <v>835000</v>
      </c>
    </row>
    <row r="10" spans="8:9" ht="15.75" thickBot="1" x14ac:dyDescent="0.25">
      <c r="H10" s="1026" t="s">
        <v>289</v>
      </c>
      <c r="I10" s="1027">
        <v>153152</v>
      </c>
    </row>
    <row r="11" spans="8:9" ht="15.75" thickBot="1" x14ac:dyDescent="0.25">
      <c r="H11" s="1026" t="s">
        <v>290</v>
      </c>
      <c r="I11" s="1027">
        <v>238948</v>
      </c>
    </row>
    <row r="12" spans="8:9" ht="15" thickBot="1" x14ac:dyDescent="0.25">
      <c r="H12" s="1020" t="s">
        <v>283</v>
      </c>
      <c r="I12" s="1021">
        <f>SUM(I8:I11)</f>
        <v>5540000</v>
      </c>
    </row>
    <row r="13" spans="8:9" ht="15.75" thickBot="1" x14ac:dyDescent="0.25">
      <c r="H13" s="1022" t="s">
        <v>284</v>
      </c>
      <c r="I13" s="1023">
        <v>1160000</v>
      </c>
    </row>
    <row r="14" spans="8:9" ht="15" thickBot="1" x14ac:dyDescent="0.25">
      <c r="H14" s="1020" t="s">
        <v>285</v>
      </c>
      <c r="I14" s="1021">
        <v>6700000</v>
      </c>
    </row>
    <row r="16" spans="8:9" x14ac:dyDescent="0.2">
      <c r="I16" s="1012">
        <f>+I14-I13</f>
        <v>5540000</v>
      </c>
    </row>
    <row r="18" spans="8:9" x14ac:dyDescent="0.2">
      <c r="H18" s="1016">
        <f>+AQUIS.!E53+AQUIS.!E52+AQUIS.!E51</f>
        <v>1158650</v>
      </c>
      <c r="I18" s="1012">
        <f>+I16-I12</f>
        <v>0</v>
      </c>
    </row>
    <row r="22" spans="8:9" x14ac:dyDescent="0.2">
      <c r="H22" s="1012">
        <f>+I13-H18</f>
        <v>1350</v>
      </c>
    </row>
    <row r="23" spans="8:9" x14ac:dyDescent="0.2">
      <c r="I23" s="1012">
        <f>+I12+I13</f>
        <v>6700000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37305480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>2999/OC-BR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Directors&lt;/APPROVAL_DESC&gt;&lt;PD_OBJ_TYPE&gt;0&lt;/PD_OBJ_TYPE&gt;&lt;MAKERECORD&gt;N&lt;/MAKERECORD&gt;&lt;PD_FILEPT_NO&gt;PO-BR-L1344-Anl&lt;/PD_FILEPT_NO&gt;&lt;/Data&gt;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Cronograma Financiero TECFILE</Identifier>
    <Disclosure_x0020_Activity xmlns="9c571b2f-e523-4ab2-ba2e-09e151a03ef4">Loan Proposal</Disclosure_x0020_Activity>
    <Webtopic xmlns="9c571b2f-e523-4ab2-ba2e-09e151a03ef4">DU-DUR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6B3E6391F8214FB94ABD1293FE266C" ma:contentTypeVersion="0" ma:contentTypeDescription="A content type to manage public (operations) IDB documents" ma:contentTypeScope="" ma:versionID="4a7351d8a2f481599c06f74c500046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031C211-81B8-4E58-AFAF-CC91A6003BEA}"/>
</file>

<file path=customXml/itemProps2.xml><?xml version="1.0" encoding="utf-8"?>
<ds:datastoreItem xmlns:ds="http://schemas.openxmlformats.org/officeDocument/2006/customXml" ds:itemID="{7A9D59C9-A644-41EE-B0B4-7DA0FC925552}"/>
</file>

<file path=customXml/itemProps3.xml><?xml version="1.0" encoding="utf-8"?>
<ds:datastoreItem xmlns:ds="http://schemas.openxmlformats.org/officeDocument/2006/customXml" ds:itemID="{E7FF505E-B06A-42D9-827B-EE3D6D911937}"/>
</file>

<file path=customXml/itemProps4.xml><?xml version="1.0" encoding="utf-8"?>
<ds:datastoreItem xmlns:ds="http://schemas.openxmlformats.org/officeDocument/2006/customXml" ds:itemID="{9E4F59BC-AF09-4F6B-96CE-1B6D8DBAA705}"/>
</file>

<file path=customXml/itemProps5.xml><?xml version="1.0" encoding="utf-8"?>
<ds:datastoreItem xmlns:ds="http://schemas.openxmlformats.org/officeDocument/2006/customXml" ds:itemID="{D3D3E1A9-ADCD-44CE-8811-271DE9D60C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AQUIS.</vt:lpstr>
      <vt:lpstr>RESUMO R$</vt:lpstr>
      <vt:lpstr>POA 6 MAR</vt:lpstr>
      <vt:lpstr>Sheet1</vt:lpstr>
      <vt:lpstr>POA 6 MAR (2)</vt:lpstr>
      <vt:lpstr>Plan1</vt:lpstr>
      <vt:lpstr>Plan2</vt:lpstr>
      <vt:lpstr>Plan3</vt:lpstr>
      <vt:lpstr>AQUIS.!Area_de_impressao</vt:lpstr>
      <vt:lpstr>'POA 6 MAR'!Area_de_impressao</vt:lpstr>
      <vt:lpstr>'POA 6 MAR (2)'!Area_de_impressao</vt:lpstr>
      <vt:lpstr>'RESUMO R$'!Area_de_impressao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Cronograma Financiero </dc:title>
  <dc:creator>.</dc:creator>
  <cp:lastModifiedBy>Test</cp:lastModifiedBy>
  <cp:lastPrinted>2007-02-25T16:20:13Z</cp:lastPrinted>
  <dcterms:created xsi:type="dcterms:W3CDTF">2006-07-27T14:22:19Z</dcterms:created>
  <dcterms:modified xsi:type="dcterms:W3CDTF">2012-11-30T13:23:53Z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0x01010046CF21643EE8D14686A648AA6DAD089200BA6B3E6391F8214FB94ABD1293FE266C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