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5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128" yWindow="-48" windowWidth="10320" windowHeight="8172" tabRatio="852"/>
  </bookViews>
  <sheets>
    <sheet name="PA SET_16_BID" sheetId="21" r:id="rId1"/>
    <sheet name="Fol Com PA em atual" sheetId="2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a">#REF!</definedName>
    <definedName name="AÇO">'[1]Conc 20'!#REF!</definedName>
    <definedName name="Área_impressão_IM">#REF!</definedName>
    <definedName name="_xlnm.Database">#REF!</definedName>
    <definedName name="BDI">#REF!</definedName>
    <definedName name="capacitacao">'[2]Detalhes Plano de Aquisições'!$E$120:$E$128</definedName>
    <definedName name="DDADOS_VOL5_0">#REF!</definedName>
    <definedName name="DES">#REF!</definedName>
    <definedName name="Detalhes_do_Demonstrativo_MDE">'[3]Anexo X - ENSINO'!#REF!</definedName>
    <definedName name="Ganhos_e_perdas_de_receita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'[4]Orçamento Global'!$D$38</definedName>
    <definedName name="MOE">#REF!</definedName>
    <definedName name="MOH">#REF!</definedName>
    <definedName name="Planilha_1ÁreaTotal">#REF!,#REF!</definedName>
    <definedName name="Planilha_1CabGráfico">#REF!</definedName>
    <definedName name="Planilha_1TítCols">#REF!,#REF!</definedName>
    <definedName name="Planilha_1TítLins">#REF!</definedName>
    <definedName name="Planilha_2ÁreaTotal">#REF!,#REF!</definedName>
    <definedName name="Planilha_2CabGráfico">#REF!</definedName>
    <definedName name="Planilha_2TítCols">#REF!,#REF!</definedName>
    <definedName name="Planilha_2TítLins">#REF!</definedName>
    <definedName name="Planilha_3ÁreaTotal">#REF!,#REF!</definedName>
    <definedName name="Planilha_3CabGráfico">#REF!</definedName>
    <definedName name="Planilha_3TítCols">#REF!,#REF!</definedName>
    <definedName name="Planilha_3TítLins">#REF!</definedName>
    <definedName name="Planilha_4ÁreaTotal">#REF!,#REF!</definedName>
    <definedName name="Planilha_4TítCols">#REF!,#REF!</definedName>
    <definedName name="Tabela_1___Déficit_da_Previdência_Social__RGPS">#REF!</definedName>
    <definedName name="Tabela_10___Resultado_Primário_do_Governo_Central_em_1999">#REF!</definedName>
    <definedName name="Tabela_2___Contribuições_Previdenciárias">#REF!</definedName>
    <definedName name="Tabela_3___Benefícios__previsto_x_realizado">#REF!</definedName>
    <definedName name="Tabela_4___Receitas_Administradas_pela_SRF__previsto_x_realizado">#REF!</definedName>
    <definedName name="Tabela_5___Receitas_Administradas_em_Agosto">#REF!</definedName>
    <definedName name="Tabela_6___Receitas_Diretamente_Arrecadadas">#REF!</definedName>
    <definedName name="Tabela_7___Déficit_da_Previdência_Social_em_1999">#REF!</definedName>
    <definedName name="Tabela_8___Receitas_Administradas__revisão_da_previsão">#REF!</definedName>
    <definedName name="Tabela_9___Resultado_Primário_de_1999">#REF!</definedName>
    <definedName name="total">'[5]Orçamento sem preço'!#REF!</definedName>
  </definedNames>
  <calcPr calcId="124519"/>
</workbook>
</file>

<file path=xl/calcChain.xml><?xml version="1.0" encoding="utf-8"?>
<calcChain xmlns="http://schemas.openxmlformats.org/spreadsheetml/2006/main">
  <c r="H57" i="21"/>
  <c r="H23"/>
  <c r="H56"/>
  <c r="H55"/>
  <c r="H54"/>
  <c r="H52"/>
  <c r="H40"/>
  <c r="H39"/>
  <c r="H38"/>
  <c r="H37"/>
  <c r="H36"/>
  <c r="H32"/>
  <c r="H29"/>
  <c r="H83"/>
  <c r="H82"/>
  <c r="H81"/>
  <c r="G89"/>
  <c r="H30"/>
  <c r="H31"/>
  <c r="H24"/>
  <c r="H50"/>
  <c r="H42"/>
  <c r="H80"/>
  <c r="G92"/>
  <c r="H51"/>
  <c r="H41"/>
  <c r="H48"/>
  <c r="H35"/>
  <c r="H34"/>
  <c r="H25"/>
  <c r="H21"/>
  <c r="H20"/>
  <c r="H19"/>
  <c r="H110"/>
  <c r="H109"/>
  <c r="H108"/>
  <c r="H107"/>
  <c r="H106"/>
  <c r="H104"/>
  <c r="H103"/>
  <c r="H101"/>
  <c r="H100"/>
  <c r="H99"/>
  <c r="H98"/>
  <c r="G91"/>
  <c r="G90"/>
  <c r="H79"/>
  <c r="H78"/>
  <c r="H77"/>
  <c r="H70"/>
  <c r="H69"/>
  <c r="H68"/>
  <c r="H67"/>
  <c r="H65"/>
  <c r="H64"/>
  <c r="H63"/>
  <c r="H53"/>
  <c r="H49"/>
  <c r="H33"/>
  <c r="H28"/>
  <c r="H27"/>
  <c r="H26"/>
  <c r="H22"/>
  <c r="H18"/>
  <c r="H17"/>
  <c r="H112" l="1"/>
  <c r="H43"/>
  <c r="H58"/>
  <c r="H72"/>
  <c r="H84"/>
  <c r="G93"/>
</calcChain>
</file>

<file path=xl/sharedStrings.xml><?xml version="1.0" encoding="utf-8"?>
<sst xmlns="http://schemas.openxmlformats.org/spreadsheetml/2006/main" count="672" uniqueCount="221">
  <si>
    <t>Datas Estimadas</t>
  </si>
  <si>
    <t>1. Obras</t>
  </si>
  <si>
    <t>Objeto</t>
  </si>
  <si>
    <t>Aquisição de equipamento - sistema de tomografia florestal</t>
  </si>
  <si>
    <t>UCP</t>
  </si>
  <si>
    <t>Aquisição de equipamentos para atualização da telefônia digital</t>
  </si>
  <si>
    <t>Aquisição de equipamentos semaforicos</t>
  </si>
  <si>
    <t>SQC</t>
  </si>
  <si>
    <t>Pregão Eletrônico</t>
  </si>
  <si>
    <t>Tomada de Preços</t>
  </si>
  <si>
    <t>Dispensa por Justificativa</t>
  </si>
  <si>
    <t>Aquisição de equipamentos para o Centro de Convivência do Floresta</t>
  </si>
  <si>
    <t>Aquisição de equipamentos para o Centro de Convivência do Santa Felicidade</t>
  </si>
  <si>
    <t xml:space="preserve">Aquisição de equipamentos para o Centro de Convivência do Cascavel Velho </t>
  </si>
  <si>
    <t>BRASIL</t>
  </si>
  <si>
    <t xml:space="preserve">PLANO DE AQUISIÇÕES (PA) - 18 MESES </t>
  </si>
  <si>
    <t>Status</t>
  </si>
  <si>
    <t>100</t>
  </si>
  <si>
    <t>0</t>
  </si>
  <si>
    <t>2.2.1</t>
  </si>
  <si>
    <r>
      <t>CONTRATO DE EMPRÉSTIMO Nº 2999/</t>
    </r>
    <r>
      <rPr>
        <b/>
        <sz val="11"/>
        <color indexed="8"/>
        <rFont val="Calibri"/>
        <family val="2"/>
      </rPr>
      <t xml:space="preserve"> OC-BR</t>
    </r>
  </si>
  <si>
    <t>1.1.1.1</t>
  </si>
  <si>
    <t>1.1.2</t>
  </si>
  <si>
    <t>1.1.3</t>
  </si>
  <si>
    <t>1.1.5</t>
  </si>
  <si>
    <t>1.4</t>
  </si>
  <si>
    <t>1.1.1.2</t>
  </si>
  <si>
    <t>1.1.4</t>
  </si>
  <si>
    <t>2.3.2</t>
  </si>
  <si>
    <t>2.1.2</t>
  </si>
  <si>
    <t>2.4.2</t>
  </si>
  <si>
    <t>2.2.2</t>
  </si>
  <si>
    <t>Contratação de empresa para ministrar curso de  Patologias das Construções e gerenciamento de resíduos na construção civil</t>
  </si>
  <si>
    <t>PROGRAMA DE DESENVOLVIMENTO INTEGRADO DE CASCAVEL, PR</t>
  </si>
  <si>
    <t>Contrato de Empréstimo: 2999/OC-BR</t>
  </si>
  <si>
    <t>Atualizado por: Unidade de Coordenação do Programa - UCP</t>
  </si>
  <si>
    <t>*: Campos Obrigatórios</t>
  </si>
  <si>
    <t>OBRAS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</si>
  <si>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</si>
  <si>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</si>
  <si>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</si>
  <si>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</si>
  <si>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</si>
  <si>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</si>
  <si>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</si>
  <si>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</si>
  <si>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</si>
  <si>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</si>
  <si>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</si>
  <si>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</si>
  <si>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  mil</t>
  </si>
  <si>
    <t>Montante Estimado % BID</t>
  </si>
  <si>
    <t>Montante Estimado % Contrapartida</t>
  </si>
  <si>
    <t>Publicação do Anúncio/Convite</t>
  </si>
  <si>
    <t>Assinatura do Contrato</t>
  </si>
  <si>
    <t>Execução de obras na Av. Brasil, calçadão, ciclovia</t>
  </si>
  <si>
    <t>Licitação Pública Nacional (LPN)</t>
  </si>
  <si>
    <t>[indicar]</t>
  </si>
  <si>
    <t>Ex-Ante</t>
  </si>
  <si>
    <t>set-14</t>
  </si>
  <si>
    <t>Contrato em Execução</t>
  </si>
  <si>
    <t>Execução de obras na Av. Tancredo Neves</t>
  </si>
  <si>
    <t>Sistema Nacional (SN)</t>
  </si>
  <si>
    <t>Sistema Nacional</t>
  </si>
  <si>
    <t>Concorrência Pública Nacional</t>
  </si>
  <si>
    <t>Previsto</t>
  </si>
  <si>
    <t>Ex-Post</t>
  </si>
  <si>
    <t>Licitação Pública Internacional (LPI)</t>
  </si>
  <si>
    <t>1.2.1 /1.2.2</t>
  </si>
  <si>
    <t>Execução do viaduto na BR 277.</t>
  </si>
  <si>
    <t>Abertura de via - Rua Kenedy/Recife, Rua Ipanema e
alargamento de via - Av.Jacarezinho.</t>
  </si>
  <si>
    <t>1.2.4/1.2.5/1.2.6</t>
  </si>
  <si>
    <t>Execução de calçadas nos prédios públicos</t>
  </si>
  <si>
    <t>Implantação do Parque Ambiental e Centro de Convivência no Bairro Morumbi.</t>
  </si>
  <si>
    <t xml:space="preserve">Implantação do Parque Ambiental e Centro de Convivência no Bairro Floresta. </t>
  </si>
  <si>
    <t xml:space="preserve">Implantação do Parque Ambiental e Centro de Convivência no Bairro Santa Felicidade. </t>
  </si>
  <si>
    <t>Implantação do Parque Ambiental no Bairro Santa Cruz.</t>
  </si>
  <si>
    <t>Implantação do Centro de Convivência do Cascavel Velho (fase 2)</t>
  </si>
  <si>
    <t>Execução da readequação da rede de distribuição de energia elétrica, substituição da rede aérea para subterrânea, no Calçadão da Av.Brasil, entre as Ruas Sete de Setembro e Barão do Cerro Azul e na travessa Pe Champagnat</t>
  </si>
  <si>
    <t>Total</t>
  </si>
  <si>
    <t>BENS</t>
  </si>
  <si>
    <t>Unidade Executora</t>
  </si>
  <si>
    <t xml:space="preserve">Montante Estimado </t>
  </si>
  <si>
    <t>Método de Revisão (Selecionar uma das opções)</t>
  </si>
  <si>
    <t>Comentários - para Sistema Nacional incluir Método de Seleção</t>
  </si>
  <si>
    <t>Montante Estimado em US$ mil</t>
  </si>
  <si>
    <t>Contratação Direta (CD)</t>
  </si>
  <si>
    <t>Aquisição de equipamentos para o Centro de Convivência do Morumbi</t>
  </si>
  <si>
    <t>SERVIÇOS QUE NÃO SÃO DE CONSULTORIA</t>
  </si>
  <si>
    <t>Implantação de rede de fibra óptica, manutenção e expansão da rede.</t>
  </si>
  <si>
    <t>Serviço de cartografia digital para diagnóstico das áreas verdes do município</t>
  </si>
  <si>
    <t>out-15</t>
  </si>
  <si>
    <t>Implantação de aplicativos para ampliação do Geoportal</t>
  </si>
  <si>
    <t>Serviços e Aquisição de ortofoto para o perímetro urbano do Município de Cascavel e sede dos Distritos.</t>
  </si>
  <si>
    <t>mai-15</t>
  </si>
  <si>
    <t>CONSULTORIAS FIRMAS</t>
  </si>
  <si>
    <t>Publicação  Manifestação de Interesse</t>
  </si>
  <si>
    <t xml:space="preserve"> Apoio ao Gerenciamento do Programa e Supervisão das obras e monitoramento do programa.</t>
  </si>
  <si>
    <t>Seleção Baseada na Qualidade e Custo (SBQC)</t>
  </si>
  <si>
    <t>Processo em Curso</t>
  </si>
  <si>
    <t>Projeto executivo para implantação de rede de fibra óptica</t>
  </si>
  <si>
    <t>Avaliação do Programa</t>
  </si>
  <si>
    <t>Seleção Baseada nas Qualificações do Consultor (SQC)</t>
  </si>
  <si>
    <t>CONSULTORIAS INDIVIDUAIS</t>
  </si>
  <si>
    <t>Quantidade Estimada de Consultores</t>
  </si>
  <si>
    <t>Não Objeção aos  TDR da Atividade</t>
  </si>
  <si>
    <t>Assinatura Contrato</t>
  </si>
  <si>
    <t>Curso na área de paisagismo.</t>
  </si>
  <si>
    <t xml:space="preserve">Comparação de Qualificações (3 CV) </t>
  </si>
  <si>
    <t>CAPACITAÇÃO</t>
  </si>
  <si>
    <t xml:space="preserve"> Publicação  Manifestação de Interesse ou do Anúncio</t>
  </si>
  <si>
    <t>Comparação de Preços (CP)</t>
  </si>
  <si>
    <t>Curso na área de legislação</t>
  </si>
  <si>
    <t>Curso na área de avaliação de árvores urbanas, manejo e estabilidade</t>
  </si>
  <si>
    <t>Curso na área de capacitação de monitores/guias para os parques ambientais.</t>
  </si>
  <si>
    <t>Curso gestão e regulação dos serviços de transporte e em processos de integração temporal.</t>
  </si>
  <si>
    <t>Curso 1) MOC 10175 – MICROSOFT SHAREPOINT 2010,  2) MOC 6419, 6421 e 6425 WINDOWS SERVER, 3) MCTS: MICROSOFT EXCHANGE SERVER 2010, CONFIGURING.</t>
  </si>
  <si>
    <t>Curso em capacitação em rede de Fibra Óptica</t>
  </si>
  <si>
    <t>Curso de Power Civil Bentley</t>
  </si>
  <si>
    <t>abr-15</t>
  </si>
  <si>
    <t>Método  de Revisão</t>
  </si>
  <si>
    <t>Nova Licitação</t>
  </si>
  <si>
    <t>Processo Cancelado</t>
  </si>
  <si>
    <t>Declaração de Aquisição Deserta</t>
  </si>
  <si>
    <t>Recusa de Propostas</t>
  </si>
  <si>
    <t>Contrato Concluído</t>
  </si>
  <si>
    <t xml:space="preserve">Métodos </t>
  </si>
  <si>
    <t>Consultoria Firmas</t>
  </si>
  <si>
    <t>Seleção Baseada na Qualidade (SBQ)</t>
  </si>
  <si>
    <t>Seleção Baseada no Menor Custo (SBMC) </t>
  </si>
  <si>
    <t>Seleção Baseada em Orçamento Fixo (SBOF)</t>
  </si>
  <si>
    <t>Bens, Obras e Serviços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</si>
  <si>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</si>
  <si>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</si>
  <si>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</si>
  <si>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</si>
  <si>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</si>
  <si>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</si>
  <si>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>FOLHA DE COMENTÁRIOS</t>
  </si>
  <si>
    <t>ATIVIDADE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</si>
  <si>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</si>
  <si>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</si>
  <si>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</si>
  <si>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</si>
  <si>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</si>
  <si>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</si>
  <si>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</si>
  <si>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Taxa Câmbio - R$</t>
  </si>
  <si>
    <t>_</t>
  </si>
  <si>
    <t>BR-B2772</t>
  </si>
  <si>
    <t>LPN 02/2014</t>
  </si>
  <si>
    <t>LPN 01/2014</t>
  </si>
  <si>
    <t>BR-B2533</t>
  </si>
  <si>
    <t>SBQC 01/2014</t>
  </si>
  <si>
    <t>TP 54/2014</t>
  </si>
  <si>
    <t>Dispensa 70/2012</t>
  </si>
  <si>
    <t>CP 01/2015</t>
  </si>
  <si>
    <t xml:space="preserve">Capacitação da equipe de gerenciamento dos Centros de Convivência do Programa </t>
  </si>
  <si>
    <t>Curso sobre excel, MS PROJECT 2010 e Gerenciamento de projetos.</t>
  </si>
  <si>
    <t xml:space="preserve">Curso de orçamento de projetos </t>
  </si>
  <si>
    <t xml:space="preserve"> PLANO DE AQUISIÇÕES (PA) - 18 MESES</t>
  </si>
  <si>
    <t>PROGRAMA DE DESENVOLVIMENTO INTEGRADO DE CASCAVEL - PR</t>
  </si>
  <si>
    <t>Engº Civil para apoio à Fiscalização das obras</t>
  </si>
  <si>
    <t>Engº Civil para apoio na elaboração de orçamento das obras</t>
  </si>
  <si>
    <t>Engº Civil para apoio ao Planejamento</t>
  </si>
  <si>
    <t>Serviço de Levantamento Aerofotogrametrico, perfilamento a laser, Restituição das Edificações, Geocodificação, Cruzamentos dos dados Edificações com Banco de dados CTM e Imageamento Georreferenciado das Fachadas</t>
  </si>
  <si>
    <t>Elaboração da Rede Geodésica Municipal de Cascavel</t>
  </si>
  <si>
    <t>Apoio ao Gerenciamento e Supervisão das atividades do PDI/BID.</t>
  </si>
  <si>
    <t>BR11113
CBR 4045/15 (17/11/15)</t>
  </si>
  <si>
    <t>CBR-2892/15 (25/08/2015;
CBR 3625/2015 (19/10/2015)
Contrato nº 213/2015 de 06/11/2015 - CI nº01/2015
NE 12616/2015</t>
  </si>
  <si>
    <t>BR11112
CBR 4038/15 (17/11/15)</t>
  </si>
  <si>
    <t>CBR-2561/15 (29/07/15);
CBR 3283/2015 (24/09/2015);
CBR-4001/15 (13/11/15)
Contrato nº 250/2015 de 04/12/2015 - CP nº01/2015.
NE 13833/15.
PRISM BR</t>
  </si>
  <si>
    <t>BR</t>
  </si>
  <si>
    <t>1º Termo Aditivo Ct 32/2015 - LPN 02/14</t>
  </si>
  <si>
    <t>-</t>
  </si>
  <si>
    <t>Execução de obras - Terminal Leste</t>
  </si>
  <si>
    <t>Execução de obras - Terminal Oeste</t>
  </si>
  <si>
    <t>Execução de obras - Terminal Nordeste</t>
  </si>
  <si>
    <t>Execução de obras - Terminal Sudoeste</t>
  </si>
  <si>
    <t>Execução de obras - 4 Terminais</t>
  </si>
  <si>
    <t>Execução de calçadas nos prédios públicos - Fase 1</t>
  </si>
  <si>
    <t>Execução de calçadas nos prédios públicos - Fase 2</t>
  </si>
  <si>
    <t>Serviço de imagem de satélite de toda área do município corrigida e ortorretificada.</t>
  </si>
  <si>
    <t>UPGRADE GPS GTR² para  RTK com capacitação</t>
  </si>
  <si>
    <t>Execução de abertura de via - Rua Jequitibá e Rua José de Sá Cavalcante.</t>
  </si>
  <si>
    <t>Atualização Nº: 06</t>
  </si>
  <si>
    <t>Aquisição de software Bentley Power Civil (Bentley Map) com ferramentas select e treinamento para utilização</t>
  </si>
  <si>
    <t>2º Termo Aditivo Ct 32/2015 - LPN 02/14</t>
  </si>
  <si>
    <t>3º Termo Aditivo Ct 32/2015 - LPN 02/14</t>
  </si>
  <si>
    <t>4º Termo Aditivo Ct 32/2015 - LPN 02/14</t>
  </si>
  <si>
    <t xml:space="preserve">1º Aditivo
1ª Readequação da Planilha de Orçamento </t>
  </si>
  <si>
    <t xml:space="preserve">3º Aditivo
2ª Readequação da Planilha de Orçamento </t>
  </si>
  <si>
    <t xml:space="preserve">2º Aditivo
Reajuste 7,46% </t>
  </si>
  <si>
    <t>4º Aditivo
Reajuste 7,46% ref. ao 3º T.Ad.</t>
  </si>
  <si>
    <t>LPN 01/2015</t>
  </si>
  <si>
    <t>BR-B3232</t>
  </si>
  <si>
    <t>Concorrência Pública Nacional  nº 01/2016</t>
  </si>
  <si>
    <t>19/2015</t>
  </si>
  <si>
    <t>Concorrência Pública Nacional
nº 19/2015</t>
  </si>
  <si>
    <t>LPI 01/2016</t>
  </si>
  <si>
    <t>Serviço de cartografia digital Faz parte do pedido de substituição para o DMLAC - SEMA</t>
  </si>
  <si>
    <t>SDP 01/15</t>
  </si>
  <si>
    <t>Curso na área de legislação - ver se de fato será trocado para fiscalização</t>
  </si>
  <si>
    <t>Curso na área de avaliação de árvores urbanas, manejo e estabilidade foi incluido na substituição para o DMLAC</t>
  </si>
  <si>
    <t>Execução de obrasde Reurbanização na Av. Barão do Rio Branco</t>
  </si>
  <si>
    <t>Execução do Departamento Municipal de Licenciamento Ambiental - DMLAC e/ou Instituto de Licenciamento Ambiental</t>
  </si>
  <si>
    <t>Aquisição de equipamentos - DMLAC e/ou Instituto de Licenciamento Ambiental</t>
  </si>
  <si>
    <t>1º Termo Aditivo Ct 35/2016 - LPN 01/15</t>
  </si>
  <si>
    <t>Projeto para Implantação do Parque Ambiental e Centro de Convivência no Bairro Floresta.</t>
  </si>
  <si>
    <t>Projeto para Implantação do Parque Ambiental e Centro de Convivência no Bairro Santa Felicidade.</t>
  </si>
  <si>
    <t>Projeto para Implantação do Parque Ambiental no Bairro Santa Cruz.</t>
  </si>
  <si>
    <t>2.4.2 e 2.3.3</t>
  </si>
  <si>
    <t>2.6.2 e 2.4.3</t>
  </si>
  <si>
    <t>2.5.2</t>
  </si>
  <si>
    <t>2.6.1 e 2.4.1</t>
  </si>
  <si>
    <t>2.5.1</t>
  </si>
  <si>
    <t>2.4.1 e 2.3.1</t>
  </si>
  <si>
    <t>CI 01-16</t>
  </si>
  <si>
    <t>CBR-2892/15 (25/08/2015;
CBR 3625/2015 (19/10/2015);
CBR-4045/15 (17/11/15)
Contrato nº 221/2015 de 12/11/2015 - CI nº03/2015.
NE 12772/15 e 1º Aditivo NE4896/16</t>
  </si>
  <si>
    <t>Atualizado em: 29/09/2016</t>
  </si>
  <si>
    <t>Inexigibilidade 67/2016</t>
  </si>
</sst>
</file>

<file path=xl/styles.xml><?xml version="1.0" encoding="utf-8"?>
<styleSheet xmlns="http://schemas.openxmlformats.org/spreadsheetml/2006/main">
  <numFmts count="18">
    <numFmt numFmtId="164" formatCode="_(* #,##0.00_);_(* \(#,##0.00\);_(* &quot;-&quot;??_);_(@_)"/>
    <numFmt numFmtId="165" formatCode="_([$€-2]* #,##0.00_);_([$€-2]* \(#,##0.00\);_([$€-2]* &quot;-&quot;??_)"/>
    <numFmt numFmtId="166" formatCode="0.0%"/>
    <numFmt numFmtId="167" formatCode="0.00000"/>
    <numFmt numFmtId="168" formatCode="#,##0.0_);\(#,##0.0\)"/>
    <numFmt numFmtId="169" formatCode="0_)"/>
    <numFmt numFmtId="170" formatCode="0.00_)"/>
    <numFmt numFmtId="171" formatCode="d\.mmm"/>
    <numFmt numFmtId="172" formatCode="0.00000000"/>
    <numFmt numFmtId="173" formatCode="0.0000000000"/>
    <numFmt numFmtId="174" formatCode="#,##0.000000"/>
    <numFmt numFmtId="175" formatCode="&quot;$&quot;#,##0.00000_);\(&quot;$&quot;#,##0.00000\)"/>
    <numFmt numFmtId="176" formatCode="0.0_)"/>
    <numFmt numFmtId="177" formatCode="&quot;R&quot;\ #,##0;&quot;R&quot;\ \-#,##0"/>
    <numFmt numFmtId="178" formatCode="&quot;Cr$&quot;\ #,##0.00_);\(&quot;Cr$&quot;\ #,##0.00\)"/>
    <numFmt numFmtId="179" formatCode="[$-416]mmm\-yy;@"/>
    <numFmt numFmtId="180" formatCode="0.0"/>
    <numFmt numFmtId="181" formatCode="h:mm;@"/>
  </numFmts>
  <fonts count="39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0070C0"/>
      <name val="Times New Roman"/>
      <family val="1"/>
    </font>
    <font>
      <sz val="12"/>
      <color rgb="FF00B050"/>
      <name val="Times New Roman"/>
      <family val="1"/>
    </font>
    <font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8">
    <xf numFmtId="0" fontId="0" fillId="0" borderId="0"/>
    <xf numFmtId="178" fontId="2" fillId="0" borderId="0">
      <alignment horizontal="center" vertical="top"/>
    </xf>
    <xf numFmtId="0" fontId="5" fillId="0" borderId="1" applyBorder="0"/>
    <xf numFmtId="3" fontId="6" fillId="0" borderId="0" applyNumberFormat="0" applyFill="0" applyBorder="0" applyAlignment="0" applyProtection="0"/>
    <xf numFmtId="3" fontId="7" fillId="0" borderId="0" applyNumberFormat="0" applyFill="0" applyBorder="0" applyAlignment="0" applyProtection="0"/>
    <xf numFmtId="176" fontId="2" fillId="0" borderId="0" applyNumberFormat="0" applyFill="0" applyBorder="0" applyAlignment="0"/>
    <xf numFmtId="3" fontId="8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5" fontId="9" fillId="0" borderId="0" applyFont="0" applyFill="0" applyBorder="0" applyAlignment="0" applyProtection="0">
      <alignment horizontal="left"/>
    </xf>
    <xf numFmtId="0" fontId="2" fillId="0" borderId="0" applyFont="0" applyFill="0" applyBorder="0" applyProtection="0">
      <alignment horizontal="left"/>
    </xf>
    <xf numFmtId="168" fontId="10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75" fontId="2" fillId="0" borderId="0" applyFont="0" applyFill="0" applyBorder="0" applyAlignment="0"/>
    <xf numFmtId="165" fontId="2" fillId="0" borderId="0" applyFont="0" applyFill="0" applyBorder="0" applyAlignment="0" applyProtection="0"/>
    <xf numFmtId="0" fontId="1" fillId="0" borderId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66" fontId="14" fillId="0" borderId="4" applyFill="0" applyBorder="0" applyAlignment="0">
      <alignment horizontal="center"/>
      <protection locked="0"/>
    </xf>
    <xf numFmtId="10" fontId="12" fillId="3" borderId="5" applyNumberFormat="0" applyBorder="0" applyAlignment="0" applyProtection="0"/>
    <xf numFmtId="168" fontId="14" fillId="0" borderId="0" applyFill="0" applyBorder="0" applyAlignment="0">
      <protection locked="0"/>
    </xf>
    <xf numFmtId="175" fontId="2" fillId="0" borderId="0" applyFill="0" applyBorder="0" applyAlignment="0" applyProtection="0">
      <protection locked="0"/>
    </xf>
    <xf numFmtId="17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15" fillId="0" borderId="0"/>
    <xf numFmtId="170" fontId="16" fillId="0" borderId="0"/>
    <xf numFmtId="176" fontId="2" fillId="0" borderId="0" applyFill="0" applyBorder="0" applyAlignment="0"/>
    <xf numFmtId="0" fontId="2" fillId="0" borderId="0"/>
    <xf numFmtId="0" fontId="2" fillId="0" borderId="0"/>
    <xf numFmtId="9" fontId="2" fillId="0" borderId="4" applyNumberFormat="0" applyBorder="0">
      <alignment horizontal="center" vertical="center"/>
    </xf>
    <xf numFmtId="0" fontId="3" fillId="4" borderId="5" applyNumberFormat="0" applyFont="0" applyBorder="0" applyAlignment="0" applyProtection="0">
      <alignment horizontal="center"/>
    </xf>
    <xf numFmtId="177" fontId="2" fillId="0" borderId="6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" fontId="2" fillId="0" borderId="0" applyFont="0" applyFill="0" applyBorder="0" applyAlignment="0" applyProtection="0"/>
    <xf numFmtId="3" fontId="4" fillId="0" borderId="0" applyFill="0" applyBorder="0" applyAlignment="0" applyProtection="0"/>
    <xf numFmtId="3" fontId="17" fillId="0" borderId="0" applyFill="0" applyBorder="0" applyAlignment="0" applyProtection="0"/>
    <xf numFmtId="3" fontId="4" fillId="0" borderId="0" applyFill="0" applyBorder="0" applyAlignment="0" applyProtection="0"/>
    <xf numFmtId="38" fontId="9" fillId="5" borderId="0" applyNumberFormat="0" applyFont="0" applyBorder="0" applyAlignment="0" applyProtection="0"/>
    <xf numFmtId="164" fontId="18" fillId="0" borderId="7"/>
    <xf numFmtId="38" fontId="19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" fontId="10" fillId="0" borderId="0" applyFont="0" applyFill="0" applyBorder="0" applyAlignment="0" applyProtection="0">
      <alignment horizontal="left"/>
    </xf>
    <xf numFmtId="38" fontId="9" fillId="0" borderId="8" applyNumberFormat="0" applyFont="0" applyFill="0" applyAlignment="0" applyProtection="0"/>
    <xf numFmtId="10" fontId="20" fillId="0" borderId="9" applyNumberFormat="0" applyFont="0" applyFill="0" applyAlignment="0" applyProtection="0"/>
    <xf numFmtId="0" fontId="2" fillId="0" borderId="3" applyFon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justify" vertical="center"/>
    </xf>
    <xf numFmtId="4" fontId="29" fillId="0" borderId="0" xfId="0" applyNumberFormat="1" applyFont="1"/>
    <xf numFmtId="10" fontId="29" fillId="0" borderId="0" xfId="0" applyNumberFormat="1" applyFont="1"/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 vertical="center"/>
    </xf>
    <xf numFmtId="0" fontId="31" fillId="0" borderId="0" xfId="0" applyFont="1"/>
    <xf numFmtId="0" fontId="22" fillId="0" borderId="0" xfId="15" applyFont="1" applyAlignment="1">
      <alignment horizontal="left" vertical="center"/>
    </xf>
    <xf numFmtId="0" fontId="24" fillId="0" borderId="0" xfId="15" applyFont="1"/>
    <xf numFmtId="0" fontId="32" fillId="0" borderId="0" xfId="0" applyFont="1" applyAlignment="1">
      <alignment horizontal="left" vertical="center"/>
    </xf>
    <xf numFmtId="0" fontId="22" fillId="0" borderId="0" xfId="35" applyFont="1" applyFill="1" applyBorder="1" applyAlignment="1">
      <alignment horizontal="left" vertical="center" wrapText="1"/>
    </xf>
    <xf numFmtId="0" fontId="23" fillId="0" borderId="0" xfId="35" applyFont="1"/>
    <xf numFmtId="0" fontId="23" fillId="0" borderId="5" xfId="35" applyFont="1" applyFill="1" applyBorder="1" applyAlignment="1">
      <alignment vertical="center" wrapText="1"/>
    </xf>
    <xf numFmtId="4" fontId="23" fillId="0" borderId="5" xfId="35" applyNumberFormat="1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center" vertical="center" wrapText="1"/>
    </xf>
    <xf numFmtId="0" fontId="23" fillId="0" borderId="0" xfId="35" applyFont="1" applyBorder="1"/>
    <xf numFmtId="0" fontId="29" fillId="0" borderId="5" xfId="0" applyFont="1" applyBorder="1"/>
    <xf numFmtId="0" fontId="29" fillId="0" borderId="0" xfId="0" applyFont="1" applyFill="1"/>
    <xf numFmtId="0" fontId="23" fillId="0" borderId="10" xfId="35" applyFont="1" applyFill="1" applyBorder="1" applyAlignment="1">
      <alignment vertical="center" wrapText="1"/>
    </xf>
    <xf numFmtId="179" fontId="33" fillId="0" borderId="5" xfId="35" applyNumberFormat="1" applyFont="1" applyFill="1" applyBorder="1" applyAlignment="1">
      <alignment horizontal="center" vertical="center" wrapText="1"/>
    </xf>
    <xf numFmtId="1" fontId="23" fillId="0" borderId="5" xfId="35" applyNumberFormat="1" applyFont="1" applyFill="1" applyBorder="1" applyAlignment="1">
      <alignment horizontal="center" vertical="center" wrapText="1"/>
    </xf>
    <xf numFmtId="179" fontId="23" fillId="0" borderId="5" xfId="35" applyNumberFormat="1" applyFont="1" applyFill="1" applyBorder="1" applyAlignment="1">
      <alignment horizontal="center" vertical="center" wrapText="1"/>
    </xf>
    <xf numFmtId="0" fontId="23" fillId="0" borderId="11" xfId="35" applyFont="1" applyFill="1" applyBorder="1" applyAlignment="1">
      <alignment vertical="center" wrapText="1"/>
    </xf>
    <xf numFmtId="0" fontId="33" fillId="0" borderId="5" xfId="35" applyFont="1" applyFill="1" applyBorder="1" applyAlignment="1">
      <alignment horizontal="center" vertical="center" wrapText="1"/>
    </xf>
    <xf numFmtId="0" fontId="23" fillId="0" borderId="0" xfId="35" applyFont="1" applyFill="1" applyBorder="1" applyAlignment="1">
      <alignment vertical="center" wrapText="1"/>
    </xf>
    <xf numFmtId="4" fontId="23" fillId="0" borderId="0" xfId="35" applyNumberFormat="1" applyFont="1" applyFill="1" applyBorder="1" applyAlignment="1">
      <alignment vertical="center" wrapText="1"/>
    </xf>
    <xf numFmtId="10" fontId="23" fillId="0" borderId="0" xfId="35" applyNumberFormat="1" applyFont="1" applyFill="1" applyBorder="1" applyAlignment="1">
      <alignment vertical="center" wrapText="1"/>
    </xf>
    <xf numFmtId="0" fontId="23" fillId="0" borderId="11" xfId="35" applyFont="1" applyFill="1" applyBorder="1" applyAlignment="1">
      <alignment horizontal="center" vertical="center" wrapText="1"/>
    </xf>
    <xf numFmtId="0" fontId="29" fillId="0" borderId="0" xfId="0" applyFont="1" applyFill="1" applyBorder="1"/>
    <xf numFmtId="0" fontId="23" fillId="0" borderId="5" xfId="36" applyFont="1" applyFill="1" applyBorder="1" applyAlignment="1">
      <alignment vertical="center" wrapText="1"/>
    </xf>
    <xf numFmtId="0" fontId="23" fillId="0" borderId="5" xfId="0" applyFont="1" applyBorder="1"/>
    <xf numFmtId="0" fontId="23" fillId="0" borderId="0" xfId="0" applyFont="1" applyBorder="1" applyAlignment="1">
      <alignment vertical="center"/>
    </xf>
    <xf numFmtId="0" fontId="22" fillId="0" borderId="0" xfId="0" applyFont="1" applyAlignment="1"/>
    <xf numFmtId="0" fontId="23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4" fontId="29" fillId="0" borderId="0" xfId="0" applyNumberFormat="1" applyFont="1" applyAlignment="1">
      <alignment horizontal="left"/>
    </xf>
    <xf numFmtId="10" fontId="29" fillId="0" borderId="0" xfId="0" applyNumberFormat="1" applyFont="1" applyAlignment="1">
      <alignment horizontal="left"/>
    </xf>
    <xf numFmtId="0" fontId="22" fillId="0" borderId="0" xfId="35" applyFont="1" applyFill="1" applyBorder="1" applyAlignment="1">
      <alignment vertical="center" wrapText="1"/>
    </xf>
    <xf numFmtId="0" fontId="23" fillId="0" borderId="1" xfId="35" applyFont="1" applyBorder="1"/>
    <xf numFmtId="0" fontId="29" fillId="0" borderId="1" xfId="0" applyFont="1" applyBorder="1"/>
    <xf numFmtId="0" fontId="29" fillId="0" borderId="27" xfId="0" applyFont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2" fillId="0" borderId="0" xfId="0" applyFont="1" applyAlignment="1">
      <alignment vertical="center"/>
    </xf>
    <xf numFmtId="4" fontId="23" fillId="0" borderId="0" xfId="35" applyNumberFormat="1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justify" vertical="center" wrapText="1"/>
    </xf>
    <xf numFmtId="0" fontId="29" fillId="0" borderId="13" xfId="0" applyFont="1" applyBorder="1" applyAlignment="1">
      <alignment horizontal="justify" vertical="center" wrapText="1"/>
    </xf>
    <xf numFmtId="0" fontId="29" fillId="0" borderId="37" xfId="0" applyFont="1" applyBorder="1" applyAlignment="1">
      <alignment horizontal="justify" vertical="center" wrapText="1"/>
    </xf>
    <xf numFmtId="0" fontId="29" fillId="0" borderId="30" xfId="0" applyFont="1" applyBorder="1" applyAlignment="1">
      <alignment horizontal="justify" vertical="center" wrapText="1"/>
    </xf>
    <xf numFmtId="0" fontId="29" fillId="0" borderId="33" xfId="0" applyFont="1" applyBorder="1" applyAlignment="1">
      <alignment horizontal="justify" vertical="center" wrapText="1"/>
    </xf>
    <xf numFmtId="0" fontId="29" fillId="0" borderId="6" xfId="0" applyFont="1" applyBorder="1" applyAlignment="1">
      <alignment horizontal="justify" vertical="center" wrapText="1"/>
    </xf>
    <xf numFmtId="0" fontId="29" fillId="0" borderId="38" xfId="0" applyFont="1" applyBorder="1" applyAlignment="1">
      <alignment horizontal="justify" vertical="center" wrapText="1"/>
    </xf>
    <xf numFmtId="0" fontId="31" fillId="0" borderId="37" xfId="0" applyFont="1" applyBorder="1" applyAlignment="1">
      <alignment horizontal="justify" vertical="center" wrapText="1"/>
    </xf>
    <xf numFmtId="0" fontId="29" fillId="0" borderId="39" xfId="0" applyFont="1" applyBorder="1" applyAlignment="1">
      <alignment horizontal="justify" vertical="center" wrapText="1"/>
    </xf>
    <xf numFmtId="0" fontId="29" fillId="0" borderId="31" xfId="0" applyFont="1" applyBorder="1" applyAlignment="1">
      <alignment horizontal="justify" vertical="center" wrapText="1"/>
    </xf>
    <xf numFmtId="0" fontId="29" fillId="0" borderId="32" xfId="0" applyFont="1" applyBorder="1" applyAlignment="1">
      <alignment horizontal="justify" vertical="center" wrapText="1"/>
    </xf>
    <xf numFmtId="0" fontId="29" fillId="0" borderId="40" xfId="0" applyFont="1" applyBorder="1" applyAlignment="1">
      <alignment horizontal="justify" vertical="center" wrapText="1"/>
    </xf>
    <xf numFmtId="0" fontId="31" fillId="0" borderId="30" xfId="0" applyFont="1" applyBorder="1" applyAlignment="1">
      <alignment horizontal="justify" vertical="center" wrapText="1"/>
    </xf>
    <xf numFmtId="0" fontId="31" fillId="0" borderId="0" xfId="0" applyFont="1" applyAlignment="1">
      <alignment horizontal="right"/>
    </xf>
    <xf numFmtId="4" fontId="22" fillId="0" borderId="0" xfId="35" applyNumberFormat="1" applyFont="1" applyFill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79" fontId="23" fillId="0" borderId="5" xfId="0" applyNumberFormat="1" applyFont="1" applyBorder="1" applyAlignment="1">
      <alignment horizontal="center" vertical="center"/>
    </xf>
    <xf numFmtId="179" fontId="33" fillId="0" borderId="5" xfId="0" applyNumberFormat="1" applyFont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center" vertical="center"/>
    </xf>
    <xf numFmtId="1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1" fontId="23" fillId="0" borderId="11" xfId="0" applyNumberFormat="1" applyFont="1" applyBorder="1" applyAlignment="1">
      <alignment horizontal="center" vertical="center"/>
    </xf>
    <xf numFmtId="4" fontId="23" fillId="0" borderId="10" xfId="35" applyNumberFormat="1" applyFont="1" applyFill="1" applyBorder="1" applyAlignment="1">
      <alignment horizontal="center" vertical="center" wrapText="1"/>
    </xf>
    <xf numFmtId="1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9" fontId="33" fillId="0" borderId="10" xfId="0" applyNumberFormat="1" applyFont="1" applyBorder="1" applyAlignment="1">
      <alignment horizontal="center" vertical="center"/>
    </xf>
    <xf numFmtId="0" fontId="23" fillId="0" borderId="10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4" fontId="26" fillId="6" borderId="11" xfId="35" applyNumberFormat="1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0" fontId="34" fillId="8" borderId="37" xfId="0" applyFont="1" applyFill="1" applyBorder="1"/>
    <xf numFmtId="0" fontId="29" fillId="0" borderId="29" xfId="0" applyFont="1" applyFill="1" applyBorder="1"/>
    <xf numFmtId="0" fontId="29" fillId="0" borderId="27" xfId="0" applyFont="1" applyFill="1" applyBorder="1"/>
    <xf numFmtId="0" fontId="29" fillId="0" borderId="41" xfId="0" applyFont="1" applyFill="1" applyBorder="1"/>
    <xf numFmtId="0" fontId="34" fillId="8" borderId="13" xfId="0" applyFont="1" applyFill="1" applyBorder="1"/>
    <xf numFmtId="179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0" fontId="35" fillId="8" borderId="37" xfId="0" applyFont="1" applyFill="1" applyBorder="1"/>
    <xf numFmtId="0" fontId="29" fillId="0" borderId="29" xfId="0" applyFont="1" applyFill="1" applyBorder="1" applyAlignment="1">
      <alignment horizontal="right"/>
    </xf>
    <xf numFmtId="0" fontId="35" fillId="8" borderId="37" xfId="0" applyFont="1" applyFill="1" applyBorder="1" applyAlignment="1">
      <alignment horizontal="right"/>
    </xf>
    <xf numFmtId="0" fontId="34" fillId="8" borderId="37" xfId="0" applyFont="1" applyFill="1" applyBorder="1" applyAlignment="1">
      <alignment horizontal="right"/>
    </xf>
    <xf numFmtId="0" fontId="29" fillId="0" borderId="42" xfId="0" applyFont="1" applyFill="1" applyBorder="1"/>
    <xf numFmtId="0" fontId="29" fillId="0" borderId="23" xfId="0" applyFont="1" applyFill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2" fontId="29" fillId="0" borderId="23" xfId="0" applyNumberFormat="1" applyFont="1" applyFill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right"/>
    </xf>
    <xf numFmtId="0" fontId="23" fillId="0" borderId="10" xfId="0" applyFont="1" applyBorder="1" applyAlignment="1">
      <alignment vertical="center" wrapText="1"/>
    </xf>
    <xf numFmtId="0" fontId="23" fillId="0" borderId="19" xfId="35" applyFont="1" applyFill="1" applyBorder="1" applyAlignment="1">
      <alignment horizontal="center" vertical="center" wrapText="1"/>
    </xf>
    <xf numFmtId="0" fontId="23" fillId="0" borderId="17" xfId="35" applyFont="1" applyFill="1" applyBorder="1" applyAlignment="1">
      <alignment horizontal="center" vertical="center" wrapText="1"/>
    </xf>
    <xf numFmtId="0" fontId="23" fillId="0" borderId="21" xfId="35" applyFont="1" applyFill="1" applyBorder="1" applyAlignment="1">
      <alignment horizontal="center" vertical="center" wrapText="1"/>
    </xf>
    <xf numFmtId="2" fontId="29" fillId="0" borderId="35" xfId="0" applyNumberFormat="1" applyFont="1" applyFill="1" applyBorder="1" applyAlignment="1">
      <alignment horizontal="center" vertical="center"/>
    </xf>
    <xf numFmtId="14" fontId="23" fillId="0" borderId="5" xfId="35" applyNumberFormat="1" applyFont="1" applyFill="1" applyBorder="1" applyAlignment="1">
      <alignment horizontal="center" vertical="center" wrapText="1"/>
    </xf>
    <xf numFmtId="0" fontId="23" fillId="0" borderId="5" xfId="35" applyFont="1" applyFill="1" applyBorder="1" applyAlignment="1">
      <alignment horizontal="center" vertical="center"/>
    </xf>
    <xf numFmtId="0" fontId="23" fillId="0" borderId="17" xfId="35" applyFont="1" applyFill="1" applyBorder="1" applyAlignment="1">
      <alignment horizontal="center" vertical="center"/>
    </xf>
    <xf numFmtId="0" fontId="33" fillId="0" borderId="5" xfId="35" applyFont="1" applyFill="1" applyBorder="1" applyAlignment="1">
      <alignment horizontal="center" vertical="center"/>
    </xf>
    <xf numFmtId="0" fontId="33" fillId="0" borderId="10" xfId="35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36" fillId="0" borderId="23" xfId="0" applyFont="1" applyFill="1" applyBorder="1" applyAlignment="1">
      <alignment horizontal="center" vertical="center"/>
    </xf>
    <xf numFmtId="0" fontId="36" fillId="0" borderId="5" xfId="35" applyFont="1" applyFill="1" applyBorder="1" applyAlignment="1">
      <alignment horizontal="center" vertical="center" wrapText="1"/>
    </xf>
    <xf numFmtId="0" fontId="36" fillId="0" borderId="5" xfId="35" applyFont="1" applyFill="1" applyBorder="1" applyAlignment="1">
      <alignment vertical="center" wrapText="1"/>
    </xf>
    <xf numFmtId="1" fontId="36" fillId="0" borderId="5" xfId="0" applyNumberFormat="1" applyFont="1" applyBorder="1" applyAlignment="1">
      <alignment horizontal="center" vertical="center"/>
    </xf>
    <xf numFmtId="179" fontId="36" fillId="0" borderId="5" xfId="0" applyNumberFormat="1" applyFont="1" applyBorder="1" applyAlignment="1">
      <alignment horizontal="center" vertical="center"/>
    </xf>
    <xf numFmtId="0" fontId="36" fillId="0" borderId="17" xfId="35" applyFont="1" applyFill="1" applyBorder="1" applyAlignment="1">
      <alignment horizontal="center" vertical="center" wrapText="1"/>
    </xf>
    <xf numFmtId="0" fontId="36" fillId="0" borderId="11" xfId="35" applyFont="1" applyFill="1" applyBorder="1" applyAlignment="1">
      <alignment horizontal="center" vertical="center" wrapText="1"/>
    </xf>
    <xf numFmtId="4" fontId="36" fillId="0" borderId="11" xfId="35" applyNumberFormat="1" applyFont="1" applyFill="1" applyBorder="1" applyAlignment="1">
      <alignment horizontal="center" vertical="center" wrapText="1"/>
    </xf>
    <xf numFmtId="0" fontId="36" fillId="0" borderId="21" xfId="35" applyFont="1" applyFill="1" applyBorder="1" applyAlignment="1">
      <alignment horizontal="center" vertical="center" wrapText="1"/>
    </xf>
    <xf numFmtId="1" fontId="36" fillId="0" borderId="11" xfId="0" applyNumberFormat="1" applyFont="1" applyFill="1" applyBorder="1" applyAlignment="1">
      <alignment horizontal="center" vertical="center"/>
    </xf>
    <xf numFmtId="0" fontId="37" fillId="0" borderId="18" xfId="0" applyFont="1" applyFill="1" applyBorder="1" applyAlignment="1">
      <alignment horizontal="center" vertical="center"/>
    </xf>
    <xf numFmtId="0" fontId="37" fillId="0" borderId="10" xfId="35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7" fillId="0" borderId="10" xfId="35" applyFont="1" applyFill="1" applyBorder="1" applyAlignment="1">
      <alignment vertical="center" wrapText="1"/>
    </xf>
    <xf numFmtId="4" fontId="37" fillId="0" borderId="10" xfId="0" applyNumberFormat="1" applyFont="1" applyFill="1" applyBorder="1" applyAlignment="1">
      <alignment horizontal="center" vertical="center"/>
    </xf>
    <xf numFmtId="1" fontId="37" fillId="0" borderId="10" xfId="0" applyNumberFormat="1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179" fontId="37" fillId="0" borderId="10" xfId="0" applyNumberFormat="1" applyFont="1" applyBorder="1" applyAlignment="1">
      <alignment horizontal="center" vertical="center"/>
    </xf>
    <xf numFmtId="0" fontId="37" fillId="0" borderId="19" xfId="35" applyFont="1" applyFill="1" applyBorder="1" applyAlignment="1">
      <alignment horizontal="center" vertical="center" wrapText="1"/>
    </xf>
    <xf numFmtId="0" fontId="36" fillId="0" borderId="11" xfId="35" applyFont="1" applyFill="1" applyBorder="1" applyAlignment="1">
      <alignment vertical="center" wrapText="1"/>
    </xf>
    <xf numFmtId="0" fontId="33" fillId="0" borderId="0" xfId="0" applyFont="1"/>
    <xf numFmtId="0" fontId="37" fillId="0" borderId="5" xfId="35" applyFont="1" applyFill="1" applyBorder="1" applyAlignment="1">
      <alignment horizontal="center" vertical="center" wrapText="1"/>
    </xf>
    <xf numFmtId="0" fontId="37" fillId="0" borderId="5" xfId="35" applyFont="1" applyFill="1" applyBorder="1" applyAlignment="1">
      <alignment vertical="center" wrapText="1"/>
    </xf>
    <xf numFmtId="0" fontId="37" fillId="0" borderId="5" xfId="35" applyFont="1" applyFill="1" applyBorder="1" applyAlignment="1">
      <alignment horizontal="center" vertical="center"/>
    </xf>
    <xf numFmtId="2" fontId="37" fillId="0" borderId="23" xfId="0" applyNumberFormat="1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horizontal="center" vertical="center"/>
    </xf>
    <xf numFmtId="4" fontId="37" fillId="0" borderId="5" xfId="35" applyNumberFormat="1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79" fontId="37" fillId="0" borderId="5" xfId="0" applyNumberFormat="1" applyFont="1" applyFill="1" applyBorder="1" applyAlignment="1">
      <alignment horizontal="center" vertical="center"/>
    </xf>
    <xf numFmtId="0" fontId="37" fillId="0" borderId="17" xfId="35" applyFont="1" applyFill="1" applyBorder="1" applyAlignment="1">
      <alignment horizontal="center" vertical="center" wrapText="1"/>
    </xf>
    <xf numFmtId="1" fontId="37" fillId="0" borderId="5" xfId="35" applyNumberFormat="1" applyFont="1" applyFill="1" applyBorder="1" applyAlignment="1">
      <alignment horizontal="center" vertical="center" wrapText="1"/>
    </xf>
    <xf numFmtId="179" fontId="37" fillId="0" borderId="5" xfId="35" applyNumberFormat="1" applyFont="1" applyFill="1" applyBorder="1" applyAlignment="1">
      <alignment horizontal="center" vertical="center" wrapText="1"/>
    </xf>
    <xf numFmtId="17" fontId="36" fillId="0" borderId="5" xfId="35" applyNumberFormat="1" applyFont="1" applyFill="1" applyBorder="1" applyAlignment="1">
      <alignment horizontal="center" vertical="center" wrapText="1"/>
    </xf>
    <xf numFmtId="17" fontId="36" fillId="0" borderId="11" xfId="35" applyNumberFormat="1" applyFont="1" applyFill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/>
    </xf>
    <xf numFmtId="4" fontId="33" fillId="0" borderId="5" xfId="35" applyNumberFormat="1" applyFont="1" applyFill="1" applyBorder="1" applyAlignment="1">
      <alignment horizontal="center" vertical="center" wrapText="1"/>
    </xf>
    <xf numFmtId="4" fontId="36" fillId="0" borderId="11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1" fontId="33" fillId="0" borderId="5" xfId="0" applyNumberFormat="1" applyFont="1" applyBorder="1" applyAlignment="1">
      <alignment horizontal="center" vertical="center"/>
    </xf>
    <xf numFmtId="179" fontId="33" fillId="0" borderId="5" xfId="0" applyNumberFormat="1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left" vertical="center" wrapText="1"/>
    </xf>
    <xf numFmtId="0" fontId="33" fillId="0" borderId="23" xfId="0" applyFont="1" applyFill="1" applyBorder="1" applyAlignment="1">
      <alignment horizontal="center" vertical="center"/>
    </xf>
    <xf numFmtId="0" fontId="33" fillId="0" borderId="5" xfId="35" applyFont="1" applyFill="1" applyBorder="1" applyAlignment="1">
      <alignment vertical="center" wrapText="1"/>
    </xf>
    <xf numFmtId="0" fontId="33" fillId="0" borderId="17" xfId="35" applyFont="1" applyFill="1" applyBorder="1" applyAlignment="1">
      <alignment horizontal="center" vertical="center" wrapText="1"/>
    </xf>
    <xf numFmtId="1" fontId="37" fillId="0" borderId="5" xfId="0" applyNumberFormat="1" applyFont="1" applyBorder="1" applyAlignment="1">
      <alignment horizontal="center" vertical="center"/>
    </xf>
    <xf numFmtId="179" fontId="37" fillId="0" borderId="5" xfId="0" applyNumberFormat="1" applyFont="1" applyBorder="1" applyAlignment="1">
      <alignment horizontal="center" vertical="center"/>
    </xf>
    <xf numFmtId="1" fontId="33" fillId="0" borderId="5" xfId="35" applyNumberFormat="1" applyFont="1" applyFill="1" applyBorder="1" applyAlignment="1">
      <alignment horizontal="center" vertical="center" wrapText="1"/>
    </xf>
    <xf numFmtId="179" fontId="33" fillId="0" borderId="10" xfId="0" applyNumberFormat="1" applyFont="1" applyFill="1" applyBorder="1" applyAlignment="1">
      <alignment horizontal="center" vertical="center"/>
    </xf>
    <xf numFmtId="0" fontId="33" fillId="0" borderId="19" xfId="35" applyFont="1" applyFill="1" applyBorder="1" applyAlignment="1">
      <alignment horizontal="center" vertical="center" wrapText="1"/>
    </xf>
    <xf numFmtId="2" fontId="23" fillId="0" borderId="5" xfId="35" applyNumberFormat="1" applyFont="1" applyFill="1" applyBorder="1" applyAlignment="1">
      <alignment horizontal="center" vertical="center"/>
    </xf>
    <xf numFmtId="180" fontId="23" fillId="0" borderId="5" xfId="3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/>
    </xf>
    <xf numFmtId="17" fontId="33" fillId="0" borderId="10" xfId="35" applyNumberFormat="1" applyFont="1" applyFill="1" applyBorder="1" applyAlignment="1">
      <alignment horizontal="center" vertical="center" wrapText="1"/>
    </xf>
    <xf numFmtId="14" fontId="23" fillId="0" borderId="5" xfId="0" applyNumberFormat="1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7" fontId="23" fillId="0" borderId="5" xfId="35" applyNumberFormat="1" applyFont="1" applyFill="1" applyBorder="1" applyAlignment="1">
      <alignment horizontal="center" vertical="center" wrapText="1"/>
    </xf>
    <xf numFmtId="0" fontId="23" fillId="0" borderId="11" xfId="35" applyNumberFormat="1" applyFont="1" applyFill="1" applyBorder="1" applyAlignment="1">
      <alignment horizontal="center" vertical="center" wrapText="1"/>
    </xf>
    <xf numFmtId="179" fontId="23" fillId="0" borderId="11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14" fontId="23" fillId="0" borderId="11" xfId="0" applyNumberFormat="1" applyFont="1" applyBorder="1" applyAlignment="1">
      <alignment horizontal="center" vertical="center"/>
    </xf>
    <xf numFmtId="14" fontId="23" fillId="0" borderId="5" xfId="35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left"/>
    </xf>
    <xf numFmtId="4" fontId="33" fillId="0" borderId="10" xfId="35" applyNumberFormat="1" applyFont="1" applyFill="1" applyBorder="1" applyAlignment="1">
      <alignment horizontal="center" vertical="center" wrapText="1"/>
    </xf>
    <xf numFmtId="0" fontId="37" fillId="0" borderId="5" xfId="35" applyFont="1" applyFill="1" applyBorder="1" applyAlignment="1">
      <alignment horizontal="left" vertical="center" wrapText="1"/>
    </xf>
    <xf numFmtId="17" fontId="33" fillId="0" borderId="5" xfId="35" applyNumberFormat="1" applyFont="1" applyFill="1" applyBorder="1" applyAlignment="1">
      <alignment horizontal="center" vertical="center" wrapText="1"/>
    </xf>
    <xf numFmtId="0" fontId="33" fillId="0" borderId="5" xfId="35" applyFont="1" applyFill="1" applyBorder="1" applyAlignment="1">
      <alignment horizontal="left" vertical="center" wrapText="1"/>
    </xf>
    <xf numFmtId="0" fontId="37" fillId="0" borderId="38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3" fillId="0" borderId="38" xfId="0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>
      <alignment horizontal="center" vertical="center"/>
    </xf>
    <xf numFmtId="1" fontId="33" fillId="0" borderId="11" xfId="0" applyNumberFormat="1" applyFont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33" fillId="7" borderId="10" xfId="0" applyFont="1" applyFill="1" applyBorder="1" applyAlignment="1">
      <alignment vertical="center" wrapText="1"/>
    </xf>
    <xf numFmtId="0" fontId="33" fillId="7" borderId="10" xfId="35" applyFont="1" applyFill="1" applyBorder="1" applyAlignment="1">
      <alignment horizontal="center" vertical="center" wrapText="1"/>
    </xf>
    <xf numFmtId="0" fontId="36" fillId="0" borderId="43" xfId="35" applyFont="1" applyFill="1" applyBorder="1" applyAlignment="1">
      <alignment horizontal="center" vertical="center" wrapText="1"/>
    </xf>
    <xf numFmtId="0" fontId="23" fillId="0" borderId="5" xfId="35" applyNumberFormat="1" applyFont="1" applyFill="1" applyBorder="1" applyAlignment="1">
      <alignment horizontal="center" vertical="center" wrapText="1"/>
    </xf>
    <xf numFmtId="17" fontId="33" fillId="0" borderId="14" xfId="35" applyNumberFormat="1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/>
    </xf>
    <xf numFmtId="0" fontId="23" fillId="0" borderId="43" xfId="35" applyFont="1" applyFill="1" applyBorder="1" applyAlignment="1">
      <alignment horizontal="center" vertical="center" wrapText="1"/>
    </xf>
    <xf numFmtId="0" fontId="23" fillId="0" borderId="43" xfId="35" applyFont="1" applyFill="1" applyBorder="1" applyAlignment="1">
      <alignment vertical="center" wrapText="1"/>
    </xf>
    <xf numFmtId="1" fontId="23" fillId="0" borderId="43" xfId="0" applyNumberFormat="1" applyFont="1" applyFill="1" applyBorder="1" applyAlignment="1">
      <alignment horizontal="center" vertical="center"/>
    </xf>
    <xf numFmtId="179" fontId="33" fillId="0" borderId="43" xfId="35" applyNumberFormat="1" applyFont="1" applyFill="1" applyBorder="1" applyAlignment="1">
      <alignment horizontal="center" vertical="center" wrapText="1"/>
    </xf>
    <xf numFmtId="0" fontId="23" fillId="0" borderId="44" xfId="35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0" fontId="33" fillId="0" borderId="10" xfId="35" applyFont="1" applyFill="1" applyBorder="1" applyAlignment="1">
      <alignment horizontal="center" vertical="center" wrapText="1"/>
    </xf>
    <xf numFmtId="0" fontId="29" fillId="0" borderId="0" xfId="0" applyFont="1" applyBorder="1"/>
    <xf numFmtId="0" fontId="33" fillId="0" borderId="10" xfId="35" applyFont="1" applyFill="1" applyBorder="1" applyAlignment="1">
      <alignment vertical="center" wrapText="1"/>
    </xf>
    <xf numFmtId="0" fontId="37" fillId="0" borderId="23" xfId="0" applyFont="1" applyBorder="1" applyAlignment="1">
      <alignment horizontal="center" vertical="center"/>
    </xf>
    <xf numFmtId="0" fontId="37" fillId="0" borderId="10" xfId="0" applyFont="1" applyFill="1" applyBorder="1" applyAlignment="1">
      <alignment vertical="center" wrapText="1"/>
    </xf>
    <xf numFmtId="0" fontId="36" fillId="0" borderId="41" xfId="0" applyFont="1" applyFill="1" applyBorder="1" applyAlignment="1">
      <alignment horizontal="center" vertical="center"/>
    </xf>
    <xf numFmtId="0" fontId="36" fillId="0" borderId="43" xfId="35" applyFont="1" applyFill="1" applyBorder="1" applyAlignment="1">
      <alignment vertical="center" wrapText="1"/>
    </xf>
    <xf numFmtId="4" fontId="36" fillId="0" borderId="43" xfId="35" applyNumberFormat="1" applyFont="1" applyFill="1" applyBorder="1" applyAlignment="1">
      <alignment horizontal="center" vertical="center" wrapText="1"/>
    </xf>
    <xf numFmtId="1" fontId="36" fillId="0" borderId="43" xfId="35" applyNumberFormat="1" applyFont="1" applyFill="1" applyBorder="1" applyAlignment="1">
      <alignment horizontal="center" vertical="center" wrapText="1"/>
    </xf>
    <xf numFmtId="179" fontId="36" fillId="0" borderId="43" xfId="35" applyNumberFormat="1" applyFont="1" applyFill="1" applyBorder="1" applyAlignment="1">
      <alignment horizontal="center" vertical="center" wrapText="1"/>
    </xf>
    <xf numFmtId="0" fontId="36" fillId="0" borderId="44" xfId="35" applyFont="1" applyFill="1" applyBorder="1" applyAlignment="1">
      <alignment horizontal="center" vertical="center" wrapText="1"/>
    </xf>
    <xf numFmtId="4" fontId="36" fillId="0" borderId="5" xfId="0" applyNumberFormat="1" applyFont="1" applyFill="1" applyBorder="1" applyAlignment="1">
      <alignment horizontal="center" vertical="center"/>
    </xf>
    <xf numFmtId="0" fontId="36" fillId="0" borderId="5" xfId="35" applyNumberFormat="1" applyFont="1" applyFill="1" applyBorder="1" applyAlignment="1">
      <alignment horizontal="center" vertical="center" wrapText="1"/>
    </xf>
    <xf numFmtId="1" fontId="36" fillId="0" borderId="43" xfId="0" applyNumberFormat="1" applyFont="1" applyBorder="1" applyAlignment="1">
      <alignment horizontal="center" vertical="center"/>
    </xf>
    <xf numFmtId="0" fontId="36" fillId="0" borderId="43" xfId="35" applyNumberFormat="1" applyFont="1" applyFill="1" applyBorder="1" applyAlignment="1">
      <alignment horizontal="center" vertical="center" wrapText="1"/>
    </xf>
    <xf numFmtId="179" fontId="36" fillId="0" borderId="43" xfId="0" applyNumberFormat="1" applyFont="1" applyBorder="1" applyAlignment="1">
      <alignment horizontal="center" vertical="center"/>
    </xf>
    <xf numFmtId="17" fontId="36" fillId="0" borderId="43" xfId="35" applyNumberFormat="1" applyFont="1" applyFill="1" applyBorder="1" applyAlignment="1">
      <alignment horizontal="center" vertical="center" wrapText="1"/>
    </xf>
    <xf numFmtId="179" fontId="23" fillId="7" borderId="5" xfId="0" applyNumberFormat="1" applyFont="1" applyFill="1" applyBorder="1" applyAlignment="1">
      <alignment horizontal="center" vertical="center"/>
    </xf>
    <xf numFmtId="0" fontId="37" fillId="0" borderId="5" xfId="0" applyFont="1" applyBorder="1" applyAlignment="1">
      <alignment vertical="center" wrapText="1"/>
    </xf>
    <xf numFmtId="0" fontId="29" fillId="0" borderId="11" xfId="0" applyFont="1" applyBorder="1" applyAlignment="1">
      <alignment horizontal="center" vertical="center"/>
    </xf>
    <xf numFmtId="0" fontId="23" fillId="0" borderId="10" xfId="35" applyFont="1" applyFill="1" applyBorder="1" applyAlignment="1">
      <alignment horizontal="right" vertical="center"/>
    </xf>
    <xf numFmtId="0" fontId="23" fillId="0" borderId="10" xfId="35" applyFont="1" applyFill="1" applyBorder="1" applyAlignment="1">
      <alignment horizontal="center" vertical="center"/>
    </xf>
    <xf numFmtId="17" fontId="33" fillId="0" borderId="10" xfId="35" applyNumberFormat="1" applyFont="1" applyFill="1" applyBorder="1" applyAlignment="1">
      <alignment horizontal="center" vertical="center"/>
    </xf>
    <xf numFmtId="0" fontId="23" fillId="0" borderId="19" xfId="35" applyFont="1" applyFill="1" applyBorder="1" applyAlignment="1">
      <alignment horizontal="center" vertical="center"/>
    </xf>
    <xf numFmtId="0" fontId="23" fillId="0" borderId="5" xfId="35" applyFont="1" applyFill="1" applyBorder="1" applyAlignment="1">
      <alignment horizontal="right" vertical="center"/>
    </xf>
    <xf numFmtId="179" fontId="33" fillId="0" borderId="5" xfId="35" applyNumberFormat="1" applyFont="1" applyFill="1" applyBorder="1" applyAlignment="1">
      <alignment horizontal="center" vertical="center"/>
    </xf>
    <xf numFmtId="17" fontId="33" fillId="0" borderId="5" xfId="35" applyNumberFormat="1" applyFont="1" applyFill="1" applyBorder="1" applyAlignment="1">
      <alignment horizontal="center" vertical="center"/>
    </xf>
    <xf numFmtId="0" fontId="37" fillId="0" borderId="5" xfId="35" applyFont="1" applyFill="1" applyBorder="1" applyAlignment="1">
      <alignment horizontal="right" vertical="center"/>
    </xf>
    <xf numFmtId="2" fontId="37" fillId="0" borderId="5" xfId="35" applyNumberFormat="1" applyFont="1" applyFill="1" applyBorder="1" applyAlignment="1">
      <alignment horizontal="center" vertical="center"/>
    </xf>
    <xf numFmtId="180" fontId="37" fillId="0" borderId="5" xfId="35" applyNumberFormat="1" applyFont="1" applyFill="1" applyBorder="1" applyAlignment="1">
      <alignment horizontal="center" vertical="center"/>
    </xf>
    <xf numFmtId="17" fontId="37" fillId="0" borderId="5" xfId="35" applyNumberFormat="1" applyFont="1" applyFill="1" applyBorder="1" applyAlignment="1">
      <alignment horizontal="center" vertical="center"/>
    </xf>
    <xf numFmtId="0" fontId="37" fillId="0" borderId="17" xfId="35" applyFont="1" applyFill="1" applyBorder="1" applyAlignment="1">
      <alignment horizontal="center" vertical="center"/>
    </xf>
    <xf numFmtId="17" fontId="23" fillId="7" borderId="5" xfId="35" applyNumberFormat="1" applyFont="1" applyFill="1" applyBorder="1" applyAlignment="1">
      <alignment horizontal="center" vertical="center"/>
    </xf>
    <xf numFmtId="0" fontId="23" fillId="0" borderId="11" xfId="35" applyFont="1" applyFill="1" applyBorder="1" applyAlignment="1">
      <alignment horizontal="right" vertical="center"/>
    </xf>
    <xf numFmtId="0" fontId="33" fillId="0" borderId="11" xfId="35" applyFont="1" applyFill="1" applyBorder="1" applyAlignment="1">
      <alignment horizontal="center" vertical="center"/>
    </xf>
    <xf numFmtId="0" fontId="23" fillId="0" borderId="11" xfId="35" applyFont="1" applyFill="1" applyBorder="1" applyAlignment="1">
      <alignment horizontal="center" vertical="center"/>
    </xf>
    <xf numFmtId="2" fontId="23" fillId="0" borderId="11" xfId="35" applyNumberFormat="1" applyFont="1" applyFill="1" applyBorder="1" applyAlignment="1">
      <alignment horizontal="center" vertical="center"/>
    </xf>
    <xf numFmtId="181" fontId="23" fillId="0" borderId="11" xfId="35" applyNumberFormat="1" applyFont="1" applyFill="1" applyBorder="1" applyAlignment="1">
      <alignment horizontal="center" vertical="center"/>
    </xf>
    <xf numFmtId="0" fontId="23" fillId="0" borderId="21" xfId="35" applyFont="1" applyFill="1" applyBorder="1" applyAlignment="1">
      <alignment horizontal="center" vertical="center"/>
    </xf>
    <xf numFmtId="0" fontId="34" fillId="9" borderId="0" xfId="0" applyFont="1" applyFill="1" applyBorder="1" applyAlignment="1">
      <alignment horizontal="center" vertical="center" wrapText="1"/>
    </xf>
    <xf numFmtId="0" fontId="34" fillId="9" borderId="45" xfId="0" applyFont="1" applyFill="1" applyBorder="1" applyAlignment="1">
      <alignment horizontal="center" vertical="center" wrapText="1"/>
    </xf>
    <xf numFmtId="0" fontId="34" fillId="9" borderId="0" xfId="0" applyFont="1" applyFill="1" applyBorder="1" applyAlignment="1">
      <alignment horizontal="center" vertical="center"/>
    </xf>
    <xf numFmtId="0" fontId="34" fillId="9" borderId="45" xfId="0" applyFont="1" applyFill="1" applyBorder="1" applyAlignment="1">
      <alignment horizontal="center" vertical="center"/>
    </xf>
    <xf numFmtId="0" fontId="23" fillId="0" borderId="5" xfId="36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 wrapText="1"/>
    </xf>
    <xf numFmtId="0" fontId="26" fillId="6" borderId="11" xfId="35" applyFont="1" applyFill="1" applyBorder="1" applyAlignment="1">
      <alignment horizontal="center" vertical="center" wrapText="1"/>
    </xf>
    <xf numFmtId="0" fontId="26" fillId="6" borderId="34" xfId="35" applyFont="1" applyFill="1" applyBorder="1" applyAlignment="1">
      <alignment horizontal="center" vertical="center" wrapText="1"/>
    </xf>
    <xf numFmtId="0" fontId="26" fillId="6" borderId="36" xfId="35" applyFont="1" applyFill="1" applyBorder="1" applyAlignment="1">
      <alignment horizontal="center" vertical="center" wrapText="1"/>
    </xf>
    <xf numFmtId="0" fontId="26" fillId="6" borderId="17" xfId="35" applyFont="1" applyFill="1" applyBorder="1" applyAlignment="1">
      <alignment horizontal="center" vertical="center" wrapText="1"/>
    </xf>
    <xf numFmtId="0" fontId="26" fillId="6" borderId="21" xfId="35" applyFont="1" applyFill="1" applyBorder="1" applyAlignment="1">
      <alignment horizontal="center" vertical="center" wrapText="1"/>
    </xf>
    <xf numFmtId="0" fontId="25" fillId="6" borderId="47" xfId="35" applyFont="1" applyFill="1" applyBorder="1" applyAlignment="1">
      <alignment horizontal="left" vertical="center" wrapText="1"/>
    </xf>
    <xf numFmtId="0" fontId="25" fillId="6" borderId="48" xfId="35" applyFont="1" applyFill="1" applyBorder="1" applyAlignment="1">
      <alignment horizontal="left" vertical="center" wrapText="1"/>
    </xf>
    <xf numFmtId="0" fontId="25" fillId="6" borderId="39" xfId="35" applyFont="1" applyFill="1" applyBorder="1" applyAlignment="1">
      <alignment horizontal="left" vertical="center" wrapText="1"/>
    </xf>
    <xf numFmtId="0" fontId="26" fillId="6" borderId="23" xfId="35" applyFont="1" applyFill="1" applyBorder="1" applyAlignment="1">
      <alignment horizontal="center" vertical="center" wrapText="1"/>
    </xf>
    <xf numFmtId="0" fontId="26" fillId="6" borderId="35" xfId="35" applyFont="1" applyFill="1" applyBorder="1" applyAlignment="1">
      <alignment horizontal="center" vertical="center" wrapText="1"/>
    </xf>
    <xf numFmtId="0" fontId="26" fillId="6" borderId="16" xfId="35" applyFont="1" applyFill="1" applyBorder="1" applyAlignment="1">
      <alignment horizontal="center" vertical="center" wrapText="1"/>
    </xf>
    <xf numFmtId="0" fontId="26" fillId="6" borderId="40" xfId="35" applyFont="1" applyFill="1" applyBorder="1" applyAlignment="1">
      <alignment horizontal="center" vertical="center" wrapText="1"/>
    </xf>
    <xf numFmtId="0" fontId="26" fillId="6" borderId="46" xfId="35" applyFont="1" applyFill="1" applyBorder="1" applyAlignment="1">
      <alignment horizontal="center" vertical="center" wrapText="1"/>
    </xf>
    <xf numFmtId="0" fontId="26" fillId="6" borderId="49" xfId="35" applyFont="1" applyFill="1" applyBorder="1" applyAlignment="1">
      <alignment horizontal="center" vertical="center" wrapText="1"/>
    </xf>
    <xf numFmtId="0" fontId="26" fillId="6" borderId="5" xfId="35" applyFont="1" applyFill="1" applyBorder="1" applyAlignment="1">
      <alignment horizontal="center" vertical="center"/>
    </xf>
    <xf numFmtId="10" fontId="26" fillId="6" borderId="5" xfId="35" applyNumberFormat="1" applyFont="1" applyFill="1" applyBorder="1" applyAlignment="1">
      <alignment horizontal="center" vertical="center" wrapText="1"/>
    </xf>
    <xf numFmtId="10" fontId="26" fillId="6" borderId="11" xfId="35" applyNumberFormat="1" applyFont="1" applyFill="1" applyBorder="1" applyAlignment="1">
      <alignment horizontal="center" vertical="center" wrapText="1"/>
    </xf>
    <xf numFmtId="0" fontId="37" fillId="0" borderId="12" xfId="35" applyFont="1" applyFill="1" applyBorder="1" applyAlignment="1">
      <alignment horizontal="center" vertical="center" wrapText="1"/>
    </xf>
    <xf numFmtId="0" fontId="37" fillId="0" borderId="6" xfId="35" applyFont="1" applyFill="1" applyBorder="1" applyAlignment="1">
      <alignment horizontal="center" vertical="center" wrapText="1"/>
    </xf>
    <xf numFmtId="0" fontId="23" fillId="0" borderId="34" xfId="35" applyFont="1" applyFill="1" applyBorder="1" applyAlignment="1">
      <alignment horizontal="center" vertical="center" wrapText="1"/>
    </xf>
    <xf numFmtId="0" fontId="23" fillId="0" borderId="38" xfId="35" applyFont="1" applyFill="1" applyBorder="1" applyAlignment="1">
      <alignment horizontal="center" vertical="center" wrapText="1"/>
    </xf>
    <xf numFmtId="0" fontId="36" fillId="0" borderId="46" xfId="35" applyFont="1" applyFill="1" applyBorder="1" applyAlignment="1">
      <alignment horizontal="center" vertical="center" wrapText="1"/>
    </xf>
    <xf numFmtId="0" fontId="36" fillId="0" borderId="49" xfId="35" applyFont="1" applyFill="1" applyBorder="1" applyAlignment="1">
      <alignment horizontal="center" vertical="center" wrapText="1"/>
    </xf>
    <xf numFmtId="0" fontId="36" fillId="0" borderId="34" xfId="35" applyFont="1" applyFill="1" applyBorder="1" applyAlignment="1">
      <alignment horizontal="center" vertical="center" wrapText="1"/>
    </xf>
    <xf numFmtId="0" fontId="36" fillId="0" borderId="38" xfId="35" applyFont="1" applyFill="1" applyBorder="1" applyAlignment="1">
      <alignment horizontal="center" vertical="center" wrapText="1"/>
    </xf>
    <xf numFmtId="0" fontId="33" fillId="0" borderId="34" xfId="35" applyFont="1" applyFill="1" applyBorder="1" applyAlignment="1">
      <alignment horizontal="center" vertical="center" wrapText="1"/>
    </xf>
    <xf numFmtId="0" fontId="33" fillId="0" borderId="38" xfId="35" applyFont="1" applyFill="1" applyBorder="1" applyAlignment="1">
      <alignment horizontal="center" vertical="center" wrapText="1"/>
    </xf>
    <xf numFmtId="0" fontId="25" fillId="6" borderId="5" xfId="35" applyFont="1" applyFill="1" applyBorder="1" applyAlignment="1">
      <alignment horizontal="left" vertical="center" wrapText="1"/>
    </xf>
    <xf numFmtId="0" fontId="26" fillId="6" borderId="15" xfId="35" applyFont="1" applyFill="1" applyBorder="1" applyAlignment="1">
      <alignment horizontal="center" vertical="center" wrapText="1"/>
    </xf>
    <xf numFmtId="0" fontId="26" fillId="6" borderId="43" xfId="35" applyFont="1" applyFill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53" xfId="35" applyFont="1" applyFill="1" applyBorder="1" applyAlignment="1">
      <alignment horizontal="center" vertical="center" wrapText="1"/>
    </xf>
    <xf numFmtId="0" fontId="23" fillId="0" borderId="22" xfId="35" applyFont="1" applyFill="1" applyBorder="1" applyAlignment="1">
      <alignment horizontal="center" vertical="center" wrapText="1"/>
    </xf>
    <xf numFmtId="0" fontId="23" fillId="0" borderId="10" xfId="35" applyFont="1" applyFill="1" applyBorder="1" applyAlignment="1">
      <alignment horizontal="center" vertical="center" wrapText="1"/>
    </xf>
    <xf numFmtId="179" fontId="23" fillId="0" borderId="53" xfId="0" applyNumberFormat="1" applyFont="1" applyFill="1" applyBorder="1" applyAlignment="1">
      <alignment horizontal="center" vertical="center"/>
    </xf>
    <xf numFmtId="179" fontId="23" fillId="0" borderId="22" xfId="0" applyNumberFormat="1" applyFont="1" applyFill="1" applyBorder="1" applyAlignment="1">
      <alignment horizontal="center" vertical="center"/>
    </xf>
    <xf numFmtId="179" fontId="23" fillId="0" borderId="10" xfId="0" applyNumberFormat="1" applyFont="1" applyFill="1" applyBorder="1" applyAlignment="1">
      <alignment horizontal="center" vertical="center"/>
    </xf>
    <xf numFmtId="0" fontId="23" fillId="0" borderId="51" xfId="35" applyFont="1" applyFill="1" applyBorder="1" applyAlignment="1">
      <alignment horizontal="center" vertical="center" wrapText="1"/>
    </xf>
    <xf numFmtId="0" fontId="23" fillId="0" borderId="52" xfId="35" applyFont="1" applyFill="1" applyBorder="1" applyAlignment="1">
      <alignment horizontal="center" vertical="center" wrapText="1"/>
    </xf>
    <xf numFmtId="0" fontId="23" fillId="0" borderId="19" xfId="35" applyFont="1" applyFill="1" applyBorder="1" applyAlignment="1">
      <alignment horizontal="center" vertical="center" wrapText="1"/>
    </xf>
    <xf numFmtId="1" fontId="23" fillId="0" borderId="53" xfId="0" applyNumberFormat="1" applyFont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0" fontId="26" fillId="6" borderId="10" xfId="35" applyFont="1" applyFill="1" applyBorder="1" applyAlignment="1">
      <alignment horizontal="center" vertical="center" wrapText="1"/>
    </xf>
    <xf numFmtId="0" fontId="26" fillId="6" borderId="10" xfId="35" applyFont="1" applyFill="1" applyBorder="1" applyAlignment="1">
      <alignment horizontal="center" vertical="center"/>
    </xf>
    <xf numFmtId="0" fontId="26" fillId="6" borderId="12" xfId="35" applyFont="1" applyFill="1" applyBorder="1" applyAlignment="1">
      <alignment horizontal="center" vertical="center" wrapText="1"/>
    </xf>
    <xf numFmtId="0" fontId="26" fillId="6" borderId="19" xfId="35" applyFont="1" applyFill="1" applyBorder="1" applyAlignment="1">
      <alignment horizontal="center" vertical="center" wrapText="1"/>
    </xf>
    <xf numFmtId="0" fontId="22" fillId="0" borderId="0" xfId="35" applyFont="1" applyFill="1" applyBorder="1" applyAlignment="1">
      <alignment horizontal="left" vertical="center" wrapText="1"/>
    </xf>
    <xf numFmtId="0" fontId="25" fillId="6" borderId="54" xfId="35" applyFont="1" applyFill="1" applyBorder="1" applyAlignment="1">
      <alignment horizontal="left" vertical="center" wrapText="1"/>
    </xf>
    <xf numFmtId="0" fontId="25" fillId="6" borderId="55" xfId="35" applyFont="1" applyFill="1" applyBorder="1" applyAlignment="1">
      <alignment horizontal="left" vertical="center" wrapText="1"/>
    </xf>
    <xf numFmtId="0" fontId="25" fillId="6" borderId="56" xfId="35" applyFont="1" applyFill="1" applyBorder="1" applyAlignment="1">
      <alignment horizontal="left" vertical="center" wrapText="1"/>
    </xf>
    <xf numFmtId="0" fontId="26" fillId="6" borderId="6" xfId="35" applyFont="1" applyFill="1" applyBorder="1" applyAlignment="1">
      <alignment horizontal="center" vertical="center" wrapText="1"/>
    </xf>
    <xf numFmtId="0" fontId="34" fillId="6" borderId="10" xfId="35" applyFont="1" applyFill="1" applyBorder="1" applyAlignment="1">
      <alignment horizontal="center" vertical="center" wrapText="1"/>
    </xf>
    <xf numFmtId="0" fontId="34" fillId="6" borderId="11" xfId="35" applyFont="1" applyFill="1" applyBorder="1" applyAlignment="1">
      <alignment horizontal="center" vertical="center" wrapText="1"/>
    </xf>
    <xf numFmtId="0" fontId="29" fillId="0" borderId="57" xfId="0" applyFont="1" applyFill="1" applyBorder="1" applyAlignment="1">
      <alignment horizontal="center" vertical="center"/>
    </xf>
    <xf numFmtId="0" fontId="29" fillId="0" borderId="25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3" fillId="0" borderId="53" xfId="35" applyFont="1" applyFill="1" applyBorder="1" applyAlignment="1">
      <alignment horizontal="left" vertical="center" wrapText="1"/>
    </xf>
    <xf numFmtId="0" fontId="23" fillId="0" borderId="22" xfId="35" applyFont="1" applyFill="1" applyBorder="1" applyAlignment="1">
      <alignment horizontal="left" vertical="center" wrapText="1"/>
    </xf>
    <xf numFmtId="0" fontId="23" fillId="0" borderId="10" xfId="35" applyFont="1" applyFill="1" applyBorder="1" applyAlignment="1">
      <alignment horizontal="left" vertical="center" wrapText="1"/>
    </xf>
    <xf numFmtId="0" fontId="26" fillId="6" borderId="18" xfId="35" applyFont="1" applyFill="1" applyBorder="1" applyAlignment="1">
      <alignment horizontal="center" vertical="center" wrapText="1"/>
    </xf>
    <xf numFmtId="0" fontId="26" fillId="6" borderId="22" xfId="35" applyFont="1" applyFill="1" applyBorder="1" applyAlignment="1">
      <alignment horizontal="center" vertical="center" wrapText="1"/>
    </xf>
    <xf numFmtId="0" fontId="25" fillId="6" borderId="26" xfId="35" applyFont="1" applyFill="1" applyBorder="1" applyAlignment="1">
      <alignment horizontal="left" vertical="center" wrapText="1"/>
    </xf>
    <xf numFmtId="0" fontId="25" fillId="6" borderId="2" xfId="35" applyFont="1" applyFill="1" applyBorder="1" applyAlignment="1">
      <alignment horizontal="left" vertical="center" wrapText="1"/>
    </xf>
    <xf numFmtId="0" fontId="25" fillId="6" borderId="50" xfId="35" applyFont="1" applyFill="1" applyBorder="1" applyAlignment="1">
      <alignment horizontal="left" vertical="center" wrapText="1"/>
    </xf>
    <xf numFmtId="0" fontId="33" fillId="0" borderId="15" xfId="35" applyFont="1" applyFill="1" applyBorder="1" applyAlignment="1">
      <alignment horizontal="center" vertical="center" wrapText="1"/>
    </xf>
    <xf numFmtId="0" fontId="33" fillId="0" borderId="10" xfId="35" applyFont="1" applyFill="1" applyBorder="1" applyAlignment="1">
      <alignment horizontal="center" vertical="center" wrapText="1"/>
    </xf>
    <xf numFmtId="0" fontId="33" fillId="0" borderId="20" xfId="35" applyFont="1" applyFill="1" applyBorder="1" applyAlignment="1">
      <alignment horizontal="center" vertical="center" wrapText="1"/>
    </xf>
    <xf numFmtId="0" fontId="33" fillId="0" borderId="19" xfId="35" applyFont="1" applyFill="1" applyBorder="1" applyAlignment="1">
      <alignment horizontal="center" vertical="center" wrapText="1"/>
    </xf>
    <xf numFmtId="0" fontId="23" fillId="0" borderId="15" xfId="35" applyFont="1" applyFill="1" applyBorder="1" applyAlignment="1">
      <alignment horizontal="left" vertical="center" wrapText="1"/>
    </xf>
    <xf numFmtId="0" fontId="23" fillId="0" borderId="15" xfId="35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/>
    </xf>
    <xf numFmtId="179" fontId="33" fillId="0" borderId="15" xfId="0" applyNumberFormat="1" applyFont="1" applyFill="1" applyBorder="1" applyAlignment="1">
      <alignment horizontal="center" vertical="center"/>
    </xf>
    <xf numFmtId="179" fontId="33" fillId="0" borderId="10" xfId="0" applyNumberFormat="1" applyFont="1" applyFill="1" applyBorder="1" applyAlignment="1">
      <alignment horizontal="center" vertical="center"/>
    </xf>
    <xf numFmtId="179" fontId="33" fillId="0" borderId="15" xfId="0" applyNumberFormat="1" applyFont="1" applyBorder="1" applyAlignment="1">
      <alignment horizontal="center" vertical="center"/>
    </xf>
    <xf numFmtId="179" fontId="33" fillId="0" borderId="10" xfId="0" applyNumberFormat="1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2" fillId="0" borderId="0" xfId="35" applyFont="1" applyFill="1" applyBorder="1" applyAlignment="1">
      <alignment horizontal="center" vertical="center" wrapText="1"/>
    </xf>
    <xf numFmtId="4" fontId="33" fillId="0" borderId="43" xfId="35" applyNumberFormat="1" applyFont="1" applyFill="1" applyBorder="1" applyAlignment="1">
      <alignment horizontal="center" vertical="center" wrapText="1"/>
    </xf>
  </cellXfs>
  <cellStyles count="58">
    <cellStyle name="0.0" xfId="1"/>
    <cellStyle name="ac" xfId="2"/>
    <cellStyle name="arial12" xfId="3"/>
    <cellStyle name="arial14" xfId="4"/>
    <cellStyle name="Bold 11" xfId="5"/>
    <cellStyle name="Comma0" xfId="6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Excel Built-in Normal" xfId="15"/>
    <cellStyle name="Grey" xfId="16"/>
    <cellStyle name="Header1" xfId="17"/>
    <cellStyle name="Header2" xfId="18"/>
    <cellStyle name="Input %" xfId="19"/>
    <cellStyle name="Input [yellow]" xfId="20"/>
    <cellStyle name="Input 1" xfId="21"/>
    <cellStyle name="Input 3" xfId="22"/>
    <cellStyle name="Millares [0]_RESULTS" xfId="23"/>
    <cellStyle name="Millares_RESULTS" xfId="24"/>
    <cellStyle name="Milliers [0]_EDYAN" xfId="25"/>
    <cellStyle name="Milliers_EDYAN" xfId="26"/>
    <cellStyle name="Moneda [0]_RESULTS" xfId="27"/>
    <cellStyle name="Moneda_RESULTS" xfId="28"/>
    <cellStyle name="Monétaire [0]_EDYAN" xfId="29"/>
    <cellStyle name="Monétaire_EDYAN" xfId="30"/>
    <cellStyle name="Month" xfId="31"/>
    <cellStyle name="no dec" xfId="32"/>
    <cellStyle name="Normal" xfId="0" builtinId="0"/>
    <cellStyle name="Normal - Style1" xfId="33"/>
    <cellStyle name="Normal 11" xfId="34"/>
    <cellStyle name="Normal 2" xfId="35"/>
    <cellStyle name="Normal 3" xfId="36"/>
    <cellStyle name="Numero" xfId="37"/>
    <cellStyle name="padroes" xfId="38"/>
    <cellStyle name="Percent ()" xfId="39"/>
    <cellStyle name="Percent (0)" xfId="40"/>
    <cellStyle name="Percent (1)" xfId="41"/>
    <cellStyle name="Percent [2]" xfId="42"/>
    <cellStyle name="Percent 1" xfId="43"/>
    <cellStyle name="Percent 2" xfId="44"/>
    <cellStyle name="RAMEY" xfId="45"/>
    <cellStyle name="Ramey $k" xfId="46"/>
    <cellStyle name="RAMEY_P&amp;O BKUP" xfId="47"/>
    <cellStyle name="Shaded" xfId="48"/>
    <cellStyle name="sub-total" xfId="49"/>
    <cellStyle name="Sum" xfId="50"/>
    <cellStyle name="Sum %of HV" xfId="51"/>
    <cellStyle name="Thousands (0)" xfId="52"/>
    <cellStyle name="Thousands (1)" xfId="53"/>
    <cellStyle name="time" xfId="54"/>
    <cellStyle name="Total" xfId="55" builtinId="25" customBuiltin="1"/>
    <cellStyle name="Underline 2" xfId="56"/>
    <cellStyle name="Year" xfId="5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0</xdr:row>
      <xdr:rowOff>91440</xdr:rowOff>
    </xdr:from>
    <xdr:to>
      <xdr:col>2</xdr:col>
      <xdr:colOff>472440</xdr:colOff>
      <xdr:row>4</xdr:row>
      <xdr:rowOff>190500</xdr:rowOff>
    </xdr:to>
    <xdr:pic>
      <xdr:nvPicPr>
        <xdr:cNvPr id="19707" name="Imagem 2" descr="Município de Cascavel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" y="91440"/>
          <a:ext cx="1394460" cy="1013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0</xdr:rowOff>
    </xdr:from>
    <xdr:to>
      <xdr:col>0</xdr:col>
      <xdr:colOff>1150620</xdr:colOff>
      <xdr:row>4</xdr:row>
      <xdr:rowOff>190500</xdr:rowOff>
    </xdr:to>
    <xdr:pic>
      <xdr:nvPicPr>
        <xdr:cNvPr id="18618" name="Imagem 2" descr="Município de Cascav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" y="198120"/>
          <a:ext cx="1059180" cy="78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ID/BID/DOCS%20INICIAIS%20%20EXECU&#199;&#195;O-29-01-2014/PLANO%20AQUISI&#199;&#213;ES/NOVO%20PA-BID%20AGO-2015/PA%20%20PROCIDADES%20Cascavel%20Rev.%20MTA%2014-07-15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cesso%20tps\EXCEL\Orcamentos\Aeroporto-Infraero-Navegant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120">
          <cell r="E120" t="str">
            <v>Seleção Baseada na Qualidade e Custo (SBQC)</v>
          </cell>
        </row>
        <row r="121">
          <cell r="E121" t="str">
            <v>Seleção Baseada na Qualidade (SBQ)</v>
          </cell>
        </row>
        <row r="122">
          <cell r="E122" t="str">
            <v>Seleção Baseada nas Qualificações do Consultor (SQC)</v>
          </cell>
        </row>
        <row r="123">
          <cell r="E123" t="str">
            <v>Contratação Direta (CD)</v>
          </cell>
        </row>
        <row r="124">
          <cell r="E124" t="str">
            <v>Sistema Nacional (SN)</v>
          </cell>
        </row>
        <row r="125">
          <cell r="E125" t="str">
            <v>Seleção Baseada no Menor Custo (SBMC) </v>
          </cell>
        </row>
        <row r="126">
          <cell r="E126" t="str">
            <v>Seleção Baseada em Orçamento Fixo (SBOF)</v>
          </cell>
        </row>
        <row r="127">
          <cell r="E127" t="str">
            <v>Licitação Pública Nacional (LPN)</v>
          </cell>
        </row>
        <row r="128">
          <cell r="E128" t="str">
            <v>Comparação de Preços (CP)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E149"/>
  <sheetViews>
    <sheetView tabSelected="1" view="pageBreakPreview" topLeftCell="J49" zoomScale="90" zoomScaleSheetLayoutView="90" workbookViewId="0">
      <selection activeCell="Q57" sqref="Q57"/>
    </sheetView>
  </sheetViews>
  <sheetFormatPr defaultColWidth="8.6640625" defaultRowHeight="15.6"/>
  <cols>
    <col min="1" max="1" width="8.44140625" style="2" customWidth="1"/>
    <col min="2" max="2" width="6.88671875" style="2" customWidth="1"/>
    <col min="3" max="3" width="70.88671875" style="2" customWidth="1"/>
    <col min="4" max="4" width="17" style="2" customWidth="1"/>
    <col min="5" max="5" width="36.6640625" style="2" customWidth="1"/>
    <col min="6" max="6" width="15.88671875" style="2" customWidth="1"/>
    <col min="7" max="7" width="12.88671875" style="2" customWidth="1"/>
    <col min="8" max="8" width="15.6640625" style="4" customWidth="1"/>
    <col min="9" max="9" width="15.6640625" style="5" customWidth="1"/>
    <col min="10" max="10" width="18" style="5" customWidth="1"/>
    <col min="11" max="11" width="12.6640625" style="2" customWidth="1"/>
    <col min="12" max="12" width="19.5546875" style="2" customWidth="1"/>
    <col min="13" max="13" width="15.5546875" style="2" customWidth="1"/>
    <col min="14" max="14" width="16.33203125" style="2" customWidth="1"/>
    <col min="15" max="17" width="18.88671875" style="2" customWidth="1"/>
    <col min="18" max="16384" width="8.6640625" style="2"/>
  </cols>
  <sheetData>
    <row r="1" spans="1:20">
      <c r="B1" s="3"/>
    </row>
    <row r="2" spans="1:20" ht="25.5" customHeight="1">
      <c r="B2" s="107"/>
      <c r="C2" s="159"/>
      <c r="D2" s="159" t="s">
        <v>14</v>
      </c>
      <c r="E2" s="159"/>
      <c r="F2" s="159"/>
      <c r="G2" s="159"/>
      <c r="H2" s="159"/>
      <c r="I2" s="159"/>
      <c r="J2" s="159"/>
      <c r="K2" s="159"/>
      <c r="L2" s="159"/>
      <c r="M2" s="159"/>
      <c r="N2" s="159"/>
      <c r="O2"/>
    </row>
    <row r="3" spans="1:20">
      <c r="B3" s="34"/>
      <c r="C3"/>
      <c r="D3" s="159" t="s">
        <v>161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0">
      <c r="B4" s="44"/>
      <c r="C4"/>
      <c r="D4" s="159" t="s">
        <v>20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20">
      <c r="B5" s="7"/>
      <c r="C5" s="159"/>
      <c r="D5" s="159" t="s">
        <v>160</v>
      </c>
      <c r="E5" s="1"/>
      <c r="F5" s="1"/>
      <c r="G5" s="1"/>
      <c r="H5" s="1"/>
      <c r="I5" s="1"/>
      <c r="J5" s="1"/>
      <c r="K5" s="1"/>
      <c r="L5" s="1"/>
      <c r="M5" s="1"/>
      <c r="N5" s="1"/>
      <c r="O5"/>
    </row>
    <row r="6" spans="1:20">
      <c r="B6" s="3"/>
    </row>
    <row r="7" spans="1:20">
      <c r="A7" s="8" t="s">
        <v>219</v>
      </c>
      <c r="B7" s="9"/>
      <c r="C7" s="9"/>
      <c r="D7" s="43" t="s">
        <v>147</v>
      </c>
      <c r="E7" s="171">
        <v>3.2229000000000001</v>
      </c>
    </row>
    <row r="8" spans="1:20">
      <c r="A8" s="8" t="s">
        <v>185</v>
      </c>
      <c r="B8" s="10"/>
      <c r="C8" s="10"/>
    </row>
    <row r="9" spans="1:20">
      <c r="A9" s="8" t="s">
        <v>35</v>
      </c>
      <c r="B9" s="10"/>
      <c r="C9" s="10"/>
      <c r="D9" s="59"/>
      <c r="E9" s="8"/>
    </row>
    <row r="11" spans="1:20">
      <c r="B11" s="11"/>
    </row>
    <row r="12" spans="1:20" ht="15.75" customHeight="1"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13"/>
      <c r="S12" s="13"/>
      <c r="T12" s="13"/>
    </row>
    <row r="13" spans="1:20" ht="15.75" customHeight="1" thickBot="1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  <c r="T13" s="13"/>
    </row>
    <row r="14" spans="1:20" ht="16.2" thickBot="1">
      <c r="A14" s="81">
        <v>1</v>
      </c>
      <c r="B14" s="296" t="s">
        <v>37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8"/>
      <c r="R14" s="13"/>
      <c r="S14" s="13"/>
      <c r="T14" s="13"/>
    </row>
    <row r="15" spans="1:20" ht="14.4" customHeight="1">
      <c r="A15" s="30"/>
      <c r="B15" s="299" t="s">
        <v>38</v>
      </c>
      <c r="C15" s="291" t="s">
        <v>39</v>
      </c>
      <c r="D15" s="291" t="s">
        <v>40</v>
      </c>
      <c r="E15" s="291" t="s">
        <v>41</v>
      </c>
      <c r="F15" s="291" t="s">
        <v>42</v>
      </c>
      <c r="G15" s="291" t="s">
        <v>43</v>
      </c>
      <c r="H15" s="292" t="s">
        <v>44</v>
      </c>
      <c r="I15" s="292"/>
      <c r="J15" s="292"/>
      <c r="K15" s="300" t="s">
        <v>45</v>
      </c>
      <c r="L15" s="291" t="s">
        <v>46</v>
      </c>
      <c r="M15" s="291" t="s">
        <v>47</v>
      </c>
      <c r="N15" s="291"/>
      <c r="O15" s="291" t="s">
        <v>48</v>
      </c>
      <c r="P15" s="291" t="s">
        <v>49</v>
      </c>
      <c r="Q15" s="294" t="s">
        <v>16</v>
      </c>
      <c r="R15" s="13"/>
      <c r="S15" s="13"/>
      <c r="T15" s="13"/>
    </row>
    <row r="16" spans="1:20" ht="73.5" customHeight="1" thickBot="1">
      <c r="A16" s="80"/>
      <c r="B16" s="246"/>
      <c r="C16" s="246"/>
      <c r="D16" s="246"/>
      <c r="E16" s="246"/>
      <c r="F16" s="246"/>
      <c r="G16" s="246"/>
      <c r="H16" s="75" t="s">
        <v>50</v>
      </c>
      <c r="I16" s="76" t="s">
        <v>51</v>
      </c>
      <c r="J16" s="76" t="s">
        <v>52</v>
      </c>
      <c r="K16" s="301"/>
      <c r="L16" s="246"/>
      <c r="M16" s="74" t="s">
        <v>53</v>
      </c>
      <c r="N16" s="74" t="s">
        <v>54</v>
      </c>
      <c r="O16" s="246"/>
      <c r="P16" s="246"/>
      <c r="Q16" s="250"/>
      <c r="R16" s="13"/>
      <c r="S16" s="13"/>
      <c r="T16" s="13"/>
    </row>
    <row r="17" spans="1:213" ht="31.5" customHeight="1">
      <c r="A17" s="302">
        <v>1.1000000000000001</v>
      </c>
      <c r="B17" s="279" t="s">
        <v>4</v>
      </c>
      <c r="C17" s="305" t="s">
        <v>55</v>
      </c>
      <c r="D17" s="20" t="s">
        <v>150</v>
      </c>
      <c r="E17" s="279" t="s">
        <v>56</v>
      </c>
      <c r="F17" s="73">
        <v>1</v>
      </c>
      <c r="G17" s="279" t="s">
        <v>150</v>
      </c>
      <c r="H17" s="69">
        <f>SUM(41252899.49/E$7)/1000</f>
        <v>12799.931580253809</v>
      </c>
      <c r="I17" s="288">
        <v>65</v>
      </c>
      <c r="J17" s="288">
        <v>35</v>
      </c>
      <c r="K17" s="276" t="s">
        <v>21</v>
      </c>
      <c r="L17" s="279" t="s">
        <v>58</v>
      </c>
      <c r="M17" s="282" t="s">
        <v>59</v>
      </c>
      <c r="N17" s="63">
        <v>42082</v>
      </c>
      <c r="O17" s="73" t="s">
        <v>148</v>
      </c>
      <c r="P17" s="279" t="s">
        <v>149</v>
      </c>
      <c r="Q17" s="285" t="s">
        <v>60</v>
      </c>
      <c r="R17" s="13"/>
      <c r="S17" s="13"/>
      <c r="T17" s="13"/>
    </row>
    <row r="18" spans="1:213" ht="84" customHeight="1">
      <c r="A18" s="303"/>
      <c r="B18" s="280"/>
      <c r="C18" s="306"/>
      <c r="D18" s="20" t="s">
        <v>173</v>
      </c>
      <c r="E18" s="280"/>
      <c r="F18" s="73" t="s">
        <v>190</v>
      </c>
      <c r="G18" s="280"/>
      <c r="H18" s="69">
        <f>SUM(6469014.41/E$7)/1000</f>
        <v>2007.2029569642248</v>
      </c>
      <c r="I18" s="289"/>
      <c r="J18" s="289"/>
      <c r="K18" s="277"/>
      <c r="L18" s="280"/>
      <c r="M18" s="283"/>
      <c r="N18" s="63">
        <v>42342</v>
      </c>
      <c r="O18" s="73"/>
      <c r="P18" s="280"/>
      <c r="Q18" s="286"/>
      <c r="R18" s="13"/>
      <c r="S18" s="13"/>
      <c r="T18" s="13"/>
    </row>
    <row r="19" spans="1:213" ht="46.8">
      <c r="A19" s="303"/>
      <c r="B19" s="280"/>
      <c r="C19" s="306"/>
      <c r="D19" s="20" t="s">
        <v>187</v>
      </c>
      <c r="E19" s="280"/>
      <c r="F19" s="197" t="s">
        <v>192</v>
      </c>
      <c r="G19" s="280"/>
      <c r="H19" s="172">
        <f>SUM(3111268.58/E$7)/1000</f>
        <v>965.36305190977066</v>
      </c>
      <c r="I19" s="289"/>
      <c r="J19" s="289"/>
      <c r="K19" s="277"/>
      <c r="L19" s="280"/>
      <c r="M19" s="283"/>
      <c r="N19" s="64">
        <v>42429</v>
      </c>
      <c r="O19" s="73"/>
      <c r="P19" s="280"/>
      <c r="Q19" s="286"/>
      <c r="R19" s="13"/>
      <c r="S19" s="13"/>
      <c r="T19" s="13"/>
    </row>
    <row r="20" spans="1:213" ht="88.8" customHeight="1">
      <c r="A20" s="303"/>
      <c r="B20" s="280"/>
      <c r="C20" s="306"/>
      <c r="D20" s="20" t="s">
        <v>188</v>
      </c>
      <c r="E20" s="280"/>
      <c r="F20" s="197" t="s">
        <v>191</v>
      </c>
      <c r="G20" s="280"/>
      <c r="H20" s="172">
        <f>SUM(10356155.32/E$7)/1000</f>
        <v>3213.3033355052903</v>
      </c>
      <c r="I20" s="289"/>
      <c r="J20" s="289"/>
      <c r="K20" s="277"/>
      <c r="L20" s="280"/>
      <c r="M20" s="283"/>
      <c r="N20" s="64">
        <v>42473</v>
      </c>
      <c r="O20" s="73"/>
      <c r="P20" s="280"/>
      <c r="Q20" s="286"/>
      <c r="R20" s="13"/>
      <c r="S20" s="13"/>
      <c r="T20" s="13"/>
    </row>
    <row r="21" spans="1:213" ht="69" customHeight="1">
      <c r="A21" s="304"/>
      <c r="B21" s="281"/>
      <c r="C21" s="307"/>
      <c r="D21" s="20" t="s">
        <v>189</v>
      </c>
      <c r="E21" s="281"/>
      <c r="F21" s="197" t="s">
        <v>193</v>
      </c>
      <c r="G21" s="281"/>
      <c r="H21" s="172">
        <f>SUM(772569.19/E$7)/1000</f>
        <v>239.71242979924909</v>
      </c>
      <c r="I21" s="290"/>
      <c r="J21" s="290"/>
      <c r="K21" s="278"/>
      <c r="L21" s="281"/>
      <c r="M21" s="284"/>
      <c r="N21" s="64">
        <v>42521</v>
      </c>
      <c r="O21" s="73"/>
      <c r="P21" s="281"/>
      <c r="Q21" s="287"/>
      <c r="R21" s="13"/>
      <c r="S21" s="13"/>
      <c r="T21" s="13"/>
    </row>
    <row r="22" spans="1:213">
      <c r="A22" s="89">
        <v>1.2</v>
      </c>
      <c r="B22" s="16" t="s">
        <v>4</v>
      </c>
      <c r="C22" s="14" t="s">
        <v>61</v>
      </c>
      <c r="D22" s="14"/>
      <c r="E22" s="16" t="s">
        <v>56</v>
      </c>
      <c r="F22" s="16">
        <v>1</v>
      </c>
      <c r="G22" s="25" t="s">
        <v>57</v>
      </c>
      <c r="H22" s="65">
        <f>SUM(14000000/E$7)/1000</f>
        <v>4343.9138663936201</v>
      </c>
      <c r="I22" s="146">
        <v>50</v>
      </c>
      <c r="J22" s="146">
        <v>50</v>
      </c>
      <c r="K22" s="62" t="s">
        <v>22</v>
      </c>
      <c r="L22" s="16" t="s">
        <v>66</v>
      </c>
      <c r="M22" s="147">
        <v>42671</v>
      </c>
      <c r="N22" s="64">
        <v>42731</v>
      </c>
      <c r="O22" s="16" t="s">
        <v>174</v>
      </c>
      <c r="P22" s="25" t="s">
        <v>57</v>
      </c>
      <c r="Q22" s="99" t="s">
        <v>65</v>
      </c>
      <c r="R22" s="13"/>
      <c r="S22" s="13"/>
      <c r="T22" s="13"/>
    </row>
    <row r="23" spans="1:213">
      <c r="A23" s="89">
        <v>1.3</v>
      </c>
      <c r="B23" s="16" t="s">
        <v>4</v>
      </c>
      <c r="C23" s="148" t="s">
        <v>204</v>
      </c>
      <c r="D23" s="14"/>
      <c r="E23" s="16" t="s">
        <v>56</v>
      </c>
      <c r="F23" s="16">
        <v>1</v>
      </c>
      <c r="G23" s="25" t="s">
        <v>57</v>
      </c>
      <c r="H23" s="145">
        <f>SUM(5981886.87/E$7)/1000</f>
        <v>1856.0572372707809</v>
      </c>
      <c r="I23" s="66">
        <v>43</v>
      </c>
      <c r="J23" s="66">
        <v>57</v>
      </c>
      <c r="K23" s="67" t="s">
        <v>23</v>
      </c>
      <c r="L23" s="16" t="s">
        <v>66</v>
      </c>
      <c r="M23" s="147">
        <v>42579</v>
      </c>
      <c r="N23" s="64">
        <v>42656</v>
      </c>
      <c r="O23" s="16"/>
      <c r="P23" s="25" t="s">
        <v>57</v>
      </c>
      <c r="Q23" s="99" t="s">
        <v>65</v>
      </c>
      <c r="R23" s="13"/>
      <c r="S23" s="13"/>
      <c r="T23" s="13"/>
    </row>
    <row r="24" spans="1:213">
      <c r="A24" s="163">
        <v>1.4</v>
      </c>
      <c r="B24" s="16" t="s">
        <v>4</v>
      </c>
      <c r="C24" s="14" t="s">
        <v>175</v>
      </c>
      <c r="D24" s="150"/>
      <c r="E24" s="16" t="s">
        <v>56</v>
      </c>
      <c r="F24" s="16">
        <v>1</v>
      </c>
      <c r="G24" s="25" t="s">
        <v>57</v>
      </c>
      <c r="H24" s="145">
        <f>SUM(4571853.66/E$7)/1000</f>
        <v>1418.5527506283161</v>
      </c>
      <c r="I24" s="61">
        <v>100</v>
      </c>
      <c r="J24" s="61">
        <v>0</v>
      </c>
      <c r="K24" s="62" t="s">
        <v>24</v>
      </c>
      <c r="L24" s="16" t="s">
        <v>66</v>
      </c>
      <c r="M24" s="147">
        <v>42531</v>
      </c>
      <c r="N24" s="64">
        <v>42685</v>
      </c>
      <c r="O24" s="25"/>
      <c r="P24" s="25" t="s">
        <v>57</v>
      </c>
      <c r="Q24" s="151" t="s">
        <v>99</v>
      </c>
      <c r="R24" s="13"/>
      <c r="S24" s="13"/>
      <c r="T24" s="13"/>
    </row>
    <row r="25" spans="1:213">
      <c r="A25" s="149">
        <v>1.1499999999999999</v>
      </c>
      <c r="B25" s="16" t="s">
        <v>4</v>
      </c>
      <c r="C25" s="14" t="s">
        <v>176</v>
      </c>
      <c r="D25" s="150"/>
      <c r="E25" s="16" t="s">
        <v>56</v>
      </c>
      <c r="F25" s="16">
        <v>1</v>
      </c>
      <c r="G25" s="25" t="s">
        <v>57</v>
      </c>
      <c r="H25" s="145">
        <f>SUM(8000000/E$7)/1000</f>
        <v>2482.2364950820688</v>
      </c>
      <c r="I25" s="146">
        <v>87</v>
      </c>
      <c r="J25" s="146">
        <v>13</v>
      </c>
      <c r="K25" s="62" t="s">
        <v>24</v>
      </c>
      <c r="L25" s="16" t="s">
        <v>66</v>
      </c>
      <c r="M25" s="147">
        <v>42810</v>
      </c>
      <c r="N25" s="64">
        <v>42865</v>
      </c>
      <c r="O25" s="25"/>
      <c r="P25" s="25" t="s">
        <v>57</v>
      </c>
      <c r="Q25" s="99" t="s">
        <v>65</v>
      </c>
      <c r="R25" s="13"/>
      <c r="S25" s="13"/>
      <c r="T25" s="13"/>
    </row>
    <row r="26" spans="1:213">
      <c r="A26" s="149">
        <v>1.1599999999999999</v>
      </c>
      <c r="B26" s="16" t="s">
        <v>4</v>
      </c>
      <c r="C26" s="14" t="s">
        <v>177</v>
      </c>
      <c r="D26" s="150"/>
      <c r="E26" s="16" t="s">
        <v>56</v>
      </c>
      <c r="F26" s="16">
        <v>1</v>
      </c>
      <c r="G26" s="25" t="s">
        <v>57</v>
      </c>
      <c r="H26" s="65">
        <f>SUM(5000000/E$7)/1000</f>
        <v>1551.397809426293</v>
      </c>
      <c r="I26" s="146">
        <v>80</v>
      </c>
      <c r="J26" s="146">
        <v>20</v>
      </c>
      <c r="K26" s="62" t="s">
        <v>24</v>
      </c>
      <c r="L26" s="16" t="s">
        <v>66</v>
      </c>
      <c r="M26" s="147">
        <v>42726</v>
      </c>
      <c r="N26" s="64">
        <v>42781</v>
      </c>
      <c r="O26" s="25"/>
      <c r="P26" s="25" t="s">
        <v>57</v>
      </c>
      <c r="Q26" s="99" t="s">
        <v>65</v>
      </c>
      <c r="R26" s="13"/>
      <c r="S26" s="13"/>
      <c r="T26" s="13"/>
    </row>
    <row r="27" spans="1:213">
      <c r="A27" s="149">
        <v>1.17</v>
      </c>
      <c r="B27" s="16" t="s">
        <v>4</v>
      </c>
      <c r="C27" s="14" t="s">
        <v>178</v>
      </c>
      <c r="D27" s="150"/>
      <c r="E27" s="16" t="s">
        <v>56</v>
      </c>
      <c r="F27" s="16">
        <v>1</v>
      </c>
      <c r="G27" s="25" t="s">
        <v>57</v>
      </c>
      <c r="H27" s="65">
        <f>SUM(5000000/E$7)/1000</f>
        <v>1551.397809426293</v>
      </c>
      <c r="I27" s="146">
        <v>80</v>
      </c>
      <c r="J27" s="146">
        <v>20</v>
      </c>
      <c r="K27" s="62" t="s">
        <v>24</v>
      </c>
      <c r="L27" s="16" t="s">
        <v>66</v>
      </c>
      <c r="M27" s="147">
        <v>42810</v>
      </c>
      <c r="N27" s="64">
        <v>42865</v>
      </c>
      <c r="O27" s="25"/>
      <c r="P27" s="25" t="s">
        <v>57</v>
      </c>
      <c r="Q27" s="99" t="s">
        <v>65</v>
      </c>
      <c r="R27" s="13"/>
      <c r="S27" s="13"/>
      <c r="T27" s="13"/>
    </row>
    <row r="28" spans="1:213">
      <c r="A28" s="133">
        <v>1.4</v>
      </c>
      <c r="B28" s="129" t="s">
        <v>4</v>
      </c>
      <c r="C28" s="173" t="s">
        <v>179</v>
      </c>
      <c r="D28" s="14"/>
      <c r="E28" s="129" t="s">
        <v>67</v>
      </c>
      <c r="F28" s="129">
        <v>4</v>
      </c>
      <c r="G28" s="129" t="s">
        <v>57</v>
      </c>
      <c r="H28" s="134">
        <f>SUM(14455000/E$7)/1000</f>
        <v>4485.0910670514131</v>
      </c>
      <c r="I28" s="129">
        <v>100</v>
      </c>
      <c r="J28" s="129">
        <v>0</v>
      </c>
      <c r="K28" s="129" t="s">
        <v>24</v>
      </c>
      <c r="L28" s="129" t="s">
        <v>66</v>
      </c>
      <c r="M28" s="129">
        <v>42685</v>
      </c>
      <c r="N28" s="129">
        <v>42712</v>
      </c>
      <c r="O28" s="129"/>
      <c r="P28" s="129" t="s">
        <v>57</v>
      </c>
      <c r="Q28" s="129" t="s">
        <v>65</v>
      </c>
      <c r="R28" s="13"/>
      <c r="S28" s="13"/>
      <c r="T28" s="13"/>
    </row>
    <row r="29" spans="1:213">
      <c r="A29" s="89">
        <v>1.5</v>
      </c>
      <c r="B29" s="16" t="s">
        <v>4</v>
      </c>
      <c r="C29" s="14" t="s">
        <v>184</v>
      </c>
      <c r="D29" s="14"/>
      <c r="E29" s="16" t="s">
        <v>56</v>
      </c>
      <c r="F29" s="16">
        <v>1</v>
      </c>
      <c r="G29" s="25" t="s">
        <v>57</v>
      </c>
      <c r="H29" s="15">
        <f>SUM((1150000+2650000)/E$7)/1000</f>
        <v>1179.0623351639829</v>
      </c>
      <c r="I29" s="154">
        <v>10</v>
      </c>
      <c r="J29" s="154">
        <v>90</v>
      </c>
      <c r="K29" s="16" t="s">
        <v>68</v>
      </c>
      <c r="L29" s="16" t="s">
        <v>66</v>
      </c>
      <c r="M29" s="147">
        <v>42851</v>
      </c>
      <c r="N29" s="64">
        <v>42906</v>
      </c>
      <c r="O29" s="16"/>
      <c r="P29" s="25" t="s">
        <v>57</v>
      </c>
      <c r="Q29" s="99" t="s">
        <v>65</v>
      </c>
      <c r="R29" s="13"/>
      <c r="S29" s="13"/>
      <c r="T29" s="13"/>
    </row>
    <row r="30" spans="1:213" s="18" customFormat="1" ht="30" customHeight="1">
      <c r="A30" s="319">
        <v>1.6</v>
      </c>
      <c r="B30" s="318" t="s">
        <v>4</v>
      </c>
      <c r="C30" s="317" t="s">
        <v>69</v>
      </c>
      <c r="D30" s="14" t="s">
        <v>194</v>
      </c>
      <c r="E30" s="318" t="s">
        <v>56</v>
      </c>
      <c r="F30" s="318">
        <v>1</v>
      </c>
      <c r="G30" s="313" t="s">
        <v>194</v>
      </c>
      <c r="H30" s="15">
        <f>SUM(5995428/E$7)/1000</f>
        <v>1860.2587731546121</v>
      </c>
      <c r="I30" s="146">
        <v>93.2</v>
      </c>
      <c r="J30" s="61">
        <v>0</v>
      </c>
      <c r="K30" s="318" t="s">
        <v>25</v>
      </c>
      <c r="L30" s="318" t="s">
        <v>66</v>
      </c>
      <c r="M30" s="320">
        <v>42384</v>
      </c>
      <c r="N30" s="322">
        <v>42429</v>
      </c>
      <c r="O30" s="313"/>
      <c r="P30" s="313" t="s">
        <v>195</v>
      </c>
      <c r="Q30" s="315" t="s">
        <v>60</v>
      </c>
      <c r="R30" s="17"/>
      <c r="S30" s="17"/>
      <c r="T30" s="17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</row>
    <row r="31" spans="1:213" s="198" customFormat="1" ht="57.6" customHeight="1">
      <c r="A31" s="304"/>
      <c r="B31" s="281"/>
      <c r="C31" s="307"/>
      <c r="D31" s="199" t="s">
        <v>207</v>
      </c>
      <c r="E31" s="281"/>
      <c r="F31" s="281"/>
      <c r="G31" s="314"/>
      <c r="H31" s="143">
        <f>SUM(437248.59/E$7)/1000</f>
        <v>135.66930094014708</v>
      </c>
      <c r="I31" s="61">
        <v>0</v>
      </c>
      <c r="J31" s="146">
        <v>6.8</v>
      </c>
      <c r="K31" s="281"/>
      <c r="L31" s="281"/>
      <c r="M31" s="321"/>
      <c r="N31" s="323"/>
      <c r="O31" s="314"/>
      <c r="P31" s="314"/>
      <c r="Q31" s="316"/>
      <c r="R31" s="17"/>
      <c r="S31" s="17"/>
      <c r="T31" s="17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</row>
    <row r="32" spans="1:213" ht="31.2">
      <c r="A32" s="89">
        <v>1.7</v>
      </c>
      <c r="B32" s="16" t="s">
        <v>4</v>
      </c>
      <c r="C32" s="14" t="s">
        <v>70</v>
      </c>
      <c r="D32" s="14"/>
      <c r="E32" s="16" t="s">
        <v>56</v>
      </c>
      <c r="F32" s="16">
        <v>1</v>
      </c>
      <c r="G32" s="25" t="s">
        <v>57</v>
      </c>
      <c r="H32" s="15">
        <f>SUM((1500000+1000000+500000)/E$7)/1000</f>
        <v>930.83868565577586</v>
      </c>
      <c r="I32" s="146">
        <v>10</v>
      </c>
      <c r="J32" s="146">
        <v>90</v>
      </c>
      <c r="K32" s="16" t="s">
        <v>71</v>
      </c>
      <c r="L32" s="16" t="s">
        <v>66</v>
      </c>
      <c r="M32" s="147">
        <v>42914</v>
      </c>
      <c r="N32" s="21">
        <v>42969</v>
      </c>
      <c r="O32" s="16"/>
      <c r="P32" s="25" t="s">
        <v>57</v>
      </c>
      <c r="Q32" s="99" t="s">
        <v>65</v>
      </c>
      <c r="R32" s="13"/>
      <c r="S32" s="13"/>
      <c r="T32" s="13"/>
    </row>
    <row r="33" spans="1:20" ht="31.2">
      <c r="A33" s="133">
        <v>1.8</v>
      </c>
      <c r="B33" s="129" t="s">
        <v>4</v>
      </c>
      <c r="C33" s="130" t="s">
        <v>72</v>
      </c>
      <c r="D33" s="130"/>
      <c r="E33" s="129" t="s">
        <v>62</v>
      </c>
      <c r="F33" s="129">
        <v>4</v>
      </c>
      <c r="G33" s="129" t="s">
        <v>57</v>
      </c>
      <c r="H33" s="134">
        <f>SUM(3000000/E$7)/1000</f>
        <v>930.83868565577586</v>
      </c>
      <c r="I33" s="152">
        <v>0</v>
      </c>
      <c r="J33" s="152">
        <v>100</v>
      </c>
      <c r="K33" s="129">
        <v>1.3</v>
      </c>
      <c r="L33" s="129" t="s">
        <v>63</v>
      </c>
      <c r="M33" s="136">
        <v>42200</v>
      </c>
      <c r="N33" s="139" t="s">
        <v>57</v>
      </c>
      <c r="O33" s="129" t="s">
        <v>64</v>
      </c>
      <c r="P33" s="129" t="s">
        <v>57</v>
      </c>
      <c r="Q33" s="137" t="s">
        <v>65</v>
      </c>
      <c r="R33" s="13"/>
      <c r="S33" s="13"/>
      <c r="T33" s="13"/>
    </row>
    <row r="34" spans="1:20" ht="46.8">
      <c r="A34" s="89">
        <v>1.8</v>
      </c>
      <c r="B34" s="16" t="s">
        <v>4</v>
      </c>
      <c r="C34" s="14" t="s">
        <v>180</v>
      </c>
      <c r="D34" s="14"/>
      <c r="E34" s="16" t="s">
        <v>62</v>
      </c>
      <c r="F34" s="16">
        <v>4</v>
      </c>
      <c r="G34" s="25" t="s">
        <v>57</v>
      </c>
      <c r="H34" s="143">
        <f>SUM(986489/E$7)/1000</f>
        <v>306.0873747246269</v>
      </c>
      <c r="I34" s="61">
        <v>0</v>
      </c>
      <c r="J34" s="61">
        <v>100</v>
      </c>
      <c r="K34" s="16">
        <v>1.3</v>
      </c>
      <c r="L34" s="16" t="s">
        <v>63</v>
      </c>
      <c r="M34" s="147">
        <v>42434</v>
      </c>
      <c r="N34" s="21">
        <v>42496</v>
      </c>
      <c r="O34" s="25" t="s">
        <v>196</v>
      </c>
      <c r="P34" s="25" t="s">
        <v>57</v>
      </c>
      <c r="Q34" s="151" t="s">
        <v>60</v>
      </c>
      <c r="R34" s="13"/>
      <c r="S34" s="13"/>
      <c r="T34" s="13"/>
    </row>
    <row r="35" spans="1:20" ht="31.2">
      <c r="A35" s="149">
        <v>1.18</v>
      </c>
      <c r="B35" s="16" t="s">
        <v>4</v>
      </c>
      <c r="C35" s="14" t="s">
        <v>181</v>
      </c>
      <c r="D35" s="14"/>
      <c r="E35" s="16" t="s">
        <v>62</v>
      </c>
      <c r="F35" s="16">
        <v>1</v>
      </c>
      <c r="G35" s="25" t="s">
        <v>57</v>
      </c>
      <c r="H35" s="143">
        <f>SUM((4000000-986489)/E$7)/1000</f>
        <v>935.03087281640762</v>
      </c>
      <c r="I35" s="61">
        <v>0</v>
      </c>
      <c r="J35" s="146">
        <v>100</v>
      </c>
      <c r="K35" s="16">
        <v>1.3</v>
      </c>
      <c r="L35" s="25" t="s">
        <v>63</v>
      </c>
      <c r="M35" s="147">
        <v>42879</v>
      </c>
      <c r="N35" s="21">
        <v>42934</v>
      </c>
      <c r="O35" s="25" t="s">
        <v>64</v>
      </c>
      <c r="P35" s="25" t="s">
        <v>57</v>
      </c>
      <c r="Q35" s="99" t="s">
        <v>65</v>
      </c>
      <c r="R35" s="13"/>
      <c r="S35" s="13"/>
      <c r="T35" s="13"/>
    </row>
    <row r="36" spans="1:20" ht="31.5" customHeight="1">
      <c r="A36" s="89">
        <v>1.9</v>
      </c>
      <c r="B36" s="16" t="s">
        <v>4</v>
      </c>
      <c r="C36" s="14" t="s">
        <v>73</v>
      </c>
      <c r="D36" s="14"/>
      <c r="E36" s="16" t="s">
        <v>56</v>
      </c>
      <c r="F36" s="16">
        <v>2</v>
      </c>
      <c r="G36" s="25" t="s">
        <v>57</v>
      </c>
      <c r="H36" s="143">
        <f>SUM((11000000+2300000)/E$7)/1000</f>
        <v>4126.7181730739394</v>
      </c>
      <c r="I36" s="154">
        <v>10</v>
      </c>
      <c r="J36" s="154">
        <v>90</v>
      </c>
      <c r="K36" s="16" t="s">
        <v>19</v>
      </c>
      <c r="L36" s="16" t="s">
        <v>66</v>
      </c>
      <c r="M36" s="21">
        <v>42676</v>
      </c>
      <c r="N36" s="21">
        <v>42731</v>
      </c>
      <c r="O36" s="16"/>
      <c r="P36" s="16" t="s">
        <v>57</v>
      </c>
      <c r="Q36" s="99" t="s">
        <v>65</v>
      </c>
      <c r="R36" s="13"/>
      <c r="S36" s="13"/>
      <c r="T36" s="13"/>
    </row>
    <row r="37" spans="1:20" ht="42.6" customHeight="1">
      <c r="A37" s="91">
        <v>1.1000000000000001</v>
      </c>
      <c r="B37" s="16" t="s">
        <v>4</v>
      </c>
      <c r="C37" s="14" t="s">
        <v>74</v>
      </c>
      <c r="D37" s="14"/>
      <c r="E37" s="16" t="s">
        <v>56</v>
      </c>
      <c r="F37" s="16">
        <v>2</v>
      </c>
      <c r="G37" s="25" t="s">
        <v>57</v>
      </c>
      <c r="H37" s="143">
        <f>SUM((6427000+1585000)/E$7)/1000</f>
        <v>2485.9598498246919</v>
      </c>
      <c r="I37" s="146">
        <v>5</v>
      </c>
      <c r="J37" s="146">
        <v>95</v>
      </c>
      <c r="K37" s="25" t="s">
        <v>216</v>
      </c>
      <c r="L37" s="16" t="s">
        <v>66</v>
      </c>
      <c r="M37" s="21">
        <v>42865</v>
      </c>
      <c r="N37" s="21">
        <v>42920</v>
      </c>
      <c r="O37" s="16"/>
      <c r="P37" s="25" t="s">
        <v>57</v>
      </c>
      <c r="Q37" s="99" t="s">
        <v>65</v>
      </c>
      <c r="R37" s="13"/>
      <c r="S37" s="13"/>
      <c r="T37" s="13"/>
    </row>
    <row r="38" spans="1:20" ht="42" customHeight="1">
      <c r="A38" s="89">
        <v>1.1100000000000001</v>
      </c>
      <c r="B38" s="16" t="s">
        <v>4</v>
      </c>
      <c r="C38" s="14" t="s">
        <v>75</v>
      </c>
      <c r="D38" s="14"/>
      <c r="E38" s="16" t="s">
        <v>56</v>
      </c>
      <c r="F38" s="16">
        <v>2</v>
      </c>
      <c r="G38" s="25" t="s">
        <v>57</v>
      </c>
      <c r="H38" s="143">
        <f>SUM((4632000+1600000)/E$7)/1000</f>
        <v>1933.6622296689316</v>
      </c>
      <c r="I38" s="22">
        <v>15</v>
      </c>
      <c r="J38" s="22">
        <v>85</v>
      </c>
      <c r="K38" s="25" t="s">
        <v>214</v>
      </c>
      <c r="L38" s="16" t="s">
        <v>66</v>
      </c>
      <c r="M38" s="21">
        <v>42842</v>
      </c>
      <c r="N38" s="21">
        <v>42887</v>
      </c>
      <c r="O38" s="16"/>
      <c r="P38" s="25" t="s">
        <v>57</v>
      </c>
      <c r="Q38" s="99" t="s">
        <v>65</v>
      </c>
      <c r="R38" s="13"/>
      <c r="S38" s="13"/>
      <c r="T38" s="13"/>
    </row>
    <row r="39" spans="1:20" ht="31.5" customHeight="1">
      <c r="A39" s="89">
        <v>1.1200000000000001</v>
      </c>
      <c r="B39" s="16" t="s">
        <v>4</v>
      </c>
      <c r="C39" s="14" t="s">
        <v>76</v>
      </c>
      <c r="D39" s="14"/>
      <c r="E39" s="16" t="s">
        <v>56</v>
      </c>
      <c r="F39" s="16">
        <v>1</v>
      </c>
      <c r="G39" s="25" t="s">
        <v>57</v>
      </c>
      <c r="H39" s="143">
        <f>SUM(9020000/E$7)/1000</f>
        <v>2798.7216482050326</v>
      </c>
      <c r="I39" s="61">
        <v>15</v>
      </c>
      <c r="J39" s="61">
        <v>85</v>
      </c>
      <c r="K39" s="25" t="s">
        <v>215</v>
      </c>
      <c r="L39" s="16" t="s">
        <v>66</v>
      </c>
      <c r="M39" s="21">
        <v>42895</v>
      </c>
      <c r="N39" s="21">
        <v>42950</v>
      </c>
      <c r="O39" s="16"/>
      <c r="P39" s="25" t="s">
        <v>57</v>
      </c>
      <c r="Q39" s="99" t="s">
        <v>65</v>
      </c>
      <c r="R39" s="13"/>
      <c r="S39" s="13"/>
      <c r="T39" s="13"/>
    </row>
    <row r="40" spans="1:20" ht="31.5" customHeight="1">
      <c r="A40" s="89">
        <v>1.1299999999999999</v>
      </c>
      <c r="B40" s="16" t="s">
        <v>4</v>
      </c>
      <c r="C40" s="14" t="s">
        <v>77</v>
      </c>
      <c r="D40" s="14"/>
      <c r="E40" s="16" t="s">
        <v>56</v>
      </c>
      <c r="F40" s="16">
        <v>1</v>
      </c>
      <c r="G40" s="25" t="s">
        <v>57</v>
      </c>
      <c r="H40" s="143">
        <f>SUM(1325608/E$7)/1000</f>
        <v>411.30906947159389</v>
      </c>
      <c r="I40" s="22">
        <v>80</v>
      </c>
      <c r="J40" s="22">
        <v>20</v>
      </c>
      <c r="K40" s="16" t="s">
        <v>19</v>
      </c>
      <c r="L40" s="16" t="s">
        <v>66</v>
      </c>
      <c r="M40" s="21">
        <v>42719</v>
      </c>
      <c r="N40" s="21">
        <v>42774</v>
      </c>
      <c r="O40" s="16"/>
      <c r="P40" s="25" t="s">
        <v>57</v>
      </c>
      <c r="Q40" s="99" t="s">
        <v>65</v>
      </c>
      <c r="R40" s="13"/>
      <c r="S40" s="13"/>
      <c r="T40" s="13"/>
    </row>
    <row r="41" spans="1:20" ht="31.5" customHeight="1">
      <c r="A41" s="89">
        <v>1.1399999999999999</v>
      </c>
      <c r="B41" s="16" t="s">
        <v>4</v>
      </c>
      <c r="C41" s="14" t="s">
        <v>78</v>
      </c>
      <c r="D41" s="14"/>
      <c r="E41" s="16" t="s">
        <v>62</v>
      </c>
      <c r="F41" s="16">
        <v>1</v>
      </c>
      <c r="G41" s="25" t="s">
        <v>197</v>
      </c>
      <c r="H41" s="15">
        <f>SUM(4878584.82/E$7)/1000</f>
        <v>1513.7251605696733</v>
      </c>
      <c r="I41" s="61">
        <v>0</v>
      </c>
      <c r="J41" s="61">
        <v>100</v>
      </c>
      <c r="K41" s="16" t="s">
        <v>26</v>
      </c>
      <c r="L41" s="16" t="s">
        <v>63</v>
      </c>
      <c r="M41" s="21">
        <v>42389</v>
      </c>
      <c r="N41" s="21">
        <v>42431</v>
      </c>
      <c r="O41" s="25" t="s">
        <v>198</v>
      </c>
      <c r="P41" s="25" t="s">
        <v>57</v>
      </c>
      <c r="Q41" s="99" t="s">
        <v>60</v>
      </c>
      <c r="R41" s="13"/>
      <c r="S41" s="13"/>
      <c r="T41" s="13"/>
    </row>
    <row r="42" spans="1:20" ht="42" customHeight="1" thickBot="1">
      <c r="A42" s="202">
        <v>1.18</v>
      </c>
      <c r="B42" s="184" t="s">
        <v>4</v>
      </c>
      <c r="C42" s="203" t="s">
        <v>205</v>
      </c>
      <c r="D42" s="203"/>
      <c r="E42" s="184" t="s">
        <v>56</v>
      </c>
      <c r="F42" s="184">
        <v>1</v>
      </c>
      <c r="G42" s="184" t="s">
        <v>57</v>
      </c>
      <c r="H42" s="204">
        <f>SUM((15000+130000+200000)/E$7)/1000</f>
        <v>107.04644885041422</v>
      </c>
      <c r="I42" s="205">
        <v>5</v>
      </c>
      <c r="J42" s="205">
        <v>95</v>
      </c>
      <c r="K42" s="184" t="s">
        <v>19</v>
      </c>
      <c r="L42" s="184" t="s">
        <v>66</v>
      </c>
      <c r="M42" s="206">
        <v>42913</v>
      </c>
      <c r="N42" s="206">
        <v>42968</v>
      </c>
      <c r="O42" s="184"/>
      <c r="P42" s="184" t="s">
        <v>57</v>
      </c>
      <c r="Q42" s="207" t="s">
        <v>65</v>
      </c>
      <c r="R42" s="13"/>
      <c r="S42" s="13"/>
      <c r="T42" s="13"/>
    </row>
    <row r="43" spans="1:20">
      <c r="D43" s="26"/>
      <c r="E43" s="26"/>
      <c r="F43" s="26"/>
      <c r="G43" s="39" t="s">
        <v>79</v>
      </c>
      <c r="H43" s="60">
        <f>SUM(H17:H42)-H28-H33</f>
        <v>51153.159244779563</v>
      </c>
      <c r="I43" s="28"/>
      <c r="J43" s="28"/>
      <c r="K43" s="26"/>
      <c r="L43" s="26"/>
      <c r="M43" s="26"/>
      <c r="N43" s="26"/>
      <c r="O43" s="26"/>
      <c r="P43" s="26"/>
      <c r="Q43" s="26"/>
      <c r="R43" s="13"/>
      <c r="S43" s="13"/>
      <c r="T43" s="13"/>
    </row>
    <row r="44" spans="1:20" ht="16.2" thickBot="1">
      <c r="D44" s="26"/>
      <c r="E44" s="26"/>
      <c r="F44" s="26"/>
      <c r="G44" s="26"/>
      <c r="H44" s="45"/>
      <c r="I44" s="28"/>
      <c r="J44" s="28"/>
      <c r="K44" s="26"/>
      <c r="L44" s="26"/>
      <c r="M44" s="26"/>
      <c r="N44" s="26"/>
      <c r="O44" s="26"/>
      <c r="P44" s="26"/>
      <c r="Q44" s="26"/>
      <c r="R44" s="13"/>
      <c r="S44" s="13"/>
      <c r="T44" s="13"/>
    </row>
    <row r="45" spans="1:20" ht="39.9" customHeight="1" thickBot="1">
      <c r="A45" s="77">
        <v>2</v>
      </c>
      <c r="B45" s="310" t="s">
        <v>80</v>
      </c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1"/>
      <c r="P45" s="311"/>
      <c r="Q45" s="312"/>
      <c r="R45" s="13"/>
      <c r="S45" s="13"/>
      <c r="T45" s="13"/>
    </row>
    <row r="46" spans="1:20" ht="15" customHeight="1">
      <c r="A46" s="78"/>
      <c r="B46" s="308" t="s">
        <v>81</v>
      </c>
      <c r="C46" s="291" t="s">
        <v>2</v>
      </c>
      <c r="D46" s="309" t="s">
        <v>40</v>
      </c>
      <c r="E46" s="291" t="s">
        <v>41</v>
      </c>
      <c r="F46" s="291" t="s">
        <v>42</v>
      </c>
      <c r="G46" s="291" t="s">
        <v>43</v>
      </c>
      <c r="H46" s="292" t="s">
        <v>82</v>
      </c>
      <c r="I46" s="292"/>
      <c r="J46" s="292"/>
      <c r="K46" s="291" t="s">
        <v>45</v>
      </c>
      <c r="L46" s="291" t="s">
        <v>83</v>
      </c>
      <c r="M46" s="291" t="s">
        <v>0</v>
      </c>
      <c r="N46" s="291"/>
      <c r="O46" s="293" t="s">
        <v>84</v>
      </c>
      <c r="P46" s="291" t="s">
        <v>49</v>
      </c>
      <c r="Q46" s="294" t="s">
        <v>16</v>
      </c>
      <c r="R46" s="13"/>
      <c r="S46" s="13"/>
      <c r="T46" s="13"/>
    </row>
    <row r="47" spans="1:20" ht="63.6" customHeight="1" thickBot="1">
      <c r="A47" s="79"/>
      <c r="B47" s="255"/>
      <c r="C47" s="246"/>
      <c r="D47" s="275"/>
      <c r="E47" s="246"/>
      <c r="F47" s="246"/>
      <c r="G47" s="246"/>
      <c r="H47" s="75" t="s">
        <v>85</v>
      </c>
      <c r="I47" s="76" t="s">
        <v>51</v>
      </c>
      <c r="J47" s="76" t="s">
        <v>52</v>
      </c>
      <c r="K47" s="246"/>
      <c r="L47" s="246"/>
      <c r="M47" s="74" t="s">
        <v>53</v>
      </c>
      <c r="N47" s="74" t="s">
        <v>54</v>
      </c>
      <c r="O47" s="248"/>
      <c r="P47" s="246"/>
      <c r="Q47" s="250"/>
      <c r="R47" s="13"/>
      <c r="S47" s="13"/>
      <c r="T47" s="13"/>
    </row>
    <row r="48" spans="1:20" ht="30" customHeight="1">
      <c r="A48" s="195">
        <v>2.1</v>
      </c>
      <c r="B48" s="73" t="s">
        <v>4</v>
      </c>
      <c r="C48" s="20" t="s">
        <v>6</v>
      </c>
      <c r="D48" s="20"/>
      <c r="E48" s="73" t="s">
        <v>67</v>
      </c>
      <c r="F48" s="73">
        <v>1</v>
      </c>
      <c r="G48" s="186" t="s">
        <v>199</v>
      </c>
      <c r="H48" s="160">
        <f>SUM(14249990/E$7)/1000</f>
        <v>4421.4806540693162</v>
      </c>
      <c r="I48" s="94">
        <v>30</v>
      </c>
      <c r="J48" s="94">
        <v>70</v>
      </c>
      <c r="K48" s="95" t="s">
        <v>27</v>
      </c>
      <c r="L48" s="73" t="s">
        <v>58</v>
      </c>
      <c r="M48" s="155">
        <v>42461</v>
      </c>
      <c r="N48" s="21">
        <v>42593</v>
      </c>
      <c r="O48" s="73"/>
      <c r="P48" s="197" t="s">
        <v>57</v>
      </c>
      <c r="Q48" s="156" t="s">
        <v>60</v>
      </c>
      <c r="R48" s="13"/>
      <c r="S48" s="13"/>
      <c r="T48" s="13"/>
    </row>
    <row r="49" spans="1:20" ht="32.4" customHeight="1">
      <c r="A49" s="129">
        <v>2.2000000000000002</v>
      </c>
      <c r="B49" s="129" t="s">
        <v>4</v>
      </c>
      <c r="C49" s="173" t="s">
        <v>3</v>
      </c>
      <c r="D49" s="129"/>
      <c r="E49" s="129" t="s">
        <v>62</v>
      </c>
      <c r="F49" s="129">
        <v>1</v>
      </c>
      <c r="G49" s="119" t="s">
        <v>57</v>
      </c>
      <c r="H49" s="134">
        <f>SUM(100000/E$7)/1000</f>
        <v>31.027956188525863</v>
      </c>
      <c r="I49" s="129">
        <v>0</v>
      </c>
      <c r="J49" s="129">
        <v>100</v>
      </c>
      <c r="K49" s="129">
        <v>3.4</v>
      </c>
      <c r="L49" s="129" t="s">
        <v>63</v>
      </c>
      <c r="M49" s="64">
        <v>42583</v>
      </c>
      <c r="N49" s="129">
        <v>42658</v>
      </c>
      <c r="O49" s="129" t="s">
        <v>8</v>
      </c>
      <c r="P49" s="129" t="s">
        <v>57</v>
      </c>
      <c r="Q49" s="129" t="s">
        <v>65</v>
      </c>
      <c r="R49" s="13"/>
      <c r="S49" s="13"/>
      <c r="T49" s="13"/>
    </row>
    <row r="50" spans="1:20" ht="32.4" customHeight="1">
      <c r="A50" s="25">
        <v>2.2000000000000002</v>
      </c>
      <c r="B50" s="25" t="s">
        <v>4</v>
      </c>
      <c r="C50" s="175" t="s">
        <v>206</v>
      </c>
      <c r="D50" s="129"/>
      <c r="E50" s="25" t="s">
        <v>62</v>
      </c>
      <c r="F50" s="25">
        <v>1</v>
      </c>
      <c r="G50" s="25" t="s">
        <v>57</v>
      </c>
      <c r="H50" s="143">
        <f>SUM((80000+200000)/E$7)/1000</f>
        <v>86.878277327872411</v>
      </c>
      <c r="I50" s="25">
        <v>0</v>
      </c>
      <c r="J50" s="25">
        <v>100</v>
      </c>
      <c r="K50" s="25">
        <v>3.4</v>
      </c>
      <c r="L50" s="25" t="s">
        <v>63</v>
      </c>
      <c r="M50" s="147">
        <v>42912</v>
      </c>
      <c r="N50" s="21">
        <v>42965</v>
      </c>
      <c r="O50" s="25" t="s">
        <v>8</v>
      </c>
      <c r="P50" s="25" t="s">
        <v>57</v>
      </c>
      <c r="Q50" s="25" t="s">
        <v>65</v>
      </c>
      <c r="R50" s="13"/>
      <c r="S50" s="13"/>
      <c r="T50" s="13"/>
    </row>
    <row r="51" spans="1:20" ht="54.75" customHeight="1">
      <c r="A51" s="89">
        <v>2.2999999999999998</v>
      </c>
      <c r="B51" s="16" t="s">
        <v>4</v>
      </c>
      <c r="C51" s="14" t="s">
        <v>186</v>
      </c>
      <c r="D51" s="14"/>
      <c r="E51" s="16" t="s">
        <v>86</v>
      </c>
      <c r="F51" s="16">
        <v>1</v>
      </c>
      <c r="G51" s="25" t="s">
        <v>57</v>
      </c>
      <c r="H51" s="172">
        <f>SUM(47203.94/E$7)/1000</f>
        <v>14.646417822458035</v>
      </c>
      <c r="I51" s="22">
        <v>50</v>
      </c>
      <c r="J51" s="22">
        <v>50</v>
      </c>
      <c r="K51" s="16">
        <v>3.2</v>
      </c>
      <c r="L51" s="16" t="s">
        <v>58</v>
      </c>
      <c r="M51" s="23">
        <v>42522</v>
      </c>
      <c r="N51" s="21">
        <v>42669</v>
      </c>
      <c r="O51" s="16"/>
      <c r="P51" s="25" t="s">
        <v>57</v>
      </c>
      <c r="Q51" s="151" t="s">
        <v>99</v>
      </c>
      <c r="R51" s="13"/>
      <c r="S51" s="13"/>
      <c r="T51" s="13"/>
    </row>
    <row r="52" spans="1:20" ht="36" customHeight="1">
      <c r="A52" s="89">
        <v>2.4</v>
      </c>
      <c r="B52" s="16" t="s">
        <v>4</v>
      </c>
      <c r="C52" s="14" t="s">
        <v>11</v>
      </c>
      <c r="D52" s="14"/>
      <c r="E52" s="16" t="s">
        <v>62</v>
      </c>
      <c r="F52" s="16">
        <v>1</v>
      </c>
      <c r="G52" s="25" t="s">
        <v>57</v>
      </c>
      <c r="H52" s="143">
        <f>SUM(450000/E$7)/1000</f>
        <v>139.62580284836639</v>
      </c>
      <c r="I52" s="22">
        <v>0</v>
      </c>
      <c r="J52" s="22">
        <v>100</v>
      </c>
      <c r="K52" s="16" t="s">
        <v>28</v>
      </c>
      <c r="L52" s="16" t="s">
        <v>63</v>
      </c>
      <c r="M52" s="64">
        <v>43165</v>
      </c>
      <c r="N52" s="21">
        <v>43220</v>
      </c>
      <c r="O52" s="16" t="s">
        <v>8</v>
      </c>
      <c r="P52" s="25" t="s">
        <v>57</v>
      </c>
      <c r="Q52" s="99" t="s">
        <v>65</v>
      </c>
      <c r="R52" s="13"/>
      <c r="S52" s="13"/>
      <c r="T52" s="13"/>
    </row>
    <row r="53" spans="1:20" ht="41.25" customHeight="1">
      <c r="A53" s="89">
        <v>2.5</v>
      </c>
      <c r="B53" s="16" t="s">
        <v>4</v>
      </c>
      <c r="C53" s="14" t="s">
        <v>5</v>
      </c>
      <c r="D53" s="14"/>
      <c r="E53" s="73" t="s">
        <v>56</v>
      </c>
      <c r="F53" s="16">
        <v>1</v>
      </c>
      <c r="G53" s="25" t="s">
        <v>57</v>
      </c>
      <c r="H53" s="15">
        <f>SUM(1200000/E$7)/1000</f>
        <v>372.3354742623103</v>
      </c>
      <c r="I53" s="22">
        <v>30</v>
      </c>
      <c r="J53" s="22">
        <v>70</v>
      </c>
      <c r="K53" s="16">
        <v>3.1</v>
      </c>
      <c r="L53" s="16" t="s">
        <v>63</v>
      </c>
      <c r="M53" s="21">
        <v>42663</v>
      </c>
      <c r="N53" s="21">
        <v>42718</v>
      </c>
      <c r="O53" s="16"/>
      <c r="P53" s="25" t="s">
        <v>57</v>
      </c>
      <c r="Q53" s="99" t="s">
        <v>65</v>
      </c>
      <c r="R53" s="13"/>
      <c r="S53" s="13"/>
      <c r="T53" s="13"/>
    </row>
    <row r="54" spans="1:20" ht="31.5" customHeight="1">
      <c r="A54" s="89">
        <v>2.6</v>
      </c>
      <c r="B54" s="16" t="s">
        <v>4</v>
      </c>
      <c r="C54" s="14" t="s">
        <v>87</v>
      </c>
      <c r="D54" s="14"/>
      <c r="E54" s="16" t="s">
        <v>62</v>
      </c>
      <c r="F54" s="16">
        <v>1</v>
      </c>
      <c r="G54" s="25" t="s">
        <v>57</v>
      </c>
      <c r="H54" s="143">
        <f>SUM(450000/E$7)/1000</f>
        <v>139.62580284836639</v>
      </c>
      <c r="I54" s="22">
        <v>0</v>
      </c>
      <c r="J54" s="22">
        <v>100</v>
      </c>
      <c r="K54" s="16" t="s">
        <v>29</v>
      </c>
      <c r="L54" s="16" t="s">
        <v>63</v>
      </c>
      <c r="M54" s="21">
        <v>42976</v>
      </c>
      <c r="N54" s="21">
        <v>43031</v>
      </c>
      <c r="O54" s="16" t="s">
        <v>8</v>
      </c>
      <c r="P54" s="25" t="s">
        <v>57</v>
      </c>
      <c r="Q54" s="99" t="s">
        <v>65</v>
      </c>
      <c r="R54" s="13"/>
      <c r="S54" s="13"/>
      <c r="T54" s="13"/>
    </row>
    <row r="55" spans="1:20" ht="33" customHeight="1">
      <c r="A55" s="90">
        <v>2.7</v>
      </c>
      <c r="B55" s="16" t="s">
        <v>4</v>
      </c>
      <c r="C55" s="14" t="s">
        <v>12</v>
      </c>
      <c r="D55" s="14"/>
      <c r="E55" s="16" t="s">
        <v>62</v>
      </c>
      <c r="F55" s="16">
        <v>1</v>
      </c>
      <c r="G55" s="25" t="s">
        <v>57</v>
      </c>
      <c r="H55" s="143">
        <f>SUM(450000/E$7)/1000</f>
        <v>139.62580284836639</v>
      </c>
      <c r="I55" s="22">
        <v>0</v>
      </c>
      <c r="J55" s="22">
        <v>100</v>
      </c>
      <c r="K55" s="16" t="s">
        <v>30</v>
      </c>
      <c r="L55" s="16" t="s">
        <v>63</v>
      </c>
      <c r="M55" s="64">
        <v>43143</v>
      </c>
      <c r="N55" s="21">
        <v>43196</v>
      </c>
      <c r="O55" s="16" t="s">
        <v>8</v>
      </c>
      <c r="P55" s="25" t="s">
        <v>57</v>
      </c>
      <c r="Q55" s="99" t="s">
        <v>65</v>
      </c>
      <c r="R55" s="13"/>
      <c r="S55" s="13"/>
      <c r="T55" s="13"/>
    </row>
    <row r="56" spans="1:20" ht="33" customHeight="1">
      <c r="A56" s="90">
        <v>2.8</v>
      </c>
      <c r="B56" s="16" t="s">
        <v>4</v>
      </c>
      <c r="C56" s="14" t="s">
        <v>13</v>
      </c>
      <c r="D56" s="14"/>
      <c r="E56" s="16" t="s">
        <v>62</v>
      </c>
      <c r="F56" s="16">
        <v>1</v>
      </c>
      <c r="G56" s="25" t="s">
        <v>57</v>
      </c>
      <c r="H56" s="143">
        <f>SUM(100000/E$7)/1000</f>
        <v>31.027956188525863</v>
      </c>
      <c r="I56" s="22">
        <v>0</v>
      </c>
      <c r="J56" s="22">
        <v>100</v>
      </c>
      <c r="K56" s="16" t="s">
        <v>31</v>
      </c>
      <c r="L56" s="16" t="s">
        <v>63</v>
      </c>
      <c r="M56" s="21">
        <v>42958</v>
      </c>
      <c r="N56" s="21">
        <v>43013</v>
      </c>
      <c r="O56" s="16" t="s">
        <v>8</v>
      </c>
      <c r="P56" s="25" t="s">
        <v>57</v>
      </c>
      <c r="Q56" s="99" t="s">
        <v>65</v>
      </c>
      <c r="R56" s="13"/>
      <c r="S56" s="13"/>
      <c r="T56" s="13"/>
    </row>
    <row r="57" spans="1:20" ht="31.8" thickBot="1">
      <c r="A57" s="187">
        <v>2.9</v>
      </c>
      <c r="B57" s="188" t="s">
        <v>4</v>
      </c>
      <c r="C57" s="189" t="s">
        <v>183</v>
      </c>
      <c r="D57" s="189"/>
      <c r="E57" s="188" t="s">
        <v>62</v>
      </c>
      <c r="F57" s="188">
        <v>1</v>
      </c>
      <c r="G57" s="188" t="s">
        <v>57</v>
      </c>
      <c r="H57" s="330">
        <f>SUM(32999/E$7)/1000</f>
        <v>10.238915262651648</v>
      </c>
      <c r="I57" s="190">
        <v>0</v>
      </c>
      <c r="J57" s="190">
        <v>100</v>
      </c>
      <c r="K57" s="188">
        <v>3.2</v>
      </c>
      <c r="L57" s="188" t="s">
        <v>63</v>
      </c>
      <c r="M57" s="191">
        <v>42656</v>
      </c>
      <c r="N57" s="191">
        <v>42711</v>
      </c>
      <c r="O57" s="188" t="s">
        <v>220</v>
      </c>
      <c r="P57" s="184"/>
      <c r="Q57" s="192" t="s">
        <v>99</v>
      </c>
      <c r="R57" s="13"/>
      <c r="S57" s="13"/>
      <c r="T57" s="13"/>
    </row>
    <row r="58" spans="1:20">
      <c r="A58" s="19"/>
      <c r="B58" s="26"/>
      <c r="C58" s="26"/>
      <c r="D58" s="26"/>
      <c r="E58" s="26"/>
      <c r="F58" s="26"/>
      <c r="G58" s="39" t="s">
        <v>79</v>
      </c>
      <c r="H58" s="60">
        <f>SUM(H48:H57)-H49</f>
        <v>5355.4851034782332</v>
      </c>
      <c r="I58" s="28"/>
      <c r="J58" s="28"/>
      <c r="K58" s="26"/>
      <c r="L58" s="26"/>
      <c r="M58" s="26"/>
      <c r="N58" s="26"/>
      <c r="O58" s="26"/>
      <c r="P58" s="26"/>
      <c r="Q58" s="26"/>
      <c r="R58" s="13"/>
      <c r="S58" s="13"/>
      <c r="T58" s="13"/>
    </row>
    <row r="59" spans="1:20" ht="16.2" thickBot="1">
      <c r="A59" s="19"/>
    </row>
    <row r="60" spans="1:20" ht="15.75" customHeight="1">
      <c r="A60" s="84">
        <v>3</v>
      </c>
      <c r="B60" s="251" t="s">
        <v>88</v>
      </c>
      <c r="C60" s="252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3"/>
    </row>
    <row r="61" spans="1:20" ht="15" customHeight="1">
      <c r="A61" s="85"/>
      <c r="B61" s="254" t="s">
        <v>81</v>
      </c>
      <c r="C61" s="245" t="s">
        <v>2</v>
      </c>
      <c r="D61" s="274" t="s">
        <v>40</v>
      </c>
      <c r="E61" s="245" t="s">
        <v>41</v>
      </c>
      <c r="F61" s="245" t="s">
        <v>42</v>
      </c>
      <c r="G61" s="245" t="s">
        <v>43</v>
      </c>
      <c r="H61" s="260" t="s">
        <v>82</v>
      </c>
      <c r="I61" s="260"/>
      <c r="J61" s="260"/>
      <c r="K61" s="245" t="s">
        <v>45</v>
      </c>
      <c r="L61" s="245" t="s">
        <v>83</v>
      </c>
      <c r="M61" s="245" t="s">
        <v>0</v>
      </c>
      <c r="N61" s="245"/>
      <c r="O61" s="247" t="s">
        <v>84</v>
      </c>
      <c r="P61" s="245" t="s">
        <v>49</v>
      </c>
      <c r="Q61" s="249" t="s">
        <v>16</v>
      </c>
    </row>
    <row r="62" spans="1:20" ht="47.4" customHeight="1" thickBot="1">
      <c r="A62" s="96"/>
      <c r="B62" s="255"/>
      <c r="C62" s="246"/>
      <c r="D62" s="275"/>
      <c r="E62" s="246"/>
      <c r="F62" s="246"/>
      <c r="G62" s="246"/>
      <c r="H62" s="75" t="s">
        <v>85</v>
      </c>
      <c r="I62" s="76" t="s">
        <v>51</v>
      </c>
      <c r="J62" s="76" t="s">
        <v>52</v>
      </c>
      <c r="K62" s="246"/>
      <c r="L62" s="246"/>
      <c r="M62" s="74" t="s">
        <v>53</v>
      </c>
      <c r="N62" s="74" t="s">
        <v>54</v>
      </c>
      <c r="O62" s="248"/>
      <c r="P62" s="246"/>
      <c r="Q62" s="250"/>
    </row>
    <row r="63" spans="1:20" ht="34.5" customHeight="1">
      <c r="A63" s="195">
        <v>3.1</v>
      </c>
      <c r="B63" s="73" t="s">
        <v>4</v>
      </c>
      <c r="C63" s="20" t="s">
        <v>89</v>
      </c>
      <c r="D63" s="20"/>
      <c r="E63" s="73" t="s">
        <v>56</v>
      </c>
      <c r="F63" s="73">
        <v>1</v>
      </c>
      <c r="G63" s="197" t="s">
        <v>57</v>
      </c>
      <c r="H63" s="93">
        <f>SUM(3300000/E$7)/1000</f>
        <v>1023.9225542213534</v>
      </c>
      <c r="I63" s="94">
        <v>60</v>
      </c>
      <c r="J63" s="94">
        <v>40</v>
      </c>
      <c r="K63" s="95">
        <v>3.1</v>
      </c>
      <c r="L63" s="73" t="s">
        <v>66</v>
      </c>
      <c r="M63" s="155">
        <v>42656</v>
      </c>
      <c r="N63" s="155">
        <v>42711</v>
      </c>
      <c r="O63" s="73"/>
      <c r="P63" s="197" t="s">
        <v>57</v>
      </c>
      <c r="Q63" s="98" t="s">
        <v>65</v>
      </c>
    </row>
    <row r="64" spans="1:20" ht="32.4" customHeight="1">
      <c r="A64" s="193">
        <v>3.2</v>
      </c>
      <c r="B64" s="16" t="s">
        <v>4</v>
      </c>
      <c r="C64" s="14" t="s">
        <v>182</v>
      </c>
      <c r="D64" s="14"/>
      <c r="E64" s="16" t="s">
        <v>56</v>
      </c>
      <c r="F64" s="16">
        <v>1</v>
      </c>
      <c r="G64" s="16" t="s">
        <v>151</v>
      </c>
      <c r="H64" s="65">
        <f>SUM(198875/E$7)/1000</f>
        <v>61.706847869930805</v>
      </c>
      <c r="I64" s="66">
        <v>50</v>
      </c>
      <c r="J64" s="66">
        <v>50</v>
      </c>
      <c r="K64" s="67">
        <v>3.2</v>
      </c>
      <c r="L64" s="16" t="s">
        <v>66</v>
      </c>
      <c r="M64" s="82">
        <v>41834</v>
      </c>
      <c r="N64" s="102">
        <v>41857</v>
      </c>
      <c r="O64" s="16" t="s">
        <v>148</v>
      </c>
      <c r="P64" s="16" t="s">
        <v>152</v>
      </c>
      <c r="Q64" s="16" t="s">
        <v>125</v>
      </c>
    </row>
    <row r="65" spans="1:19" ht="37.799999999999997" customHeight="1">
      <c r="A65" s="194">
        <v>3.3</v>
      </c>
      <c r="B65" s="194" t="s">
        <v>4</v>
      </c>
      <c r="C65" s="130" t="s">
        <v>90</v>
      </c>
      <c r="D65" s="194"/>
      <c r="E65" s="194" t="s">
        <v>62</v>
      </c>
      <c r="F65" s="194">
        <v>1</v>
      </c>
      <c r="G65" s="194" t="s">
        <v>57</v>
      </c>
      <c r="H65" s="134">
        <f>SUM(100000/$E$7)/1000</f>
        <v>31.027956188525863</v>
      </c>
      <c r="I65" s="194">
        <v>0</v>
      </c>
      <c r="J65" s="194">
        <v>100</v>
      </c>
      <c r="K65" s="194">
        <v>3.4</v>
      </c>
      <c r="L65" s="194" t="s">
        <v>66</v>
      </c>
      <c r="M65" s="139">
        <v>42583</v>
      </c>
      <c r="N65" s="139">
        <v>42644</v>
      </c>
      <c r="O65" s="194"/>
      <c r="P65" s="194" t="s">
        <v>57</v>
      </c>
      <c r="Q65" s="194" t="s">
        <v>65</v>
      </c>
      <c r="S65" s="128"/>
    </row>
    <row r="66" spans="1:19" ht="42" hidden="1" customHeight="1">
      <c r="A66" s="149">
        <v>3.3</v>
      </c>
      <c r="B66" s="178" t="s">
        <v>4</v>
      </c>
      <c r="C66" s="150" t="s">
        <v>200</v>
      </c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7"/>
      <c r="S66" s="128"/>
    </row>
    <row r="67" spans="1:19" ht="33" customHeight="1">
      <c r="A67" s="133">
        <v>3.4</v>
      </c>
      <c r="B67" s="129" t="s">
        <v>4</v>
      </c>
      <c r="C67" s="130" t="s">
        <v>92</v>
      </c>
      <c r="D67" s="130"/>
      <c r="E67" s="129" t="s">
        <v>56</v>
      </c>
      <c r="F67" s="129">
        <v>1</v>
      </c>
      <c r="G67" s="129" t="s">
        <v>57</v>
      </c>
      <c r="H67" s="134">
        <f>SUM(1420000/E$7)/1000</f>
        <v>440.59697787706722</v>
      </c>
      <c r="I67" s="135">
        <v>50</v>
      </c>
      <c r="J67" s="135">
        <v>50</v>
      </c>
      <c r="K67" s="129">
        <v>3.2</v>
      </c>
      <c r="L67" s="129" t="s">
        <v>66</v>
      </c>
      <c r="M67" s="136" t="s">
        <v>91</v>
      </c>
      <c r="N67" s="129" t="s">
        <v>57</v>
      </c>
      <c r="O67" s="129"/>
      <c r="P67" s="129" t="s">
        <v>57</v>
      </c>
      <c r="Q67" s="137" t="s">
        <v>122</v>
      </c>
    </row>
    <row r="68" spans="1:19" ht="49.5" customHeight="1">
      <c r="A68" s="133">
        <v>3.5</v>
      </c>
      <c r="B68" s="129" t="s">
        <v>4</v>
      </c>
      <c r="C68" s="130" t="s">
        <v>93</v>
      </c>
      <c r="D68" s="130"/>
      <c r="E68" s="129" t="s">
        <v>62</v>
      </c>
      <c r="F68" s="129">
        <v>1</v>
      </c>
      <c r="G68" s="129" t="s">
        <v>57</v>
      </c>
      <c r="H68" s="134">
        <f>SUM(200000/E$7)/1000</f>
        <v>62.055912377051726</v>
      </c>
      <c r="I68" s="138">
        <v>0</v>
      </c>
      <c r="J68" s="138">
        <v>100</v>
      </c>
      <c r="K68" s="129">
        <v>3.2</v>
      </c>
      <c r="L68" s="129" t="s">
        <v>63</v>
      </c>
      <c r="M68" s="139" t="s">
        <v>94</v>
      </c>
      <c r="N68" s="129" t="s">
        <v>57</v>
      </c>
      <c r="O68" s="129" t="s">
        <v>64</v>
      </c>
      <c r="P68" s="129" t="s">
        <v>57</v>
      </c>
      <c r="Q68" s="137" t="s">
        <v>65</v>
      </c>
      <c r="S68" s="128"/>
    </row>
    <row r="69" spans="1:19" ht="69" customHeight="1">
      <c r="A69" s="163">
        <v>3.6</v>
      </c>
      <c r="B69" s="16" t="s">
        <v>4</v>
      </c>
      <c r="C69" s="14" t="s">
        <v>165</v>
      </c>
      <c r="D69" s="14"/>
      <c r="E69" s="16" t="s">
        <v>56</v>
      </c>
      <c r="F69" s="16">
        <v>1</v>
      </c>
      <c r="G69" s="25" t="s">
        <v>57</v>
      </c>
      <c r="H69" s="15">
        <f>SUM(1420000/E$7)/1000</f>
        <v>440.59697787706722</v>
      </c>
      <c r="I69" s="66">
        <v>50</v>
      </c>
      <c r="J69" s="66">
        <v>50</v>
      </c>
      <c r="K69" s="16">
        <v>3.2</v>
      </c>
      <c r="L69" s="16" t="s">
        <v>66</v>
      </c>
      <c r="M69" s="174">
        <v>42816</v>
      </c>
      <c r="N69" s="174">
        <v>42871</v>
      </c>
      <c r="O69" s="16"/>
      <c r="P69" s="109" t="s">
        <v>57</v>
      </c>
      <c r="Q69" s="99" t="s">
        <v>65</v>
      </c>
    </row>
    <row r="70" spans="1:19" ht="33.75" customHeight="1">
      <c r="A70" s="164">
        <v>3.7</v>
      </c>
      <c r="B70" s="16" t="s">
        <v>4</v>
      </c>
      <c r="C70" s="14" t="s">
        <v>166</v>
      </c>
      <c r="D70" s="14"/>
      <c r="E70" s="16" t="s">
        <v>62</v>
      </c>
      <c r="F70" s="16">
        <v>1</v>
      </c>
      <c r="G70" s="25" t="s">
        <v>57</v>
      </c>
      <c r="H70" s="15">
        <f>SUM(130000/E$7)/1000</f>
        <v>40.336343045083616</v>
      </c>
      <c r="I70" s="66">
        <v>0</v>
      </c>
      <c r="J70" s="66">
        <v>100</v>
      </c>
      <c r="K70" s="16">
        <v>3.2</v>
      </c>
      <c r="L70" s="16" t="s">
        <v>63</v>
      </c>
      <c r="M70" s="165">
        <v>42683</v>
      </c>
      <c r="N70" s="165">
        <v>42738</v>
      </c>
      <c r="O70" s="16" t="s">
        <v>64</v>
      </c>
      <c r="P70" s="109"/>
      <c r="Q70" s="99" t="s">
        <v>65</v>
      </c>
    </row>
    <row r="71" spans="1:19" ht="36.75" hidden="1" customHeight="1" thickBot="1">
      <c r="A71" s="142"/>
      <c r="B71" s="114"/>
      <c r="C71" s="127"/>
      <c r="D71" s="24"/>
      <c r="E71" s="114"/>
      <c r="F71" s="114"/>
      <c r="G71" s="114"/>
      <c r="H71" s="115"/>
      <c r="I71" s="117"/>
      <c r="J71" s="117"/>
      <c r="K71" s="114"/>
      <c r="L71" s="114"/>
      <c r="M71" s="141"/>
      <c r="N71" s="114"/>
      <c r="O71" s="114"/>
      <c r="P71" s="114"/>
      <c r="Q71" s="116"/>
    </row>
    <row r="72" spans="1:19">
      <c r="A72" s="19"/>
      <c r="B72" s="26"/>
      <c r="C72" s="26"/>
      <c r="D72" s="26"/>
      <c r="E72" s="26"/>
      <c r="F72" s="26"/>
      <c r="G72" s="39" t="s">
        <v>79</v>
      </c>
      <c r="H72" s="60">
        <f>SUM(H63:H71)-H67-H68-H65</f>
        <v>1566.5627230134351</v>
      </c>
      <c r="I72" s="28"/>
      <c r="J72" s="28"/>
      <c r="K72" s="26"/>
      <c r="L72" s="26"/>
      <c r="M72" s="26"/>
      <c r="N72" s="26"/>
      <c r="O72" s="26"/>
      <c r="P72" s="26"/>
      <c r="Q72" s="26"/>
    </row>
    <row r="73" spans="1:19" ht="16.2" thickBot="1">
      <c r="A73" s="19"/>
    </row>
    <row r="74" spans="1:19" ht="15.75" customHeight="1">
      <c r="A74" s="86">
        <v>4</v>
      </c>
      <c r="B74" s="251" t="s">
        <v>95</v>
      </c>
      <c r="C74" s="252"/>
      <c r="D74" s="252"/>
      <c r="E74" s="252"/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3"/>
    </row>
    <row r="75" spans="1:19" ht="15" customHeight="1">
      <c r="A75" s="78"/>
      <c r="B75" s="254" t="s">
        <v>81</v>
      </c>
      <c r="C75" s="245" t="s">
        <v>2</v>
      </c>
      <c r="D75" s="245" t="s">
        <v>40</v>
      </c>
      <c r="E75" s="245" t="s">
        <v>41</v>
      </c>
      <c r="F75" s="273"/>
      <c r="G75" s="273"/>
      <c r="H75" s="260" t="s">
        <v>82</v>
      </c>
      <c r="I75" s="260"/>
      <c r="J75" s="260"/>
      <c r="K75" s="245" t="s">
        <v>45</v>
      </c>
      <c r="L75" s="245" t="s">
        <v>83</v>
      </c>
      <c r="M75" s="245" t="s">
        <v>0</v>
      </c>
      <c r="N75" s="245"/>
      <c r="O75" s="247" t="s">
        <v>84</v>
      </c>
      <c r="P75" s="245" t="s">
        <v>49</v>
      </c>
      <c r="Q75" s="249" t="s">
        <v>16</v>
      </c>
    </row>
    <row r="76" spans="1:19" ht="75.75" customHeight="1" thickBot="1">
      <c r="A76" s="79"/>
      <c r="B76" s="255"/>
      <c r="C76" s="246"/>
      <c r="D76" s="246"/>
      <c r="E76" s="246"/>
      <c r="F76" s="246" t="s">
        <v>43</v>
      </c>
      <c r="G76" s="246"/>
      <c r="H76" s="74" t="s">
        <v>85</v>
      </c>
      <c r="I76" s="75" t="s">
        <v>51</v>
      </c>
      <c r="J76" s="76" t="s">
        <v>52</v>
      </c>
      <c r="K76" s="246"/>
      <c r="L76" s="246"/>
      <c r="M76" s="74" t="s">
        <v>96</v>
      </c>
      <c r="N76" s="74" t="s">
        <v>54</v>
      </c>
      <c r="O76" s="248"/>
      <c r="P76" s="246"/>
      <c r="Q76" s="250"/>
    </row>
    <row r="77" spans="1:19" ht="48.75" customHeight="1">
      <c r="A77" s="118">
        <v>4.0999999999999996</v>
      </c>
      <c r="B77" s="119" t="s">
        <v>4</v>
      </c>
      <c r="C77" s="120" t="s">
        <v>97</v>
      </c>
      <c r="D77" s="121"/>
      <c r="E77" s="119" t="s">
        <v>98</v>
      </c>
      <c r="F77" s="263" t="s">
        <v>153</v>
      </c>
      <c r="G77" s="264"/>
      <c r="H77" s="122">
        <f>SUM(9290368.77/E$7)/1000</f>
        <v>2882.6115517080889</v>
      </c>
      <c r="I77" s="123">
        <v>12</v>
      </c>
      <c r="J77" s="123">
        <v>88</v>
      </c>
      <c r="K77" s="124">
        <v>4.2</v>
      </c>
      <c r="L77" s="119" t="s">
        <v>58</v>
      </c>
      <c r="M77" s="125" t="s">
        <v>59</v>
      </c>
      <c r="N77" s="119" t="s">
        <v>148</v>
      </c>
      <c r="O77" s="119" t="s">
        <v>148</v>
      </c>
      <c r="P77" s="119" t="s">
        <v>148</v>
      </c>
      <c r="Q77" s="126" t="s">
        <v>122</v>
      </c>
    </row>
    <row r="78" spans="1:19" ht="30" customHeight="1">
      <c r="A78" s="89">
        <v>4.2</v>
      </c>
      <c r="B78" s="16" t="s">
        <v>4</v>
      </c>
      <c r="C78" s="83" t="s">
        <v>100</v>
      </c>
      <c r="D78" s="14"/>
      <c r="E78" s="16" t="s">
        <v>62</v>
      </c>
      <c r="F78" s="265" t="s">
        <v>154</v>
      </c>
      <c r="G78" s="266"/>
      <c r="H78" s="65">
        <f>SUM(169000/E$7)/1000</f>
        <v>52.437245958608706</v>
      </c>
      <c r="I78" s="61">
        <v>0</v>
      </c>
      <c r="J78" s="61">
        <v>100</v>
      </c>
      <c r="K78" s="62">
        <v>3.1</v>
      </c>
      <c r="L78" s="16" t="s">
        <v>63</v>
      </c>
      <c r="M78" s="63">
        <v>41957</v>
      </c>
      <c r="N78" s="102">
        <v>42011</v>
      </c>
      <c r="O78" s="16" t="s">
        <v>9</v>
      </c>
      <c r="P78" s="25" t="s">
        <v>57</v>
      </c>
      <c r="Q78" s="99" t="s">
        <v>125</v>
      </c>
    </row>
    <row r="79" spans="1:19" ht="31.2">
      <c r="A79" s="89">
        <v>4.3</v>
      </c>
      <c r="B79" s="16" t="s">
        <v>4</v>
      </c>
      <c r="C79" s="83" t="s">
        <v>101</v>
      </c>
      <c r="D79" s="14"/>
      <c r="E79" s="16" t="s">
        <v>62</v>
      </c>
      <c r="F79" s="265" t="s">
        <v>155</v>
      </c>
      <c r="G79" s="266"/>
      <c r="H79" s="65">
        <f>SUM(257800/E$7)/1000</f>
        <v>79.99007105401968</v>
      </c>
      <c r="I79" s="61">
        <v>0</v>
      </c>
      <c r="J79" s="61">
        <v>100</v>
      </c>
      <c r="K79" s="62">
        <v>4.0999999999999996</v>
      </c>
      <c r="L79" s="16" t="s">
        <v>63</v>
      </c>
      <c r="M79" s="63">
        <v>41225</v>
      </c>
      <c r="N79" s="102">
        <v>41227</v>
      </c>
      <c r="O79" s="16" t="s">
        <v>10</v>
      </c>
      <c r="P79" s="25" t="s">
        <v>57</v>
      </c>
      <c r="Q79" s="99" t="s">
        <v>60</v>
      </c>
    </row>
    <row r="80" spans="1:19" ht="31.2">
      <c r="A80" s="163">
        <v>4.4000000000000004</v>
      </c>
      <c r="B80" s="16" t="s">
        <v>4</v>
      </c>
      <c r="C80" s="14" t="s">
        <v>167</v>
      </c>
      <c r="D80" s="14"/>
      <c r="E80" s="16" t="s">
        <v>98</v>
      </c>
      <c r="F80" s="271" t="s">
        <v>201</v>
      </c>
      <c r="G80" s="272"/>
      <c r="H80" s="145">
        <f>SUM(5312123/E$7)/1000</f>
        <v>1648.2431971206056</v>
      </c>
      <c r="I80" s="146">
        <v>18</v>
      </c>
      <c r="J80" s="146">
        <v>82</v>
      </c>
      <c r="K80" s="185">
        <v>4.2</v>
      </c>
      <c r="L80" s="16" t="s">
        <v>58</v>
      </c>
      <c r="M80" s="63">
        <v>42363</v>
      </c>
      <c r="N80" s="174">
        <v>42697</v>
      </c>
      <c r="O80" s="109"/>
      <c r="P80" s="109"/>
      <c r="Q80" s="99" t="s">
        <v>99</v>
      </c>
    </row>
    <row r="81" spans="1:17" ht="47.4" customHeight="1">
      <c r="A81" s="108">
        <v>4.5</v>
      </c>
      <c r="B81" s="109" t="s">
        <v>4</v>
      </c>
      <c r="C81" s="110" t="s">
        <v>208</v>
      </c>
      <c r="D81" s="110"/>
      <c r="E81" s="109" t="s">
        <v>102</v>
      </c>
      <c r="F81" s="269" t="s">
        <v>7</v>
      </c>
      <c r="G81" s="270"/>
      <c r="H81" s="208">
        <f>SUM(150000/E$7)/1000</f>
        <v>46.541934282788787</v>
      </c>
      <c r="I81" s="111">
        <v>100</v>
      </c>
      <c r="J81" s="111">
        <v>0</v>
      </c>
      <c r="K81" s="209" t="s">
        <v>211</v>
      </c>
      <c r="L81" s="109" t="s">
        <v>58</v>
      </c>
      <c r="M81" s="112">
        <v>42653</v>
      </c>
      <c r="N81" s="140">
        <v>42741</v>
      </c>
      <c r="O81" s="109"/>
      <c r="P81" s="109" t="s">
        <v>57</v>
      </c>
      <c r="Q81" s="113" t="s">
        <v>65</v>
      </c>
    </row>
    <row r="82" spans="1:17" ht="45" customHeight="1">
      <c r="A82" s="108">
        <v>4.5999999999999996</v>
      </c>
      <c r="B82" s="109" t="s">
        <v>4</v>
      </c>
      <c r="C82" s="110" t="s">
        <v>209</v>
      </c>
      <c r="D82" s="110"/>
      <c r="E82" s="109" t="s">
        <v>102</v>
      </c>
      <c r="F82" s="269" t="s">
        <v>7</v>
      </c>
      <c r="G82" s="270"/>
      <c r="H82" s="208">
        <f>SUM(120000/E$7)/1000</f>
        <v>37.233547426231034</v>
      </c>
      <c r="I82" s="111">
        <v>100</v>
      </c>
      <c r="J82" s="111">
        <v>0</v>
      </c>
      <c r="K82" s="209" t="s">
        <v>212</v>
      </c>
      <c r="L82" s="109" t="s">
        <v>58</v>
      </c>
      <c r="M82" s="112">
        <v>42653</v>
      </c>
      <c r="N82" s="140">
        <v>42741</v>
      </c>
      <c r="O82" s="109"/>
      <c r="P82" s="109" t="s">
        <v>57</v>
      </c>
      <c r="Q82" s="113" t="s">
        <v>65</v>
      </c>
    </row>
    <row r="83" spans="1:17" ht="30" customHeight="1" thickBot="1">
      <c r="A83" s="202">
        <v>4.7</v>
      </c>
      <c r="B83" s="184" t="s">
        <v>4</v>
      </c>
      <c r="C83" s="203" t="s">
        <v>210</v>
      </c>
      <c r="D83" s="203"/>
      <c r="E83" s="184" t="s">
        <v>102</v>
      </c>
      <c r="F83" s="267" t="s">
        <v>7</v>
      </c>
      <c r="G83" s="268"/>
      <c r="H83" s="144">
        <f>SUM(120000/E$7)/1000</f>
        <v>37.233547426231034</v>
      </c>
      <c r="I83" s="210">
        <v>100</v>
      </c>
      <c r="J83" s="210">
        <v>0</v>
      </c>
      <c r="K83" s="211" t="s">
        <v>213</v>
      </c>
      <c r="L83" s="184" t="s">
        <v>58</v>
      </c>
      <c r="M83" s="212">
        <v>42653</v>
      </c>
      <c r="N83" s="213">
        <v>42773</v>
      </c>
      <c r="O83" s="184"/>
      <c r="P83" s="109" t="s">
        <v>57</v>
      </c>
      <c r="Q83" s="207" t="s">
        <v>65</v>
      </c>
    </row>
    <row r="84" spans="1:17">
      <c r="A84" s="19"/>
      <c r="B84" s="26"/>
      <c r="C84" s="26"/>
      <c r="D84" s="26"/>
      <c r="E84" s="26"/>
      <c r="F84" s="26"/>
      <c r="G84" s="39" t="s">
        <v>79</v>
      </c>
      <c r="H84" s="60">
        <f>SUM(H77:H83)-H77</f>
        <v>1901.6795432684848</v>
      </c>
      <c r="I84" s="27"/>
      <c r="J84" s="28"/>
      <c r="K84" s="28"/>
      <c r="L84" s="26"/>
      <c r="M84" s="26"/>
      <c r="N84" s="26"/>
      <c r="O84" s="26"/>
      <c r="P84" s="26"/>
      <c r="Q84" s="26"/>
    </row>
    <row r="85" spans="1:17" ht="15.75" customHeight="1" thickBot="1">
      <c r="A85" s="19"/>
    </row>
    <row r="86" spans="1:17" ht="15" customHeight="1">
      <c r="A86" s="86">
        <v>5</v>
      </c>
      <c r="B86" s="251" t="s">
        <v>103</v>
      </c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252"/>
      <c r="N86" s="252"/>
      <c r="O86" s="252"/>
      <c r="P86" s="252"/>
      <c r="Q86" s="253"/>
    </row>
    <row r="87" spans="1:17">
      <c r="A87" s="78"/>
      <c r="B87" s="254" t="s">
        <v>81</v>
      </c>
      <c r="C87" s="245" t="s">
        <v>2</v>
      </c>
      <c r="D87" s="245" t="s">
        <v>40</v>
      </c>
      <c r="E87" s="245" t="s">
        <v>41</v>
      </c>
      <c r="F87" s="245" t="s">
        <v>43</v>
      </c>
      <c r="G87" s="260" t="s">
        <v>82</v>
      </c>
      <c r="H87" s="260"/>
      <c r="I87" s="260"/>
      <c r="J87" s="261" t="s">
        <v>104</v>
      </c>
      <c r="K87" s="245" t="s">
        <v>45</v>
      </c>
      <c r="L87" s="245" t="s">
        <v>83</v>
      </c>
      <c r="M87" s="245" t="s">
        <v>0</v>
      </c>
      <c r="N87" s="245"/>
      <c r="O87" s="247" t="s">
        <v>84</v>
      </c>
      <c r="P87" s="245" t="s">
        <v>49</v>
      </c>
      <c r="Q87" s="249" t="s">
        <v>16</v>
      </c>
    </row>
    <row r="88" spans="1:17" ht="33" customHeight="1" thickBot="1">
      <c r="A88" s="79"/>
      <c r="B88" s="255"/>
      <c r="C88" s="246"/>
      <c r="D88" s="246"/>
      <c r="E88" s="246"/>
      <c r="F88" s="246"/>
      <c r="G88" s="74" t="s">
        <v>85</v>
      </c>
      <c r="H88" s="75" t="s">
        <v>51</v>
      </c>
      <c r="I88" s="76" t="s">
        <v>52</v>
      </c>
      <c r="J88" s="262"/>
      <c r="K88" s="246"/>
      <c r="L88" s="246"/>
      <c r="M88" s="74" t="s">
        <v>105</v>
      </c>
      <c r="N88" s="74" t="s">
        <v>106</v>
      </c>
      <c r="O88" s="248"/>
      <c r="P88" s="246"/>
      <c r="Q88" s="250"/>
    </row>
    <row r="89" spans="1:17" ht="63.6" customHeight="1">
      <c r="A89" s="195">
        <v>5.0999999999999996</v>
      </c>
      <c r="B89" s="73" t="s">
        <v>4</v>
      </c>
      <c r="C89" s="20" t="s">
        <v>107</v>
      </c>
      <c r="D89" s="20"/>
      <c r="E89" s="73" t="s">
        <v>108</v>
      </c>
      <c r="F89" s="106" t="s">
        <v>217</v>
      </c>
      <c r="G89" s="93">
        <f>SUM((SUM(88000)/E$7)/1000)</f>
        <v>27.304601445902758</v>
      </c>
      <c r="H89" s="70" t="s">
        <v>17</v>
      </c>
      <c r="I89" s="70" t="s">
        <v>18</v>
      </c>
      <c r="J89" s="73">
        <v>1</v>
      </c>
      <c r="K89" s="71">
        <v>3.3</v>
      </c>
      <c r="L89" s="73" t="s">
        <v>66</v>
      </c>
      <c r="M89" s="72">
        <v>42584</v>
      </c>
      <c r="N89" s="161">
        <v>42688</v>
      </c>
      <c r="O89" s="73" t="s">
        <v>148</v>
      </c>
      <c r="P89" s="197" t="s">
        <v>57</v>
      </c>
      <c r="Q89" s="156" t="s">
        <v>99</v>
      </c>
    </row>
    <row r="90" spans="1:17" ht="153.6" customHeight="1">
      <c r="A90" s="163">
        <v>5.2</v>
      </c>
      <c r="B90" s="16" t="s">
        <v>4</v>
      </c>
      <c r="C90" s="83" t="s">
        <v>162</v>
      </c>
      <c r="D90" s="14" t="s">
        <v>169</v>
      </c>
      <c r="E90" s="16" t="s">
        <v>108</v>
      </c>
      <c r="F90" s="16">
        <v>1</v>
      </c>
      <c r="G90" s="93">
        <f>SUM(53600/$E$7)/1000</f>
        <v>16.630984517049864</v>
      </c>
      <c r="H90" s="61">
        <v>100</v>
      </c>
      <c r="I90" s="61"/>
      <c r="J90" s="16">
        <v>1</v>
      </c>
      <c r="K90" s="62">
        <v>4.2</v>
      </c>
      <c r="L90" s="16" t="s">
        <v>58</v>
      </c>
      <c r="M90" s="63">
        <v>42237</v>
      </c>
      <c r="N90" s="162">
        <v>42314</v>
      </c>
      <c r="O90" s="16"/>
      <c r="P90" s="16" t="s">
        <v>170</v>
      </c>
      <c r="Q90" s="151" t="s">
        <v>125</v>
      </c>
    </row>
    <row r="91" spans="1:17" ht="57" customHeight="1">
      <c r="A91" s="133">
        <v>5.3</v>
      </c>
      <c r="B91" s="129" t="s">
        <v>4</v>
      </c>
      <c r="C91" s="215" t="s">
        <v>163</v>
      </c>
      <c r="D91" s="130"/>
      <c r="E91" s="129" t="s">
        <v>108</v>
      </c>
      <c r="F91" s="129">
        <v>2</v>
      </c>
      <c r="G91" s="122">
        <f>SUM(61640/$E$7)/1000</f>
        <v>19.125632194607341</v>
      </c>
      <c r="H91" s="135">
        <v>100</v>
      </c>
      <c r="I91" s="135"/>
      <c r="J91" s="129"/>
      <c r="K91" s="194">
        <v>4.2</v>
      </c>
      <c r="L91" s="129" t="s">
        <v>58</v>
      </c>
      <c r="M91" s="153">
        <v>42237</v>
      </c>
      <c r="N91" s="153">
        <v>42430</v>
      </c>
      <c r="O91" s="129"/>
      <c r="P91" s="119"/>
      <c r="Q91" s="137" t="s">
        <v>122</v>
      </c>
    </row>
    <row r="92" spans="1:17" ht="217.2" customHeight="1" thickBot="1">
      <c r="A92" s="92">
        <v>5.4</v>
      </c>
      <c r="B92" s="29" t="s">
        <v>4</v>
      </c>
      <c r="C92" s="168" t="s">
        <v>164</v>
      </c>
      <c r="D92" s="24" t="s">
        <v>218</v>
      </c>
      <c r="E92" s="29" t="s">
        <v>108</v>
      </c>
      <c r="F92" s="29">
        <v>3</v>
      </c>
      <c r="G92" s="179">
        <f>SUM((58960+121272)/$E$7)/1000</f>
        <v>55.92230599770393</v>
      </c>
      <c r="H92" s="180">
        <v>33</v>
      </c>
      <c r="I92" s="180">
        <v>67</v>
      </c>
      <c r="J92" s="29">
        <v>1</v>
      </c>
      <c r="K92" s="166">
        <v>4.2</v>
      </c>
      <c r="L92" s="29" t="s">
        <v>58</v>
      </c>
      <c r="M92" s="167">
        <v>42237</v>
      </c>
      <c r="N92" s="169">
        <v>42320</v>
      </c>
      <c r="O92" s="29"/>
      <c r="P92" s="29" t="s">
        <v>168</v>
      </c>
      <c r="Q92" s="100" t="s">
        <v>60</v>
      </c>
    </row>
    <row r="93" spans="1:17">
      <c r="A93" s="19"/>
      <c r="B93" s="26"/>
      <c r="C93" s="26"/>
      <c r="D93" s="26"/>
      <c r="E93" s="26"/>
      <c r="F93" s="39" t="s">
        <v>79</v>
      </c>
      <c r="G93" s="60">
        <f>SUM(G89:G92)-G91</f>
        <v>99.857891960656559</v>
      </c>
      <c r="I93" s="28"/>
      <c r="J93" s="28"/>
      <c r="K93" s="26"/>
      <c r="L93" s="26"/>
      <c r="M93" s="26"/>
      <c r="N93" s="26"/>
      <c r="O93" s="26"/>
      <c r="P93" s="26"/>
      <c r="Q93" s="26"/>
    </row>
    <row r="94" spans="1:17" ht="15.75" customHeight="1" thickBot="1">
      <c r="A94" s="19"/>
    </row>
    <row r="95" spans="1:17" ht="15" customHeight="1">
      <c r="A95" s="87">
        <v>6</v>
      </c>
      <c r="B95" s="251" t="s">
        <v>109</v>
      </c>
      <c r="C95" s="252"/>
      <c r="D95" s="252"/>
      <c r="E95" s="252"/>
      <c r="F95" s="252"/>
      <c r="G95" s="252"/>
      <c r="H95" s="252"/>
      <c r="I95" s="252"/>
      <c r="J95" s="252"/>
      <c r="K95" s="252"/>
      <c r="L95" s="252"/>
      <c r="M95" s="252"/>
      <c r="N95" s="252"/>
      <c r="O95" s="252"/>
      <c r="P95" s="252"/>
      <c r="Q95" s="253"/>
    </row>
    <row r="96" spans="1:17" ht="86.25" customHeight="1">
      <c r="A96" s="88"/>
      <c r="B96" s="254" t="s">
        <v>81</v>
      </c>
      <c r="C96" s="245" t="s">
        <v>2</v>
      </c>
      <c r="D96" s="245" t="s">
        <v>40</v>
      </c>
      <c r="E96" s="245" t="s">
        <v>41</v>
      </c>
      <c r="F96" s="256" t="s">
        <v>43</v>
      </c>
      <c r="G96" s="257"/>
      <c r="H96" s="260" t="s">
        <v>82</v>
      </c>
      <c r="I96" s="260"/>
      <c r="J96" s="260"/>
      <c r="K96" s="245" t="s">
        <v>45</v>
      </c>
      <c r="L96" s="245" t="s">
        <v>83</v>
      </c>
      <c r="M96" s="245" t="s">
        <v>0</v>
      </c>
      <c r="N96" s="245"/>
      <c r="O96" s="247" t="s">
        <v>84</v>
      </c>
      <c r="P96" s="245" t="s">
        <v>49</v>
      </c>
      <c r="Q96" s="249" t="s">
        <v>16</v>
      </c>
    </row>
    <row r="97" spans="1:17" ht="21" customHeight="1" thickBot="1">
      <c r="A97" s="79"/>
      <c r="B97" s="255"/>
      <c r="C97" s="246"/>
      <c r="D97" s="246"/>
      <c r="E97" s="246"/>
      <c r="F97" s="258"/>
      <c r="G97" s="259"/>
      <c r="H97" s="74" t="s">
        <v>85</v>
      </c>
      <c r="I97" s="75" t="s">
        <v>51</v>
      </c>
      <c r="J97" s="76" t="s">
        <v>52</v>
      </c>
      <c r="K97" s="246"/>
      <c r="L97" s="246"/>
      <c r="M97" s="74" t="s">
        <v>110</v>
      </c>
      <c r="N97" s="74" t="s">
        <v>54</v>
      </c>
      <c r="O97" s="248"/>
      <c r="P97" s="246"/>
      <c r="Q97" s="250"/>
    </row>
    <row r="98" spans="1:17" ht="91.8" customHeight="1">
      <c r="A98" s="195">
        <v>6.1</v>
      </c>
      <c r="B98" s="73" t="s">
        <v>4</v>
      </c>
      <c r="C98" s="97" t="s">
        <v>159</v>
      </c>
      <c r="D98" s="217"/>
      <c r="E98" s="73" t="s">
        <v>111</v>
      </c>
      <c r="F98" s="106" t="s">
        <v>57</v>
      </c>
      <c r="G98" s="218"/>
      <c r="H98" s="93">
        <f>SUM(20000/E$7)/1000</f>
        <v>6.2055912377051721</v>
      </c>
      <c r="I98" s="70">
        <v>100</v>
      </c>
      <c r="J98" s="196">
        <v>0</v>
      </c>
      <c r="K98" s="95">
        <v>3.3</v>
      </c>
      <c r="L98" s="218" t="s">
        <v>66</v>
      </c>
      <c r="M98" s="155">
        <v>42621</v>
      </c>
      <c r="N98" s="219">
        <v>42678</v>
      </c>
      <c r="O98" s="218"/>
      <c r="P98" s="106"/>
      <c r="Q98" s="220" t="s">
        <v>65</v>
      </c>
    </row>
    <row r="99" spans="1:17" ht="118.2" customHeight="1">
      <c r="A99" s="89">
        <v>6.2</v>
      </c>
      <c r="B99" s="16" t="s">
        <v>4</v>
      </c>
      <c r="C99" s="14" t="s">
        <v>158</v>
      </c>
      <c r="D99" s="16" t="s">
        <v>171</v>
      </c>
      <c r="E99" s="16" t="s">
        <v>111</v>
      </c>
      <c r="F99" s="103" t="s">
        <v>156</v>
      </c>
      <c r="G99" s="103"/>
      <c r="H99" s="157">
        <f>SUM(61067.78/E$7)/1000</f>
        <v>18.948084023705356</v>
      </c>
      <c r="I99" s="61">
        <v>100</v>
      </c>
      <c r="J99" s="61">
        <v>0</v>
      </c>
      <c r="K99" s="158">
        <v>3.3</v>
      </c>
      <c r="L99" s="103" t="s">
        <v>58</v>
      </c>
      <c r="M99" s="82">
        <v>42231</v>
      </c>
      <c r="N99" s="170">
        <v>42342</v>
      </c>
      <c r="O99" s="103"/>
      <c r="P99" s="103" t="s">
        <v>172</v>
      </c>
      <c r="Q99" s="99" t="s">
        <v>125</v>
      </c>
    </row>
    <row r="100" spans="1:17" ht="34.799999999999997" customHeight="1">
      <c r="A100" s="89">
        <v>6.3</v>
      </c>
      <c r="B100" s="16" t="s">
        <v>4</v>
      </c>
      <c r="C100" s="14" t="s">
        <v>157</v>
      </c>
      <c r="D100" s="221"/>
      <c r="E100" s="16" t="s">
        <v>102</v>
      </c>
      <c r="F100" s="105" t="s">
        <v>57</v>
      </c>
      <c r="G100" s="103"/>
      <c r="H100" s="157">
        <f>SUM(250000/E$7)/1000</f>
        <v>77.56989047131465</v>
      </c>
      <c r="I100" s="61">
        <v>100</v>
      </c>
      <c r="J100" s="61">
        <v>0</v>
      </c>
      <c r="K100" s="158">
        <v>3.3</v>
      </c>
      <c r="L100" s="103" t="s">
        <v>58</v>
      </c>
      <c r="M100" s="222">
        <v>42837</v>
      </c>
      <c r="N100" s="223">
        <v>42962</v>
      </c>
      <c r="O100" s="103"/>
      <c r="P100" s="103"/>
      <c r="Q100" s="104" t="s">
        <v>65</v>
      </c>
    </row>
    <row r="101" spans="1:17" ht="32.25" customHeight="1">
      <c r="A101" s="118">
        <v>6.4</v>
      </c>
      <c r="B101" s="119" t="s">
        <v>4</v>
      </c>
      <c r="C101" s="201" t="s">
        <v>112</v>
      </c>
      <c r="D101" s="224"/>
      <c r="E101" s="129" t="s">
        <v>111</v>
      </c>
      <c r="F101" s="131" t="s">
        <v>57</v>
      </c>
      <c r="G101" s="131"/>
      <c r="H101" s="225">
        <f>SUM(10000/E$7)/1000</f>
        <v>3.102795618852586</v>
      </c>
      <c r="I101" s="135">
        <v>100</v>
      </c>
      <c r="J101" s="135">
        <v>0</v>
      </c>
      <c r="K101" s="226">
        <v>3.3</v>
      </c>
      <c r="L101" s="131" t="s">
        <v>66</v>
      </c>
      <c r="M101" s="136">
        <v>42658</v>
      </c>
      <c r="N101" s="227">
        <v>42705</v>
      </c>
      <c r="O101" s="131"/>
      <c r="P101" s="131"/>
      <c r="Q101" s="228" t="s">
        <v>65</v>
      </c>
    </row>
    <row r="102" spans="1:17" ht="84.75" hidden="1" customHeight="1">
      <c r="A102" s="181">
        <v>6.4</v>
      </c>
      <c r="B102" s="197" t="s">
        <v>4</v>
      </c>
      <c r="C102" s="182" t="s">
        <v>202</v>
      </c>
      <c r="D102" s="221"/>
      <c r="E102" s="16"/>
      <c r="F102" s="105"/>
      <c r="G102" s="103"/>
      <c r="H102" s="157"/>
      <c r="I102" s="61"/>
      <c r="J102" s="61"/>
      <c r="K102" s="158"/>
      <c r="L102" s="103"/>
      <c r="M102" s="214"/>
      <c r="N102" s="229"/>
      <c r="O102" s="103"/>
      <c r="P102" s="103"/>
      <c r="Q102" s="104"/>
    </row>
    <row r="103" spans="1:17" ht="35.25" customHeight="1">
      <c r="A103" s="89">
        <v>6.5</v>
      </c>
      <c r="B103" s="16" t="s">
        <v>4</v>
      </c>
      <c r="C103" s="14" t="s">
        <v>32</v>
      </c>
      <c r="D103" s="221"/>
      <c r="E103" s="16" t="s">
        <v>111</v>
      </c>
      <c r="F103" s="105" t="s">
        <v>57</v>
      </c>
      <c r="G103" s="103"/>
      <c r="H103" s="157">
        <f>SUM(110000/E$7)/1000</f>
        <v>34.130751807378445</v>
      </c>
      <c r="I103" s="61">
        <v>100</v>
      </c>
      <c r="J103" s="61">
        <v>0</v>
      </c>
      <c r="K103" s="158">
        <v>3.3</v>
      </c>
      <c r="L103" s="103" t="s">
        <v>66</v>
      </c>
      <c r="M103" s="223">
        <v>42612</v>
      </c>
      <c r="N103" s="223">
        <v>42678</v>
      </c>
      <c r="O103" s="103"/>
      <c r="P103" s="103"/>
      <c r="Q103" s="104" t="s">
        <v>65</v>
      </c>
    </row>
    <row r="104" spans="1:17" ht="35.25" customHeight="1">
      <c r="A104" s="200">
        <v>6.7</v>
      </c>
      <c r="B104" s="119" t="s">
        <v>4</v>
      </c>
      <c r="C104" s="201" t="s">
        <v>113</v>
      </c>
      <c r="D104" s="224"/>
      <c r="E104" s="129" t="s">
        <v>111</v>
      </c>
      <c r="F104" s="131" t="s">
        <v>57</v>
      </c>
      <c r="G104" s="131"/>
      <c r="H104" s="225">
        <f>SUM(15000/E$7)/1000</f>
        <v>4.6541934282788793</v>
      </c>
      <c r="I104" s="152">
        <v>100</v>
      </c>
      <c r="J104" s="152">
        <v>0</v>
      </c>
      <c r="K104" s="226">
        <v>3.3</v>
      </c>
      <c r="L104" s="131" t="s">
        <v>66</v>
      </c>
      <c r="M104" s="227">
        <v>42522</v>
      </c>
      <c r="N104" s="227">
        <v>42583</v>
      </c>
      <c r="O104" s="131"/>
      <c r="P104" s="131"/>
      <c r="Q104" s="228" t="s">
        <v>65</v>
      </c>
    </row>
    <row r="105" spans="1:17" ht="57.75" hidden="1" customHeight="1">
      <c r="A105" s="90"/>
      <c r="B105" s="183" t="s">
        <v>4</v>
      </c>
      <c r="C105" s="183" t="s">
        <v>203</v>
      </c>
      <c r="D105" s="221"/>
      <c r="E105" s="16"/>
      <c r="F105" s="105"/>
      <c r="G105" s="103"/>
      <c r="H105" s="157"/>
      <c r="I105" s="61"/>
      <c r="J105" s="61"/>
      <c r="K105" s="158"/>
      <c r="L105" s="103"/>
      <c r="M105" s="229"/>
      <c r="N105" s="229"/>
      <c r="O105" s="103"/>
      <c r="P105" s="103"/>
      <c r="Q105" s="104"/>
    </row>
    <row r="106" spans="1:17" ht="57.75" customHeight="1">
      <c r="A106" s="89">
        <v>6.8</v>
      </c>
      <c r="B106" s="16" t="s">
        <v>4</v>
      </c>
      <c r="C106" s="14" t="s">
        <v>114</v>
      </c>
      <c r="D106" s="221"/>
      <c r="E106" s="16" t="s">
        <v>111</v>
      </c>
      <c r="F106" s="105" t="s">
        <v>57</v>
      </c>
      <c r="G106" s="103"/>
      <c r="H106" s="157">
        <f>SUM(15000/E$7)/1000</f>
        <v>4.6541934282788793</v>
      </c>
      <c r="I106" s="61">
        <v>100</v>
      </c>
      <c r="J106" s="61">
        <v>0</v>
      </c>
      <c r="K106" s="158">
        <v>3.3</v>
      </c>
      <c r="L106" s="103" t="s">
        <v>66</v>
      </c>
      <c r="M106" s="222">
        <v>42957</v>
      </c>
      <c r="N106" s="223">
        <v>42989</v>
      </c>
      <c r="O106" s="103"/>
      <c r="P106" s="103"/>
      <c r="Q106" s="104" t="s">
        <v>65</v>
      </c>
    </row>
    <row r="107" spans="1:17" ht="80.25" customHeight="1">
      <c r="A107" s="89">
        <v>6.9</v>
      </c>
      <c r="B107" s="16" t="s">
        <v>4</v>
      </c>
      <c r="C107" s="14" t="s">
        <v>115</v>
      </c>
      <c r="D107" s="221"/>
      <c r="E107" s="16" t="s">
        <v>111</v>
      </c>
      <c r="F107" s="105" t="s">
        <v>57</v>
      </c>
      <c r="G107" s="103"/>
      <c r="H107" s="157">
        <f>SUM(55000/E$7)/1000</f>
        <v>17.065375903689223</v>
      </c>
      <c r="I107" s="61">
        <v>100</v>
      </c>
      <c r="J107" s="61">
        <v>0</v>
      </c>
      <c r="K107" s="158">
        <v>3.3</v>
      </c>
      <c r="L107" s="103" t="s">
        <v>66</v>
      </c>
      <c r="M107" s="223">
        <v>42670</v>
      </c>
      <c r="N107" s="223">
        <v>42702</v>
      </c>
      <c r="O107" s="103"/>
      <c r="P107" s="103"/>
      <c r="Q107" s="104" t="s">
        <v>65</v>
      </c>
    </row>
    <row r="108" spans="1:17" ht="33.75" customHeight="1">
      <c r="A108" s="91">
        <v>6.1</v>
      </c>
      <c r="B108" s="16" t="s">
        <v>4</v>
      </c>
      <c r="C108" s="14" t="s">
        <v>116</v>
      </c>
      <c r="D108" s="221"/>
      <c r="E108" s="16" t="s">
        <v>111</v>
      </c>
      <c r="F108" s="105" t="s">
        <v>57</v>
      </c>
      <c r="G108" s="103"/>
      <c r="H108" s="157">
        <f>SUM(100000/E$7)/1000</f>
        <v>31.027956188525863</v>
      </c>
      <c r="I108" s="61">
        <v>100</v>
      </c>
      <c r="J108" s="61">
        <v>0</v>
      </c>
      <c r="K108" s="158">
        <v>3.3</v>
      </c>
      <c r="L108" s="103" t="s">
        <v>66</v>
      </c>
      <c r="M108" s="223">
        <v>42632</v>
      </c>
      <c r="N108" s="223">
        <v>42678</v>
      </c>
      <c r="O108" s="103"/>
      <c r="P108" s="103"/>
      <c r="Q108" s="104" t="s">
        <v>65</v>
      </c>
    </row>
    <row r="109" spans="1:17">
      <c r="A109" s="90">
        <v>6.11</v>
      </c>
      <c r="B109" s="16" t="s">
        <v>4</v>
      </c>
      <c r="C109" s="14" t="s">
        <v>117</v>
      </c>
      <c r="D109" s="221"/>
      <c r="E109" s="16" t="s">
        <v>111</v>
      </c>
      <c r="F109" s="105" t="s">
        <v>57</v>
      </c>
      <c r="G109" s="103"/>
      <c r="H109" s="157">
        <f>SUM(35000/E$7)/1000</f>
        <v>10.859784665984051</v>
      </c>
      <c r="I109" s="61">
        <v>100</v>
      </c>
      <c r="J109" s="61">
        <v>0</v>
      </c>
      <c r="K109" s="158">
        <v>3.3</v>
      </c>
      <c r="L109" s="103" t="s">
        <v>66</v>
      </c>
      <c r="M109" s="223">
        <v>42632</v>
      </c>
      <c r="N109" s="223">
        <v>42678</v>
      </c>
      <c r="O109" s="103"/>
      <c r="P109" s="103"/>
      <c r="Q109" s="104" t="s">
        <v>65</v>
      </c>
    </row>
    <row r="110" spans="1:17" ht="31.2">
      <c r="A110" s="132">
        <v>6.12</v>
      </c>
      <c r="B110" s="129" t="s">
        <v>4</v>
      </c>
      <c r="C110" s="130" t="s">
        <v>118</v>
      </c>
      <c r="D110" s="224"/>
      <c r="E110" s="129" t="s">
        <v>111</v>
      </c>
      <c r="F110" s="131" t="s">
        <v>57</v>
      </c>
      <c r="G110" s="131"/>
      <c r="H110" s="225">
        <f>SUM(40000/$E$7)/1000</f>
        <v>12.411182475410344</v>
      </c>
      <c r="I110" s="152">
        <v>100</v>
      </c>
      <c r="J110" s="152">
        <v>0</v>
      </c>
      <c r="K110" s="226">
        <v>3.3</v>
      </c>
      <c r="L110" s="131" t="s">
        <v>66</v>
      </c>
      <c r="M110" s="131" t="s">
        <v>119</v>
      </c>
      <c r="N110" s="131" t="s">
        <v>57</v>
      </c>
      <c r="O110" s="131"/>
      <c r="P110" s="131"/>
      <c r="Q110" s="129" t="s">
        <v>122</v>
      </c>
    </row>
    <row r="111" spans="1:17" ht="16.2" hidden="1" thickBot="1">
      <c r="A111" s="101">
        <v>6.13</v>
      </c>
      <c r="B111" s="29" t="s">
        <v>4</v>
      </c>
      <c r="C111" s="24"/>
      <c r="D111" s="230"/>
      <c r="E111" s="29"/>
      <c r="F111" s="231"/>
      <c r="G111" s="232"/>
      <c r="H111" s="233"/>
      <c r="I111" s="68"/>
      <c r="J111" s="68"/>
      <c r="K111" s="216"/>
      <c r="L111" s="232"/>
      <c r="M111" s="234"/>
      <c r="N111" s="231"/>
      <c r="O111" s="232"/>
      <c r="P111" s="232"/>
      <c r="Q111" s="235"/>
    </row>
    <row r="112" spans="1:17">
      <c r="A112" s="19"/>
      <c r="B112" s="26"/>
      <c r="C112" s="26"/>
      <c r="D112" s="26"/>
      <c r="E112" s="26"/>
      <c r="F112" s="26"/>
      <c r="G112" s="39" t="s">
        <v>79</v>
      </c>
      <c r="H112" s="60">
        <f>SUM(H98:H111)-H110-H104-H101</f>
        <v>200.46162772658161</v>
      </c>
      <c r="I112" s="27"/>
      <c r="J112" s="28"/>
      <c r="K112" s="28"/>
      <c r="L112" s="26"/>
      <c r="M112" s="26"/>
      <c r="N112" s="26"/>
      <c r="O112" s="26"/>
      <c r="P112" s="26"/>
      <c r="Q112" s="26"/>
    </row>
    <row r="113" spans="1:17" ht="15.75" customHeight="1">
      <c r="A113" s="19"/>
      <c r="F113" s="26"/>
      <c r="G113" s="26"/>
      <c r="H113" s="26"/>
      <c r="I113" s="27"/>
      <c r="J113" s="28"/>
      <c r="K113" s="28"/>
      <c r="L113" s="26"/>
      <c r="M113" s="26"/>
      <c r="N113" s="26"/>
      <c r="O113" s="26"/>
      <c r="P113" s="26"/>
      <c r="Q113" s="26"/>
    </row>
    <row r="114" spans="1:17">
      <c r="B114" s="11" t="s">
        <v>36</v>
      </c>
    </row>
    <row r="116" spans="1:17" ht="15.75" customHeight="1"/>
    <row r="117" spans="1:17">
      <c r="A117" s="236" t="s">
        <v>120</v>
      </c>
      <c r="B117" s="237"/>
      <c r="C117" s="31" t="s">
        <v>63</v>
      </c>
    </row>
    <row r="118" spans="1:17">
      <c r="A118" s="236"/>
      <c r="B118" s="237"/>
      <c r="C118" s="31" t="s">
        <v>66</v>
      </c>
    </row>
    <row r="119" spans="1:17">
      <c r="A119" s="236"/>
      <c r="B119" s="237"/>
      <c r="C119" s="32" t="s">
        <v>58</v>
      </c>
    </row>
    <row r="120" spans="1:17" ht="15.75" customHeight="1"/>
    <row r="121" spans="1:17">
      <c r="A121" s="236" t="s">
        <v>16</v>
      </c>
      <c r="B121" s="237"/>
      <c r="C121" s="31" t="s">
        <v>65</v>
      </c>
    </row>
    <row r="122" spans="1:17">
      <c r="A122" s="236"/>
      <c r="B122" s="237"/>
      <c r="C122" s="31" t="s">
        <v>99</v>
      </c>
    </row>
    <row r="123" spans="1:17">
      <c r="A123" s="236"/>
      <c r="B123" s="237"/>
      <c r="C123" s="31" t="s">
        <v>121</v>
      </c>
      <c r="H123" s="2"/>
      <c r="I123" s="2"/>
      <c r="J123" s="2"/>
    </row>
    <row r="124" spans="1:17">
      <c r="A124" s="236"/>
      <c r="B124" s="237"/>
      <c r="C124" s="31" t="s">
        <v>122</v>
      </c>
      <c r="H124" s="2"/>
      <c r="I124" s="2"/>
      <c r="J124" s="2"/>
    </row>
    <row r="125" spans="1:17">
      <c r="A125" s="236"/>
      <c r="B125" s="237"/>
      <c r="C125" s="31" t="s">
        <v>123</v>
      </c>
      <c r="H125" s="2"/>
      <c r="I125" s="2"/>
      <c r="J125" s="2"/>
    </row>
    <row r="126" spans="1:17">
      <c r="A126" s="236"/>
      <c r="B126" s="237"/>
      <c r="C126" s="31" t="s">
        <v>124</v>
      </c>
      <c r="H126" s="2"/>
      <c r="I126" s="2"/>
      <c r="J126" s="2"/>
    </row>
    <row r="127" spans="1:17">
      <c r="A127" s="236"/>
      <c r="B127" s="237"/>
      <c r="C127" s="31" t="s">
        <v>60</v>
      </c>
      <c r="H127" s="2"/>
      <c r="I127" s="2"/>
      <c r="J127" s="2"/>
    </row>
    <row r="128" spans="1:17">
      <c r="A128" s="236"/>
      <c r="B128" s="237"/>
      <c r="C128" s="31" t="s">
        <v>125</v>
      </c>
      <c r="H128" s="2"/>
      <c r="I128" s="2"/>
      <c r="J128" s="2"/>
    </row>
    <row r="130" spans="1:10" ht="46.8">
      <c r="A130" s="238" t="s">
        <v>126</v>
      </c>
      <c r="B130" s="239"/>
      <c r="C130" s="240" t="s">
        <v>127</v>
      </c>
      <c r="D130" s="31" t="s">
        <v>98</v>
      </c>
      <c r="E130" s="31" t="s">
        <v>98</v>
      </c>
      <c r="H130" s="2"/>
      <c r="I130" s="2"/>
      <c r="J130" s="2"/>
    </row>
    <row r="131" spans="1:10" ht="46.8">
      <c r="A131" s="238"/>
      <c r="B131" s="239"/>
      <c r="C131" s="240"/>
      <c r="D131" s="31" t="s">
        <v>128</v>
      </c>
      <c r="E131" s="31" t="s">
        <v>128</v>
      </c>
      <c r="H131" s="2"/>
      <c r="I131" s="2"/>
      <c r="J131" s="2"/>
    </row>
    <row r="132" spans="1:10" ht="62.4">
      <c r="A132" s="238"/>
      <c r="B132" s="239"/>
      <c r="C132" s="240"/>
      <c r="D132" s="31" t="s">
        <v>102</v>
      </c>
      <c r="E132" s="31" t="s">
        <v>102</v>
      </c>
      <c r="H132" s="2"/>
      <c r="I132" s="2"/>
      <c r="J132" s="2"/>
    </row>
    <row r="133" spans="1:10" ht="31.2">
      <c r="A133" s="238"/>
      <c r="B133" s="239"/>
      <c r="C133" s="240"/>
      <c r="D133" s="31" t="s">
        <v>86</v>
      </c>
      <c r="E133" s="31" t="s">
        <v>86</v>
      </c>
      <c r="H133" s="2"/>
      <c r="I133" s="2"/>
      <c r="J133" s="2"/>
    </row>
    <row r="134" spans="1:10" ht="31.2">
      <c r="A134" s="238"/>
      <c r="B134" s="239"/>
      <c r="C134" s="240"/>
      <c r="D134" s="31" t="s">
        <v>62</v>
      </c>
      <c r="E134" s="31" t="s">
        <v>62</v>
      </c>
      <c r="H134" s="2"/>
      <c r="I134" s="2"/>
      <c r="J134" s="2"/>
    </row>
    <row r="135" spans="1:10" ht="46.8">
      <c r="A135" s="238"/>
      <c r="B135" s="239"/>
      <c r="C135" s="240"/>
      <c r="D135" s="31" t="s">
        <v>129</v>
      </c>
      <c r="E135" s="31" t="s">
        <v>129</v>
      </c>
      <c r="H135" s="2"/>
      <c r="I135" s="2"/>
      <c r="J135" s="2"/>
    </row>
    <row r="136" spans="1:10" ht="46.8">
      <c r="A136" s="238"/>
      <c r="B136" s="239"/>
      <c r="C136" s="240"/>
      <c r="D136" s="31" t="s">
        <v>130</v>
      </c>
      <c r="E136" s="31" t="s">
        <v>130</v>
      </c>
      <c r="H136" s="2"/>
      <c r="I136" s="2"/>
      <c r="J136" s="2"/>
    </row>
    <row r="137" spans="1:10" ht="46.8">
      <c r="A137" s="238"/>
      <c r="B137" s="239"/>
      <c r="C137" s="241" t="s">
        <v>131</v>
      </c>
      <c r="D137" s="31" t="s">
        <v>67</v>
      </c>
      <c r="E137" s="31" t="s">
        <v>56</v>
      </c>
      <c r="H137" s="2"/>
      <c r="I137" s="2"/>
      <c r="J137" s="2"/>
    </row>
    <row r="138" spans="1:10" ht="31.2">
      <c r="A138" s="238"/>
      <c r="B138" s="239"/>
      <c r="C138" s="241"/>
      <c r="D138" s="31" t="s">
        <v>56</v>
      </c>
      <c r="E138" s="31" t="s">
        <v>111</v>
      </c>
      <c r="H138" s="2"/>
      <c r="I138" s="2"/>
      <c r="J138" s="2"/>
    </row>
    <row r="139" spans="1:10" ht="31.2">
      <c r="A139" s="238"/>
      <c r="B139" s="239"/>
      <c r="C139" s="241"/>
      <c r="D139" s="31" t="s">
        <v>111</v>
      </c>
      <c r="H139" s="2"/>
      <c r="I139" s="2"/>
      <c r="J139" s="2"/>
    </row>
    <row r="140" spans="1:10" ht="31.2">
      <c r="A140" s="238"/>
      <c r="B140" s="239"/>
      <c r="C140" s="241"/>
      <c r="D140" s="31" t="s">
        <v>86</v>
      </c>
      <c r="H140" s="2"/>
      <c r="I140" s="2"/>
      <c r="J140" s="2"/>
    </row>
    <row r="141" spans="1:10" ht="31.2">
      <c r="A141" s="238"/>
      <c r="B141" s="239"/>
      <c r="C141" s="241"/>
      <c r="D141" s="31" t="s">
        <v>62</v>
      </c>
      <c r="H141" s="2"/>
      <c r="I141" s="2"/>
      <c r="J141" s="2"/>
    </row>
    <row r="142" spans="1:10" ht="46.8">
      <c r="A142" s="238"/>
      <c r="B142" s="239"/>
      <c r="C142" s="241"/>
      <c r="D142" s="31" t="s">
        <v>132</v>
      </c>
      <c r="H142" s="2"/>
      <c r="I142" s="2"/>
      <c r="J142" s="2"/>
    </row>
    <row r="143" spans="1:10" ht="46.8">
      <c r="A143" s="238"/>
      <c r="B143" s="239"/>
      <c r="C143" s="241"/>
      <c r="D143" s="31" t="s">
        <v>133</v>
      </c>
      <c r="H143" s="2"/>
      <c r="I143" s="2"/>
      <c r="J143" s="2"/>
    </row>
    <row r="144" spans="1:10" ht="46.8">
      <c r="A144" s="238"/>
      <c r="B144" s="239"/>
      <c r="C144" s="241"/>
      <c r="D144" s="31" t="s">
        <v>134</v>
      </c>
      <c r="H144" s="2"/>
      <c r="I144" s="2"/>
      <c r="J144" s="2"/>
    </row>
    <row r="145" spans="1:10" ht="46.8">
      <c r="A145" s="238"/>
      <c r="B145" s="239"/>
      <c r="C145" s="241"/>
      <c r="D145" s="31" t="s">
        <v>135</v>
      </c>
      <c r="H145" s="2"/>
      <c r="I145" s="2"/>
      <c r="J145" s="2"/>
    </row>
    <row r="146" spans="1:10" ht="46.8">
      <c r="A146" s="238"/>
      <c r="B146" s="239"/>
      <c r="C146" s="241"/>
      <c r="D146" s="31" t="s">
        <v>136</v>
      </c>
      <c r="H146" s="2"/>
      <c r="I146" s="2"/>
      <c r="J146" s="2"/>
    </row>
    <row r="147" spans="1:10" ht="46.8">
      <c r="A147" s="238"/>
      <c r="B147" s="239"/>
      <c r="C147" s="242" t="s">
        <v>137</v>
      </c>
      <c r="D147" s="31" t="s">
        <v>108</v>
      </c>
      <c r="H147" s="2"/>
      <c r="I147" s="2"/>
      <c r="J147" s="2"/>
    </row>
    <row r="148" spans="1:10" ht="31.2">
      <c r="A148" s="238"/>
      <c r="B148" s="239"/>
      <c r="C148" s="243"/>
      <c r="D148" s="31" t="s">
        <v>86</v>
      </c>
      <c r="H148" s="2"/>
      <c r="I148" s="2"/>
      <c r="J148" s="2"/>
    </row>
    <row r="149" spans="1:10" ht="31.2">
      <c r="A149" s="238"/>
      <c r="B149" s="239"/>
      <c r="C149" s="244"/>
      <c r="D149" s="31" t="s">
        <v>62</v>
      </c>
      <c r="H149" s="2"/>
      <c r="I149" s="2"/>
      <c r="J149" s="2"/>
    </row>
  </sheetData>
  <mergeCells count="122">
    <mergeCell ref="A17:A21"/>
    <mergeCell ref="B17:B21"/>
    <mergeCell ref="C17:C21"/>
    <mergeCell ref="E17:E21"/>
    <mergeCell ref="G17:G21"/>
    <mergeCell ref="B46:B47"/>
    <mergeCell ref="C46:C47"/>
    <mergeCell ref="D46:D47"/>
    <mergeCell ref="E46:E47"/>
    <mergeCell ref="B45:Q45"/>
    <mergeCell ref="O30:O31"/>
    <mergeCell ref="P30:P31"/>
    <mergeCell ref="Q30:Q31"/>
    <mergeCell ref="C30:C31"/>
    <mergeCell ref="E30:E31"/>
    <mergeCell ref="F30:F31"/>
    <mergeCell ref="G30:G31"/>
    <mergeCell ref="K30:K31"/>
    <mergeCell ref="L30:L31"/>
    <mergeCell ref="A30:A31"/>
    <mergeCell ref="B30:B31"/>
    <mergeCell ref="M30:M31"/>
    <mergeCell ref="N30:N31"/>
    <mergeCell ref="J17:J21"/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  <mergeCell ref="K17:K21"/>
    <mergeCell ref="L17:L21"/>
    <mergeCell ref="M17:M21"/>
    <mergeCell ref="P17:P21"/>
    <mergeCell ref="Q17:Q21"/>
    <mergeCell ref="I17:I21"/>
    <mergeCell ref="F46:F47"/>
    <mergeCell ref="G46:G47"/>
    <mergeCell ref="H46:J46"/>
    <mergeCell ref="K46:K47"/>
    <mergeCell ref="L46:L47"/>
    <mergeCell ref="M46:N46"/>
    <mergeCell ref="O46:O47"/>
    <mergeCell ref="P46:P47"/>
    <mergeCell ref="Q46:Q47"/>
    <mergeCell ref="B60:Q60"/>
    <mergeCell ref="B61:B62"/>
    <mergeCell ref="C61:C62"/>
    <mergeCell ref="D61:D62"/>
    <mergeCell ref="E61:E62"/>
    <mergeCell ref="F61:F62"/>
    <mergeCell ref="G61:G62"/>
    <mergeCell ref="H61:J61"/>
    <mergeCell ref="K61:K62"/>
    <mergeCell ref="L61:L62"/>
    <mergeCell ref="M61:N61"/>
    <mergeCell ref="K75:K76"/>
    <mergeCell ref="L75:L76"/>
    <mergeCell ref="M75:N75"/>
    <mergeCell ref="O75:O76"/>
    <mergeCell ref="P75:P76"/>
    <mergeCell ref="Q75:Q76"/>
    <mergeCell ref="O61:O62"/>
    <mergeCell ref="P61:P62"/>
    <mergeCell ref="Q61:Q62"/>
    <mergeCell ref="B74:Q74"/>
    <mergeCell ref="B75:B76"/>
    <mergeCell ref="C75:C76"/>
    <mergeCell ref="D75:D76"/>
    <mergeCell ref="E75:E76"/>
    <mergeCell ref="F75:G75"/>
    <mergeCell ref="H75:J75"/>
    <mergeCell ref="F76:G76"/>
    <mergeCell ref="F77:G77"/>
    <mergeCell ref="F78:G78"/>
    <mergeCell ref="F79:G79"/>
    <mergeCell ref="F83:G83"/>
    <mergeCell ref="B86:Q86"/>
    <mergeCell ref="B87:B88"/>
    <mergeCell ref="C87:C88"/>
    <mergeCell ref="D87:D88"/>
    <mergeCell ref="E87:E88"/>
    <mergeCell ref="F87:F88"/>
    <mergeCell ref="F81:G81"/>
    <mergeCell ref="F82:G82"/>
    <mergeCell ref="F80:G80"/>
    <mergeCell ref="P96:P97"/>
    <mergeCell ref="Q96:Q97"/>
    <mergeCell ref="P87:P88"/>
    <mergeCell ref="Q87:Q88"/>
    <mergeCell ref="B95:Q95"/>
    <mergeCell ref="B96:B97"/>
    <mergeCell ref="C96:C97"/>
    <mergeCell ref="D96:D97"/>
    <mergeCell ref="E96:E97"/>
    <mergeCell ref="F96:G97"/>
    <mergeCell ref="H96:J96"/>
    <mergeCell ref="K96:K97"/>
    <mergeCell ref="G87:I87"/>
    <mergeCell ref="J87:J88"/>
    <mergeCell ref="K87:K88"/>
    <mergeCell ref="L87:L88"/>
    <mergeCell ref="M87:N87"/>
    <mergeCell ref="O87:O88"/>
    <mergeCell ref="A117:B119"/>
    <mergeCell ref="A121:B128"/>
    <mergeCell ref="A130:B149"/>
    <mergeCell ref="C130:C136"/>
    <mergeCell ref="C137:C146"/>
    <mergeCell ref="C147:C149"/>
    <mergeCell ref="L96:L97"/>
    <mergeCell ref="M96:N96"/>
    <mergeCell ref="O96:O97"/>
  </mergeCells>
  <dataValidations count="7">
    <dataValidation type="list" allowBlank="1" showInputMessage="1" showErrorMessage="1" sqref="Q22:Q44 Q77:Q84 Q48:Q58 Q63:Q72 Q89:Q93 Q98:Q111 Q17">
      <formula1>$C$121:$C$128</formula1>
    </dataValidation>
    <dataValidation type="list" allowBlank="1" showInputMessage="1" showErrorMessage="1" sqref="E63:E72 E22:E44 E17 E48:E58">
      <formula1>$D$137:$D$146</formula1>
    </dataValidation>
    <dataValidation type="list" allowBlank="1" showInputMessage="1" showErrorMessage="1" sqref="E112">
      <formula1>'PA SET_16_BID'!#REF!</formula1>
    </dataValidation>
    <dataValidation type="list" allowBlank="1" showInputMessage="1" showErrorMessage="1" sqref="L98:L111 L77:L84 L48:L58 L63:L72 L89:L93 L17 L22:L44">
      <formula1>$C$117:$C$119</formula1>
    </dataValidation>
    <dataValidation type="list" allowBlank="1" showInputMessage="1" showErrorMessage="1" sqref="L112:L113">
      <formula1>'PA SET_16_BID'!#REF!</formula1>
    </dataValidation>
    <dataValidation type="list" allowBlank="1" showInputMessage="1" showErrorMessage="1" sqref="E89:E93">
      <formula1>$D$147:$D$149</formula1>
    </dataValidation>
    <dataValidation type="list" allowBlank="1" showInputMessage="1" showErrorMessage="1" sqref="E77:E84">
      <formula1>$D$130:$D$136</formula1>
    </dataValidation>
  </dataValidations>
  <pageMargins left="0.511811024" right="0.511811024" top="0.78740157499999996" bottom="0.78740157499999996" header="0.31496062000000002" footer="0.31496062000000002"/>
  <pageSetup paperSize="8" scale="59" fitToHeight="0" orientation="landscape" r:id="rId1"/>
  <rowBreaks count="2" manualBreakCount="2">
    <brk id="43" max="16383" man="1"/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3"/>
  <sheetViews>
    <sheetView view="pageBreakPreview" zoomScaleSheetLayoutView="100" workbookViewId="0">
      <selection activeCell="A15" sqref="A15"/>
    </sheetView>
  </sheetViews>
  <sheetFormatPr defaultColWidth="8.6640625" defaultRowHeight="15.6"/>
  <cols>
    <col min="1" max="1" width="56.88671875" style="2" customWidth="1"/>
    <col min="2" max="2" width="90.109375" style="2" customWidth="1"/>
    <col min="3" max="3" width="62.33203125" style="2" customWidth="1"/>
    <col min="4" max="4" width="41.44140625" style="2" customWidth="1"/>
    <col min="5" max="5" width="36.6640625" style="2" customWidth="1"/>
    <col min="6" max="7" width="12.88671875" style="2" customWidth="1"/>
    <col min="8" max="8" width="15.6640625" style="4" customWidth="1"/>
    <col min="9" max="9" width="15.6640625" style="5" customWidth="1"/>
    <col min="10" max="10" width="18" style="5" customWidth="1"/>
    <col min="11" max="11" width="12.6640625" style="2" customWidth="1"/>
    <col min="12" max="12" width="19.5546875" style="2" customWidth="1"/>
    <col min="13" max="13" width="15.5546875" style="2" customWidth="1"/>
    <col min="14" max="14" width="15" style="2" customWidth="1"/>
    <col min="15" max="17" width="18.88671875" style="2" customWidth="1"/>
    <col min="18" max="16384" width="8.6640625" style="2"/>
  </cols>
  <sheetData>
    <row r="1" spans="1:19">
      <c r="B1" s="3"/>
    </row>
    <row r="2" spans="1:19">
      <c r="A2" s="326" t="s">
        <v>14</v>
      </c>
      <c r="B2" s="326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9">
      <c r="A3" s="326" t="s">
        <v>33</v>
      </c>
      <c r="B3" s="32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9">
      <c r="A4" s="327" t="s">
        <v>34</v>
      </c>
      <c r="B4" s="327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9">
      <c r="A5" s="328" t="s">
        <v>15</v>
      </c>
      <c r="B5" s="328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9">
      <c r="C6" s="36"/>
      <c r="D6" s="36"/>
      <c r="E6" s="36"/>
      <c r="F6" s="36"/>
      <c r="G6" s="36"/>
      <c r="H6" s="37"/>
      <c r="I6" s="38"/>
      <c r="J6" s="38"/>
      <c r="K6" s="36"/>
      <c r="L6" s="36"/>
      <c r="M6" s="36"/>
    </row>
    <row r="7" spans="1:19">
      <c r="B7" s="3"/>
    </row>
    <row r="8" spans="1:19">
      <c r="A8" s="8" t="s">
        <v>219</v>
      </c>
      <c r="B8" s="9"/>
      <c r="C8" s="9"/>
    </row>
    <row r="9" spans="1:19">
      <c r="A9" s="8" t="s">
        <v>185</v>
      </c>
      <c r="B9" s="10"/>
      <c r="C9" s="10"/>
    </row>
    <row r="10" spans="1:19">
      <c r="A10" s="8" t="s">
        <v>35</v>
      </c>
      <c r="B10" s="10"/>
      <c r="C10" s="10"/>
    </row>
    <row r="11" spans="1:19">
      <c r="B11" s="11"/>
    </row>
    <row r="12" spans="1:19">
      <c r="A12" s="329" t="s">
        <v>138</v>
      </c>
      <c r="B12" s="32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3"/>
      <c r="S12" s="13"/>
    </row>
    <row r="13" spans="1:19" ht="15.75" customHeight="1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</row>
    <row r="14" spans="1:19">
      <c r="A14" s="11"/>
      <c r="B14" s="13"/>
      <c r="H14" s="2"/>
      <c r="I14" s="2"/>
      <c r="J14" s="2"/>
    </row>
    <row r="15" spans="1:19">
      <c r="A15" s="13"/>
      <c r="B15" s="13"/>
      <c r="H15" s="2"/>
      <c r="I15" s="2"/>
      <c r="J15" s="2"/>
    </row>
    <row r="16" spans="1:19" s="41" customFormat="1" ht="16.2" thickBot="1">
      <c r="A16" s="40"/>
      <c r="B16" s="40"/>
    </row>
    <row r="17" spans="1:10">
      <c r="A17" s="324" t="s">
        <v>139</v>
      </c>
      <c r="B17" s="324" t="s">
        <v>140</v>
      </c>
      <c r="H17" s="2"/>
      <c r="I17" s="2"/>
      <c r="J17" s="2"/>
    </row>
    <row r="18" spans="1:10" ht="16.2" thickBot="1">
      <c r="A18" s="325"/>
      <c r="B18" s="325"/>
      <c r="H18" s="2"/>
      <c r="I18" s="2"/>
      <c r="J18" s="2"/>
    </row>
    <row r="19" spans="1:10" ht="16.2" thickBot="1">
      <c r="A19" s="46" t="s">
        <v>1</v>
      </c>
      <c r="B19" s="47"/>
      <c r="H19" s="2"/>
      <c r="I19" s="2"/>
      <c r="J19" s="2"/>
    </row>
    <row r="20" spans="1:10">
      <c r="A20" s="53"/>
      <c r="B20" s="48"/>
      <c r="H20" s="2"/>
      <c r="I20" s="2"/>
      <c r="J20" s="2"/>
    </row>
    <row r="21" spans="1:10">
      <c r="A21" s="58"/>
      <c r="B21" s="49"/>
      <c r="H21" s="2"/>
      <c r="I21" s="2"/>
      <c r="J21" s="2"/>
    </row>
    <row r="22" spans="1:10">
      <c r="A22" s="49"/>
      <c r="B22" s="49"/>
      <c r="H22" s="2"/>
      <c r="I22" s="2"/>
      <c r="J22" s="2"/>
    </row>
    <row r="23" spans="1:10" ht="16.2" thickBot="1">
      <c r="A23" s="50"/>
      <c r="B23" s="50"/>
      <c r="H23" s="2"/>
      <c r="I23" s="2"/>
      <c r="J23" s="2"/>
    </row>
    <row r="24" spans="1:10" ht="16.2" thickBot="1">
      <c r="A24" s="46" t="s">
        <v>141</v>
      </c>
      <c r="B24" s="47"/>
      <c r="H24" s="2"/>
      <c r="I24" s="2"/>
      <c r="J24" s="2"/>
    </row>
    <row r="25" spans="1:10">
      <c r="A25" s="53"/>
      <c r="B25" s="48"/>
      <c r="H25" s="2"/>
      <c r="I25" s="2"/>
      <c r="J25" s="2"/>
    </row>
    <row r="26" spans="1:10">
      <c r="A26" s="58"/>
      <c r="B26" s="49"/>
      <c r="H26" s="2"/>
      <c r="I26" s="2"/>
      <c r="J26" s="2"/>
    </row>
    <row r="27" spans="1:10">
      <c r="A27" s="49"/>
      <c r="B27" s="49"/>
      <c r="H27" s="2"/>
      <c r="I27" s="2"/>
      <c r="J27" s="2"/>
    </row>
    <row r="28" spans="1:10" ht="16.2" thickBot="1">
      <c r="A28" s="50"/>
      <c r="B28" s="50"/>
      <c r="H28" s="2"/>
      <c r="I28" s="2"/>
      <c r="J28" s="2"/>
    </row>
    <row r="29" spans="1:10" ht="16.2" thickBot="1">
      <c r="A29" s="46" t="s">
        <v>142</v>
      </c>
      <c r="B29" s="47"/>
      <c r="H29" s="2"/>
      <c r="I29" s="2"/>
      <c r="J29" s="2"/>
    </row>
    <row r="30" spans="1:10">
      <c r="A30" s="48"/>
      <c r="B30" s="48"/>
      <c r="H30" s="2"/>
      <c r="I30" s="2"/>
      <c r="J30" s="2"/>
    </row>
    <row r="31" spans="1:10">
      <c r="A31" s="49"/>
      <c r="B31" s="49"/>
      <c r="H31" s="2"/>
      <c r="I31" s="2"/>
      <c r="J31" s="2"/>
    </row>
    <row r="32" spans="1:10">
      <c r="A32" s="49"/>
      <c r="B32" s="49"/>
      <c r="H32" s="2"/>
      <c r="I32" s="2"/>
      <c r="J32" s="2"/>
    </row>
    <row r="33" spans="1:10" ht="16.2" thickBot="1">
      <c r="A33" s="50"/>
      <c r="B33" s="50"/>
      <c r="H33" s="2"/>
      <c r="I33" s="2"/>
      <c r="J33" s="2"/>
    </row>
    <row r="34" spans="1:10" ht="16.2" thickBot="1">
      <c r="A34" s="46" t="s">
        <v>143</v>
      </c>
      <c r="B34" s="47"/>
      <c r="H34" s="2"/>
      <c r="I34" s="2"/>
      <c r="J34" s="2"/>
    </row>
    <row r="35" spans="1:10">
      <c r="A35" s="48"/>
      <c r="B35" s="48"/>
      <c r="H35" s="2"/>
      <c r="I35" s="2"/>
      <c r="J35" s="2"/>
    </row>
    <row r="36" spans="1:10">
      <c r="A36" s="49"/>
      <c r="B36" s="49"/>
      <c r="H36" s="2"/>
      <c r="I36" s="2"/>
      <c r="J36" s="2"/>
    </row>
    <row r="37" spans="1:10">
      <c r="A37" s="49"/>
      <c r="B37" s="49"/>
      <c r="H37" s="2"/>
      <c r="I37" s="2"/>
      <c r="J37" s="2"/>
    </row>
    <row r="38" spans="1:10">
      <c r="A38" s="49"/>
      <c r="B38" s="49"/>
      <c r="H38" s="2"/>
      <c r="I38" s="2"/>
      <c r="J38" s="2"/>
    </row>
    <row r="39" spans="1:10">
      <c r="A39" s="49"/>
      <c r="B39" s="49"/>
      <c r="H39" s="2"/>
      <c r="I39" s="2"/>
      <c r="J39" s="2"/>
    </row>
    <row r="40" spans="1:10">
      <c r="A40" s="49"/>
      <c r="B40" s="49"/>
      <c r="H40" s="2"/>
      <c r="I40" s="2"/>
      <c r="J40" s="2"/>
    </row>
    <row r="41" spans="1:10" ht="16.2" thickBot="1">
      <c r="A41" s="42"/>
      <c r="B41" s="42"/>
      <c r="H41" s="2"/>
      <c r="I41" s="2"/>
      <c r="J41" s="2"/>
    </row>
    <row r="42" spans="1:10" ht="16.2" thickBot="1">
      <c r="A42" s="46" t="s">
        <v>144</v>
      </c>
      <c r="B42" s="47"/>
      <c r="H42" s="2"/>
      <c r="I42" s="2"/>
      <c r="J42" s="2"/>
    </row>
    <row r="43" spans="1:10">
      <c r="A43" s="53"/>
      <c r="B43" s="51"/>
      <c r="H43" s="2"/>
      <c r="I43" s="2"/>
      <c r="J43" s="2"/>
    </row>
    <row r="44" spans="1:10">
      <c r="A44" s="58"/>
      <c r="B44" s="52"/>
      <c r="H44" s="2"/>
      <c r="I44" s="2"/>
      <c r="J44" s="2"/>
    </row>
    <row r="45" spans="1:10">
      <c r="A45" s="49"/>
      <c r="B45" s="52"/>
      <c r="H45" s="2"/>
      <c r="I45" s="2"/>
      <c r="J45" s="2"/>
    </row>
    <row r="46" spans="1:10" ht="16.2" thickBot="1">
      <c r="A46" s="50"/>
      <c r="B46" s="57"/>
      <c r="H46" s="2"/>
      <c r="I46" s="2"/>
      <c r="J46" s="2"/>
    </row>
    <row r="47" spans="1:10" ht="16.2" thickBot="1">
      <c r="A47" s="46" t="s">
        <v>145</v>
      </c>
      <c r="B47" s="47"/>
      <c r="H47" s="2"/>
      <c r="I47" s="2"/>
      <c r="J47" s="2"/>
    </row>
    <row r="48" spans="1:10">
      <c r="A48" s="48"/>
      <c r="B48" s="54"/>
      <c r="H48" s="2"/>
      <c r="I48" s="2"/>
      <c r="J48" s="2"/>
    </row>
    <row r="49" spans="1:10" ht="15.75" customHeight="1">
      <c r="A49" s="49"/>
      <c r="B49" s="55"/>
      <c r="H49" s="2"/>
      <c r="I49" s="2"/>
      <c r="J49" s="2"/>
    </row>
    <row r="50" spans="1:10" ht="14.25" customHeight="1">
      <c r="A50" s="49"/>
      <c r="B50" s="55"/>
      <c r="H50" s="2"/>
      <c r="I50" s="2"/>
      <c r="J50" s="2"/>
    </row>
    <row r="51" spans="1:10" ht="14.25" customHeight="1">
      <c r="A51" s="49"/>
      <c r="B51" s="55"/>
      <c r="H51" s="2"/>
      <c r="I51" s="2"/>
      <c r="J51" s="2"/>
    </row>
    <row r="52" spans="1:10" ht="16.2" thickBot="1">
      <c r="A52" s="50"/>
      <c r="B52" s="56"/>
      <c r="H52" s="2"/>
      <c r="I52" s="2"/>
      <c r="J52" s="2"/>
    </row>
    <row r="53" spans="1:10" ht="16.2" thickBot="1">
      <c r="A53" s="46" t="s">
        <v>146</v>
      </c>
      <c r="B53" s="47"/>
      <c r="H53" s="2"/>
      <c r="I53" s="2"/>
      <c r="J53" s="2"/>
    </row>
    <row r="54" spans="1:10">
      <c r="A54" s="53"/>
      <c r="B54" s="48"/>
      <c r="H54" s="2"/>
      <c r="I54" s="2"/>
      <c r="J54" s="2"/>
    </row>
    <row r="55" spans="1:10">
      <c r="A55" s="49"/>
      <c r="B55" s="49"/>
      <c r="H55" s="2"/>
      <c r="I55" s="2"/>
      <c r="J55" s="2"/>
    </row>
    <row r="56" spans="1:10" ht="16.2" thickBot="1">
      <c r="A56" s="50"/>
      <c r="B56" s="50"/>
      <c r="H56" s="2"/>
      <c r="I56" s="2"/>
      <c r="J56" s="2"/>
    </row>
    <row r="57" spans="1:10">
      <c r="H57" s="2"/>
      <c r="I57" s="2"/>
      <c r="J57" s="2"/>
    </row>
    <row r="58" spans="1:10">
      <c r="H58" s="2"/>
      <c r="I58" s="2"/>
      <c r="J58" s="2"/>
    </row>
    <row r="59" spans="1:10">
      <c r="H59" s="2"/>
      <c r="I59" s="2"/>
      <c r="J59" s="2"/>
    </row>
    <row r="60" spans="1:10">
      <c r="H60" s="2"/>
      <c r="I60" s="2"/>
      <c r="J60" s="2"/>
    </row>
    <row r="61" spans="1:10">
      <c r="H61" s="2"/>
      <c r="I61" s="2"/>
      <c r="J61" s="2"/>
    </row>
    <row r="62" spans="1:10">
      <c r="H62" s="2"/>
      <c r="I62" s="2"/>
      <c r="J62" s="2"/>
    </row>
    <row r="63" spans="1:10">
      <c r="H63" s="2"/>
      <c r="I63" s="2"/>
      <c r="J63" s="2"/>
    </row>
    <row r="64" spans="1:10">
      <c r="H64" s="2"/>
      <c r="I64" s="2"/>
      <c r="J64" s="2"/>
    </row>
    <row r="65" spans="8:10">
      <c r="H65" s="2"/>
      <c r="I65" s="2"/>
      <c r="J65" s="2"/>
    </row>
    <row r="66" spans="8:10">
      <c r="H66" s="2"/>
      <c r="I66" s="2"/>
      <c r="J66" s="2"/>
    </row>
    <row r="67" spans="8:10">
      <c r="H67" s="2"/>
      <c r="I67" s="2"/>
      <c r="J67" s="2"/>
    </row>
    <row r="68" spans="8:10">
      <c r="H68" s="2"/>
      <c r="I68" s="2"/>
      <c r="J68" s="2"/>
    </row>
    <row r="69" spans="8:10">
      <c r="H69" s="2"/>
      <c r="I69" s="2"/>
      <c r="J69" s="2"/>
    </row>
    <row r="70" spans="8:10">
      <c r="H70" s="2"/>
      <c r="I70" s="2"/>
      <c r="J70" s="2"/>
    </row>
    <row r="71" spans="8:10">
      <c r="H71" s="2"/>
      <c r="I71" s="2"/>
      <c r="J71" s="2"/>
    </row>
    <row r="72" spans="8:10">
      <c r="H72" s="2"/>
      <c r="I72" s="2"/>
      <c r="J72" s="2"/>
    </row>
    <row r="73" spans="8:10">
      <c r="H73" s="2"/>
      <c r="I73" s="2"/>
      <c r="J73" s="2"/>
    </row>
    <row r="74" spans="8:10">
      <c r="H74" s="2"/>
      <c r="I74" s="2"/>
      <c r="J74" s="2"/>
    </row>
    <row r="75" spans="8:10" ht="15.75" customHeight="1">
      <c r="H75" s="2"/>
      <c r="I75" s="2"/>
      <c r="J75" s="2"/>
    </row>
    <row r="76" spans="8:10">
      <c r="H76" s="2"/>
      <c r="I76" s="2"/>
      <c r="J76" s="2"/>
    </row>
    <row r="77" spans="8:10">
      <c r="H77" s="2"/>
      <c r="I77" s="2"/>
      <c r="J77" s="2"/>
    </row>
    <row r="78" spans="8:10">
      <c r="H78" s="2"/>
      <c r="I78" s="2"/>
      <c r="J78" s="2"/>
    </row>
    <row r="79" spans="8:10">
      <c r="H79" s="2"/>
      <c r="I79" s="2"/>
      <c r="J79" s="2"/>
    </row>
    <row r="80" spans="8:10">
      <c r="H80" s="2"/>
      <c r="I80" s="2"/>
      <c r="J80" s="2"/>
    </row>
    <row r="81" spans="8:10">
      <c r="H81" s="2"/>
      <c r="I81" s="2"/>
      <c r="J81" s="2"/>
    </row>
    <row r="82" spans="8:10">
      <c r="H82" s="2"/>
      <c r="I82" s="2"/>
      <c r="J82" s="2"/>
    </row>
    <row r="83" spans="8:10">
      <c r="H83" s="2"/>
      <c r="I83" s="2"/>
      <c r="J83" s="2"/>
    </row>
    <row r="84" spans="8:10">
      <c r="H84" s="2"/>
      <c r="I84" s="2"/>
      <c r="J84" s="2"/>
    </row>
    <row r="85" spans="8:10" ht="15.75" customHeight="1">
      <c r="H85" s="2"/>
      <c r="I85" s="2"/>
      <c r="J85" s="2"/>
    </row>
    <row r="86" spans="8:10">
      <c r="H86" s="2"/>
      <c r="I86" s="2"/>
      <c r="J86" s="2"/>
    </row>
    <row r="87" spans="8:10">
      <c r="H87" s="2"/>
      <c r="I87" s="2"/>
      <c r="J87" s="2"/>
    </row>
    <row r="88" spans="8:10">
      <c r="H88" s="2"/>
      <c r="I88" s="2"/>
      <c r="J88" s="2"/>
    </row>
    <row r="89" spans="8:10">
      <c r="H89" s="2"/>
      <c r="I89" s="2"/>
      <c r="J89" s="2"/>
    </row>
    <row r="90" spans="8:10">
      <c r="H90" s="2"/>
      <c r="I90" s="2"/>
      <c r="J90" s="2"/>
    </row>
    <row r="91" spans="8:10">
      <c r="H91" s="2"/>
      <c r="I91" s="2"/>
      <c r="J91" s="2"/>
    </row>
    <row r="92" spans="8:10">
      <c r="H92" s="2"/>
      <c r="I92" s="2"/>
      <c r="J92" s="2"/>
    </row>
    <row r="93" spans="8:10">
      <c r="H93" s="2"/>
      <c r="I93" s="2"/>
      <c r="J93" s="2"/>
    </row>
    <row r="94" spans="8:10">
      <c r="H94" s="2"/>
      <c r="I94" s="2"/>
      <c r="J94" s="2"/>
    </row>
    <row r="95" spans="8:10" ht="15.75" customHeight="1">
      <c r="H95" s="2"/>
      <c r="I95" s="2"/>
      <c r="J95" s="2"/>
    </row>
    <row r="96" spans="8:10">
      <c r="H96" s="2"/>
      <c r="I96" s="2"/>
      <c r="J96" s="2"/>
    </row>
    <row r="97" spans="8:10">
      <c r="H97" s="2"/>
      <c r="I97" s="2"/>
      <c r="J97" s="2"/>
    </row>
    <row r="98" spans="8:10">
      <c r="H98" s="2"/>
      <c r="I98" s="2"/>
      <c r="J98" s="2"/>
    </row>
    <row r="99" spans="8:10">
      <c r="H99" s="2"/>
      <c r="I99" s="2"/>
      <c r="J99" s="2"/>
    </row>
    <row r="100" spans="8:10">
      <c r="H100" s="2"/>
      <c r="I100" s="2"/>
      <c r="J100" s="2"/>
    </row>
    <row r="101" spans="8:10">
      <c r="H101" s="2"/>
      <c r="I101" s="2"/>
      <c r="J101" s="2"/>
    </row>
    <row r="102" spans="8:10">
      <c r="H102" s="2"/>
      <c r="I102" s="2"/>
      <c r="J102" s="2"/>
    </row>
    <row r="103" spans="8:10" ht="15.75" customHeight="1">
      <c r="H103" s="2"/>
      <c r="I103" s="2"/>
      <c r="J103" s="2"/>
    </row>
  </sheetData>
  <mergeCells count="7">
    <mergeCell ref="A17:A18"/>
    <mergeCell ref="B17:B18"/>
    <mergeCell ref="A2:B2"/>
    <mergeCell ref="A3:B3"/>
    <mergeCell ref="A4:B4"/>
    <mergeCell ref="A5:B5"/>
    <mergeCell ref="A12:B12"/>
  </mergeCells>
  <pageMargins left="0.511811024" right="0.511811024" top="0.78740157499999996" bottom="0.78740157499999996" header="0.31496062000000002" footer="0.31496062000000002"/>
  <pageSetup paperSize="9" scale="45" orientation="portrait" r:id="rId1"/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40727083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2999/OC-BR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Plan&lt;/USER_STAGE&gt;&lt;PD_OBJ_TYPE&gt;0&lt;/PD_OBJ_TYPE&gt;&lt;MAKERECORD&gt;N&lt;/MAKERECORD&gt;&lt;PD_FILEPT_NO&gt;PO-BR-L1344-GS&lt;/PD_FILEPT_NO&gt;&lt;/Data&gt;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6B3E6391F8214FB94ABD1293FE266C" ma:contentTypeVersion="0" ma:contentTypeDescription="A content type to manage public (operations) IDB documents" ma:contentTypeScope="" ma:versionID="4a7351d8a2f481599c06f74c500046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4ED797-443C-4560-8353-A0980C52B0FB}"/>
</file>

<file path=customXml/itemProps2.xml><?xml version="1.0" encoding="utf-8"?>
<ds:datastoreItem xmlns:ds="http://schemas.openxmlformats.org/officeDocument/2006/customXml" ds:itemID="{C4246903-CC80-4687-93DF-E295E9CBC789}"/>
</file>

<file path=customXml/itemProps3.xml><?xml version="1.0" encoding="utf-8"?>
<ds:datastoreItem xmlns:ds="http://schemas.openxmlformats.org/officeDocument/2006/customXml" ds:itemID="{7F6E1800-4539-4981-8F71-E56ACF81CF8E}"/>
</file>

<file path=customXml/itemProps4.xml><?xml version="1.0" encoding="utf-8"?>
<ds:datastoreItem xmlns:ds="http://schemas.openxmlformats.org/officeDocument/2006/customXml" ds:itemID="{7D071BF2-91C4-4C1B-A00F-015A1838BB6B}"/>
</file>

<file path=customXml/itemProps5.xml><?xml version="1.0" encoding="utf-8"?>
<ds:datastoreItem xmlns:ds="http://schemas.openxmlformats.org/officeDocument/2006/customXml" ds:itemID="{AAED5CDD-370B-4EDA-BD5D-E39F2F10BA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 SET_16_BID</vt:lpstr>
      <vt:lpstr>Fol Com PA em atual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Atualização nº 6 (BR-L1344 Procidades Cascavel)</dc:title>
  <dc:creator>Fildel L</dc:creator>
  <cp:lastModifiedBy>elianea</cp:lastModifiedBy>
  <cp:lastPrinted>2016-09-30T13:54:37Z</cp:lastPrinted>
  <dcterms:created xsi:type="dcterms:W3CDTF">2006-06-09T19:34:36Z</dcterms:created>
  <dcterms:modified xsi:type="dcterms:W3CDTF">2016-10-26T18:43:58Z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0x01010046CF21643EE8D14686A648AA6DAD089200BA6B3E6391F8214FB94ABD1293FE266C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