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-15" yWindow="-15" windowWidth="10245" windowHeight="7875"/>
  </bookViews>
  <sheets>
    <sheet name="PEP 5 años" sheetId="4" r:id="rId1"/>
    <sheet name="Sheet3" sheetId="3" r:id="rId2"/>
  </sheets>
  <definedNames>
    <definedName name="_xlnm.Print_Area" localSheetId="0">'PEP 5 años'!$A$70:$T$115</definedName>
  </definedNames>
  <calcPr calcId="145621" concurrentCalc="0"/>
</workbook>
</file>

<file path=xl/calcChain.xml><?xml version="1.0" encoding="utf-8"?>
<calcChain xmlns="http://schemas.openxmlformats.org/spreadsheetml/2006/main">
  <c r="V114" i="4" l="1"/>
  <c r="V113" i="4"/>
  <c r="V112" i="4"/>
  <c r="V111" i="4"/>
  <c r="V110" i="4"/>
  <c r="V109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6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5" i="4"/>
  <c r="V74" i="4"/>
  <c r="V73" i="4"/>
  <c r="V72" i="4"/>
  <c r="V71" i="4"/>
  <c r="V70" i="4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S114" i="4"/>
  <c r="S113" i="4"/>
  <c r="S112" i="4"/>
  <c r="S111" i="4"/>
  <c r="S110" i="4"/>
  <c r="S109" i="4"/>
  <c r="S108" i="4"/>
  <c r="S107" i="4"/>
  <c r="S106" i="4"/>
  <c r="S105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N85" i="4"/>
  <c r="N89" i="4"/>
  <c r="N71" i="4"/>
  <c r="N98" i="4"/>
  <c r="N95" i="4"/>
  <c r="N94" i="4"/>
  <c r="N99" i="4"/>
  <c r="N70" i="4"/>
  <c r="N46" i="4"/>
  <c r="N47" i="4"/>
  <c r="N42" i="4"/>
  <c r="N41" i="4"/>
  <c r="N49" i="4"/>
  <c r="N48" i="4"/>
  <c r="N54" i="4"/>
  <c r="N53" i="4"/>
  <c r="N61" i="4"/>
  <c r="N60" i="4"/>
  <c r="N66" i="4"/>
  <c r="N65" i="4"/>
  <c r="N40" i="4"/>
  <c r="N31" i="4"/>
  <c r="N27" i="4"/>
  <c r="N8" i="4"/>
  <c r="N114" i="4"/>
  <c r="O79" i="4"/>
  <c r="O78" i="4"/>
  <c r="O85" i="4"/>
  <c r="O71" i="4"/>
  <c r="O98" i="4"/>
  <c r="O95" i="4"/>
  <c r="O94" i="4"/>
  <c r="O99" i="4"/>
  <c r="O70" i="4"/>
  <c r="O46" i="4"/>
  <c r="O47" i="4"/>
  <c r="O42" i="4"/>
  <c r="O41" i="4"/>
  <c r="O52" i="4"/>
  <c r="O49" i="4"/>
  <c r="O48" i="4"/>
  <c r="O54" i="4"/>
  <c r="O53" i="4"/>
  <c r="O61" i="4"/>
  <c r="O60" i="4"/>
  <c r="O66" i="4"/>
  <c r="O65" i="4"/>
  <c r="O40" i="4"/>
  <c r="O10" i="4"/>
  <c r="O9" i="4"/>
  <c r="O21" i="4"/>
  <c r="O20" i="4"/>
  <c r="O26" i="4"/>
  <c r="O23" i="4"/>
  <c r="O16" i="4"/>
  <c r="O28" i="4"/>
  <c r="O35" i="4"/>
  <c r="O31" i="4"/>
  <c r="O27" i="4"/>
  <c r="O8" i="4"/>
  <c r="O114" i="4"/>
  <c r="P114" i="4"/>
  <c r="P113" i="4"/>
  <c r="P112" i="4"/>
  <c r="P111" i="4"/>
  <c r="P110" i="4"/>
  <c r="P109" i="4"/>
  <c r="P108" i="4"/>
  <c r="P107" i="4"/>
  <c r="P106" i="4"/>
  <c r="P105" i="4"/>
  <c r="P104" i="4"/>
  <c r="N103" i="4"/>
  <c r="O103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N69" i="4"/>
  <c r="O69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N39" i="4"/>
  <c r="O39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N7" i="4"/>
  <c r="O7" i="4"/>
  <c r="P7" i="4"/>
  <c r="K10" i="4"/>
  <c r="K9" i="4"/>
  <c r="K31" i="4"/>
  <c r="K27" i="4"/>
  <c r="K8" i="4"/>
  <c r="K73" i="4"/>
  <c r="K74" i="4"/>
  <c r="K72" i="4"/>
  <c r="K85" i="4"/>
  <c r="K89" i="4"/>
  <c r="K71" i="4"/>
  <c r="K94" i="4"/>
  <c r="K99" i="4"/>
  <c r="K70" i="4"/>
  <c r="K42" i="4"/>
  <c r="K41" i="4"/>
  <c r="K49" i="4"/>
  <c r="K48" i="4"/>
  <c r="K54" i="4"/>
  <c r="K53" i="4"/>
  <c r="K61" i="4"/>
  <c r="K60" i="4"/>
  <c r="K66" i="4"/>
  <c r="K65" i="4"/>
  <c r="K40" i="4"/>
  <c r="K114" i="4"/>
  <c r="L10" i="4"/>
  <c r="L9" i="4"/>
  <c r="L21" i="4"/>
  <c r="L20" i="4"/>
  <c r="L25" i="4"/>
  <c r="L26" i="4"/>
  <c r="L23" i="4"/>
  <c r="L16" i="4"/>
  <c r="L28" i="4"/>
  <c r="L35" i="4"/>
  <c r="L32" i="4"/>
  <c r="L33" i="4"/>
  <c r="L34" i="4"/>
  <c r="L31" i="4"/>
  <c r="L27" i="4"/>
  <c r="L8" i="4"/>
  <c r="L106" i="4"/>
  <c r="L107" i="4"/>
  <c r="L108" i="4"/>
  <c r="L109" i="4"/>
  <c r="L105" i="4"/>
  <c r="L104" i="4"/>
  <c r="L112" i="4"/>
  <c r="L73" i="4"/>
  <c r="L74" i="4"/>
  <c r="L75" i="4"/>
  <c r="L76" i="4"/>
  <c r="L77" i="4"/>
  <c r="L72" i="4"/>
  <c r="L83" i="4"/>
  <c r="L84" i="4"/>
  <c r="L82" i="4"/>
  <c r="L85" i="4"/>
  <c r="L90" i="4"/>
  <c r="L91" i="4"/>
  <c r="L92" i="4"/>
  <c r="L93" i="4"/>
  <c r="L89" i="4"/>
  <c r="L71" i="4"/>
  <c r="L94" i="4"/>
  <c r="L99" i="4"/>
  <c r="L70" i="4"/>
  <c r="L52" i="4"/>
  <c r="L49" i="4"/>
  <c r="L48" i="4"/>
  <c r="L54" i="4"/>
  <c r="L53" i="4"/>
  <c r="L61" i="4"/>
  <c r="L60" i="4"/>
  <c r="L66" i="4"/>
  <c r="L65" i="4"/>
  <c r="L40" i="4"/>
  <c r="L114" i="4"/>
  <c r="M114" i="4"/>
  <c r="M113" i="4"/>
  <c r="M112" i="4"/>
  <c r="M111" i="4"/>
  <c r="M110" i="4"/>
  <c r="M109" i="4"/>
  <c r="M108" i="4"/>
  <c r="M107" i="4"/>
  <c r="M106" i="4"/>
  <c r="M105" i="4"/>
  <c r="M104" i="4"/>
  <c r="K103" i="4"/>
  <c r="L103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K69" i="4"/>
  <c r="L69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K39" i="4"/>
  <c r="L39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K7" i="4"/>
  <c r="L7" i="4"/>
  <c r="M7" i="4"/>
  <c r="H85" i="4"/>
  <c r="H71" i="4"/>
  <c r="H94" i="4"/>
  <c r="H99" i="4"/>
  <c r="H70" i="4"/>
  <c r="H49" i="4"/>
  <c r="H48" i="4"/>
  <c r="H54" i="4"/>
  <c r="H53" i="4"/>
  <c r="H61" i="4"/>
  <c r="H60" i="4"/>
  <c r="H66" i="4"/>
  <c r="H65" i="4"/>
  <c r="H40" i="4"/>
  <c r="H10" i="4"/>
  <c r="H9" i="4"/>
  <c r="H23" i="4"/>
  <c r="H16" i="4"/>
  <c r="H28" i="4"/>
  <c r="H35" i="4"/>
  <c r="H31" i="4"/>
  <c r="H27" i="4"/>
  <c r="H8" i="4"/>
  <c r="H114" i="4"/>
  <c r="I106" i="4"/>
  <c r="I107" i="4"/>
  <c r="I108" i="4"/>
  <c r="I109" i="4"/>
  <c r="I105" i="4"/>
  <c r="I104" i="4"/>
  <c r="I112" i="4"/>
  <c r="I73" i="4"/>
  <c r="I74" i="4"/>
  <c r="I75" i="4"/>
  <c r="I76" i="4"/>
  <c r="I77" i="4"/>
  <c r="I72" i="4"/>
  <c r="I81" i="4"/>
  <c r="I78" i="4"/>
  <c r="I83" i="4"/>
  <c r="I84" i="4"/>
  <c r="I82" i="4"/>
  <c r="I88" i="4"/>
  <c r="I85" i="4"/>
  <c r="I90" i="4"/>
  <c r="I91" i="4"/>
  <c r="I92" i="4"/>
  <c r="I93" i="4"/>
  <c r="I89" i="4"/>
  <c r="I71" i="4"/>
  <c r="I94" i="4"/>
  <c r="I99" i="4"/>
  <c r="I70" i="4"/>
  <c r="I50" i="4"/>
  <c r="I51" i="4"/>
  <c r="I52" i="4"/>
  <c r="I49" i="4"/>
  <c r="I48" i="4"/>
  <c r="I54" i="4"/>
  <c r="I53" i="4"/>
  <c r="I61" i="4"/>
  <c r="I60" i="4"/>
  <c r="I66" i="4"/>
  <c r="I65" i="4"/>
  <c r="I40" i="4"/>
  <c r="I10" i="4"/>
  <c r="I9" i="4"/>
  <c r="I18" i="4"/>
  <c r="I19" i="4"/>
  <c r="I17" i="4"/>
  <c r="I21" i="4"/>
  <c r="I20" i="4"/>
  <c r="I23" i="4"/>
  <c r="I16" i="4"/>
  <c r="I29" i="4"/>
  <c r="I30" i="4"/>
  <c r="I28" i="4"/>
  <c r="I35" i="4"/>
  <c r="I32" i="4"/>
  <c r="I33" i="4"/>
  <c r="I34" i="4"/>
  <c r="I31" i="4"/>
  <c r="I27" i="4"/>
  <c r="I8" i="4"/>
  <c r="I114" i="4"/>
  <c r="J114" i="4"/>
  <c r="J113" i="4"/>
  <c r="J112" i="4"/>
  <c r="J111" i="4"/>
  <c r="J110" i="4"/>
  <c r="J109" i="4"/>
  <c r="J108" i="4"/>
  <c r="J107" i="4"/>
  <c r="J106" i="4"/>
  <c r="J105" i="4"/>
  <c r="J104" i="4"/>
  <c r="H103" i="4"/>
  <c r="I103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H69" i="4"/>
  <c r="I69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H39" i="4"/>
  <c r="I39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H7" i="4"/>
  <c r="I7" i="4"/>
  <c r="J7" i="4"/>
  <c r="U85" i="4"/>
  <c r="U71" i="4"/>
  <c r="T98" i="4"/>
  <c r="U98" i="4"/>
  <c r="U95" i="4"/>
  <c r="U94" i="4"/>
  <c r="U99" i="4"/>
  <c r="U70" i="4"/>
  <c r="U103" i="4"/>
  <c r="R85" i="4"/>
  <c r="Q73" i="4"/>
  <c r="R73" i="4"/>
  <c r="Q74" i="4"/>
  <c r="R74" i="4"/>
  <c r="R72" i="4"/>
  <c r="Q83" i="4"/>
  <c r="R83" i="4"/>
  <c r="R82" i="4"/>
  <c r="R71" i="4"/>
  <c r="Q98" i="4"/>
  <c r="R98" i="4"/>
  <c r="R95" i="4"/>
  <c r="R94" i="4"/>
  <c r="R99" i="4"/>
  <c r="R70" i="4"/>
  <c r="R103" i="4"/>
  <c r="N73" i="4"/>
  <c r="O73" i="4"/>
  <c r="N74" i="4"/>
  <c r="O74" i="4"/>
  <c r="O72" i="4"/>
  <c r="N83" i="4"/>
  <c r="O83" i="4"/>
  <c r="O82" i="4"/>
  <c r="U102" i="4"/>
  <c r="U101" i="4"/>
  <c r="R102" i="4"/>
  <c r="R101" i="4"/>
  <c r="O102" i="4"/>
  <c r="O101" i="4"/>
  <c r="L102" i="4"/>
  <c r="L101" i="4"/>
  <c r="I102" i="4"/>
  <c r="I101" i="4"/>
  <c r="U100" i="4"/>
  <c r="R100" i="4"/>
  <c r="O100" i="4"/>
  <c r="L100" i="4"/>
  <c r="I100" i="4"/>
  <c r="T96" i="4"/>
  <c r="Q96" i="4"/>
  <c r="N96" i="4"/>
  <c r="H96" i="4"/>
  <c r="K96" i="4"/>
  <c r="I97" i="4"/>
  <c r="U97" i="4"/>
  <c r="R97" i="4"/>
  <c r="O97" i="4"/>
  <c r="L97" i="4"/>
  <c r="U96" i="4"/>
  <c r="R96" i="4"/>
  <c r="O96" i="4"/>
  <c r="L96" i="4"/>
  <c r="L95" i="4"/>
  <c r="I96" i="4"/>
  <c r="I95" i="4"/>
  <c r="L98" i="4"/>
  <c r="I98" i="4"/>
  <c r="H95" i="4"/>
  <c r="K95" i="4"/>
  <c r="N72" i="4"/>
  <c r="N82" i="4"/>
  <c r="Q95" i="4"/>
  <c r="Q94" i="4"/>
  <c r="Q85" i="4"/>
  <c r="Q72" i="4"/>
  <c r="Q89" i="4"/>
  <c r="Q82" i="4"/>
  <c r="Q71" i="4"/>
  <c r="Q99" i="4"/>
  <c r="Q70" i="4"/>
  <c r="Q103" i="4"/>
  <c r="T95" i="4"/>
  <c r="T94" i="4"/>
  <c r="T85" i="4"/>
  <c r="T89" i="4"/>
  <c r="T71" i="4"/>
  <c r="T99" i="4"/>
  <c r="T70" i="4"/>
  <c r="T103" i="4"/>
  <c r="N91" i="4"/>
  <c r="H89" i="4"/>
  <c r="U90" i="4"/>
  <c r="U89" i="4"/>
  <c r="R90" i="4"/>
  <c r="R89" i="4"/>
  <c r="O90" i="4"/>
  <c r="O91" i="4"/>
  <c r="O89" i="4"/>
  <c r="U93" i="4"/>
  <c r="U92" i="4"/>
  <c r="U91" i="4"/>
  <c r="R93" i="4"/>
  <c r="R92" i="4"/>
  <c r="R91" i="4"/>
  <c r="O93" i="4"/>
  <c r="O92" i="4"/>
  <c r="K86" i="4"/>
  <c r="H86" i="4"/>
  <c r="U86" i="4"/>
  <c r="R86" i="4"/>
  <c r="O86" i="4"/>
  <c r="L86" i="4"/>
  <c r="I86" i="4"/>
  <c r="U88" i="4"/>
  <c r="U87" i="4"/>
  <c r="R88" i="4"/>
  <c r="R87" i="4"/>
  <c r="O88" i="4"/>
  <c r="O87" i="4"/>
  <c r="L88" i="4"/>
  <c r="L87" i="4"/>
  <c r="I87" i="4"/>
  <c r="U82" i="4"/>
  <c r="U84" i="4"/>
  <c r="U83" i="4"/>
  <c r="R84" i="4"/>
  <c r="O84" i="4"/>
  <c r="U78" i="4"/>
  <c r="R78" i="4"/>
  <c r="L78" i="4"/>
  <c r="U81" i="4"/>
  <c r="U80" i="4"/>
  <c r="U79" i="4"/>
  <c r="R81" i="4"/>
  <c r="R80" i="4"/>
  <c r="R79" i="4"/>
  <c r="O81" i="4"/>
  <c r="O80" i="4"/>
  <c r="L81" i="4"/>
  <c r="L80" i="4"/>
  <c r="L79" i="4"/>
  <c r="I80" i="4"/>
  <c r="I79" i="4"/>
  <c r="U52" i="4"/>
  <c r="U49" i="4"/>
  <c r="U48" i="4"/>
  <c r="U54" i="4"/>
  <c r="U53" i="4"/>
  <c r="U61" i="4"/>
  <c r="U60" i="4"/>
  <c r="U66" i="4"/>
  <c r="U65" i="4"/>
  <c r="T46" i="4"/>
  <c r="U46" i="4"/>
  <c r="T47" i="4"/>
  <c r="U47" i="4"/>
  <c r="U42" i="4"/>
  <c r="U41" i="4"/>
  <c r="U40" i="4"/>
  <c r="U10" i="4"/>
  <c r="U9" i="4"/>
  <c r="U23" i="4"/>
  <c r="U16" i="4"/>
  <c r="U28" i="4"/>
  <c r="U35" i="4"/>
  <c r="U31" i="4"/>
  <c r="U27" i="4"/>
  <c r="U8" i="4"/>
  <c r="U114" i="4"/>
  <c r="R52" i="4"/>
  <c r="R49" i="4"/>
  <c r="R48" i="4"/>
  <c r="R54" i="4"/>
  <c r="R53" i="4"/>
  <c r="R61" i="4"/>
  <c r="R60" i="4"/>
  <c r="R66" i="4"/>
  <c r="R65" i="4"/>
  <c r="Q46" i="4"/>
  <c r="R46" i="4"/>
  <c r="Q47" i="4"/>
  <c r="R47" i="4"/>
  <c r="R42" i="4"/>
  <c r="R41" i="4"/>
  <c r="R40" i="4"/>
  <c r="R10" i="4"/>
  <c r="R9" i="4"/>
  <c r="R26" i="4"/>
  <c r="R23" i="4"/>
  <c r="R16" i="4"/>
  <c r="R28" i="4"/>
  <c r="R35" i="4"/>
  <c r="R31" i="4"/>
  <c r="R27" i="4"/>
  <c r="R8" i="4"/>
  <c r="R114" i="4"/>
  <c r="N21" i="4"/>
  <c r="K21" i="4"/>
  <c r="K20" i="4"/>
  <c r="K16" i="4"/>
  <c r="N20" i="4"/>
  <c r="N16" i="4"/>
  <c r="N10" i="4"/>
  <c r="N9" i="4"/>
  <c r="Q49" i="4"/>
  <c r="Q48" i="4"/>
  <c r="Q54" i="4"/>
  <c r="Q53" i="4"/>
  <c r="Q61" i="4"/>
  <c r="Q60" i="4"/>
  <c r="Q66" i="4"/>
  <c r="Q65" i="4"/>
  <c r="Q42" i="4"/>
  <c r="Q41" i="4"/>
  <c r="Q40" i="4"/>
  <c r="Q10" i="4"/>
  <c r="Q9" i="4"/>
  <c r="Q8" i="4"/>
  <c r="Q114" i="4"/>
  <c r="T49" i="4"/>
  <c r="T48" i="4"/>
  <c r="T54" i="4"/>
  <c r="T53" i="4"/>
  <c r="T61" i="4"/>
  <c r="T60" i="4"/>
  <c r="T66" i="4"/>
  <c r="T65" i="4"/>
  <c r="T42" i="4"/>
  <c r="T41" i="4"/>
  <c r="T40" i="4"/>
  <c r="T31" i="4"/>
  <c r="T27" i="4"/>
  <c r="T10" i="4"/>
  <c r="T9" i="4"/>
  <c r="T8" i="4"/>
  <c r="T114" i="4"/>
  <c r="U112" i="4"/>
  <c r="R112" i="4"/>
  <c r="O112" i="4"/>
  <c r="U110" i="4"/>
  <c r="R110" i="4"/>
  <c r="O110" i="4"/>
  <c r="L110" i="4"/>
  <c r="I110" i="4"/>
  <c r="U104" i="4"/>
  <c r="R104" i="4"/>
  <c r="O104" i="4"/>
  <c r="U105" i="4"/>
  <c r="R105" i="4"/>
  <c r="O105" i="4"/>
  <c r="U109" i="4"/>
  <c r="U108" i="4"/>
  <c r="U107" i="4"/>
  <c r="U106" i="4"/>
  <c r="R109" i="4"/>
  <c r="R108" i="4"/>
  <c r="R107" i="4"/>
  <c r="R106" i="4"/>
  <c r="O109" i="4"/>
  <c r="O108" i="4"/>
  <c r="O107" i="4"/>
  <c r="O106" i="4"/>
  <c r="U77" i="4"/>
  <c r="U76" i="4"/>
  <c r="U75" i="4"/>
  <c r="U74" i="4"/>
  <c r="U73" i="4"/>
  <c r="R77" i="4"/>
  <c r="R76" i="4"/>
  <c r="R75" i="4"/>
  <c r="O77" i="4"/>
  <c r="O76" i="4"/>
  <c r="O75" i="4"/>
  <c r="U72" i="4"/>
  <c r="U69" i="4"/>
  <c r="T69" i="4"/>
  <c r="R69" i="4"/>
  <c r="Q69" i="4"/>
  <c r="I56" i="4"/>
  <c r="U68" i="4"/>
  <c r="U67" i="4"/>
  <c r="R68" i="4"/>
  <c r="R67" i="4"/>
  <c r="O68" i="4"/>
  <c r="O67" i="4"/>
  <c r="L68" i="4"/>
  <c r="L67" i="4"/>
  <c r="I68" i="4"/>
  <c r="I67" i="4"/>
  <c r="R64" i="4"/>
  <c r="O64" i="4"/>
  <c r="O63" i="4"/>
  <c r="L64" i="4"/>
  <c r="L63" i="4"/>
  <c r="I63" i="4"/>
  <c r="U64" i="4"/>
  <c r="U63" i="4"/>
  <c r="U62" i="4"/>
  <c r="R63" i="4"/>
  <c r="R62" i="4"/>
  <c r="O62" i="4"/>
  <c r="L62" i="4"/>
  <c r="I62" i="4"/>
  <c r="U59" i="4"/>
  <c r="U58" i="4"/>
  <c r="U57" i="4"/>
  <c r="U56" i="4"/>
  <c r="U55" i="4"/>
  <c r="R59" i="4"/>
  <c r="R58" i="4"/>
  <c r="R57" i="4"/>
  <c r="R56" i="4"/>
  <c r="R55" i="4"/>
  <c r="O59" i="4"/>
  <c r="O58" i="4"/>
  <c r="O57" i="4"/>
  <c r="O56" i="4"/>
  <c r="O55" i="4"/>
  <c r="L59" i="4"/>
  <c r="L58" i="4"/>
  <c r="L57" i="4"/>
  <c r="L56" i="4"/>
  <c r="L55" i="4"/>
  <c r="I59" i="4"/>
  <c r="I58" i="4"/>
  <c r="I57" i="4"/>
  <c r="I55" i="4"/>
  <c r="T52" i="4"/>
  <c r="N52" i="4"/>
  <c r="Q52" i="4"/>
  <c r="K52" i="4"/>
  <c r="U51" i="4"/>
  <c r="U50" i="4"/>
  <c r="R51" i="4"/>
  <c r="R50" i="4"/>
  <c r="O51" i="4"/>
  <c r="O50" i="4"/>
  <c r="L51" i="4"/>
  <c r="L50" i="4"/>
  <c r="L42" i="4"/>
  <c r="I42" i="4"/>
  <c r="L41" i="4"/>
  <c r="I41" i="4"/>
  <c r="U45" i="4"/>
  <c r="U44" i="4"/>
  <c r="U43" i="4"/>
  <c r="R45" i="4"/>
  <c r="R44" i="4"/>
  <c r="R43" i="4"/>
  <c r="O45" i="4"/>
  <c r="O44" i="4"/>
  <c r="O43" i="4"/>
  <c r="L47" i="4"/>
  <c r="L46" i="4"/>
  <c r="L45" i="4"/>
  <c r="L44" i="4"/>
  <c r="L43" i="4"/>
  <c r="I47" i="4"/>
  <c r="I46" i="4"/>
  <c r="I45" i="4"/>
  <c r="I44" i="4"/>
  <c r="I43" i="4"/>
  <c r="Q7" i="4"/>
  <c r="T7" i="4"/>
  <c r="R7" i="4"/>
  <c r="U7" i="4"/>
  <c r="U39" i="4"/>
  <c r="R39" i="4"/>
  <c r="K36" i="4"/>
  <c r="U34" i="4"/>
  <c r="U33" i="4"/>
  <c r="U32" i="4"/>
  <c r="R34" i="4"/>
  <c r="R33" i="4"/>
  <c r="R32" i="4"/>
  <c r="O34" i="4"/>
  <c r="O33" i="4"/>
  <c r="O32" i="4"/>
  <c r="U36" i="4"/>
  <c r="U37" i="4"/>
  <c r="U38" i="4"/>
  <c r="R36" i="4"/>
  <c r="Q37" i="4"/>
  <c r="R37" i="4"/>
  <c r="Q38" i="4"/>
  <c r="R38" i="4"/>
  <c r="O36" i="4"/>
  <c r="N37" i="4"/>
  <c r="O37" i="4"/>
  <c r="N38" i="4"/>
  <c r="O38" i="4"/>
  <c r="L36" i="4"/>
  <c r="K37" i="4"/>
  <c r="L37" i="4"/>
  <c r="K38" i="4"/>
  <c r="L38" i="4"/>
  <c r="H37" i="4"/>
  <c r="I37" i="4"/>
  <c r="H38" i="4"/>
  <c r="I38" i="4"/>
  <c r="K30" i="4"/>
  <c r="H30" i="4"/>
  <c r="K29" i="4"/>
  <c r="L29" i="4"/>
  <c r="H29" i="4"/>
  <c r="U29" i="4"/>
  <c r="U30" i="4"/>
  <c r="R29" i="4"/>
  <c r="L30" i="4"/>
  <c r="C32" i="4"/>
  <c r="H32" i="4"/>
  <c r="C33" i="4"/>
  <c r="H33" i="4"/>
  <c r="K28" i="4"/>
  <c r="K35" i="4"/>
  <c r="K32" i="4"/>
  <c r="K33" i="4"/>
  <c r="K34" i="4"/>
  <c r="N28" i="4"/>
  <c r="N35" i="4"/>
  <c r="Q28" i="4"/>
  <c r="Q35" i="4"/>
  <c r="Q31" i="4"/>
  <c r="Q27" i="4"/>
  <c r="T35" i="4"/>
  <c r="T28" i="4"/>
  <c r="D36" i="4"/>
  <c r="E36" i="4"/>
  <c r="D37" i="4"/>
  <c r="E37" i="4"/>
  <c r="D38" i="4"/>
  <c r="E38" i="4"/>
  <c r="E35" i="4"/>
  <c r="D32" i="4"/>
  <c r="E32" i="4"/>
  <c r="D33" i="4"/>
  <c r="E33" i="4"/>
  <c r="D34" i="4"/>
  <c r="E34" i="4"/>
  <c r="E31" i="4"/>
  <c r="D29" i="4"/>
  <c r="E29" i="4"/>
  <c r="D30" i="4"/>
  <c r="E30" i="4"/>
  <c r="E28" i="4"/>
  <c r="E27" i="4"/>
  <c r="U26" i="4"/>
  <c r="C24" i="4"/>
  <c r="T24" i="4"/>
  <c r="Q24" i="4"/>
  <c r="N24" i="4"/>
  <c r="K24" i="4"/>
  <c r="H24" i="4"/>
  <c r="T25" i="4"/>
  <c r="Q25" i="4"/>
  <c r="N25" i="4"/>
  <c r="K25" i="4"/>
  <c r="H25" i="4"/>
  <c r="U25" i="4"/>
  <c r="U24" i="4"/>
  <c r="R25" i="4"/>
  <c r="R24" i="4"/>
  <c r="O25" i="4"/>
  <c r="O24" i="4"/>
  <c r="L24" i="4"/>
  <c r="I25" i="4"/>
  <c r="I24" i="4"/>
  <c r="I26" i="4"/>
  <c r="U20" i="4"/>
  <c r="R20" i="4"/>
  <c r="H21" i="4"/>
  <c r="U18" i="4"/>
  <c r="U19" i="4"/>
  <c r="U17" i="4"/>
  <c r="R18" i="4"/>
  <c r="R17" i="4"/>
  <c r="C18" i="4"/>
  <c r="N18" i="4"/>
  <c r="O18" i="4"/>
  <c r="N19" i="4"/>
  <c r="O19" i="4"/>
  <c r="O17" i="4"/>
  <c r="K18" i="4"/>
  <c r="L18" i="4"/>
  <c r="K19" i="4"/>
  <c r="L19" i="4"/>
  <c r="L17" i="4"/>
  <c r="H18" i="4"/>
  <c r="H19" i="4"/>
  <c r="H11" i="4"/>
  <c r="C14" i="4"/>
  <c r="H14" i="4"/>
  <c r="H15" i="4"/>
  <c r="H13" i="4"/>
  <c r="I11" i="4"/>
  <c r="I14" i="4"/>
  <c r="I15" i="4"/>
  <c r="I13" i="4"/>
  <c r="K14" i="4"/>
  <c r="K15" i="4"/>
  <c r="K13" i="4"/>
  <c r="L14" i="4"/>
  <c r="L15" i="4"/>
  <c r="L13" i="4"/>
  <c r="C12" i="4"/>
  <c r="N12" i="4"/>
  <c r="N14" i="4"/>
  <c r="N15" i="4"/>
  <c r="N13" i="4"/>
  <c r="O12" i="4"/>
  <c r="O14" i="4"/>
  <c r="O15" i="4"/>
  <c r="O13" i="4"/>
  <c r="Q13" i="4"/>
  <c r="R13" i="4"/>
  <c r="T12" i="4"/>
  <c r="T13" i="4"/>
  <c r="U12" i="4"/>
  <c r="U13" i="4"/>
  <c r="D11" i="4"/>
  <c r="E11" i="4"/>
  <c r="D12" i="4"/>
  <c r="E12" i="4"/>
  <c r="E10" i="4"/>
  <c r="D14" i="4"/>
  <c r="E14" i="4"/>
  <c r="D15" i="4"/>
  <c r="E15" i="4"/>
  <c r="E13" i="4"/>
  <c r="E9" i="4"/>
  <c r="H17" i="4"/>
  <c r="H20" i="4"/>
  <c r="K17" i="4"/>
  <c r="K23" i="4"/>
  <c r="K22" i="4"/>
  <c r="N17" i="4"/>
  <c r="N23" i="4"/>
  <c r="N22" i="4"/>
  <c r="Q17" i="4"/>
  <c r="Q23" i="4"/>
  <c r="Q22" i="4"/>
  <c r="Q20" i="4"/>
  <c r="Q16" i="4"/>
  <c r="T17" i="4"/>
  <c r="T23" i="4"/>
  <c r="T22" i="4"/>
  <c r="T20" i="4"/>
  <c r="T16" i="4"/>
  <c r="D25" i="4"/>
  <c r="E25" i="4"/>
  <c r="D26" i="4"/>
  <c r="E26" i="4"/>
  <c r="D24" i="4"/>
  <c r="E24" i="4"/>
  <c r="E23" i="4"/>
  <c r="D18" i="4"/>
  <c r="E18" i="4"/>
  <c r="D19" i="4"/>
  <c r="E19" i="4"/>
  <c r="E17" i="4"/>
  <c r="D21" i="4"/>
  <c r="E21" i="4"/>
  <c r="E22" i="4"/>
  <c r="E20" i="4"/>
  <c r="E16" i="4"/>
  <c r="E8" i="4"/>
  <c r="K56" i="4"/>
  <c r="N56" i="4"/>
  <c r="Q56" i="4"/>
  <c r="T56" i="4"/>
  <c r="C56" i="4"/>
  <c r="H50" i="4"/>
  <c r="H51" i="4"/>
  <c r="C52" i="4"/>
  <c r="D52" i="4"/>
  <c r="E52" i="4"/>
  <c r="H55" i="4"/>
  <c r="H57" i="4"/>
  <c r="H58" i="4"/>
  <c r="H62" i="4"/>
  <c r="H67" i="4"/>
  <c r="C68" i="4"/>
  <c r="H68" i="4"/>
  <c r="H43" i="4"/>
  <c r="H44" i="4"/>
  <c r="H45" i="4"/>
  <c r="H42" i="4"/>
  <c r="H41" i="4"/>
  <c r="C87" i="4"/>
  <c r="H87" i="4"/>
  <c r="H88" i="4"/>
  <c r="H73" i="4"/>
  <c r="H74" i="4"/>
  <c r="H75" i="4"/>
  <c r="H76" i="4"/>
  <c r="H77" i="4"/>
  <c r="H72" i="4"/>
  <c r="H79" i="4"/>
  <c r="H80" i="4"/>
  <c r="H81" i="4"/>
  <c r="H78" i="4"/>
  <c r="C83" i="4"/>
  <c r="H83" i="4"/>
  <c r="H84" i="4"/>
  <c r="H82" i="4"/>
  <c r="H93" i="4"/>
  <c r="H101" i="4"/>
  <c r="H100" i="4"/>
  <c r="H106" i="4"/>
  <c r="H107" i="4"/>
  <c r="H108" i="4"/>
  <c r="H109" i="4"/>
  <c r="H105" i="4"/>
  <c r="H111" i="4"/>
  <c r="H110" i="4"/>
  <c r="H104" i="4"/>
  <c r="K51" i="4"/>
  <c r="K57" i="4"/>
  <c r="C59" i="4"/>
  <c r="K59" i="4"/>
  <c r="C64" i="4"/>
  <c r="K67" i="4"/>
  <c r="K68" i="4"/>
  <c r="K43" i="4"/>
  <c r="K44" i="4"/>
  <c r="K46" i="4"/>
  <c r="C47" i="4"/>
  <c r="K47" i="4"/>
  <c r="K87" i="4"/>
  <c r="K88" i="4"/>
  <c r="K75" i="4"/>
  <c r="K76" i="4"/>
  <c r="K77" i="4"/>
  <c r="K80" i="4"/>
  <c r="K81" i="4"/>
  <c r="K78" i="4"/>
  <c r="K83" i="4"/>
  <c r="K82" i="4"/>
  <c r="C97" i="4"/>
  <c r="K98" i="4"/>
  <c r="K101" i="4"/>
  <c r="K102" i="4"/>
  <c r="K100" i="4"/>
  <c r="K106" i="4"/>
  <c r="K107" i="4"/>
  <c r="K108" i="4"/>
  <c r="K109" i="4"/>
  <c r="K105" i="4"/>
  <c r="K111" i="4"/>
  <c r="K110" i="4"/>
  <c r="K104" i="4"/>
  <c r="N51" i="4"/>
  <c r="N57" i="4"/>
  <c r="N59" i="4"/>
  <c r="N67" i="4"/>
  <c r="N68" i="4"/>
  <c r="N43" i="4"/>
  <c r="N44" i="4"/>
  <c r="N87" i="4"/>
  <c r="N88" i="4"/>
  <c r="N75" i="4"/>
  <c r="N76" i="4"/>
  <c r="N77" i="4"/>
  <c r="N80" i="4"/>
  <c r="N81" i="4"/>
  <c r="N78" i="4"/>
  <c r="N101" i="4"/>
  <c r="N100" i="4"/>
  <c r="N106" i="4"/>
  <c r="N107" i="4"/>
  <c r="N108" i="4"/>
  <c r="N109" i="4"/>
  <c r="N105" i="4"/>
  <c r="N111" i="4"/>
  <c r="N110" i="4"/>
  <c r="N104" i="4"/>
  <c r="Q51" i="4"/>
  <c r="Q57" i="4"/>
  <c r="Q59" i="4"/>
  <c r="Q67" i="4"/>
  <c r="Q68" i="4"/>
  <c r="Q43" i="4"/>
  <c r="Q44" i="4"/>
  <c r="Q87" i="4"/>
  <c r="Q88" i="4"/>
  <c r="Q75" i="4"/>
  <c r="Q76" i="4"/>
  <c r="Q77" i="4"/>
  <c r="Q80" i="4"/>
  <c r="Q81" i="4"/>
  <c r="Q78" i="4"/>
  <c r="Q101" i="4"/>
  <c r="Q100" i="4"/>
  <c r="Q106" i="4"/>
  <c r="Q107" i="4"/>
  <c r="Q108" i="4"/>
  <c r="Q109" i="4"/>
  <c r="Q105" i="4"/>
  <c r="Q111" i="4"/>
  <c r="Q110" i="4"/>
  <c r="Q104" i="4"/>
  <c r="T51" i="4"/>
  <c r="T57" i="4"/>
  <c r="T58" i="4"/>
  <c r="T67" i="4"/>
  <c r="T68" i="4"/>
  <c r="T43" i="4"/>
  <c r="T44" i="4"/>
  <c r="T87" i="4"/>
  <c r="T88" i="4"/>
  <c r="T92" i="4"/>
  <c r="T73" i="4"/>
  <c r="T74" i="4"/>
  <c r="T75" i="4"/>
  <c r="T76" i="4"/>
  <c r="T77" i="4"/>
  <c r="T72" i="4"/>
  <c r="T80" i="4"/>
  <c r="T81" i="4"/>
  <c r="T78" i="4"/>
  <c r="T83" i="4"/>
  <c r="T82" i="4"/>
  <c r="T101" i="4"/>
  <c r="T100" i="4"/>
  <c r="T106" i="4"/>
  <c r="T107" i="4"/>
  <c r="T108" i="4"/>
  <c r="T109" i="4"/>
  <c r="T105" i="4"/>
  <c r="T111" i="4"/>
  <c r="T110" i="4"/>
  <c r="T104" i="4"/>
  <c r="C31" i="4"/>
  <c r="C35" i="4"/>
  <c r="C28" i="4"/>
  <c r="C27" i="4"/>
  <c r="C10" i="4"/>
  <c r="C13" i="4"/>
  <c r="C9" i="4"/>
  <c r="C17" i="4"/>
  <c r="C20" i="4"/>
  <c r="C23" i="4"/>
  <c r="C16" i="4"/>
  <c r="C8" i="4"/>
  <c r="C49" i="4"/>
  <c r="C48" i="4"/>
  <c r="C61" i="4"/>
  <c r="C60" i="4"/>
  <c r="C66" i="4"/>
  <c r="C65" i="4"/>
  <c r="C42" i="4"/>
  <c r="C41" i="4"/>
  <c r="C58" i="4"/>
  <c r="C54" i="4"/>
  <c r="C53" i="4"/>
  <c r="C40" i="4"/>
  <c r="C85" i="4"/>
  <c r="C73" i="4"/>
  <c r="C74" i="4"/>
  <c r="C75" i="4"/>
  <c r="C76" i="4"/>
  <c r="C77" i="4"/>
  <c r="C72" i="4"/>
  <c r="C78" i="4"/>
  <c r="C82" i="4"/>
  <c r="C89" i="4"/>
  <c r="C71" i="4"/>
  <c r="C95" i="4"/>
  <c r="C94" i="4"/>
  <c r="C100" i="4"/>
  <c r="C99" i="4"/>
  <c r="C70" i="4"/>
  <c r="C106" i="4"/>
  <c r="C107" i="4"/>
  <c r="C108" i="4"/>
  <c r="C109" i="4"/>
  <c r="C105" i="4"/>
  <c r="C110" i="4"/>
  <c r="C104" i="4"/>
  <c r="C7" i="4"/>
  <c r="D28" i="4"/>
  <c r="D35" i="4"/>
  <c r="D31" i="4"/>
  <c r="D27" i="4"/>
  <c r="D86" i="4"/>
  <c r="D87" i="4"/>
  <c r="D88" i="4"/>
  <c r="D85" i="4"/>
  <c r="E86" i="4"/>
  <c r="E87" i="4"/>
  <c r="E88" i="4"/>
  <c r="E85" i="4"/>
  <c r="D73" i="4"/>
  <c r="D74" i="4"/>
  <c r="D75" i="4"/>
  <c r="D76" i="4"/>
  <c r="D77" i="4"/>
  <c r="D72" i="4"/>
  <c r="D79" i="4"/>
  <c r="D80" i="4"/>
  <c r="D81" i="4"/>
  <c r="D78" i="4"/>
  <c r="D83" i="4"/>
  <c r="D84" i="4"/>
  <c r="D82" i="4"/>
  <c r="D90" i="4"/>
  <c r="D91" i="4"/>
  <c r="D92" i="4"/>
  <c r="D93" i="4"/>
  <c r="D89" i="4"/>
  <c r="D71" i="4"/>
  <c r="E73" i="4"/>
  <c r="E74" i="4"/>
  <c r="E75" i="4"/>
  <c r="E76" i="4"/>
  <c r="E77" i="4"/>
  <c r="E72" i="4"/>
  <c r="E79" i="4"/>
  <c r="E80" i="4"/>
  <c r="E81" i="4"/>
  <c r="E78" i="4"/>
  <c r="E83" i="4"/>
  <c r="E84" i="4"/>
  <c r="E82" i="4"/>
  <c r="E90" i="4"/>
  <c r="E91" i="4"/>
  <c r="E92" i="4"/>
  <c r="E93" i="4"/>
  <c r="E89" i="4"/>
  <c r="E71" i="4"/>
  <c r="D22" i="4"/>
  <c r="D107" i="4"/>
  <c r="D108" i="4"/>
  <c r="D109" i="4"/>
  <c r="D106" i="4"/>
  <c r="E107" i="4"/>
  <c r="G107" i="4"/>
  <c r="E108" i="4"/>
  <c r="G108" i="4"/>
  <c r="E109" i="4"/>
  <c r="G109" i="4"/>
  <c r="E106" i="4"/>
  <c r="G106" i="4"/>
  <c r="F107" i="4"/>
  <c r="F108" i="4"/>
  <c r="F109" i="4"/>
  <c r="F106" i="4"/>
  <c r="E97" i="4"/>
  <c r="F97" i="4"/>
  <c r="G97" i="4"/>
  <c r="D43" i="4"/>
  <c r="D44" i="4"/>
  <c r="D45" i="4"/>
  <c r="D46" i="4"/>
  <c r="D47" i="4"/>
  <c r="D42" i="4"/>
  <c r="D41" i="4"/>
  <c r="D50" i="4"/>
  <c r="D51" i="4"/>
  <c r="D49" i="4"/>
  <c r="D48" i="4"/>
  <c r="D55" i="4"/>
  <c r="D56" i="4"/>
  <c r="D57" i="4"/>
  <c r="D58" i="4"/>
  <c r="D59" i="4"/>
  <c r="D54" i="4"/>
  <c r="D53" i="4"/>
  <c r="D62" i="4"/>
  <c r="D63" i="4"/>
  <c r="D64" i="4"/>
  <c r="D61" i="4"/>
  <c r="D60" i="4"/>
  <c r="D67" i="4"/>
  <c r="D68" i="4"/>
  <c r="D66" i="4"/>
  <c r="D65" i="4"/>
  <c r="D40" i="4"/>
  <c r="D20" i="4"/>
  <c r="D17" i="4"/>
  <c r="D23" i="4"/>
  <c r="D16" i="4"/>
  <c r="D10" i="4"/>
  <c r="D13" i="4"/>
  <c r="D9" i="4"/>
  <c r="D8" i="4"/>
  <c r="D96" i="4"/>
  <c r="D98" i="4"/>
  <c r="D95" i="4"/>
  <c r="D94" i="4"/>
  <c r="D101" i="4"/>
  <c r="D102" i="4"/>
  <c r="D100" i="4"/>
  <c r="D99" i="4"/>
  <c r="D70" i="4"/>
  <c r="D105" i="4"/>
  <c r="D110" i="4"/>
  <c r="D104" i="4"/>
  <c r="D7" i="4"/>
  <c r="E43" i="4"/>
  <c r="E44" i="4"/>
  <c r="E45" i="4"/>
  <c r="E46" i="4"/>
  <c r="E47" i="4"/>
  <c r="E42" i="4"/>
  <c r="E41" i="4"/>
  <c r="E50" i="4"/>
  <c r="E51" i="4"/>
  <c r="E49" i="4"/>
  <c r="E48" i="4"/>
  <c r="E55" i="4"/>
  <c r="E56" i="4"/>
  <c r="E57" i="4"/>
  <c r="E58" i="4"/>
  <c r="E59" i="4"/>
  <c r="E54" i="4"/>
  <c r="E53" i="4"/>
  <c r="E62" i="4"/>
  <c r="E63" i="4"/>
  <c r="E64" i="4"/>
  <c r="E61" i="4"/>
  <c r="E60" i="4"/>
  <c r="E67" i="4"/>
  <c r="E68" i="4"/>
  <c r="E66" i="4"/>
  <c r="E65" i="4"/>
  <c r="E40" i="4"/>
  <c r="E96" i="4"/>
  <c r="E98" i="4"/>
  <c r="E95" i="4"/>
  <c r="E94" i="4"/>
  <c r="E101" i="4"/>
  <c r="E102" i="4"/>
  <c r="E100" i="4"/>
  <c r="E99" i="4"/>
  <c r="E70" i="4"/>
  <c r="E69" i="4"/>
  <c r="E105" i="4"/>
  <c r="E111" i="4"/>
  <c r="E110" i="4"/>
  <c r="E104" i="4"/>
  <c r="E7" i="4"/>
  <c r="E103" i="4"/>
  <c r="D103" i="4"/>
  <c r="C103" i="4"/>
  <c r="D69" i="4"/>
  <c r="C69" i="4"/>
  <c r="T39" i="4"/>
  <c r="Q39" i="4"/>
  <c r="E39" i="4"/>
  <c r="D39" i="4"/>
  <c r="C39" i="4"/>
  <c r="D112" i="4"/>
  <c r="D113" i="4"/>
  <c r="C112" i="4"/>
  <c r="E112" i="4"/>
  <c r="E113" i="4"/>
  <c r="Q112" i="4"/>
  <c r="Q113" i="4"/>
  <c r="E115" i="4"/>
  <c r="T112" i="4"/>
  <c r="T113" i="4"/>
  <c r="N112" i="4"/>
  <c r="N113" i="4"/>
  <c r="K112" i="4"/>
  <c r="K113" i="4"/>
  <c r="H112" i="4"/>
  <c r="H113" i="4"/>
  <c r="D114" i="4"/>
  <c r="D116" i="4"/>
  <c r="C114" i="4"/>
  <c r="C116" i="4"/>
  <c r="E114" i="4"/>
</calcChain>
</file>

<file path=xl/sharedStrings.xml><?xml version="1.0" encoding="utf-8"?>
<sst xmlns="http://schemas.openxmlformats.org/spreadsheetml/2006/main" count="219" uniqueCount="218">
  <si>
    <t>Proyecto UR-L1112</t>
  </si>
  <si>
    <t>Montos totales del Proyecto</t>
  </si>
  <si>
    <t>Distribución anual fondos BID</t>
  </si>
  <si>
    <t>Actividades</t>
  </si>
  <si>
    <t>Costo BID en USD</t>
  </si>
  <si>
    <t>Costo Local en USD</t>
  </si>
  <si>
    <t>Total USD</t>
  </si>
  <si>
    <t>BID (%)</t>
  </si>
  <si>
    <t>Local (%)</t>
  </si>
  <si>
    <t>Año 1 – Fondos BID</t>
  </si>
  <si>
    <t>Año 2 – Fondos BID</t>
  </si>
  <si>
    <t>Año 3 – Fondos BID</t>
  </si>
  <si>
    <t>Año 4 – Fondos BID</t>
  </si>
  <si>
    <t>Total</t>
  </si>
  <si>
    <t>Componente 1 –  ESTRATEGIAS FOCALIZADAS DE PREVENCIÓN Y DISUASION POLICIAL DEL DELITO</t>
  </si>
  <si>
    <t>Subcomponente 1.1 - Fortalecimiento del PADO</t>
  </si>
  <si>
    <t>1.1.1</t>
  </si>
  <si>
    <t>1.1.1.1</t>
  </si>
  <si>
    <t>1.1.2</t>
  </si>
  <si>
    <t>1.1.2.1</t>
  </si>
  <si>
    <t>1.1.2.2</t>
  </si>
  <si>
    <t>Asistencia técnica para PADO</t>
  </si>
  <si>
    <t>Subcomponente 1.2 - Seccionales Comunitarias</t>
  </si>
  <si>
    <t>1.2.1</t>
  </si>
  <si>
    <t>1.2.1.1</t>
  </si>
  <si>
    <t>1.2.1.2</t>
  </si>
  <si>
    <t>Asistencia técnica para 100 proyectos POP</t>
  </si>
  <si>
    <t>Adquisición de equipamiento informático</t>
  </si>
  <si>
    <t>1.2.2</t>
  </si>
  <si>
    <t>1.2.2.1</t>
  </si>
  <si>
    <t>Conferencia nacional anual (4 locales + participación de 3 personas en  4 internacionales)</t>
  </si>
  <si>
    <t>1.2.2.2</t>
  </si>
  <si>
    <t>Fondo de apoyo a soluciones comunitarias (en asociación con universidades y otros)</t>
  </si>
  <si>
    <t>1.2.3</t>
  </si>
  <si>
    <t>1.2.3.1</t>
  </si>
  <si>
    <t>Subcomponente 1.3 - Análisis e Investigación Criminal</t>
  </si>
  <si>
    <t>1.3.1</t>
  </si>
  <si>
    <t>Línea de Acción 1.3.1 - Capacitaciones</t>
  </si>
  <si>
    <t>1.3.1.1</t>
  </si>
  <si>
    <t>Capacitación en análisis del crimen</t>
  </si>
  <si>
    <t>1.3.1.2</t>
  </si>
  <si>
    <t>Capacitación en POP para Analistas</t>
  </si>
  <si>
    <t>Capacitación en investigación de delitos comunes</t>
  </si>
  <si>
    <t>Capacitación en investigación de delitos complejos</t>
  </si>
  <si>
    <t>1.3.2</t>
  </si>
  <si>
    <t>Mejora de procesos para el relacionamiento entre Policía y Fiscalías en el marco del nuevo Código del Proceso Penal</t>
  </si>
  <si>
    <t>1.3.3.1</t>
  </si>
  <si>
    <t>Adquisición de licencias de software</t>
  </si>
  <si>
    <t>1.3.3.2</t>
  </si>
  <si>
    <t>Adquisición de hardware</t>
  </si>
  <si>
    <t>1.3.3.3</t>
  </si>
  <si>
    <t>Contratación de un consultor para el desarrollo de aplicaciones</t>
  </si>
  <si>
    <t>SUB TOTAL COMPONENTE 1</t>
  </si>
  <si>
    <t>Componente 2 –  PREVENCIÓN INTEGRAL DE LA VIOLENCIA EN BARRIOS RESIDENCIALES</t>
  </si>
  <si>
    <t>Subcomponente 2.1 - Apoyo al programa "Pelota al medio a la Esperanza" para la prevención temprana de conducta antisocial y deserción escolar en dos barrios</t>
  </si>
  <si>
    <t>2.1.1</t>
  </si>
  <si>
    <t>Línea de Acción 2.1.1 - Apoyo al programa "Pelota al medio a la Esperanza" para la prevención temprana de conducta antisocial y deserción escolar</t>
  </si>
  <si>
    <t>2.1.1.1</t>
  </si>
  <si>
    <t>Contratación de dos (02) profesores de educación fisica para escuelas de futbol social en barrios priorizados</t>
  </si>
  <si>
    <r>
      <t xml:space="preserve">Capacitación en </t>
    </r>
    <r>
      <rPr>
        <i/>
        <sz val="9"/>
        <rFont val="Calibri"/>
        <family val="2"/>
        <charset val="1"/>
      </rPr>
      <t>Becoming a man</t>
    </r>
  </si>
  <si>
    <t>2.1.1.2</t>
  </si>
  <si>
    <t>Adquisición de equipamiento deportivo</t>
  </si>
  <si>
    <t>Actividades con beneficiarios</t>
  </si>
  <si>
    <t>2.2.1</t>
  </si>
  <si>
    <t>Línea de Acción 2.2.1 - Implementación de iniciativa SASA!</t>
  </si>
  <si>
    <t>2.2.1.1</t>
  </si>
  <si>
    <t>Capacitación en SASA!</t>
  </si>
  <si>
    <t>2.2.1.2</t>
  </si>
  <si>
    <t>Contratación de cuatro (04) técnicos operadores SASA!</t>
  </si>
  <si>
    <t>2.3.1</t>
  </si>
  <si>
    <t>Línea de Acción 2.3.1 - Implementación de proyecto de apoyo a la transición cárcel-comunidad</t>
  </si>
  <si>
    <t>2.3.1.1</t>
  </si>
  <si>
    <t>Capacitación en metodologías de acompañamiento</t>
  </si>
  <si>
    <t>2.3.1.2</t>
  </si>
  <si>
    <t>Supervisor de equipo técnico</t>
  </si>
  <si>
    <t>Movilización de técnicos operadores</t>
  </si>
  <si>
    <t>Capacitación laboral usuarios (160 casos x 1,000 USD)</t>
  </si>
  <si>
    <t>2.4.1</t>
  </si>
  <si>
    <t>Línea de Acción 2.4.1 - Implementación de acciones de prevención situacional de la violencia</t>
  </si>
  <si>
    <t>2.4.1.1</t>
  </si>
  <si>
    <t>Consultorías en movilización comunitaria</t>
  </si>
  <si>
    <t>Consultoría experta en prevención situacional</t>
  </si>
  <si>
    <t>Intervenciones en infraestructura urbana y/o servicios</t>
  </si>
  <si>
    <t>2.5.1</t>
  </si>
  <si>
    <t>Línea de Acción 2.5.1 - Implementación del fondo de apoyo a iniciativas locales de prevención</t>
  </si>
  <si>
    <t>2.5.1.1</t>
  </si>
  <si>
    <t>Implementación de fondos de apoyo</t>
  </si>
  <si>
    <t>SUB TOTAL COMPONENTE 2</t>
  </si>
  <si>
    <t>Componente 3 –  PROMOCIÓN DEL DUSO DE EVIDENCIA CIENTÍFICA EN LA TOMA DE DECISIONES DE POLÍTICA</t>
  </si>
  <si>
    <t>3.1.1</t>
  </si>
  <si>
    <t>Línea de Acción 3.1.1 - Contratación del equipo central</t>
  </si>
  <si>
    <t>3.1.1.1</t>
  </si>
  <si>
    <t>(1) Director Ejecutivo</t>
  </si>
  <si>
    <t>3.1.1.2</t>
  </si>
  <si>
    <t>(1) Director Academico</t>
  </si>
  <si>
    <t>3.1.1.3</t>
  </si>
  <si>
    <t>(1) Encargados área capacitación</t>
  </si>
  <si>
    <t>3.1.1.4</t>
  </si>
  <si>
    <t xml:space="preserve">(4) Investigadores </t>
  </si>
  <si>
    <t>3.1.1.5</t>
  </si>
  <si>
    <t>(1) Encargado de Comunicación</t>
  </si>
  <si>
    <t>3.1.2</t>
  </si>
  <si>
    <t>Línea de Acción 3.1.2 - Equipamiento del CCAU</t>
  </si>
  <si>
    <t>3.1.2.1</t>
  </si>
  <si>
    <t xml:space="preserve">Consultor para el diseño y desarrollo de la página web </t>
  </si>
  <si>
    <t>3.1.2.2</t>
  </si>
  <si>
    <t>Equipamiento para la puesta en funcionamiento de CCAU</t>
  </si>
  <si>
    <t>3.1.2.3</t>
  </si>
  <si>
    <t xml:space="preserve">Talleres e instancias de formación del equipo </t>
  </si>
  <si>
    <t>3.2.1</t>
  </si>
  <si>
    <t>3.2.1.1</t>
  </si>
  <si>
    <t xml:space="preserve">Fondo de investigación </t>
  </si>
  <si>
    <t>3.2.1.2</t>
  </si>
  <si>
    <t xml:space="preserve">Arquitectura informática para unificación de bases de datos oficiales </t>
  </si>
  <si>
    <t xml:space="preserve">Impresión de materiales de capacitación </t>
  </si>
  <si>
    <t xml:space="preserve">Consultores Internacionales para participar del proceso de evaluación del Fondo Sectorial </t>
  </si>
  <si>
    <t xml:space="preserve">Fondo Sectorial </t>
  </si>
  <si>
    <t xml:space="preserve">Talleres de presentación de resultados </t>
  </si>
  <si>
    <t xml:space="preserve">Fondo para la realización de Capacitación </t>
  </si>
  <si>
    <t xml:space="preserve">Desarrollo de seminarios internacionales </t>
  </si>
  <si>
    <t>Especialista en monitoreo y evaluación del Programa</t>
  </si>
  <si>
    <t xml:space="preserve">Evaluación intermedia del Programa </t>
  </si>
  <si>
    <t>Evaluación de impacto del proyecto</t>
  </si>
  <si>
    <t>SUB TOTAL COMPONENTE 3</t>
  </si>
  <si>
    <t>Componente 4 –  ADMINISTRACIÓN Y MONITOREO DEL PROGRAMA</t>
  </si>
  <si>
    <t>Subcomponente 4.1 - Administración</t>
  </si>
  <si>
    <t>4.1.1</t>
  </si>
  <si>
    <t>Coordinador General del Programa</t>
  </si>
  <si>
    <t>4.1.2</t>
  </si>
  <si>
    <t>Coordinador de Prevención Barrial</t>
  </si>
  <si>
    <t>4.1.3</t>
  </si>
  <si>
    <t>Responsable financiero</t>
  </si>
  <si>
    <t>4.1.4</t>
  </si>
  <si>
    <t>Responsable de adquisiciones</t>
  </si>
  <si>
    <t>Administrativa</t>
  </si>
  <si>
    <t>Subcomponente 4.2 - Auditorías</t>
  </si>
  <si>
    <t>4.2.1</t>
  </si>
  <si>
    <t>Auditorías financiero contables</t>
  </si>
  <si>
    <t>SUB TOTAL COMPONENTE 4</t>
  </si>
  <si>
    <t>IMPREVISTOS</t>
  </si>
  <si>
    <t>TOTAL DEL PROGRAMA</t>
  </si>
  <si>
    <t>COSTO TOTAL</t>
  </si>
  <si>
    <t>Contratación de 4 técnicos operadores</t>
  </si>
  <si>
    <t>PLAN DE EJECUCIÓN DEL PROYECTO (PEP) 5 AÑOS</t>
  </si>
  <si>
    <t>Año 5– Fondos BID</t>
  </si>
  <si>
    <t>Mejora edilicia de las seccionales comunitarias</t>
  </si>
  <si>
    <t>URUGUAY – Programa Integral de Seguridad Ciudadana</t>
  </si>
  <si>
    <t>Capacitación de 1100 oficiales de PADO en técnicas de relacionamiento con la comunidad y en solución de problemas</t>
  </si>
  <si>
    <t>Subcomponente 3.1 - Conformación y funcionamiento del equipo central CCAU</t>
  </si>
  <si>
    <t>3.1.3</t>
  </si>
  <si>
    <t>3.1.3.1</t>
  </si>
  <si>
    <t>3.1.3.2</t>
  </si>
  <si>
    <t>3.1.4</t>
  </si>
  <si>
    <t>3.1.4.1</t>
  </si>
  <si>
    <t>3.1.4.2</t>
  </si>
  <si>
    <t>3.1.5</t>
  </si>
  <si>
    <t>3.1.5.1</t>
  </si>
  <si>
    <t>Línea de Acción 3.1.3 - Acciones de Investigación</t>
  </si>
  <si>
    <t>Subcomponente 3.2 - Fondo Sectorial</t>
  </si>
  <si>
    <t>3.2.1.3</t>
  </si>
  <si>
    <t>Línea de Acción 3.2.1 - Fondo Sectorial Ministerio del Interior - ANII</t>
  </si>
  <si>
    <t>Subcomponente 3.3 - Generación de programa internacional de capacitación</t>
  </si>
  <si>
    <t>3.3.1</t>
  </si>
  <si>
    <t>Línea de Acción 3.3.1 - Generación de programa internacional de capacitación</t>
  </si>
  <si>
    <t>3.3.1.1</t>
  </si>
  <si>
    <t>3.3.1.2</t>
  </si>
  <si>
    <t>Estimación de linea de base para el componente 2</t>
  </si>
  <si>
    <t>1.1.1.2</t>
  </si>
  <si>
    <t>Consultoría para la mejora del diagnóstico y la estrategia operativa</t>
  </si>
  <si>
    <t>Asistencia técnica para revisión periódica de diseño PADO</t>
  </si>
  <si>
    <t>Línea de Acción 1.1.1 - Estrategia patrullamiento PADO actualizada</t>
  </si>
  <si>
    <t>Línea de Acción 1.1.2 - Policias PADO entrenados en técnicas de relacionamiento con la comunidad y en solución de problemas</t>
  </si>
  <si>
    <t>Línea de Acción 1.2.1 - Policias capacitados en POP y resolucion de conflictos</t>
  </si>
  <si>
    <t>Capacitación de 600 policías en Policiamiento Orientado a Problemas</t>
  </si>
  <si>
    <t>Capacitación de 200 policias en resolución de conflictos</t>
  </si>
  <si>
    <t>Linea de Accion 1.2.2 - Seccionales comunitarias adaptadas y equipadas</t>
  </si>
  <si>
    <t>Línea de Acción 1.2.3 - Proyectos POP implementados</t>
  </si>
  <si>
    <t>1.2.3.2</t>
  </si>
  <si>
    <t>1.2.3.3</t>
  </si>
  <si>
    <t>2.1.1.3</t>
  </si>
  <si>
    <t>2.1.1.4</t>
  </si>
  <si>
    <t>2.1.1.5</t>
  </si>
  <si>
    <t>2.3.1.3</t>
  </si>
  <si>
    <t>2.3.1.4</t>
  </si>
  <si>
    <t>2.3.1.5</t>
  </si>
  <si>
    <t>2.5.1.2</t>
  </si>
  <si>
    <t>2.4.1.2</t>
  </si>
  <si>
    <t>2.4.1.3</t>
  </si>
  <si>
    <t>2.2.1.3</t>
  </si>
  <si>
    <t>Fondo de capacitación a funcionarios Ministerio del Interior y otros relacionados</t>
  </si>
  <si>
    <r>
      <t xml:space="preserve">Contratación de dos (02) psicólogos para la implementación de currículum de intervención </t>
    </r>
    <r>
      <rPr>
        <i/>
        <sz val="9"/>
        <rFont val="Calibri"/>
        <family val="2"/>
        <charset val="1"/>
      </rPr>
      <t>Becoming a man</t>
    </r>
  </si>
  <si>
    <r>
      <t xml:space="preserve">Subcomponente </t>
    </r>
    <r>
      <rPr>
        <b/>
        <sz val="9"/>
        <rFont val="Calibri"/>
        <family val="2"/>
        <charset val="1"/>
      </rPr>
      <t>2.2  - Apoyo al programa de prevención comunitaria de la violencia de género</t>
    </r>
  </si>
  <si>
    <r>
      <t xml:space="preserve">Subcomponente </t>
    </r>
    <r>
      <rPr>
        <b/>
        <sz val="9"/>
        <rFont val="Calibri"/>
        <family val="2"/>
        <charset val="1"/>
      </rPr>
      <t>2.3  - Proyecto de apoyo a la transición cárcel-comunidad de adultos liberados</t>
    </r>
  </si>
  <si>
    <r>
      <t xml:space="preserve">Subcomponente </t>
    </r>
    <r>
      <rPr>
        <b/>
        <sz val="9"/>
        <rFont val="Calibri"/>
        <family val="2"/>
        <charset val="1"/>
      </rPr>
      <t>2.4  - Prevención situacional de la violencia</t>
    </r>
  </si>
  <si>
    <r>
      <t xml:space="preserve">Subcomponente </t>
    </r>
    <r>
      <rPr>
        <b/>
        <sz val="9"/>
        <rFont val="Calibri"/>
        <family val="2"/>
        <charset val="1"/>
      </rPr>
      <t>2.5  - Fondo de apoyo a iniciativas locales de prevención</t>
    </r>
  </si>
  <si>
    <t>1.3.2.1</t>
  </si>
  <si>
    <t>1.3.2.2</t>
  </si>
  <si>
    <t>1.3.2.3</t>
  </si>
  <si>
    <t>Línea de Acción 1.3.2 - Capacitacion en Investigación Criminal</t>
  </si>
  <si>
    <t>1.3.3</t>
  </si>
  <si>
    <t xml:space="preserve">Línea de Acción 3.1.4 - Acciones de Capacitación, Promoción, Comunicación </t>
  </si>
  <si>
    <t>3.1.4.3</t>
  </si>
  <si>
    <t>3.1.5.2</t>
  </si>
  <si>
    <t>3.1.5.3</t>
  </si>
  <si>
    <t>3.1.5.4</t>
  </si>
  <si>
    <t>Línea de Acción 3.1.5 - Monitoreo y Evaluacion del Programa</t>
  </si>
  <si>
    <t>Desarrollo y divulgación de Banco de Intervenciones basadas en evidencia científica</t>
  </si>
  <si>
    <t>Año 1 – Costo Local</t>
  </si>
  <si>
    <t>Año 2 – Costo Local</t>
  </si>
  <si>
    <t>Año 3 – Costo Local</t>
  </si>
  <si>
    <t>Año 4 – Costo Local</t>
  </si>
  <si>
    <t>Año 5 – Costo Local</t>
  </si>
  <si>
    <t>Línea de Acción 1.3.2 - Desarrollo de tecnologías para la sistematización de información</t>
  </si>
  <si>
    <t>Año 1 – TOTAL</t>
  </si>
  <si>
    <t>Año 2 – TOTAL</t>
  </si>
  <si>
    <t>Año 3 – TOTAL</t>
  </si>
  <si>
    <t>Año 4 – TOTAL</t>
  </si>
  <si>
    <t>Año 5 –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</si>
</sst>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;[Red]&quot;R$ &quot;#,##0.00"/>
    <numFmt numFmtId="165" formatCode="#,##0.00\ ;&quot; (&quot;#,##0.00\);&quot; -&quot;#\ ;@\ "/>
    <numFmt numFmtId="166" formatCode="#,##0\ ;&quot; (&quot;#,##0\);&quot; -&quot;#\ ;@\ "/>
  </numFmts>
  <fonts count="16" x14ac:knownFonts="1">
    <font>
      <sz val="11"/>
      <color indexed="8"/>
      <name val="Calibri"/>
      <family val="2"/>
      <charset val="1"/>
    </font>
    <font>
      <sz val="10"/>
      <color indexed="8"/>
      <name val="Arial"/>
      <family val="2"/>
      <charset val="1"/>
    </font>
    <font>
      <sz val="9"/>
      <name val="Calibri"/>
      <family val="2"/>
      <charset val="1"/>
    </font>
    <font>
      <b/>
      <sz val="9"/>
      <name val="Calibri"/>
      <family val="2"/>
      <charset val="1"/>
    </font>
    <font>
      <i/>
      <sz val="9"/>
      <name val="Calibri"/>
      <family val="2"/>
      <charset val="1"/>
    </font>
    <font>
      <sz val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8"/>
      <name val="Calibri"/>
      <family val="2"/>
      <charset val="1"/>
    </font>
    <font>
      <b/>
      <i/>
      <sz val="9"/>
      <name val="Calibri"/>
      <family val="2"/>
      <charset val="1"/>
    </font>
    <font>
      <b/>
      <sz val="9"/>
      <color theme="0"/>
      <name val="Calibri"/>
      <family val="2"/>
      <charset val="1"/>
    </font>
    <font>
      <sz val="11"/>
      <color theme="0"/>
      <name val="Calibri"/>
      <family val="2"/>
      <charset val="1"/>
    </font>
    <font>
      <sz val="9"/>
      <color theme="0"/>
      <name val="Calibri"/>
      <family val="2"/>
      <charset val="1"/>
    </font>
    <font>
      <b/>
      <i/>
      <sz val="9"/>
      <name val="Calibri"/>
      <family val="2"/>
    </font>
    <font>
      <b/>
      <i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4"/>
      </patternFill>
    </fill>
    <fill>
      <patternFill patternType="solid">
        <fgColor indexed="55"/>
        <bgColor indexed="22"/>
      </patternFill>
    </fill>
    <fill>
      <patternFill patternType="solid">
        <fgColor indexed="31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2"/>
        <bgColor indexed="5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6" fillId="0" borderId="0"/>
    <xf numFmtId="165" fontId="1" fillId="0" borderId="0"/>
    <xf numFmtId="0" fontId="6" fillId="0" borderId="0"/>
    <xf numFmtId="0" fontId="1" fillId="0" borderId="0"/>
    <xf numFmtId="9" fontId="6" fillId="0" borderId="0"/>
    <xf numFmtId="9" fontId="1" fillId="0" borderId="0"/>
  </cellStyleXfs>
  <cellXfs count="63">
    <xf numFmtId="0" fontId="0" fillId="0" borderId="0" xfId="0"/>
    <xf numFmtId="166" fontId="2" fillId="0" borderId="0" xfId="2" applyNumberFormat="1" applyFont="1" applyFill="1" applyBorder="1" applyAlignment="1" applyProtection="1">
      <alignment horizontal="right" vertical="center" wrapText="1"/>
      <protection locked="0"/>
    </xf>
    <xf numFmtId="3" fontId="3" fillId="3" borderId="0" xfId="0" applyNumberFormat="1" applyFont="1" applyFill="1" applyAlignment="1">
      <alignment horizontal="right" vertical="center" wrapText="1"/>
    </xf>
    <xf numFmtId="9" fontId="2" fillId="5" borderId="0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166" fontId="2" fillId="0" borderId="0" xfId="2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center" vertical="center"/>
    </xf>
    <xf numFmtId="0" fontId="8" fillId="0" borderId="0" xfId="0" applyFont="1"/>
    <xf numFmtId="164" fontId="3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justify" vertical="center" wrapText="1"/>
    </xf>
    <xf numFmtId="166" fontId="3" fillId="3" borderId="0" xfId="2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Alignment="1">
      <alignment horizontal="right" vertical="center" wrapText="1"/>
    </xf>
    <xf numFmtId="0" fontId="3" fillId="4" borderId="0" xfId="0" applyFont="1" applyFill="1" applyAlignment="1">
      <alignment horizontal="justify" vertical="center" wrapText="1"/>
    </xf>
    <xf numFmtId="166" fontId="3" fillId="4" borderId="0" xfId="2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/>
    <xf numFmtId="0" fontId="10" fillId="5" borderId="0" xfId="0" applyFont="1" applyFill="1" applyAlignment="1">
      <alignment horizontal="right" vertical="center" wrapText="1"/>
    </xf>
    <xf numFmtId="0" fontId="10" fillId="5" borderId="0" xfId="0" applyFont="1" applyFill="1" applyAlignment="1">
      <alignment horizontal="left" vertical="center" wrapText="1"/>
    </xf>
    <xf numFmtId="166" fontId="10" fillId="5" borderId="0" xfId="2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9" fontId="2" fillId="0" borderId="0" xfId="4" applyNumberFormat="1" applyFont="1" applyFill="1" applyAlignment="1" applyProtection="1">
      <alignment horizontal="center" vertical="center" wrapText="1"/>
      <protection locked="0"/>
    </xf>
    <xf numFmtId="0" fontId="10" fillId="8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9" fontId="2" fillId="3" borderId="0" xfId="4" applyNumberFormat="1" applyFont="1" applyFill="1" applyBorder="1" applyAlignment="1" applyProtection="1">
      <alignment horizontal="center" vertical="center" wrapText="1"/>
      <protection locked="0"/>
    </xf>
    <xf numFmtId="9" fontId="2" fillId="4" borderId="0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2" applyNumberFormat="1" applyFont="1" applyFill="1" applyBorder="1" applyAlignment="1" applyProtection="1">
      <alignment horizontal="right" vertical="center" wrapText="1"/>
    </xf>
    <xf numFmtId="166" fontId="8" fillId="0" borderId="0" xfId="0" applyNumberFormat="1" applyFont="1"/>
    <xf numFmtId="0" fontId="2" fillId="4" borderId="0" xfId="0" applyFont="1" applyFill="1" applyAlignment="1">
      <alignment horizontal="justify" vertical="center" wrapText="1"/>
    </xf>
    <xf numFmtId="0" fontId="10" fillId="6" borderId="0" xfId="0" applyFont="1" applyFill="1" applyAlignment="1">
      <alignment horizontal="right" vertical="center" wrapText="1"/>
    </xf>
    <xf numFmtId="0" fontId="10" fillId="6" borderId="0" xfId="0" applyFont="1" applyFill="1" applyAlignment="1">
      <alignment horizontal="justify" vertical="center" wrapText="1"/>
    </xf>
    <xf numFmtId="166" fontId="3" fillId="6" borderId="0" xfId="2" applyNumberFormat="1" applyFont="1" applyFill="1" applyBorder="1" applyAlignment="1" applyProtection="1">
      <alignment horizontal="right" vertical="center" wrapText="1"/>
      <protection locked="0"/>
    </xf>
    <xf numFmtId="9" fontId="2" fillId="0" borderId="0" xfId="4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/>
    <xf numFmtId="0" fontId="2" fillId="0" borderId="0" xfId="0" applyFont="1" applyFill="1" applyAlignment="1">
      <alignment horizontal="justify" vertical="center" wrapText="1"/>
    </xf>
    <xf numFmtId="166" fontId="8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9" fontId="2" fillId="0" borderId="0" xfId="5" applyFont="1" applyFill="1" applyBorder="1" applyAlignment="1" applyProtection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166" fontId="3" fillId="0" borderId="0" xfId="2" applyNumberFormat="1" applyFont="1" applyFill="1" applyBorder="1" applyAlignment="1" applyProtection="1">
      <alignment horizontal="right" vertical="center" wrapText="1"/>
      <protection locked="0"/>
    </xf>
    <xf numFmtId="9" fontId="2" fillId="0" borderId="0" xfId="5" applyFont="1" applyFill="1" applyBorder="1" applyAlignment="1" applyProtection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166" fontId="11" fillId="2" borderId="0" xfId="2" applyNumberFormat="1" applyFont="1" applyFill="1" applyBorder="1" applyAlignment="1" applyProtection="1">
      <alignment horizontal="center" vertical="center" wrapText="1"/>
    </xf>
    <xf numFmtId="9" fontId="11" fillId="2" borderId="0" xfId="6" applyFont="1" applyFill="1" applyBorder="1" applyAlignment="1" applyProtection="1">
      <alignment horizontal="center" vertical="center" wrapText="1"/>
    </xf>
    <xf numFmtId="166" fontId="11" fillId="2" borderId="0" xfId="1" applyNumberFormat="1" applyFont="1" applyFill="1" applyBorder="1" applyAlignment="1" applyProtection="1">
      <alignment horizontal="center" vertical="center" wrapText="1"/>
    </xf>
    <xf numFmtId="0" fontId="12" fillId="0" borderId="0" xfId="0" applyFont="1"/>
    <xf numFmtId="0" fontId="11" fillId="2" borderId="0" xfId="0" applyFont="1" applyFill="1" applyAlignment="1">
      <alignment horizontal="left" vertical="center" wrapText="1"/>
    </xf>
    <xf numFmtId="166" fontId="11" fillId="2" borderId="0" xfId="2" applyNumberFormat="1" applyFont="1" applyFill="1" applyBorder="1" applyAlignment="1" applyProtection="1">
      <alignment horizontal="right" vertical="center" wrapText="1"/>
      <protection locked="0"/>
    </xf>
    <xf numFmtId="9" fontId="13" fillId="2" borderId="0" xfId="0" applyNumberFormat="1" applyFont="1" applyFill="1" applyAlignment="1">
      <alignment horizontal="center" vertical="center" wrapText="1"/>
    </xf>
    <xf numFmtId="0" fontId="14" fillId="9" borderId="0" xfId="0" applyFont="1" applyFill="1" applyAlignment="1">
      <alignment horizontal="right" vertical="center" wrapText="1"/>
    </xf>
    <xf numFmtId="0" fontId="14" fillId="9" borderId="0" xfId="0" applyFont="1" applyFill="1" applyAlignment="1">
      <alignment horizontal="left" vertical="center" wrapText="1"/>
    </xf>
    <xf numFmtId="166" fontId="14" fillId="9" borderId="0" xfId="2" applyNumberFormat="1" applyFont="1" applyFill="1" applyBorder="1" applyAlignment="1" applyProtection="1">
      <alignment horizontal="right" vertical="center" wrapText="1"/>
    </xf>
    <xf numFmtId="9" fontId="14" fillId="9" borderId="0" xfId="4" applyNumberFormat="1" applyFont="1" applyFill="1" applyAlignment="1" applyProtection="1">
      <alignment horizontal="center" vertical="center" wrapText="1"/>
      <protection locked="0"/>
    </xf>
    <xf numFmtId="0" fontId="15" fillId="9" borderId="0" xfId="0" applyFont="1" applyFill="1"/>
    <xf numFmtId="3" fontId="0" fillId="0" borderId="0" xfId="0" applyNumberFormat="1"/>
    <xf numFmtId="0" fontId="15" fillId="0" borderId="0" xfId="0" applyFont="1" applyFill="1"/>
    <xf numFmtId="164" fontId="3" fillId="7" borderId="1" xfId="2" applyNumberFormat="1" applyFont="1" applyFill="1" applyBorder="1" applyAlignment="1" applyProtection="1">
      <alignment horizontal="center" vertical="center"/>
    </xf>
    <xf numFmtId="164" fontId="3" fillId="7" borderId="2" xfId="2" applyNumberFormat="1" applyFont="1" applyFill="1" applyBorder="1" applyAlignment="1" applyProtection="1">
      <alignment horizontal="center" vertical="center"/>
    </xf>
    <xf numFmtId="164" fontId="3" fillId="7" borderId="3" xfId="2" applyNumberFormat="1" applyFont="1" applyFill="1" applyBorder="1" applyAlignment="1" applyProtection="1">
      <alignment horizontal="center" vertical="center"/>
    </xf>
    <xf numFmtId="166" fontId="9" fillId="7" borderId="1" xfId="1" applyNumberFormat="1" applyFont="1" applyFill="1" applyBorder="1" applyAlignment="1" applyProtection="1">
      <alignment horizontal="center" vertical="center"/>
    </xf>
    <xf numFmtId="166" fontId="9" fillId="7" borderId="2" xfId="1" applyNumberFormat="1" applyFont="1" applyFill="1" applyBorder="1" applyAlignment="1" applyProtection="1">
      <alignment horizontal="center" vertical="center"/>
    </xf>
    <xf numFmtId="166" fontId="9" fillId="7" borderId="3" xfId="1" applyNumberFormat="1" applyFont="1" applyFill="1" applyBorder="1" applyAlignment="1" applyProtection="1">
      <alignment horizontal="center" vertical="center"/>
    </xf>
  </cellXfs>
  <cellStyles count="7">
    <cellStyle name="Comma" xfId="1" builtinId="3"/>
    <cellStyle name="Excel Built-in Comma 1" xfId="2"/>
    <cellStyle name="Normal" xfId="0" builtinId="0"/>
    <cellStyle name="Normal 2" xfId="3"/>
    <cellStyle name="Normal 2 2 2" xfId="4"/>
    <cellStyle name="Percent" xfId="5" builtinId="5"/>
    <cellStyle name="Porcentagem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DD"/>
      <rgbColor rgb="00FFFF99"/>
      <rgbColor rgb="0099CCFF"/>
      <rgbColor rgb="00FF99CC"/>
      <rgbColor rgb="00CC99FF"/>
      <rgbColor rgb="00C3D69B"/>
      <rgbColor rgb="002E75B6"/>
      <rgbColor rgb="0033CCCC"/>
      <rgbColor rgb="0099CC00"/>
      <rgbColor rgb="00FFCC00"/>
      <rgbColor rgb="00FF9900"/>
      <rgbColor rgb="00FF6600"/>
      <rgbColor rgb="00666699"/>
      <rgbColor rgb="00B2B2B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F116"/>
  <sheetViews>
    <sheetView tabSelected="1" zoomScale="110" zoomScaleNormal="110" workbookViewId="0">
      <pane xSplit="2" ySplit="7" topLeftCell="C41" activePane="bottomRight" state="frozen"/>
      <selection pane="topRight" activeCell="C1" sqref="C1"/>
      <selection pane="bottomLeft" activeCell="A110" sqref="A110"/>
      <selection pane="bottomRight" activeCell="D43" sqref="D43"/>
    </sheetView>
  </sheetViews>
  <sheetFormatPr defaultColWidth="8.5703125" defaultRowHeight="15" x14ac:dyDescent="0.25"/>
  <cols>
    <col min="1" max="1" width="7.28515625" style="7" customWidth="1"/>
    <col min="2" max="2" width="57.85546875" style="9" customWidth="1"/>
    <col min="3" max="3" width="10.28515625" style="9" customWidth="1"/>
    <col min="4" max="4" width="11" style="9" bestFit="1" customWidth="1"/>
    <col min="5" max="7" width="8.5703125" style="9" customWidth="1"/>
    <col min="8" max="10" width="10.7109375" style="9" customWidth="1"/>
    <col min="11" max="12" width="8.5703125" style="9"/>
    <col min="13" max="13" width="10.7109375" style="9" customWidth="1"/>
    <col min="14" max="15" width="8.5703125" style="9"/>
    <col min="16" max="16" width="10.7109375" style="9" customWidth="1"/>
    <col min="17" max="18" width="8.5703125" style="9"/>
    <col min="19" max="19" width="10.7109375" style="9" customWidth="1"/>
    <col min="20" max="21" width="8.5703125" style="9"/>
    <col min="22" max="22" width="10.7109375" style="9" customWidth="1"/>
    <col min="23" max="23" width="11.5703125" style="9" customWidth="1"/>
    <col min="24" max="16384" width="8.5703125" style="9"/>
  </cols>
  <sheetData>
    <row r="1" spans="1:23" x14ac:dyDescent="0.25">
      <c r="B1" s="8"/>
      <c r="G1" s="8"/>
    </row>
    <row r="2" spans="1:23" x14ac:dyDescent="0.25">
      <c r="B2" s="8"/>
      <c r="G2" s="10"/>
    </row>
    <row r="3" spans="1:23" x14ac:dyDescent="0.25">
      <c r="B3" s="10" t="s">
        <v>146</v>
      </c>
      <c r="G3" s="10"/>
    </row>
    <row r="4" spans="1:23" x14ac:dyDescent="0.25">
      <c r="B4" s="10" t="s">
        <v>0</v>
      </c>
      <c r="G4" s="10"/>
    </row>
    <row r="5" spans="1:23" x14ac:dyDescent="0.25">
      <c r="B5" s="10" t="s">
        <v>143</v>
      </c>
      <c r="C5" s="57" t="s">
        <v>1</v>
      </c>
      <c r="D5" s="58"/>
      <c r="E5" s="58"/>
      <c r="F5" s="58"/>
      <c r="G5" s="59"/>
      <c r="H5" s="60" t="s">
        <v>2</v>
      </c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2"/>
    </row>
    <row r="6" spans="1:23" s="46" customFormat="1" ht="36" x14ac:dyDescent="0.25">
      <c r="A6" s="42"/>
      <c r="B6" s="42" t="s">
        <v>3</v>
      </c>
      <c r="C6" s="43" t="s">
        <v>4</v>
      </c>
      <c r="D6" s="43" t="s">
        <v>5</v>
      </c>
      <c r="E6" s="43" t="s">
        <v>6</v>
      </c>
      <c r="F6" s="44" t="s">
        <v>7</v>
      </c>
      <c r="G6" s="44" t="s">
        <v>8</v>
      </c>
      <c r="H6" s="45" t="s">
        <v>9</v>
      </c>
      <c r="I6" s="45" t="s">
        <v>207</v>
      </c>
      <c r="J6" s="45" t="s">
        <v>213</v>
      </c>
      <c r="K6" s="45" t="s">
        <v>10</v>
      </c>
      <c r="L6" s="45" t="s">
        <v>208</v>
      </c>
      <c r="M6" s="45" t="s">
        <v>214</v>
      </c>
      <c r="N6" s="45" t="s">
        <v>11</v>
      </c>
      <c r="O6" s="45" t="s">
        <v>209</v>
      </c>
      <c r="P6" s="45" t="s">
        <v>215</v>
      </c>
      <c r="Q6" s="45" t="s">
        <v>12</v>
      </c>
      <c r="R6" s="45" t="s">
        <v>210</v>
      </c>
      <c r="S6" s="45" t="s">
        <v>216</v>
      </c>
      <c r="T6" s="45" t="s">
        <v>144</v>
      </c>
      <c r="U6" s="45" t="s">
        <v>211</v>
      </c>
      <c r="V6" s="45" t="s">
        <v>217</v>
      </c>
    </row>
    <row r="7" spans="1:23" s="46" customFormat="1" x14ac:dyDescent="0.25">
      <c r="A7" s="42"/>
      <c r="B7" s="47" t="s">
        <v>13</v>
      </c>
      <c r="C7" s="48">
        <f>C8+C40+C70+C104</f>
        <v>6000000.2459016386</v>
      </c>
      <c r="D7" s="48">
        <f>D8+D40+D70+D104</f>
        <v>1999999.6940983606</v>
      </c>
      <c r="E7" s="48">
        <f>E8+E40+E70+E104</f>
        <v>7999999.9399999995</v>
      </c>
      <c r="F7" s="49"/>
      <c r="G7" s="49"/>
      <c r="H7" s="48">
        <f>H8+H40+H70+H104</f>
        <v>1078427.5147540984</v>
      </c>
      <c r="I7" s="48">
        <f>I8+I40+I70+I104</f>
        <v>406175.44324590167</v>
      </c>
      <c r="J7" s="48">
        <f>H7+I7</f>
        <v>1484602.9580000001</v>
      </c>
      <c r="K7" s="48">
        <f>K8+K40+K70+K104</f>
        <v>1488795.1379781421</v>
      </c>
      <c r="L7" s="48">
        <f>L8+L40+L70+L104</f>
        <v>504766.54035519122</v>
      </c>
      <c r="M7" s="48">
        <f>K7+L7</f>
        <v>1993561.6783333332</v>
      </c>
      <c r="N7" s="48">
        <f>N8+N40+N70+N104</f>
        <v>1375781.7199453553</v>
      </c>
      <c r="O7" s="48">
        <f>O8+O40+O70+O104</f>
        <v>412832.76838797814</v>
      </c>
      <c r="P7" s="48">
        <f>N7+O7</f>
        <v>1788614.4883333335</v>
      </c>
      <c r="Q7" s="48">
        <f>Q8+Q40+Q70+Q104</f>
        <v>1155116.5109289617</v>
      </c>
      <c r="R7" s="48">
        <f>R8+R40+R70+R104</f>
        <v>283739.42240437155</v>
      </c>
      <c r="S7" s="48">
        <f>Q7+R7</f>
        <v>1438855.9333333331</v>
      </c>
      <c r="T7" s="48">
        <f>T8+T40+T70+T104</f>
        <v>1025636.2803278689</v>
      </c>
      <c r="U7" s="48">
        <f>U8+U40+U70+U104</f>
        <v>268728.95167213114</v>
      </c>
      <c r="V7" s="48">
        <f>T7+U7</f>
        <v>1294365.2320000001</v>
      </c>
      <c r="W7" s="28"/>
    </row>
    <row r="8" spans="1:23" ht="24" x14ac:dyDescent="0.25">
      <c r="A8" s="11">
        <v>1</v>
      </c>
      <c r="B8" s="12" t="s">
        <v>14</v>
      </c>
      <c r="C8" s="13">
        <f>C9+C16+C27</f>
        <v>1491802.819672131</v>
      </c>
      <c r="D8" s="13">
        <f>D9+D16+D27</f>
        <v>730929.62032786885</v>
      </c>
      <c r="E8" s="13">
        <f>E9+E16+E27</f>
        <v>2222732.44</v>
      </c>
      <c r="F8" s="13"/>
      <c r="G8" s="13"/>
      <c r="H8" s="13">
        <f>H9+H16+H27</f>
        <v>421584.65737704921</v>
      </c>
      <c r="I8" s="13">
        <f>I9+I16+I27</f>
        <v>253841.62462295083</v>
      </c>
      <c r="J8" s="13">
        <f t="shared" ref="J8:J71" si="0">H8+I8</f>
        <v>675426.28200000001</v>
      </c>
      <c r="K8" s="13">
        <f>K9+K16+K27</f>
        <v>473633.66311475413</v>
      </c>
      <c r="L8" s="13">
        <f>L9+L16+L27</f>
        <v>265292.40588524588</v>
      </c>
      <c r="M8" s="13">
        <f t="shared" ref="M8:M71" si="1">K8+L8</f>
        <v>738926.06900000002</v>
      </c>
      <c r="N8" s="13">
        <f>N9+N16+N27</f>
        <v>268715.24508196721</v>
      </c>
      <c r="O8" s="13">
        <f>O9+O16+O27</f>
        <v>139664.35391803278</v>
      </c>
      <c r="P8" s="13">
        <f t="shared" ref="P8:P71" si="2">N8+O8</f>
        <v>408379.59899999999</v>
      </c>
      <c r="Q8" s="13">
        <f>Q9+Q16+Q27</f>
        <v>128688.03606557376</v>
      </c>
      <c r="R8" s="13">
        <f>R9+R16+R27</f>
        <v>28311.367934426227</v>
      </c>
      <c r="S8" s="13">
        <f t="shared" ref="S8:S71" si="3">Q8+R8</f>
        <v>156999.40399999998</v>
      </c>
      <c r="T8" s="13">
        <f>T9+T16+T27</f>
        <v>199181.21803278688</v>
      </c>
      <c r="U8" s="13">
        <f>U9+U16+U27</f>
        <v>43819.867967213104</v>
      </c>
      <c r="V8" s="13">
        <f t="shared" ref="V8:V71" si="4">T8+U8</f>
        <v>243001.08599999998</v>
      </c>
      <c r="W8" s="28"/>
    </row>
    <row r="9" spans="1:23" s="17" customFormat="1" x14ac:dyDescent="0.25">
      <c r="A9" s="14">
        <v>1.1000000000000001</v>
      </c>
      <c r="B9" s="15" t="s">
        <v>15</v>
      </c>
      <c r="C9" s="16">
        <f>C10+C13</f>
        <v>163934.37704918033</v>
      </c>
      <c r="D9" s="16">
        <f>D10+D13</f>
        <v>36065.562950819673</v>
      </c>
      <c r="E9" s="16">
        <f>E10+E13</f>
        <v>199999.94</v>
      </c>
      <c r="F9" s="16"/>
      <c r="G9" s="16"/>
      <c r="H9" s="16">
        <f>H10+H13</f>
        <v>69672.024590163928</v>
      </c>
      <c r="I9" s="16">
        <f>I10+I13</f>
        <v>15327.845409836067</v>
      </c>
      <c r="J9" s="16">
        <f t="shared" si="0"/>
        <v>84999.87</v>
      </c>
      <c r="K9" s="16">
        <f>K10+K13</f>
        <v>22541.012295081968</v>
      </c>
      <c r="L9" s="16">
        <f>L10+L13</f>
        <v>4959.022704918033</v>
      </c>
      <c r="M9" s="16">
        <f t="shared" si="1"/>
        <v>27500.035</v>
      </c>
      <c r="N9" s="16">
        <f>N10+N13</f>
        <v>47131.176229508201</v>
      </c>
      <c r="O9" s="16">
        <f>O10+O13</f>
        <v>10368.858770491803</v>
      </c>
      <c r="P9" s="16">
        <f t="shared" si="2"/>
        <v>57500.035000000003</v>
      </c>
      <c r="Q9" s="16">
        <f>Q10+Q13</f>
        <v>0</v>
      </c>
      <c r="R9" s="16">
        <f>R10+R13</f>
        <v>0</v>
      </c>
      <c r="S9" s="16">
        <f t="shared" si="3"/>
        <v>0</v>
      </c>
      <c r="T9" s="16">
        <f>T10+T13</f>
        <v>24590.163934426229</v>
      </c>
      <c r="U9" s="16">
        <f>U10+U13</f>
        <v>5409.8360655737706</v>
      </c>
      <c r="V9" s="16">
        <f t="shared" si="4"/>
        <v>30000</v>
      </c>
      <c r="W9" s="28"/>
    </row>
    <row r="10" spans="1:23" s="17" customFormat="1" x14ac:dyDescent="0.25">
      <c r="A10" s="18" t="s">
        <v>16</v>
      </c>
      <c r="B10" s="19" t="s">
        <v>170</v>
      </c>
      <c r="C10" s="20">
        <f>SUM(C11:C12)</f>
        <v>73770.327868852459</v>
      </c>
      <c r="D10" s="20">
        <f t="shared" ref="D10:E10" si="5">SUM(D11:D12)</f>
        <v>16229.47213114754</v>
      </c>
      <c r="E10" s="20">
        <f t="shared" si="5"/>
        <v>89999.8</v>
      </c>
      <c r="F10" s="20"/>
      <c r="G10" s="20"/>
      <c r="H10" s="20">
        <f t="shared" ref="H10:U10" si="6">SUM(H11:H12)</f>
        <v>24590</v>
      </c>
      <c r="I10" s="20">
        <f t="shared" si="6"/>
        <v>5409.8</v>
      </c>
      <c r="J10" s="20">
        <f t="shared" si="0"/>
        <v>29999.8</v>
      </c>
      <c r="K10" s="20">
        <f t="shared" ref="K10" si="7">SUM(K11:K12)</f>
        <v>0</v>
      </c>
      <c r="L10" s="20">
        <f t="shared" si="6"/>
        <v>0</v>
      </c>
      <c r="M10" s="20">
        <f t="shared" si="1"/>
        <v>0</v>
      </c>
      <c r="N10" s="20">
        <f t="shared" ref="N10" si="8">SUM(N11:N12)</f>
        <v>24590.163934426229</v>
      </c>
      <c r="O10" s="20">
        <f t="shared" si="6"/>
        <v>5409.8360655737706</v>
      </c>
      <c r="P10" s="20">
        <f t="shared" si="2"/>
        <v>30000</v>
      </c>
      <c r="Q10" s="20">
        <f t="shared" ref="Q10" si="9">SUM(Q11:Q12)</f>
        <v>0</v>
      </c>
      <c r="R10" s="20">
        <f t="shared" si="6"/>
        <v>0</v>
      </c>
      <c r="S10" s="20">
        <f t="shared" si="3"/>
        <v>0</v>
      </c>
      <c r="T10" s="20">
        <f t="shared" ref="T10" si="10">SUM(T11:T12)</f>
        <v>24590.163934426229</v>
      </c>
      <c r="U10" s="20">
        <f t="shared" si="6"/>
        <v>5409.8360655737706</v>
      </c>
      <c r="V10" s="20">
        <f t="shared" si="4"/>
        <v>30000</v>
      </c>
      <c r="W10" s="28"/>
    </row>
    <row r="11" spans="1:23" s="17" customFormat="1" x14ac:dyDescent="0.25">
      <c r="A11" s="21" t="s">
        <v>17</v>
      </c>
      <c r="B11" s="4" t="s">
        <v>168</v>
      </c>
      <c r="C11" s="6">
        <v>24590</v>
      </c>
      <c r="D11" s="1">
        <f t="shared" ref="D11:D12" si="11">C11*0.22</f>
        <v>5409.8</v>
      </c>
      <c r="E11" s="6">
        <f>C11+D11</f>
        <v>29999.8</v>
      </c>
      <c r="F11" s="22">
        <v>0.82</v>
      </c>
      <c r="G11" s="22">
        <v>0.18</v>
      </c>
      <c r="H11" s="6">
        <f>C11</f>
        <v>24590</v>
      </c>
      <c r="I11" s="6">
        <f>H11*0.22</f>
        <v>5409.8</v>
      </c>
      <c r="J11" s="6">
        <f t="shared" si="0"/>
        <v>29999.8</v>
      </c>
      <c r="K11" s="6">
        <v>0</v>
      </c>
      <c r="L11" s="6">
        <v>0</v>
      </c>
      <c r="M11" s="6">
        <f t="shared" si="1"/>
        <v>0</v>
      </c>
      <c r="N11" s="6">
        <v>0</v>
      </c>
      <c r="O11" s="6">
        <v>0</v>
      </c>
      <c r="P11" s="6">
        <f t="shared" si="2"/>
        <v>0</v>
      </c>
      <c r="Q11" s="6">
        <v>0</v>
      </c>
      <c r="R11" s="6">
        <v>0</v>
      </c>
      <c r="S11" s="6">
        <f t="shared" si="3"/>
        <v>0</v>
      </c>
      <c r="T11" s="6">
        <v>0</v>
      </c>
      <c r="U11" s="6">
        <v>0</v>
      </c>
      <c r="V11" s="6">
        <f t="shared" si="4"/>
        <v>0</v>
      </c>
      <c r="W11" s="28"/>
    </row>
    <row r="12" spans="1:23" s="17" customFormat="1" x14ac:dyDescent="0.25">
      <c r="A12" s="21" t="s">
        <v>167</v>
      </c>
      <c r="B12" s="4" t="s">
        <v>169</v>
      </c>
      <c r="C12" s="6">
        <f>60000/1.22</f>
        <v>49180.327868852459</v>
      </c>
      <c r="D12" s="1">
        <f t="shared" si="11"/>
        <v>10819.672131147541</v>
      </c>
      <c r="E12" s="6">
        <f>C12+D12</f>
        <v>60000</v>
      </c>
      <c r="F12" s="22">
        <v>0.82</v>
      </c>
      <c r="G12" s="22">
        <v>0.18</v>
      </c>
      <c r="H12" s="6">
        <v>0</v>
      </c>
      <c r="I12" s="6">
        <v>0</v>
      </c>
      <c r="J12" s="6">
        <f t="shared" si="0"/>
        <v>0</v>
      </c>
      <c r="K12" s="6">
        <v>0</v>
      </c>
      <c r="L12" s="6">
        <v>0</v>
      </c>
      <c r="M12" s="6">
        <f t="shared" si="1"/>
        <v>0</v>
      </c>
      <c r="N12" s="6">
        <f>$C$12/2</f>
        <v>24590.163934426229</v>
      </c>
      <c r="O12" s="6">
        <f>N12*0.22</f>
        <v>5409.8360655737706</v>
      </c>
      <c r="P12" s="6">
        <f t="shared" si="2"/>
        <v>30000</v>
      </c>
      <c r="Q12" s="6">
        <v>0</v>
      </c>
      <c r="R12" s="6">
        <v>0</v>
      </c>
      <c r="S12" s="6">
        <f t="shared" si="3"/>
        <v>0</v>
      </c>
      <c r="T12" s="6">
        <f>$C$12/2</f>
        <v>24590.163934426229</v>
      </c>
      <c r="U12" s="6">
        <f>T12*0.22</f>
        <v>5409.8360655737706</v>
      </c>
      <c r="V12" s="6">
        <f t="shared" si="4"/>
        <v>30000</v>
      </c>
      <c r="W12" s="28"/>
    </row>
    <row r="13" spans="1:23" s="17" customFormat="1" ht="24" x14ac:dyDescent="0.25">
      <c r="A13" s="18" t="s">
        <v>18</v>
      </c>
      <c r="B13" s="19" t="s">
        <v>171</v>
      </c>
      <c r="C13" s="20">
        <f>SUM(C14:C15)</f>
        <v>90164.049180327871</v>
      </c>
      <c r="D13" s="20">
        <f>SUM(D14:D15)</f>
        <v>19836.090819672132</v>
      </c>
      <c r="E13" s="20">
        <f>SUM(E14:E15)</f>
        <v>110000.14</v>
      </c>
      <c r="F13" s="20"/>
      <c r="G13" s="20"/>
      <c r="H13" s="20">
        <f>SUM(H14:H15)</f>
        <v>45082.024590163935</v>
      </c>
      <c r="I13" s="20">
        <f>SUM(I14:I15)</f>
        <v>9918.045409836066</v>
      </c>
      <c r="J13" s="20">
        <f t="shared" si="0"/>
        <v>55000.07</v>
      </c>
      <c r="K13" s="20">
        <f>SUM(K14:K15)</f>
        <v>22541.012295081968</v>
      </c>
      <c r="L13" s="20">
        <f>SUM(L14:L15)</f>
        <v>4959.022704918033</v>
      </c>
      <c r="M13" s="20">
        <f t="shared" si="1"/>
        <v>27500.035</v>
      </c>
      <c r="N13" s="20">
        <f>SUM(N14:N15)</f>
        <v>22541.012295081968</v>
      </c>
      <c r="O13" s="20">
        <f>SUM(O14:O15)</f>
        <v>4959.022704918033</v>
      </c>
      <c r="P13" s="20">
        <f t="shared" si="2"/>
        <v>27500.035</v>
      </c>
      <c r="Q13" s="20">
        <f>SUM(Q14:Q15)</f>
        <v>0</v>
      </c>
      <c r="R13" s="20">
        <f>SUM(R14:R15)</f>
        <v>0</v>
      </c>
      <c r="S13" s="20">
        <f t="shared" si="3"/>
        <v>0</v>
      </c>
      <c r="T13" s="20">
        <f>SUM(T14:T15)</f>
        <v>0</v>
      </c>
      <c r="U13" s="20">
        <f>SUM(U14:U15)</f>
        <v>0</v>
      </c>
      <c r="V13" s="20">
        <f t="shared" si="4"/>
        <v>0</v>
      </c>
      <c r="W13" s="28"/>
    </row>
    <row r="14" spans="1:23" s="17" customFormat="1" ht="24" x14ac:dyDescent="0.25">
      <c r="A14" s="21" t="s">
        <v>19</v>
      </c>
      <c r="B14" s="4" t="s">
        <v>147</v>
      </c>
      <c r="C14" s="6">
        <f>70000/1.22</f>
        <v>57377.049180327871</v>
      </c>
      <c r="D14" s="1">
        <f>C14*0.22</f>
        <v>12622.950819672131</v>
      </c>
      <c r="E14" s="6">
        <f>C14+D14</f>
        <v>70000</v>
      </c>
      <c r="F14" s="22">
        <v>0.82</v>
      </c>
      <c r="G14" s="22">
        <v>0.18</v>
      </c>
      <c r="H14" s="6">
        <f>$C$14/2</f>
        <v>28688.524590163935</v>
      </c>
      <c r="I14" s="6">
        <f>H14*0.22</f>
        <v>6311.4754098360654</v>
      </c>
      <c r="J14" s="6">
        <f t="shared" si="0"/>
        <v>35000</v>
      </c>
      <c r="K14" s="6">
        <f>$C$14/2/2</f>
        <v>14344.262295081968</v>
      </c>
      <c r="L14" s="6">
        <f t="shared" ref="L14:L15" si="12">K14*0.22</f>
        <v>3155.7377049180327</v>
      </c>
      <c r="M14" s="6">
        <f t="shared" si="1"/>
        <v>17500</v>
      </c>
      <c r="N14" s="6">
        <f>$C$14/2/2</f>
        <v>14344.262295081968</v>
      </c>
      <c r="O14" s="6">
        <f t="shared" ref="O14:O15" si="13">N14*0.22</f>
        <v>3155.7377049180327</v>
      </c>
      <c r="P14" s="6">
        <f t="shared" si="2"/>
        <v>17500</v>
      </c>
      <c r="Q14" s="6">
        <v>0</v>
      </c>
      <c r="R14" s="6">
        <v>0</v>
      </c>
      <c r="S14" s="6">
        <f t="shared" si="3"/>
        <v>0</v>
      </c>
      <c r="T14" s="6">
        <v>0</v>
      </c>
      <c r="U14" s="6">
        <v>0</v>
      </c>
      <c r="V14" s="6">
        <f t="shared" si="4"/>
        <v>0</v>
      </c>
      <c r="W14" s="28"/>
    </row>
    <row r="15" spans="1:23" s="17" customFormat="1" x14ac:dyDescent="0.25">
      <c r="A15" s="21" t="s">
        <v>20</v>
      </c>
      <c r="B15" s="4" t="s">
        <v>21</v>
      </c>
      <c r="C15" s="6">
        <v>32787</v>
      </c>
      <c r="D15" s="1">
        <f>C15*0.22</f>
        <v>7213.14</v>
      </c>
      <c r="E15" s="6">
        <f>C15+D15</f>
        <v>40000.14</v>
      </c>
      <c r="F15" s="22">
        <v>0.82</v>
      </c>
      <c r="G15" s="22">
        <v>0.18</v>
      </c>
      <c r="H15" s="6">
        <f>$C$15/2</f>
        <v>16393.5</v>
      </c>
      <c r="I15" s="6">
        <f>H15*0.22</f>
        <v>3606.57</v>
      </c>
      <c r="J15" s="6">
        <f t="shared" si="0"/>
        <v>20000.07</v>
      </c>
      <c r="K15" s="6">
        <f>$C$15/4</f>
        <v>8196.75</v>
      </c>
      <c r="L15" s="6">
        <f t="shared" si="12"/>
        <v>1803.2850000000001</v>
      </c>
      <c r="M15" s="6">
        <f t="shared" si="1"/>
        <v>10000.035</v>
      </c>
      <c r="N15" s="6">
        <f t="shared" ref="N15" si="14">$C$15/4</f>
        <v>8196.75</v>
      </c>
      <c r="O15" s="6">
        <f t="shared" si="13"/>
        <v>1803.2850000000001</v>
      </c>
      <c r="P15" s="6">
        <f t="shared" si="2"/>
        <v>10000.035</v>
      </c>
      <c r="Q15" s="6">
        <v>0</v>
      </c>
      <c r="R15" s="6">
        <v>0</v>
      </c>
      <c r="S15" s="6">
        <f t="shared" si="3"/>
        <v>0</v>
      </c>
      <c r="T15" s="6">
        <v>0</v>
      </c>
      <c r="U15" s="6">
        <v>0</v>
      </c>
      <c r="V15" s="6">
        <f t="shared" si="4"/>
        <v>0</v>
      </c>
      <c r="W15" s="28"/>
    </row>
    <row r="16" spans="1:23" s="17" customFormat="1" x14ac:dyDescent="0.25">
      <c r="A16" s="14">
        <v>1.2</v>
      </c>
      <c r="B16" s="15" t="s">
        <v>22</v>
      </c>
      <c r="C16" s="16">
        <f>C17+C20+C23</f>
        <v>860655.2786885245</v>
      </c>
      <c r="D16" s="16">
        <f>D17+D20+D23+1</f>
        <v>592077.16131147544</v>
      </c>
      <c r="E16" s="16">
        <f>E17+E20+E23+1</f>
        <v>1452732.44</v>
      </c>
      <c r="F16" s="16"/>
      <c r="G16" s="16"/>
      <c r="H16" s="16">
        <f>H17+H20+H23</f>
        <v>151093.05081967212</v>
      </c>
      <c r="I16" s="16">
        <f>I17+I20+I23</f>
        <v>194333.47118032788</v>
      </c>
      <c r="J16" s="16">
        <f t="shared" si="0"/>
        <v>345426.522</v>
      </c>
      <c r="K16" s="16">
        <f>K17+K20+K23</f>
        <v>209289.06885245902</v>
      </c>
      <c r="L16" s="16">
        <f>L17+L20+L23</f>
        <v>207136.59514754097</v>
      </c>
      <c r="M16" s="16">
        <f t="shared" si="1"/>
        <v>416425.66399999999</v>
      </c>
      <c r="N16" s="16">
        <f>N17+N20+N23</f>
        <v>209289.06885245902</v>
      </c>
      <c r="O16" s="16">
        <f>O17+O20+O23</f>
        <v>126590.59514754098</v>
      </c>
      <c r="P16" s="16">
        <f t="shared" si="2"/>
        <v>335879.66399999999</v>
      </c>
      <c r="Q16" s="16">
        <f>Q17+Q20+Q23</f>
        <v>116393.03606557376</v>
      </c>
      <c r="R16" s="16">
        <f>R17+R20+R23</f>
        <v>25606.467934426226</v>
      </c>
      <c r="S16" s="16">
        <f t="shared" si="3"/>
        <v>141999.50399999999</v>
      </c>
      <c r="T16" s="16">
        <f>T17+T20+T23</f>
        <v>174591.05409836065</v>
      </c>
      <c r="U16" s="16">
        <f>U17+U20+U23</f>
        <v>38410.031901639333</v>
      </c>
      <c r="V16" s="16">
        <f t="shared" si="4"/>
        <v>213001.08599999998</v>
      </c>
      <c r="W16" s="28"/>
    </row>
    <row r="17" spans="1:136" s="17" customFormat="1" x14ac:dyDescent="0.25">
      <c r="A17" s="18" t="s">
        <v>23</v>
      </c>
      <c r="B17" s="19" t="s">
        <v>172</v>
      </c>
      <c r="C17" s="20">
        <f>SUM(C18:C19)</f>
        <v>196721.09836065574</v>
      </c>
      <c r="D17" s="20">
        <f>SUM(D18:D19)</f>
        <v>43278.641639344263</v>
      </c>
      <c r="E17" s="20">
        <f>SUM(E18:E19)</f>
        <v>239999.74</v>
      </c>
      <c r="F17" s="20"/>
      <c r="G17" s="20"/>
      <c r="H17" s="20">
        <f>SUM(H18:H19)</f>
        <v>65573.699453551919</v>
      </c>
      <c r="I17" s="20">
        <f>SUM(I18:I19)</f>
        <v>14426.213879781422</v>
      </c>
      <c r="J17" s="20">
        <f t="shared" si="0"/>
        <v>79999.913333333345</v>
      </c>
      <c r="K17" s="20">
        <f>SUM(K18:K19)</f>
        <v>65573.699453551919</v>
      </c>
      <c r="L17" s="20">
        <f>SUM(L18:L19)</f>
        <v>14426.213879781422</v>
      </c>
      <c r="M17" s="20">
        <f t="shared" si="1"/>
        <v>79999.913333333345</v>
      </c>
      <c r="N17" s="20">
        <f>SUM(N18:N19)</f>
        <v>65573.699453551919</v>
      </c>
      <c r="O17" s="20">
        <f>SUM(O18:O19)</f>
        <v>14426.213879781422</v>
      </c>
      <c r="P17" s="20">
        <f t="shared" si="2"/>
        <v>79999.913333333345</v>
      </c>
      <c r="Q17" s="20">
        <f>SUM(Q18:Q19)</f>
        <v>0</v>
      </c>
      <c r="R17" s="20">
        <f>SUM(R18:R19)</f>
        <v>0</v>
      </c>
      <c r="S17" s="20">
        <f t="shared" si="3"/>
        <v>0</v>
      </c>
      <c r="T17" s="20">
        <f>SUM(T18:T19)</f>
        <v>0</v>
      </c>
      <c r="U17" s="20">
        <f>SUM(U18:U19)</f>
        <v>0</v>
      </c>
      <c r="V17" s="20">
        <f t="shared" si="4"/>
        <v>0</v>
      </c>
      <c r="W17" s="28"/>
    </row>
    <row r="18" spans="1:136" s="17" customFormat="1" x14ac:dyDescent="0.25">
      <c r="A18" s="21" t="s">
        <v>24</v>
      </c>
      <c r="B18" s="4" t="s">
        <v>173</v>
      </c>
      <c r="C18" s="6">
        <f>140000/1.22</f>
        <v>114754.09836065574</v>
      </c>
      <c r="D18" s="1">
        <f>C18*0.22</f>
        <v>25245.901639344262</v>
      </c>
      <c r="E18" s="6">
        <f>C18+D18</f>
        <v>140000</v>
      </c>
      <c r="F18" s="22">
        <v>0.82</v>
      </c>
      <c r="G18" s="22">
        <v>0.18</v>
      </c>
      <c r="H18" s="1">
        <f>$C$18/3</f>
        <v>38251.366120218583</v>
      </c>
      <c r="I18" s="6">
        <f t="shared" ref="I18:O21" si="15">H18*0.22</f>
        <v>8415.3005464480884</v>
      </c>
      <c r="J18" s="6">
        <f t="shared" si="0"/>
        <v>46666.666666666672</v>
      </c>
      <c r="K18" s="1">
        <f>$C$18/3</f>
        <v>38251.366120218583</v>
      </c>
      <c r="L18" s="6">
        <f t="shared" ref="L18:L19" si="16">K18*0.22</f>
        <v>8415.3005464480884</v>
      </c>
      <c r="M18" s="6">
        <f t="shared" si="1"/>
        <v>46666.666666666672</v>
      </c>
      <c r="N18" s="1">
        <f>$C$18/3</f>
        <v>38251.366120218583</v>
      </c>
      <c r="O18" s="6">
        <f t="shared" ref="O18:O19" si="17">N18*0.22</f>
        <v>8415.3005464480884</v>
      </c>
      <c r="P18" s="6">
        <f t="shared" si="2"/>
        <v>46666.666666666672</v>
      </c>
      <c r="Q18" s="1">
        <v>0</v>
      </c>
      <c r="R18" s="6">
        <f t="shared" ref="R18" si="18">Q18*0.22</f>
        <v>0</v>
      </c>
      <c r="S18" s="6">
        <f t="shared" si="3"/>
        <v>0</v>
      </c>
      <c r="T18" s="1">
        <v>0</v>
      </c>
      <c r="U18" s="6">
        <f t="shared" ref="U18:U19" si="19">T18*0.22</f>
        <v>0</v>
      </c>
      <c r="V18" s="6">
        <f t="shared" si="4"/>
        <v>0</v>
      </c>
      <c r="W18" s="28"/>
    </row>
    <row r="19" spans="1:136" s="17" customFormat="1" x14ac:dyDescent="0.25">
      <c r="A19" s="21" t="s">
        <v>25</v>
      </c>
      <c r="B19" s="4" t="s">
        <v>174</v>
      </c>
      <c r="C19" s="6">
        <v>81967</v>
      </c>
      <c r="D19" s="1">
        <f>C19*0.22</f>
        <v>18032.740000000002</v>
      </c>
      <c r="E19" s="6">
        <f>C19+D19</f>
        <v>99999.74</v>
      </c>
      <c r="F19" s="22">
        <v>0.82</v>
      </c>
      <c r="G19" s="22">
        <v>0.18</v>
      </c>
      <c r="H19" s="1">
        <f>$C$19/3</f>
        <v>27322.333333333332</v>
      </c>
      <c r="I19" s="6">
        <f t="shared" si="15"/>
        <v>6010.913333333333</v>
      </c>
      <c r="J19" s="6">
        <f t="shared" si="0"/>
        <v>33333.246666666666</v>
      </c>
      <c r="K19" s="1">
        <f>$C$19/3</f>
        <v>27322.333333333332</v>
      </c>
      <c r="L19" s="6">
        <f t="shared" si="16"/>
        <v>6010.913333333333</v>
      </c>
      <c r="M19" s="6">
        <f t="shared" si="1"/>
        <v>33333.246666666666</v>
      </c>
      <c r="N19" s="1">
        <f>$C$19/3</f>
        <v>27322.333333333332</v>
      </c>
      <c r="O19" s="6">
        <f t="shared" si="17"/>
        <v>6010.913333333333</v>
      </c>
      <c r="P19" s="6">
        <f t="shared" si="2"/>
        <v>33333.246666666666</v>
      </c>
      <c r="Q19" s="1">
        <v>0</v>
      </c>
      <c r="R19" s="6">
        <v>0</v>
      </c>
      <c r="S19" s="6">
        <f t="shared" si="3"/>
        <v>0</v>
      </c>
      <c r="T19" s="1">
        <v>0</v>
      </c>
      <c r="U19" s="6">
        <f t="shared" si="19"/>
        <v>0</v>
      </c>
      <c r="V19" s="6">
        <f t="shared" si="4"/>
        <v>0</v>
      </c>
      <c r="W19" s="28"/>
    </row>
    <row r="20" spans="1:136" s="17" customFormat="1" x14ac:dyDescent="0.25">
      <c r="A20" s="18" t="s">
        <v>28</v>
      </c>
      <c r="B20" s="23" t="s">
        <v>175</v>
      </c>
      <c r="C20" s="20">
        <f>SUM(C21:C22)</f>
        <v>81967</v>
      </c>
      <c r="D20" s="20">
        <f>SUM(D21:D22)</f>
        <v>420764.74</v>
      </c>
      <c r="E20" s="20">
        <f>SUM(E21:E22)</f>
        <v>502731.74</v>
      </c>
      <c r="F20" s="20"/>
      <c r="G20" s="20"/>
      <c r="H20" s="20">
        <f>SUM(H21:H22)</f>
        <v>27322.333333333332</v>
      </c>
      <c r="I20" s="20">
        <f>SUM(I21:I22)</f>
        <v>167103.91333333333</v>
      </c>
      <c r="J20" s="20">
        <f t="shared" si="0"/>
        <v>194426.24666666667</v>
      </c>
      <c r="K20" s="20">
        <f>SUM(K21:K22)</f>
        <v>27322.333333333332</v>
      </c>
      <c r="L20" s="20">
        <f>SUM(L21:L22)</f>
        <v>167103.91333333333</v>
      </c>
      <c r="M20" s="20">
        <f t="shared" si="1"/>
        <v>194426.24666666667</v>
      </c>
      <c r="N20" s="20">
        <f>SUM(N21:N22)</f>
        <v>27322.333333333332</v>
      </c>
      <c r="O20" s="20">
        <f>SUM(O21:O22)</f>
        <v>86557.91333333333</v>
      </c>
      <c r="P20" s="20">
        <f t="shared" si="2"/>
        <v>113880.24666666666</v>
      </c>
      <c r="Q20" s="20">
        <f>SUM(Q21:Q22)</f>
        <v>0</v>
      </c>
      <c r="R20" s="20">
        <f>SUM(R21:R22)</f>
        <v>0</v>
      </c>
      <c r="S20" s="20">
        <f t="shared" si="3"/>
        <v>0</v>
      </c>
      <c r="T20" s="20">
        <f>SUM(T21:T22)</f>
        <v>0</v>
      </c>
      <c r="U20" s="20">
        <f>SUM(U21:U22)</f>
        <v>0</v>
      </c>
      <c r="V20" s="20">
        <f t="shared" si="4"/>
        <v>0</v>
      </c>
      <c r="W20" s="28"/>
    </row>
    <row r="21" spans="1:136" s="17" customFormat="1" x14ac:dyDescent="0.25">
      <c r="A21" s="21" t="s">
        <v>29</v>
      </c>
      <c r="B21" s="4" t="s">
        <v>27</v>
      </c>
      <c r="C21" s="6">
        <v>81967</v>
      </c>
      <c r="D21" s="1">
        <f>C21*0.22</f>
        <v>18032.740000000002</v>
      </c>
      <c r="E21" s="6">
        <f>C21+D21</f>
        <v>99999.74</v>
      </c>
      <c r="F21" s="22">
        <v>0.82</v>
      </c>
      <c r="G21" s="22">
        <v>0.18</v>
      </c>
      <c r="H21" s="6">
        <f>$C$21/3</f>
        <v>27322.333333333332</v>
      </c>
      <c r="I21" s="6">
        <f t="shared" si="15"/>
        <v>6010.913333333333</v>
      </c>
      <c r="J21" s="6">
        <f t="shared" si="0"/>
        <v>33333.246666666666</v>
      </c>
      <c r="K21" s="6">
        <f t="shared" ref="K21:N21" si="20">$C$21/3</f>
        <v>27322.333333333332</v>
      </c>
      <c r="L21" s="6">
        <f t="shared" si="15"/>
        <v>6010.913333333333</v>
      </c>
      <c r="M21" s="6">
        <f t="shared" si="1"/>
        <v>33333.246666666666</v>
      </c>
      <c r="N21" s="6">
        <f t="shared" si="20"/>
        <v>27322.333333333332</v>
      </c>
      <c r="O21" s="6">
        <f t="shared" si="15"/>
        <v>6010.913333333333</v>
      </c>
      <c r="P21" s="6">
        <f t="shared" si="2"/>
        <v>33333.246666666666</v>
      </c>
      <c r="Q21" s="6">
        <v>0</v>
      </c>
      <c r="R21" s="6"/>
      <c r="S21" s="6">
        <f t="shared" si="3"/>
        <v>0</v>
      </c>
      <c r="T21" s="6">
        <v>0</v>
      </c>
      <c r="U21" s="6"/>
      <c r="V21" s="6">
        <f t="shared" si="4"/>
        <v>0</v>
      </c>
      <c r="W21" s="28"/>
    </row>
    <row r="22" spans="1:136" s="17" customFormat="1" x14ac:dyDescent="0.25">
      <c r="A22" s="21" t="s">
        <v>31</v>
      </c>
      <c r="B22" s="4" t="s">
        <v>145</v>
      </c>
      <c r="C22" s="6">
        <v>0</v>
      </c>
      <c r="D22" s="1">
        <f>373600+28521+611</f>
        <v>402732</v>
      </c>
      <c r="E22" s="1">
        <f>373600+28521+611</f>
        <v>402732</v>
      </c>
      <c r="F22" s="22">
        <v>0</v>
      </c>
      <c r="G22" s="22">
        <v>1</v>
      </c>
      <c r="H22" s="6">
        <v>0</v>
      </c>
      <c r="I22" s="6">
        <v>161093</v>
      </c>
      <c r="J22" s="6">
        <f t="shared" si="0"/>
        <v>161093</v>
      </c>
      <c r="K22" s="6">
        <f>$C$22/4</f>
        <v>0</v>
      </c>
      <c r="L22" s="6">
        <v>161093</v>
      </c>
      <c r="M22" s="6">
        <f t="shared" si="1"/>
        <v>161093</v>
      </c>
      <c r="N22" s="6">
        <f>$C$22/4</f>
        <v>0</v>
      </c>
      <c r="O22" s="6">
        <v>80547</v>
      </c>
      <c r="P22" s="6">
        <f t="shared" si="2"/>
        <v>80547</v>
      </c>
      <c r="Q22" s="6">
        <f>$C$22/4</f>
        <v>0</v>
      </c>
      <c r="R22" s="6"/>
      <c r="S22" s="6">
        <f t="shared" si="3"/>
        <v>0</v>
      </c>
      <c r="T22" s="6">
        <f>$C$22/4</f>
        <v>0</v>
      </c>
      <c r="U22" s="6"/>
      <c r="V22" s="6">
        <f t="shared" si="4"/>
        <v>0</v>
      </c>
      <c r="W22" s="28"/>
    </row>
    <row r="23" spans="1:136" s="17" customFormat="1" x14ac:dyDescent="0.25">
      <c r="A23" s="18" t="s">
        <v>33</v>
      </c>
      <c r="B23" s="19" t="s">
        <v>176</v>
      </c>
      <c r="C23" s="20">
        <f>SUM(C24:C26)</f>
        <v>581967.18032786879</v>
      </c>
      <c r="D23" s="20">
        <f t="shared" ref="D23:E23" si="21">SUM(D24:D26)</f>
        <v>128032.77967213115</v>
      </c>
      <c r="E23" s="20">
        <f t="shared" si="21"/>
        <v>709999.96</v>
      </c>
      <c r="F23" s="20"/>
      <c r="G23" s="20"/>
      <c r="H23" s="20">
        <f t="shared" ref="H23:U23" si="22">SUM(H24:H26)</f>
        <v>58197.01803278688</v>
      </c>
      <c r="I23" s="20">
        <f t="shared" si="22"/>
        <v>12803.343967213114</v>
      </c>
      <c r="J23" s="20">
        <f t="shared" si="0"/>
        <v>71000.361999999994</v>
      </c>
      <c r="K23" s="20">
        <f t="shared" ref="K23" si="23">SUM(K24:K26)</f>
        <v>116393.03606557376</v>
      </c>
      <c r="L23" s="20">
        <f t="shared" si="22"/>
        <v>25606.467934426226</v>
      </c>
      <c r="M23" s="20">
        <f t="shared" si="1"/>
        <v>141999.50399999999</v>
      </c>
      <c r="N23" s="20">
        <f t="shared" ref="N23" si="24">SUM(N24:N26)</f>
        <v>116393.03606557376</v>
      </c>
      <c r="O23" s="20">
        <f t="shared" si="22"/>
        <v>25606.467934426226</v>
      </c>
      <c r="P23" s="20">
        <f t="shared" si="2"/>
        <v>141999.50399999999</v>
      </c>
      <c r="Q23" s="20">
        <f t="shared" ref="Q23" si="25">SUM(Q24:Q26)</f>
        <v>116393.03606557376</v>
      </c>
      <c r="R23" s="20">
        <f t="shared" si="22"/>
        <v>25606.467934426226</v>
      </c>
      <c r="S23" s="20">
        <f t="shared" si="3"/>
        <v>141999.50399999999</v>
      </c>
      <c r="T23" s="20">
        <f t="shared" ref="T23" si="26">SUM(T24:T26)</f>
        <v>174591.05409836065</v>
      </c>
      <c r="U23" s="20">
        <f t="shared" si="22"/>
        <v>38410.031901639333</v>
      </c>
      <c r="V23" s="20">
        <f t="shared" si="4"/>
        <v>213001.08599999998</v>
      </c>
      <c r="W23" s="28"/>
    </row>
    <row r="24" spans="1:136" s="17" customFormat="1" ht="24" x14ac:dyDescent="0.25">
      <c r="A24" s="21" t="s">
        <v>34</v>
      </c>
      <c r="B24" s="4" t="s">
        <v>32</v>
      </c>
      <c r="C24" s="6">
        <f>460000/1.22</f>
        <v>377049.18032786885</v>
      </c>
      <c r="D24" s="1">
        <f>C24*0.22</f>
        <v>82950.81967213114</v>
      </c>
      <c r="E24" s="6">
        <f>C24+D24</f>
        <v>460000</v>
      </c>
      <c r="F24" s="22">
        <v>0.82</v>
      </c>
      <c r="G24" s="22">
        <v>0.18</v>
      </c>
      <c r="H24" s="1">
        <f>$C$24/250*25</f>
        <v>37704.918032786882</v>
      </c>
      <c r="I24" s="6">
        <f t="shared" ref="I24" si="27">H24*0.22</f>
        <v>8295.0819672131147</v>
      </c>
      <c r="J24" s="6">
        <f t="shared" si="0"/>
        <v>46000</v>
      </c>
      <c r="K24" s="1">
        <f>$C$24/250*50</f>
        <v>75409.836065573763</v>
      </c>
      <c r="L24" s="6">
        <f t="shared" ref="L24" si="28">K24*0.22</f>
        <v>16590.163934426229</v>
      </c>
      <c r="M24" s="6">
        <f t="shared" si="1"/>
        <v>92000</v>
      </c>
      <c r="N24" s="1">
        <f>$C$24/250*50</f>
        <v>75409.836065573763</v>
      </c>
      <c r="O24" s="6">
        <f t="shared" ref="O24" si="29">N24*0.22</f>
        <v>16590.163934426229</v>
      </c>
      <c r="P24" s="6">
        <f t="shared" si="2"/>
        <v>92000</v>
      </c>
      <c r="Q24" s="1">
        <f>$C$24/250*50</f>
        <v>75409.836065573763</v>
      </c>
      <c r="R24" s="6">
        <f t="shared" ref="R24" si="30">Q24*0.22</f>
        <v>16590.163934426229</v>
      </c>
      <c r="S24" s="6">
        <f t="shared" si="3"/>
        <v>92000</v>
      </c>
      <c r="T24" s="1">
        <f>$C$24/250*75</f>
        <v>113114.75409836065</v>
      </c>
      <c r="U24" s="6">
        <f t="shared" ref="U24" si="31">T24*0.22</f>
        <v>24885.24590163934</v>
      </c>
      <c r="V24" s="6">
        <f t="shared" si="4"/>
        <v>138000</v>
      </c>
      <c r="W24" s="28"/>
    </row>
    <row r="25" spans="1:136" s="17" customFormat="1" x14ac:dyDescent="0.25">
      <c r="A25" s="21" t="s">
        <v>177</v>
      </c>
      <c r="B25" s="4" t="s">
        <v>26</v>
      </c>
      <c r="C25" s="6">
        <v>122951</v>
      </c>
      <c r="D25" s="1">
        <f t="shared" ref="D25:D26" si="32">C25*0.22</f>
        <v>27049.22</v>
      </c>
      <c r="E25" s="6">
        <f t="shared" ref="E25:E26" si="33">C25+D25</f>
        <v>150000.22</v>
      </c>
      <c r="F25" s="22">
        <v>0.82</v>
      </c>
      <c r="G25" s="22">
        <v>0.18</v>
      </c>
      <c r="H25" s="1">
        <f>$C$25/250*25</f>
        <v>12295.099999999999</v>
      </c>
      <c r="I25" s="6">
        <f t="shared" ref="I25" si="34">H25*0.22</f>
        <v>2704.9219999999996</v>
      </c>
      <c r="J25" s="6">
        <f t="shared" si="0"/>
        <v>15000.021999999997</v>
      </c>
      <c r="K25" s="1">
        <f>$C$25/250*50</f>
        <v>24590.199999999997</v>
      </c>
      <c r="L25" s="6">
        <f t="shared" ref="L25:R26" si="35">K25*0.22</f>
        <v>5409.8439999999991</v>
      </c>
      <c r="M25" s="6">
        <f t="shared" si="1"/>
        <v>30000.043999999994</v>
      </c>
      <c r="N25" s="1">
        <f>$C$25/250*50</f>
        <v>24590.199999999997</v>
      </c>
      <c r="O25" s="6">
        <f t="shared" ref="O25" si="36">N25*0.22</f>
        <v>5409.8439999999991</v>
      </c>
      <c r="P25" s="6">
        <f t="shared" si="2"/>
        <v>30000.043999999994</v>
      </c>
      <c r="Q25" s="1">
        <f>$C$25/250*50</f>
        <v>24590.199999999997</v>
      </c>
      <c r="R25" s="6">
        <f t="shared" ref="R25" si="37">Q25*0.22</f>
        <v>5409.8439999999991</v>
      </c>
      <c r="S25" s="6">
        <f t="shared" si="3"/>
        <v>30000.043999999994</v>
      </c>
      <c r="T25" s="1">
        <f>$C$25/250*75</f>
        <v>36885.299999999996</v>
      </c>
      <c r="U25" s="6">
        <f t="shared" ref="U25:U26" si="38">T25*0.22</f>
        <v>8114.7659999999987</v>
      </c>
      <c r="V25" s="6">
        <f t="shared" si="4"/>
        <v>45000.065999999992</v>
      </c>
      <c r="W25" s="28"/>
    </row>
    <row r="26" spans="1:136" s="17" customFormat="1" ht="24" x14ac:dyDescent="0.25">
      <c r="A26" s="21" t="s">
        <v>178</v>
      </c>
      <c r="B26" s="4" t="s">
        <v>30</v>
      </c>
      <c r="C26" s="6">
        <v>81967</v>
      </c>
      <c r="D26" s="1">
        <f t="shared" si="32"/>
        <v>18032.740000000002</v>
      </c>
      <c r="E26" s="6">
        <f t="shared" si="33"/>
        <v>99999.74</v>
      </c>
      <c r="F26" s="22">
        <v>0.82</v>
      </c>
      <c r="G26" s="22">
        <v>0.18</v>
      </c>
      <c r="H26" s="1">
        <v>8197</v>
      </c>
      <c r="I26" s="6">
        <f t="shared" ref="I26" si="39">H26*0.22</f>
        <v>1803.34</v>
      </c>
      <c r="J26" s="6">
        <f t="shared" si="0"/>
        <v>10000.34</v>
      </c>
      <c r="K26" s="1">
        <v>16393</v>
      </c>
      <c r="L26" s="6">
        <f t="shared" si="35"/>
        <v>3606.46</v>
      </c>
      <c r="M26" s="6">
        <f t="shared" si="1"/>
        <v>19999.46</v>
      </c>
      <c r="N26" s="1">
        <v>16393</v>
      </c>
      <c r="O26" s="6">
        <f t="shared" si="35"/>
        <v>3606.46</v>
      </c>
      <c r="P26" s="6">
        <f t="shared" si="2"/>
        <v>19999.46</v>
      </c>
      <c r="Q26" s="1">
        <v>16393</v>
      </c>
      <c r="R26" s="6">
        <f t="shared" si="35"/>
        <v>3606.46</v>
      </c>
      <c r="S26" s="6">
        <f t="shared" si="3"/>
        <v>19999.46</v>
      </c>
      <c r="T26" s="1">
        <v>24591</v>
      </c>
      <c r="U26" s="6">
        <f t="shared" si="38"/>
        <v>5410.02</v>
      </c>
      <c r="V26" s="6">
        <f t="shared" si="4"/>
        <v>30001.02</v>
      </c>
      <c r="W26" s="28"/>
    </row>
    <row r="27" spans="1:136" s="17" customFormat="1" x14ac:dyDescent="0.25">
      <c r="A27" s="14">
        <v>1.3</v>
      </c>
      <c r="B27" s="15" t="s">
        <v>35</v>
      </c>
      <c r="C27" s="16">
        <f>C28+C35+C31</f>
        <v>467213.16393442627</v>
      </c>
      <c r="D27" s="16">
        <f>D28+D35+D31</f>
        <v>102786.89606557376</v>
      </c>
      <c r="E27" s="16">
        <f>E28+E35+E31</f>
        <v>570000.06000000006</v>
      </c>
      <c r="F27" s="16"/>
      <c r="G27" s="16"/>
      <c r="H27" s="16">
        <f>H28+H35+H31</f>
        <v>200819.58196721313</v>
      </c>
      <c r="I27" s="16">
        <f>I28+I35+I31</f>
        <v>44180.308032786888</v>
      </c>
      <c r="J27" s="16">
        <f t="shared" si="0"/>
        <v>244999.89</v>
      </c>
      <c r="K27" s="16">
        <f>K28+K35+K31</f>
        <v>241803.58196721313</v>
      </c>
      <c r="L27" s="16">
        <f>L28+L35+L31</f>
        <v>53196.788032786892</v>
      </c>
      <c r="M27" s="16">
        <f t="shared" si="1"/>
        <v>295000.37</v>
      </c>
      <c r="N27" s="16">
        <f>N28+N35+N31</f>
        <v>12295</v>
      </c>
      <c r="O27" s="16">
        <f>O28+O35+O31</f>
        <v>2704.9</v>
      </c>
      <c r="P27" s="16">
        <f t="shared" si="2"/>
        <v>14999.9</v>
      </c>
      <c r="Q27" s="16">
        <f>Q28+Q35+Q31</f>
        <v>12295</v>
      </c>
      <c r="R27" s="16">
        <f>R28+R35+R31</f>
        <v>2704.9</v>
      </c>
      <c r="S27" s="16">
        <f t="shared" si="3"/>
        <v>14999.9</v>
      </c>
      <c r="T27" s="16">
        <f>T28+T35+T31</f>
        <v>0</v>
      </c>
      <c r="U27" s="16">
        <f>U28+U35+U31</f>
        <v>0</v>
      </c>
      <c r="V27" s="16">
        <f t="shared" si="4"/>
        <v>0</v>
      </c>
      <c r="W27" s="28"/>
    </row>
    <row r="28" spans="1:136" s="17" customFormat="1" x14ac:dyDescent="0.25">
      <c r="A28" s="18" t="s">
        <v>36</v>
      </c>
      <c r="B28" s="19" t="s">
        <v>37</v>
      </c>
      <c r="C28" s="20">
        <f>SUM(C29:C30)</f>
        <v>102459</v>
      </c>
      <c r="D28" s="20">
        <f t="shared" ref="D28:E28" si="40">SUM(D29:D30)</f>
        <v>22540.980000000003</v>
      </c>
      <c r="E28" s="20">
        <f t="shared" si="40"/>
        <v>124999.98000000001</v>
      </c>
      <c r="F28" s="20"/>
      <c r="G28" s="20"/>
      <c r="H28" s="20">
        <f t="shared" ref="H28:U28" si="41">SUM(H29:H30)</f>
        <v>51229.5</v>
      </c>
      <c r="I28" s="20">
        <f t="shared" si="41"/>
        <v>11270.490000000002</v>
      </c>
      <c r="J28" s="20">
        <f t="shared" si="0"/>
        <v>62499.990000000005</v>
      </c>
      <c r="K28" s="20">
        <f t="shared" ref="K28" si="42">SUM(K29:K30)</f>
        <v>51229.5</v>
      </c>
      <c r="L28" s="20">
        <f t="shared" si="41"/>
        <v>11270.490000000002</v>
      </c>
      <c r="M28" s="20">
        <f t="shared" si="1"/>
        <v>62499.990000000005</v>
      </c>
      <c r="N28" s="20">
        <f t="shared" ref="N28" si="43">SUM(N29:N30)</f>
        <v>0</v>
      </c>
      <c r="O28" s="20">
        <f t="shared" si="41"/>
        <v>0</v>
      </c>
      <c r="P28" s="20">
        <f t="shared" si="2"/>
        <v>0</v>
      </c>
      <c r="Q28" s="20">
        <f t="shared" ref="Q28" si="44">SUM(Q29:Q30)</f>
        <v>0</v>
      </c>
      <c r="R28" s="20">
        <f t="shared" si="41"/>
        <v>0</v>
      </c>
      <c r="S28" s="20">
        <f t="shared" si="3"/>
        <v>0</v>
      </c>
      <c r="T28" s="20">
        <f t="shared" ref="T28" si="45">SUM(T29:T30)</f>
        <v>0</v>
      </c>
      <c r="U28" s="20">
        <f t="shared" si="41"/>
        <v>0</v>
      </c>
      <c r="V28" s="20">
        <f t="shared" si="4"/>
        <v>0</v>
      </c>
      <c r="W28" s="28"/>
    </row>
    <row r="29" spans="1:136" s="17" customFormat="1" ht="15" customHeight="1" x14ac:dyDescent="0.25">
      <c r="A29" s="21" t="s">
        <v>38</v>
      </c>
      <c r="B29" s="4" t="s">
        <v>39</v>
      </c>
      <c r="C29" s="6">
        <v>81967</v>
      </c>
      <c r="D29" s="1">
        <f>C29*0.22</f>
        <v>18032.740000000002</v>
      </c>
      <c r="E29" s="6">
        <f>C29+D29</f>
        <v>99999.74</v>
      </c>
      <c r="F29" s="22">
        <v>0.82</v>
      </c>
      <c r="G29" s="22">
        <v>0.18</v>
      </c>
      <c r="H29" s="1">
        <f>$C$29/2</f>
        <v>40983.5</v>
      </c>
      <c r="I29" s="6">
        <f t="shared" ref="I29:L34" si="46">H29*0.22</f>
        <v>9016.3700000000008</v>
      </c>
      <c r="J29" s="6">
        <f t="shared" si="0"/>
        <v>49999.87</v>
      </c>
      <c r="K29" s="1">
        <f>$C$29/2</f>
        <v>40983.5</v>
      </c>
      <c r="L29" s="6">
        <f t="shared" ref="L29:L30" si="47">K29*0.22</f>
        <v>9016.3700000000008</v>
      </c>
      <c r="M29" s="6">
        <f t="shared" si="1"/>
        <v>49999.87</v>
      </c>
      <c r="N29" s="1">
        <v>0</v>
      </c>
      <c r="O29" s="6">
        <v>0</v>
      </c>
      <c r="P29" s="6">
        <f t="shared" si="2"/>
        <v>0</v>
      </c>
      <c r="Q29" s="1">
        <v>0</v>
      </c>
      <c r="R29" s="6">
        <f t="shared" ref="R29" si="48">Q29*0.22</f>
        <v>0</v>
      </c>
      <c r="S29" s="6">
        <f t="shared" si="3"/>
        <v>0</v>
      </c>
      <c r="T29" s="1">
        <v>0</v>
      </c>
      <c r="U29" s="6">
        <f t="shared" ref="U29:U30" si="49">T29*0.22</f>
        <v>0</v>
      </c>
      <c r="V29" s="6">
        <f t="shared" si="4"/>
        <v>0</v>
      </c>
      <c r="W29" s="28"/>
    </row>
    <row r="30" spans="1:136" s="17" customFormat="1" ht="15" customHeight="1" x14ac:dyDescent="0.25">
      <c r="A30" s="21" t="s">
        <v>40</v>
      </c>
      <c r="B30" s="4" t="s">
        <v>41</v>
      </c>
      <c r="C30" s="6">
        <v>20492</v>
      </c>
      <c r="D30" s="1">
        <f>C30*0.22</f>
        <v>4508.24</v>
      </c>
      <c r="E30" s="6">
        <f>C30+D30</f>
        <v>25000.239999999998</v>
      </c>
      <c r="F30" s="22">
        <v>0.82</v>
      </c>
      <c r="G30" s="22">
        <v>0.18</v>
      </c>
      <c r="H30" s="1">
        <f>$C$30/2</f>
        <v>10246</v>
      </c>
      <c r="I30" s="6">
        <f t="shared" si="46"/>
        <v>2254.12</v>
      </c>
      <c r="J30" s="6">
        <f t="shared" si="0"/>
        <v>12500.119999999999</v>
      </c>
      <c r="K30" s="1">
        <f>$C$30/2</f>
        <v>10246</v>
      </c>
      <c r="L30" s="6">
        <f t="shared" si="47"/>
        <v>2254.12</v>
      </c>
      <c r="M30" s="6">
        <f t="shared" si="1"/>
        <v>12500.119999999999</v>
      </c>
      <c r="N30" s="1">
        <v>0</v>
      </c>
      <c r="O30" s="6">
        <v>0</v>
      </c>
      <c r="P30" s="6">
        <f t="shared" si="2"/>
        <v>0</v>
      </c>
      <c r="Q30" s="1">
        <v>0</v>
      </c>
      <c r="R30" s="6">
        <v>0</v>
      </c>
      <c r="S30" s="6">
        <f t="shared" si="3"/>
        <v>0</v>
      </c>
      <c r="T30" s="1">
        <v>0</v>
      </c>
      <c r="U30" s="6">
        <f t="shared" si="49"/>
        <v>0</v>
      </c>
      <c r="V30" s="6">
        <f t="shared" si="4"/>
        <v>0</v>
      </c>
      <c r="W30" s="28"/>
    </row>
    <row r="31" spans="1:136" s="54" customFormat="1" ht="24" x14ac:dyDescent="0.25">
      <c r="A31" s="18" t="s">
        <v>44</v>
      </c>
      <c r="B31" s="19" t="s">
        <v>212</v>
      </c>
      <c r="C31" s="20">
        <f t="shared" ref="C31:U31" si="50">SUM(C32:C34)</f>
        <v>282787.16393442627</v>
      </c>
      <c r="D31" s="20">
        <f t="shared" si="50"/>
        <v>62213.176065573767</v>
      </c>
      <c r="E31" s="20">
        <f>SUM(E32:E34)</f>
        <v>345000.34</v>
      </c>
      <c r="F31" s="20"/>
      <c r="G31" s="20"/>
      <c r="H31" s="20">
        <f t="shared" si="50"/>
        <v>137295.08196721313</v>
      </c>
      <c r="I31" s="20">
        <f t="shared" si="50"/>
        <v>30204.918032786885</v>
      </c>
      <c r="J31" s="20">
        <f t="shared" si="0"/>
        <v>167500.00000000003</v>
      </c>
      <c r="K31" s="20">
        <f t="shared" si="50"/>
        <v>145492.08196721313</v>
      </c>
      <c r="L31" s="20">
        <f t="shared" si="50"/>
        <v>32008.258032786885</v>
      </c>
      <c r="M31" s="20">
        <f t="shared" si="1"/>
        <v>177500.34000000003</v>
      </c>
      <c r="N31" s="20">
        <f t="shared" si="50"/>
        <v>0</v>
      </c>
      <c r="O31" s="20">
        <f t="shared" si="50"/>
        <v>0</v>
      </c>
      <c r="P31" s="20">
        <f t="shared" si="2"/>
        <v>0</v>
      </c>
      <c r="Q31" s="20">
        <f>SUM(Q32:Q34)</f>
        <v>0</v>
      </c>
      <c r="R31" s="20">
        <f t="shared" si="50"/>
        <v>0</v>
      </c>
      <c r="S31" s="20">
        <f t="shared" si="3"/>
        <v>0</v>
      </c>
      <c r="T31" s="20">
        <f t="shared" si="50"/>
        <v>0</v>
      </c>
      <c r="U31" s="20">
        <f t="shared" si="50"/>
        <v>0</v>
      </c>
      <c r="V31" s="20">
        <f t="shared" si="4"/>
        <v>0</v>
      </c>
      <c r="W31" s="28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  <c r="DN31" s="56"/>
      <c r="DO31" s="56"/>
      <c r="DP31" s="56"/>
      <c r="DQ31" s="56"/>
      <c r="DR31" s="56"/>
      <c r="DS31" s="56"/>
      <c r="DT31" s="56"/>
      <c r="DU31" s="56"/>
      <c r="DV31" s="56"/>
      <c r="DW31" s="56"/>
      <c r="DX31" s="56"/>
      <c r="DY31" s="56"/>
      <c r="DZ31" s="56"/>
      <c r="EA31" s="56"/>
      <c r="EB31" s="56"/>
      <c r="EC31" s="56"/>
      <c r="ED31" s="56"/>
      <c r="EE31" s="56"/>
      <c r="EF31" s="56"/>
    </row>
    <row r="32" spans="1:136" s="17" customFormat="1" x14ac:dyDescent="0.25">
      <c r="A32" s="21" t="s">
        <v>195</v>
      </c>
      <c r="B32" s="4" t="s">
        <v>47</v>
      </c>
      <c r="C32" s="6">
        <f>250000/1.22</f>
        <v>204918.03278688525</v>
      </c>
      <c r="D32" s="1">
        <f>C32*0.22</f>
        <v>45081.967213114753</v>
      </c>
      <c r="E32" s="6">
        <f>C32+D32</f>
        <v>250000</v>
      </c>
      <c r="F32" s="22">
        <v>0.82</v>
      </c>
      <c r="G32" s="22">
        <v>0.18</v>
      </c>
      <c r="H32" s="1">
        <f>$C$32/2</f>
        <v>102459.01639344262</v>
      </c>
      <c r="I32" s="6">
        <f t="shared" si="46"/>
        <v>22540.983606557376</v>
      </c>
      <c r="J32" s="6">
        <f t="shared" si="0"/>
        <v>125000</v>
      </c>
      <c r="K32" s="1">
        <f>$C$32/2</f>
        <v>102459.01639344262</v>
      </c>
      <c r="L32" s="6">
        <f t="shared" si="46"/>
        <v>22540.983606557376</v>
      </c>
      <c r="M32" s="6">
        <f t="shared" si="1"/>
        <v>125000</v>
      </c>
      <c r="N32" s="1">
        <v>0</v>
      </c>
      <c r="O32" s="6">
        <f t="shared" ref="O32" si="51">N32*0.22</f>
        <v>0</v>
      </c>
      <c r="P32" s="6">
        <f t="shared" si="2"/>
        <v>0</v>
      </c>
      <c r="Q32" s="1">
        <v>0</v>
      </c>
      <c r="R32" s="6">
        <f t="shared" ref="R32" si="52">Q32*0.22</f>
        <v>0</v>
      </c>
      <c r="S32" s="6">
        <f t="shared" si="3"/>
        <v>0</v>
      </c>
      <c r="T32" s="1">
        <v>0</v>
      </c>
      <c r="U32" s="6">
        <f t="shared" ref="U32:U34" si="53">T32*0.22</f>
        <v>0</v>
      </c>
      <c r="V32" s="6">
        <f t="shared" si="4"/>
        <v>0</v>
      </c>
      <c r="W32" s="28"/>
    </row>
    <row r="33" spans="1:25" s="17" customFormat="1" ht="15" customHeight="1" x14ac:dyDescent="0.25">
      <c r="A33" s="21" t="s">
        <v>196</v>
      </c>
      <c r="B33" s="4" t="s">
        <v>49</v>
      </c>
      <c r="C33" s="6">
        <f>85000/1.22</f>
        <v>69672.131147540989</v>
      </c>
      <c r="D33" s="1">
        <f>C33*0.22</f>
        <v>15327.868852459018</v>
      </c>
      <c r="E33" s="6">
        <f>C33+D33</f>
        <v>85000</v>
      </c>
      <c r="F33" s="22">
        <v>0.82</v>
      </c>
      <c r="G33" s="22">
        <v>0.18</v>
      </c>
      <c r="H33" s="1">
        <f>$C$33/2</f>
        <v>34836.065573770495</v>
      </c>
      <c r="I33" s="6">
        <f t="shared" si="46"/>
        <v>7663.934426229509</v>
      </c>
      <c r="J33" s="6">
        <f t="shared" si="0"/>
        <v>42500</v>
      </c>
      <c r="K33" s="1">
        <f>$C$33/2</f>
        <v>34836.065573770495</v>
      </c>
      <c r="L33" s="6">
        <f t="shared" si="46"/>
        <v>7663.934426229509</v>
      </c>
      <c r="M33" s="6">
        <f t="shared" si="1"/>
        <v>42500</v>
      </c>
      <c r="N33" s="1">
        <v>0</v>
      </c>
      <c r="O33" s="6">
        <f t="shared" ref="O33" si="54">N33*0.22</f>
        <v>0</v>
      </c>
      <c r="P33" s="6">
        <f t="shared" si="2"/>
        <v>0</v>
      </c>
      <c r="Q33" s="1">
        <v>0</v>
      </c>
      <c r="R33" s="6">
        <f t="shared" ref="R33" si="55">Q33*0.22</f>
        <v>0</v>
      </c>
      <c r="S33" s="6">
        <f t="shared" si="3"/>
        <v>0</v>
      </c>
      <c r="T33" s="1">
        <v>0</v>
      </c>
      <c r="U33" s="6">
        <f t="shared" si="53"/>
        <v>0</v>
      </c>
      <c r="V33" s="6">
        <f t="shared" si="4"/>
        <v>0</v>
      </c>
      <c r="W33" s="28"/>
    </row>
    <row r="34" spans="1:25" s="17" customFormat="1" ht="15" customHeight="1" x14ac:dyDescent="0.25">
      <c r="A34" s="21" t="s">
        <v>197</v>
      </c>
      <c r="B34" s="4" t="s">
        <v>51</v>
      </c>
      <c r="C34" s="6">
        <v>8197</v>
      </c>
      <c r="D34" s="1">
        <f>C34*0.22</f>
        <v>1803.34</v>
      </c>
      <c r="E34" s="6">
        <f>C34+D34</f>
        <v>10000.34</v>
      </c>
      <c r="F34" s="22">
        <v>0.82</v>
      </c>
      <c r="G34" s="22">
        <v>0.18</v>
      </c>
      <c r="H34" s="1">
        <v>0</v>
      </c>
      <c r="I34" s="6">
        <f t="shared" si="46"/>
        <v>0</v>
      </c>
      <c r="J34" s="6">
        <f t="shared" si="0"/>
        <v>0</v>
      </c>
      <c r="K34" s="1">
        <f>C34</f>
        <v>8197</v>
      </c>
      <c r="L34" s="6">
        <f t="shared" si="46"/>
        <v>1803.34</v>
      </c>
      <c r="M34" s="6">
        <f t="shared" si="1"/>
        <v>10000.34</v>
      </c>
      <c r="N34" s="1">
        <v>0</v>
      </c>
      <c r="O34" s="6">
        <f t="shared" ref="O34" si="56">N34*0.22</f>
        <v>0</v>
      </c>
      <c r="P34" s="6">
        <f t="shared" si="2"/>
        <v>0</v>
      </c>
      <c r="Q34" s="1">
        <v>0</v>
      </c>
      <c r="R34" s="6">
        <f t="shared" ref="R34" si="57">Q34*0.22</f>
        <v>0</v>
      </c>
      <c r="S34" s="6">
        <f t="shared" si="3"/>
        <v>0</v>
      </c>
      <c r="T34" s="1">
        <v>0</v>
      </c>
      <c r="U34" s="6">
        <f t="shared" si="53"/>
        <v>0</v>
      </c>
      <c r="V34" s="6">
        <f t="shared" si="4"/>
        <v>0</v>
      </c>
      <c r="W34" s="28"/>
    </row>
    <row r="35" spans="1:25" s="17" customFormat="1" ht="15" customHeight="1" x14ac:dyDescent="0.25">
      <c r="A35" s="50" t="s">
        <v>199</v>
      </c>
      <c r="B35" s="51" t="s">
        <v>198</v>
      </c>
      <c r="C35" s="52">
        <f>SUM(C36:C38)</f>
        <v>81967</v>
      </c>
      <c r="D35" s="52">
        <f t="shared" ref="D35:E35" si="58">SUM(D36:D38)</f>
        <v>18032.740000000002</v>
      </c>
      <c r="E35" s="52">
        <f t="shared" si="58"/>
        <v>99999.74</v>
      </c>
      <c r="F35" s="53"/>
      <c r="G35" s="53"/>
      <c r="H35" s="52">
        <f t="shared" ref="H35:U35" si="59">SUM(H36:H38)</f>
        <v>12295</v>
      </c>
      <c r="I35" s="52">
        <f t="shared" si="59"/>
        <v>2704.9</v>
      </c>
      <c r="J35" s="52">
        <f t="shared" si="0"/>
        <v>14999.9</v>
      </c>
      <c r="K35" s="52">
        <f t="shared" ref="K35" si="60">SUM(K36:K38)</f>
        <v>45082</v>
      </c>
      <c r="L35" s="52">
        <f t="shared" si="59"/>
        <v>9918.0400000000009</v>
      </c>
      <c r="M35" s="52">
        <f t="shared" si="1"/>
        <v>55000.04</v>
      </c>
      <c r="N35" s="52">
        <f t="shared" ref="N35" si="61">SUM(N36:N38)</f>
        <v>12295</v>
      </c>
      <c r="O35" s="52">
        <f t="shared" si="59"/>
        <v>2704.9</v>
      </c>
      <c r="P35" s="52">
        <f t="shared" si="2"/>
        <v>14999.9</v>
      </c>
      <c r="Q35" s="52">
        <f t="shared" ref="Q35" si="62">SUM(Q36:Q38)</f>
        <v>12295</v>
      </c>
      <c r="R35" s="52">
        <f t="shared" si="59"/>
        <v>2704.9</v>
      </c>
      <c r="S35" s="52">
        <f t="shared" si="3"/>
        <v>14999.9</v>
      </c>
      <c r="T35" s="52">
        <f t="shared" ref="T35" si="63">SUM(T36:T38)</f>
        <v>0</v>
      </c>
      <c r="U35" s="52">
        <f t="shared" si="59"/>
        <v>0</v>
      </c>
      <c r="V35" s="52">
        <f t="shared" si="4"/>
        <v>0</v>
      </c>
      <c r="W35" s="28"/>
    </row>
    <row r="36" spans="1:25" s="17" customFormat="1" ht="24" x14ac:dyDescent="0.25">
      <c r="A36" s="21" t="s">
        <v>46</v>
      </c>
      <c r="B36" s="4" t="s">
        <v>45</v>
      </c>
      <c r="C36" s="6">
        <v>32787</v>
      </c>
      <c r="D36" s="1">
        <f>C36*0.22</f>
        <v>7213.14</v>
      </c>
      <c r="E36" s="6">
        <f>C36+D36</f>
        <v>40000.14</v>
      </c>
      <c r="F36" s="22">
        <v>0.82</v>
      </c>
      <c r="G36" s="22">
        <v>0.18</v>
      </c>
      <c r="H36" s="1">
        <v>0</v>
      </c>
      <c r="I36" s="6">
        <v>0</v>
      </c>
      <c r="J36" s="6">
        <f t="shared" si="0"/>
        <v>0</v>
      </c>
      <c r="K36" s="1">
        <f>C36</f>
        <v>32787</v>
      </c>
      <c r="L36" s="6">
        <f>K36*0.22</f>
        <v>7213.14</v>
      </c>
      <c r="M36" s="6">
        <f t="shared" si="1"/>
        <v>40000.14</v>
      </c>
      <c r="N36" s="1">
        <v>0</v>
      </c>
      <c r="O36" s="6">
        <f t="shared" ref="O36" si="64">N36*0.22</f>
        <v>0</v>
      </c>
      <c r="P36" s="6">
        <f t="shared" si="2"/>
        <v>0</v>
      </c>
      <c r="Q36" s="1">
        <v>0</v>
      </c>
      <c r="R36" s="6">
        <f t="shared" ref="R36" si="65">Q36*0.22</f>
        <v>0</v>
      </c>
      <c r="S36" s="6">
        <f t="shared" si="3"/>
        <v>0</v>
      </c>
      <c r="T36" s="1">
        <v>0</v>
      </c>
      <c r="U36" s="6">
        <f t="shared" ref="U36:U38" si="66">T36*0.22</f>
        <v>0</v>
      </c>
      <c r="V36" s="6">
        <f t="shared" si="4"/>
        <v>0</v>
      </c>
      <c r="W36" s="28"/>
    </row>
    <row r="37" spans="1:25" s="17" customFormat="1" ht="15" customHeight="1" x14ac:dyDescent="0.25">
      <c r="A37" s="21" t="s">
        <v>48</v>
      </c>
      <c r="B37" s="4" t="s">
        <v>42</v>
      </c>
      <c r="C37" s="6">
        <v>24590</v>
      </c>
      <c r="D37" s="1">
        <f>C37*0.22</f>
        <v>5409.8</v>
      </c>
      <c r="E37" s="6">
        <f>C37+D37</f>
        <v>29999.8</v>
      </c>
      <c r="F37" s="22">
        <v>0.82</v>
      </c>
      <c r="G37" s="22">
        <v>0.18</v>
      </c>
      <c r="H37" s="1">
        <f>$C$37/4</f>
        <v>6147.5</v>
      </c>
      <c r="I37" s="6">
        <f>H37*0.22</f>
        <v>1352.45</v>
      </c>
      <c r="J37" s="6">
        <f t="shared" si="0"/>
        <v>7499.95</v>
      </c>
      <c r="K37" s="1">
        <f>$C$37/4</f>
        <v>6147.5</v>
      </c>
      <c r="L37" s="6">
        <f>K37*0.22</f>
        <v>1352.45</v>
      </c>
      <c r="M37" s="6">
        <f t="shared" si="1"/>
        <v>7499.95</v>
      </c>
      <c r="N37" s="1">
        <f>$C$37/4</f>
        <v>6147.5</v>
      </c>
      <c r="O37" s="6">
        <f t="shared" ref="O37" si="67">N37*0.22</f>
        <v>1352.45</v>
      </c>
      <c r="P37" s="6">
        <f t="shared" si="2"/>
        <v>7499.95</v>
      </c>
      <c r="Q37" s="1">
        <f>$C$37/4</f>
        <v>6147.5</v>
      </c>
      <c r="R37" s="6">
        <f t="shared" ref="R37" si="68">Q37*0.22</f>
        <v>1352.45</v>
      </c>
      <c r="S37" s="6">
        <f t="shared" si="3"/>
        <v>7499.95</v>
      </c>
      <c r="T37" s="1">
        <v>0</v>
      </c>
      <c r="U37" s="6">
        <f t="shared" si="66"/>
        <v>0</v>
      </c>
      <c r="V37" s="6">
        <f t="shared" si="4"/>
        <v>0</v>
      </c>
      <c r="W37" s="28"/>
    </row>
    <row r="38" spans="1:25" s="17" customFormat="1" ht="15" customHeight="1" x14ac:dyDescent="0.25">
      <c r="A38" s="21" t="s">
        <v>50</v>
      </c>
      <c r="B38" s="4" t="s">
        <v>43</v>
      </c>
      <c r="C38" s="6">
        <v>24590</v>
      </c>
      <c r="D38" s="1">
        <f>C38*0.22</f>
        <v>5409.8</v>
      </c>
      <c r="E38" s="6">
        <f>C38+D38</f>
        <v>29999.8</v>
      </c>
      <c r="F38" s="22">
        <v>0.82</v>
      </c>
      <c r="G38" s="22">
        <v>0.18</v>
      </c>
      <c r="H38" s="1">
        <f>$C$38/4</f>
        <v>6147.5</v>
      </c>
      <c r="I38" s="6">
        <f>H38*0.22</f>
        <v>1352.45</v>
      </c>
      <c r="J38" s="6">
        <f t="shared" si="0"/>
        <v>7499.95</v>
      </c>
      <c r="K38" s="1">
        <f>$C$38/4</f>
        <v>6147.5</v>
      </c>
      <c r="L38" s="6">
        <f>K38*0.22</f>
        <v>1352.45</v>
      </c>
      <c r="M38" s="6">
        <f t="shared" si="1"/>
        <v>7499.95</v>
      </c>
      <c r="N38" s="1">
        <f>$C$38/4</f>
        <v>6147.5</v>
      </c>
      <c r="O38" s="6">
        <f t="shared" ref="O38" si="69">N38*0.22</f>
        <v>1352.45</v>
      </c>
      <c r="P38" s="6">
        <f t="shared" si="2"/>
        <v>7499.95</v>
      </c>
      <c r="Q38" s="1">
        <f>$C$38/4</f>
        <v>6147.5</v>
      </c>
      <c r="R38" s="6">
        <f t="shared" ref="R38" si="70">Q38*0.22</f>
        <v>1352.45</v>
      </c>
      <c r="S38" s="6">
        <f t="shared" si="3"/>
        <v>7499.95</v>
      </c>
      <c r="T38" s="1">
        <v>0</v>
      </c>
      <c r="U38" s="6">
        <f t="shared" si="66"/>
        <v>0</v>
      </c>
      <c r="V38" s="6">
        <f t="shared" si="4"/>
        <v>0</v>
      </c>
      <c r="W38" s="28"/>
    </row>
    <row r="39" spans="1:25" x14ac:dyDescent="0.25">
      <c r="A39" s="12"/>
      <c r="B39" s="24" t="s">
        <v>52</v>
      </c>
      <c r="C39" s="2">
        <f>C9+C16+C27</f>
        <v>1491802.819672131</v>
      </c>
      <c r="D39" s="2">
        <f>D9+D16+D27</f>
        <v>730929.62032786885</v>
      </c>
      <c r="E39" s="2">
        <f>E9+E16+E27</f>
        <v>2222732.44</v>
      </c>
      <c r="F39" s="2"/>
      <c r="G39" s="2"/>
      <c r="H39" s="2">
        <f>H9+H16+H27</f>
        <v>421584.65737704921</v>
      </c>
      <c r="I39" s="2">
        <f>I9+I16+I27</f>
        <v>253841.62462295083</v>
      </c>
      <c r="J39" s="2">
        <f t="shared" si="0"/>
        <v>675426.28200000001</v>
      </c>
      <c r="K39" s="2">
        <f>K9+K16+K27</f>
        <v>473633.66311475413</v>
      </c>
      <c r="L39" s="2">
        <f>L9+L16+L27</f>
        <v>265292.40588524588</v>
      </c>
      <c r="M39" s="2">
        <f t="shared" si="1"/>
        <v>738926.06900000002</v>
      </c>
      <c r="N39" s="2">
        <f>N9+N16+N27</f>
        <v>268715.24508196721</v>
      </c>
      <c r="O39" s="2">
        <f>O9+O16+O27</f>
        <v>139664.35391803278</v>
      </c>
      <c r="P39" s="2">
        <f t="shared" si="2"/>
        <v>408379.59899999999</v>
      </c>
      <c r="Q39" s="2">
        <f>Q9+Q16+Q27</f>
        <v>128688.03606557376</v>
      </c>
      <c r="R39" s="2">
        <f>R9+R16+R27</f>
        <v>28311.367934426227</v>
      </c>
      <c r="S39" s="2">
        <f t="shared" si="3"/>
        <v>156999.40399999998</v>
      </c>
      <c r="T39" s="2">
        <f>T9+T16+T27</f>
        <v>199181.21803278688</v>
      </c>
      <c r="U39" s="2">
        <f>U9+U16+U27</f>
        <v>43819.867967213104</v>
      </c>
      <c r="V39" s="2">
        <f t="shared" si="4"/>
        <v>243001.08599999998</v>
      </c>
      <c r="W39" s="28"/>
    </row>
    <row r="40" spans="1:25" ht="24" x14ac:dyDescent="0.25">
      <c r="A40" s="11">
        <v>2</v>
      </c>
      <c r="B40" s="12" t="s">
        <v>53</v>
      </c>
      <c r="C40" s="13">
        <f t="shared" ref="C40:D40" si="71">C41+C48+C53+C60+C65</f>
        <v>1639344.4262295081</v>
      </c>
      <c r="D40" s="13">
        <f t="shared" si="71"/>
        <v>360655.77377049183</v>
      </c>
      <c r="E40" s="13">
        <f>E41+E48+E53+E60+E65</f>
        <v>2000000.2</v>
      </c>
      <c r="F40" s="25"/>
      <c r="G40" s="25"/>
      <c r="H40" s="13">
        <f>H41+H48+H53+H60+H65</f>
        <v>238440.05737704918</v>
      </c>
      <c r="I40" s="13">
        <f t="shared" ref="I40:U40" si="72">I41+I48+I53+I60+I65</f>
        <v>52456.81262295082</v>
      </c>
      <c r="J40" s="13">
        <f t="shared" si="0"/>
        <v>290896.87</v>
      </c>
      <c r="K40" s="13">
        <f t="shared" si="72"/>
        <v>433292.67486338801</v>
      </c>
      <c r="L40" s="13">
        <f t="shared" si="72"/>
        <v>95324.388469945363</v>
      </c>
      <c r="M40" s="13">
        <f t="shared" si="1"/>
        <v>528617.06333333335</v>
      </c>
      <c r="N40" s="13">
        <f t="shared" si="72"/>
        <v>433292.67486338801</v>
      </c>
      <c r="O40" s="13">
        <f t="shared" si="72"/>
        <v>95324.388469945363</v>
      </c>
      <c r="P40" s="13">
        <f t="shared" si="2"/>
        <v>528617.06333333335</v>
      </c>
      <c r="Q40" s="13">
        <f t="shared" si="72"/>
        <v>393637.67486338801</v>
      </c>
      <c r="R40" s="13">
        <f t="shared" si="72"/>
        <v>86600.288469945357</v>
      </c>
      <c r="S40" s="13">
        <f t="shared" si="3"/>
        <v>480237.96333333338</v>
      </c>
      <c r="T40" s="13">
        <f t="shared" si="72"/>
        <v>140681.26229508198</v>
      </c>
      <c r="U40" s="13">
        <f t="shared" si="72"/>
        <v>30949.877704918032</v>
      </c>
      <c r="V40" s="13">
        <f t="shared" si="4"/>
        <v>171631.14</v>
      </c>
      <c r="W40" s="36"/>
    </row>
    <row r="41" spans="1:25" ht="36" x14ac:dyDescent="0.25">
      <c r="A41" s="14">
        <v>2.1</v>
      </c>
      <c r="B41" s="15" t="s">
        <v>54</v>
      </c>
      <c r="C41" s="16">
        <f>C42</f>
        <v>328124.59016393439</v>
      </c>
      <c r="D41" s="16">
        <f>D42</f>
        <v>72187.409836065577</v>
      </c>
      <c r="E41" s="16">
        <f>E42</f>
        <v>400312</v>
      </c>
      <c r="F41" s="26"/>
      <c r="G41" s="26"/>
      <c r="H41" s="16">
        <f>H42</f>
        <v>53500</v>
      </c>
      <c r="I41" s="16">
        <f>I42</f>
        <v>11770</v>
      </c>
      <c r="J41" s="16">
        <f t="shared" si="0"/>
        <v>65270</v>
      </c>
      <c r="K41" s="16">
        <f>K42</f>
        <v>79906.147540983598</v>
      </c>
      <c r="L41" s="16">
        <f>L42</f>
        <v>17579.352459016394</v>
      </c>
      <c r="M41" s="16">
        <f t="shared" si="1"/>
        <v>97485.5</v>
      </c>
      <c r="N41" s="16">
        <f>N42</f>
        <v>79906.147540983598</v>
      </c>
      <c r="O41" s="16">
        <f>O42</f>
        <v>17579.352459016394</v>
      </c>
      <c r="P41" s="16">
        <f t="shared" si="2"/>
        <v>97485.5</v>
      </c>
      <c r="Q41" s="16">
        <f>Q42</f>
        <v>79906.147540983598</v>
      </c>
      <c r="R41" s="16">
        <f>R42</f>
        <v>17579.352459016394</v>
      </c>
      <c r="S41" s="16">
        <f t="shared" si="3"/>
        <v>97485.5</v>
      </c>
      <c r="T41" s="16">
        <f>T42</f>
        <v>34906.147540983606</v>
      </c>
      <c r="U41" s="16">
        <f>U42</f>
        <v>7679.3524590163934</v>
      </c>
      <c r="V41" s="16">
        <f t="shared" si="4"/>
        <v>42585.5</v>
      </c>
      <c r="W41" s="28"/>
    </row>
    <row r="42" spans="1:25" ht="24" x14ac:dyDescent="0.25">
      <c r="A42" s="18" t="s">
        <v>55</v>
      </c>
      <c r="B42" s="19" t="s">
        <v>56</v>
      </c>
      <c r="C42" s="20">
        <f>SUM(C43:C47)</f>
        <v>328124.59016393439</v>
      </c>
      <c r="D42" s="20">
        <f>SUM(D43:D47)</f>
        <v>72187.409836065577</v>
      </c>
      <c r="E42" s="20">
        <f>SUM(E43:E47)</f>
        <v>400312</v>
      </c>
      <c r="F42" s="3"/>
      <c r="G42" s="3"/>
      <c r="H42" s="20">
        <f>SUM(H43:H47)</f>
        <v>53500</v>
      </c>
      <c r="I42" s="20">
        <f>SUM(I43:I47)</f>
        <v>11770</v>
      </c>
      <c r="J42" s="20">
        <f t="shared" si="0"/>
        <v>65270</v>
      </c>
      <c r="K42" s="20">
        <f t="shared" ref="K42:T42" si="73">SUM(K43:K47)</f>
        <v>79906.147540983598</v>
      </c>
      <c r="L42" s="20">
        <f>SUM(L43:L47)</f>
        <v>17579.352459016394</v>
      </c>
      <c r="M42" s="20">
        <f t="shared" si="1"/>
        <v>97485.5</v>
      </c>
      <c r="N42" s="20">
        <f t="shared" si="73"/>
        <v>79906.147540983598</v>
      </c>
      <c r="O42" s="20">
        <f>SUM(O43:O47)</f>
        <v>17579.352459016394</v>
      </c>
      <c r="P42" s="20">
        <f t="shared" si="2"/>
        <v>97485.5</v>
      </c>
      <c r="Q42" s="20">
        <f t="shared" si="73"/>
        <v>79906.147540983598</v>
      </c>
      <c r="R42" s="20">
        <f>SUM(R43:R47)</f>
        <v>17579.352459016394</v>
      </c>
      <c r="S42" s="20">
        <f t="shared" si="3"/>
        <v>97485.5</v>
      </c>
      <c r="T42" s="20">
        <f t="shared" si="73"/>
        <v>34906.147540983606</v>
      </c>
      <c r="U42" s="20">
        <f>SUM(U43:U47)</f>
        <v>7679.3524590163934</v>
      </c>
      <c r="V42" s="20">
        <f t="shared" si="4"/>
        <v>42585.5</v>
      </c>
      <c r="W42" s="28"/>
    </row>
    <row r="43" spans="1:25" ht="24" x14ac:dyDescent="0.25">
      <c r="A43" s="21" t="s">
        <v>57</v>
      </c>
      <c r="B43" s="4" t="s">
        <v>58</v>
      </c>
      <c r="C43" s="6">
        <v>84000</v>
      </c>
      <c r="D43" s="6">
        <f>C43*0.22</f>
        <v>18480</v>
      </c>
      <c r="E43" s="27">
        <f>C43+D43</f>
        <v>102480</v>
      </c>
      <c r="F43" s="22">
        <v>0.82</v>
      </c>
      <c r="G43" s="22">
        <v>0.18</v>
      </c>
      <c r="H43" s="6">
        <f>1000*3*2</f>
        <v>6000</v>
      </c>
      <c r="I43" s="6">
        <f t="shared" ref="I43:I47" si="74">H43*0.22</f>
        <v>1320</v>
      </c>
      <c r="J43" s="6">
        <f t="shared" si="0"/>
        <v>7320</v>
      </c>
      <c r="K43" s="6">
        <f>1000*12*2</f>
        <v>24000</v>
      </c>
      <c r="L43" s="6">
        <f t="shared" ref="L43:L47" si="75">K43*0.22</f>
        <v>5280</v>
      </c>
      <c r="M43" s="6">
        <f t="shared" si="1"/>
        <v>29280</v>
      </c>
      <c r="N43" s="6">
        <f>1000*12*2</f>
        <v>24000</v>
      </c>
      <c r="O43" s="6">
        <f t="shared" ref="O43:O47" si="76">N43*0.22</f>
        <v>5280</v>
      </c>
      <c r="P43" s="6">
        <f t="shared" si="2"/>
        <v>29280</v>
      </c>
      <c r="Q43" s="6">
        <f>1000*12*2</f>
        <v>24000</v>
      </c>
      <c r="R43" s="6">
        <f t="shared" ref="R43:R47" si="77">Q43*0.22</f>
        <v>5280</v>
      </c>
      <c r="S43" s="6">
        <f t="shared" si="3"/>
        <v>29280</v>
      </c>
      <c r="T43" s="6">
        <f>1000*3*2</f>
        <v>6000</v>
      </c>
      <c r="U43" s="6">
        <f t="shared" ref="U43:U47" si="78">T43*0.22</f>
        <v>1320</v>
      </c>
      <c r="V43" s="6">
        <f t="shared" si="4"/>
        <v>7320</v>
      </c>
      <c r="W43" s="28"/>
    </row>
    <row r="44" spans="1:25" ht="24" x14ac:dyDescent="0.25">
      <c r="A44" s="21" t="s">
        <v>60</v>
      </c>
      <c r="B44" s="4" t="s">
        <v>190</v>
      </c>
      <c r="C44" s="6">
        <v>126000</v>
      </c>
      <c r="D44" s="6">
        <f>C44*0.22</f>
        <v>27720</v>
      </c>
      <c r="E44" s="27">
        <f>C44+D44</f>
        <v>153720</v>
      </c>
      <c r="F44" s="22">
        <v>0.82</v>
      </c>
      <c r="G44" s="22">
        <v>0.18</v>
      </c>
      <c r="H44" s="6">
        <f>1500*3*2</f>
        <v>9000</v>
      </c>
      <c r="I44" s="6">
        <f t="shared" si="74"/>
        <v>1980</v>
      </c>
      <c r="J44" s="6">
        <f t="shared" si="0"/>
        <v>10980</v>
      </c>
      <c r="K44" s="6">
        <f>1500*12*2</f>
        <v>36000</v>
      </c>
      <c r="L44" s="6">
        <f t="shared" si="75"/>
        <v>7920</v>
      </c>
      <c r="M44" s="6">
        <f t="shared" si="1"/>
        <v>43920</v>
      </c>
      <c r="N44" s="6">
        <f>1500*12*2</f>
        <v>36000</v>
      </c>
      <c r="O44" s="6">
        <f t="shared" si="76"/>
        <v>7920</v>
      </c>
      <c r="P44" s="6">
        <f t="shared" si="2"/>
        <v>43920</v>
      </c>
      <c r="Q44" s="6">
        <f>1500*12*2</f>
        <v>36000</v>
      </c>
      <c r="R44" s="6">
        <f t="shared" si="77"/>
        <v>7920</v>
      </c>
      <c r="S44" s="6">
        <f t="shared" si="3"/>
        <v>43920</v>
      </c>
      <c r="T44" s="6">
        <f>1500*3*2</f>
        <v>9000</v>
      </c>
      <c r="U44" s="6">
        <f t="shared" si="78"/>
        <v>1980</v>
      </c>
      <c r="V44" s="6">
        <f t="shared" si="4"/>
        <v>10980</v>
      </c>
      <c r="W44" s="28"/>
    </row>
    <row r="45" spans="1:25" x14ac:dyDescent="0.25">
      <c r="A45" s="21" t="s">
        <v>179</v>
      </c>
      <c r="B45" s="4" t="s">
        <v>59</v>
      </c>
      <c r="C45" s="6">
        <v>38500</v>
      </c>
      <c r="D45" s="6">
        <f>C45*0.22</f>
        <v>8470</v>
      </c>
      <c r="E45" s="27">
        <f>C45+D45</f>
        <v>46970</v>
      </c>
      <c r="F45" s="22">
        <v>0.82</v>
      </c>
      <c r="G45" s="22">
        <v>0.18</v>
      </c>
      <c r="H45" s="6">
        <f>C45</f>
        <v>38500</v>
      </c>
      <c r="I45" s="6">
        <f t="shared" si="74"/>
        <v>8470</v>
      </c>
      <c r="J45" s="6">
        <f t="shared" si="0"/>
        <v>46970</v>
      </c>
      <c r="K45" s="6">
        <v>0</v>
      </c>
      <c r="L45" s="6">
        <f t="shared" si="75"/>
        <v>0</v>
      </c>
      <c r="M45" s="6">
        <f t="shared" si="1"/>
        <v>0</v>
      </c>
      <c r="N45" s="6">
        <v>0</v>
      </c>
      <c r="O45" s="6">
        <f t="shared" si="76"/>
        <v>0</v>
      </c>
      <c r="P45" s="6">
        <f t="shared" si="2"/>
        <v>0</v>
      </c>
      <c r="Q45" s="6">
        <v>0</v>
      </c>
      <c r="R45" s="6">
        <f t="shared" si="77"/>
        <v>0</v>
      </c>
      <c r="S45" s="6">
        <f t="shared" si="3"/>
        <v>0</v>
      </c>
      <c r="T45" s="6">
        <v>0</v>
      </c>
      <c r="U45" s="6">
        <f t="shared" si="78"/>
        <v>0</v>
      </c>
      <c r="V45" s="6">
        <f t="shared" si="4"/>
        <v>0</v>
      </c>
      <c r="W45" s="28"/>
    </row>
    <row r="46" spans="1:25" x14ac:dyDescent="0.25">
      <c r="A46" s="21" t="s">
        <v>180</v>
      </c>
      <c r="B46" s="4" t="s">
        <v>61</v>
      </c>
      <c r="C46" s="6">
        <v>12000</v>
      </c>
      <c r="D46" s="6">
        <f>C46*0.22</f>
        <v>2640</v>
      </c>
      <c r="E46" s="27">
        <f>C46+D46</f>
        <v>14640</v>
      </c>
      <c r="F46" s="22">
        <v>0.82</v>
      </c>
      <c r="G46" s="22">
        <v>0.18</v>
      </c>
      <c r="H46" s="6">
        <v>0</v>
      </c>
      <c r="I46" s="6">
        <f t="shared" si="74"/>
        <v>0</v>
      </c>
      <c r="J46" s="6">
        <f t="shared" si="0"/>
        <v>0</v>
      </c>
      <c r="K46" s="6">
        <f>$C$46/4</f>
        <v>3000</v>
      </c>
      <c r="L46" s="6">
        <f t="shared" si="75"/>
        <v>660</v>
      </c>
      <c r="M46" s="6">
        <f t="shared" si="1"/>
        <v>3660</v>
      </c>
      <c r="N46" s="6">
        <f t="shared" ref="N46:T46" si="79">$C$46/4</f>
        <v>3000</v>
      </c>
      <c r="O46" s="6">
        <f t="shared" si="76"/>
        <v>660</v>
      </c>
      <c r="P46" s="6">
        <f t="shared" si="2"/>
        <v>3660</v>
      </c>
      <c r="Q46" s="6">
        <f t="shared" si="79"/>
        <v>3000</v>
      </c>
      <c r="R46" s="6">
        <f t="shared" si="77"/>
        <v>660</v>
      </c>
      <c r="S46" s="6">
        <f t="shared" si="3"/>
        <v>3660</v>
      </c>
      <c r="T46" s="6">
        <f t="shared" si="79"/>
        <v>3000</v>
      </c>
      <c r="U46" s="6">
        <f t="shared" si="78"/>
        <v>660</v>
      </c>
      <c r="V46" s="6">
        <f t="shared" si="4"/>
        <v>3660</v>
      </c>
      <c r="W46" s="28"/>
    </row>
    <row r="47" spans="1:25" x14ac:dyDescent="0.25">
      <c r="A47" s="21" t="s">
        <v>181</v>
      </c>
      <c r="B47" s="4" t="s">
        <v>62</v>
      </c>
      <c r="C47" s="6">
        <f>82502/1.22</f>
        <v>67624.590163934423</v>
      </c>
      <c r="D47" s="6">
        <f>C47*0.22</f>
        <v>14877.409836065573</v>
      </c>
      <c r="E47" s="27">
        <f>C47+D47</f>
        <v>82502</v>
      </c>
      <c r="F47" s="22">
        <v>0.82</v>
      </c>
      <c r="G47" s="22">
        <v>0.18</v>
      </c>
      <c r="H47" s="6">
        <v>0</v>
      </c>
      <c r="I47" s="6">
        <f t="shared" si="74"/>
        <v>0</v>
      </c>
      <c r="J47" s="6">
        <f t="shared" si="0"/>
        <v>0</v>
      </c>
      <c r="K47" s="6">
        <f>$C$47/4</f>
        <v>16906.147540983606</v>
      </c>
      <c r="L47" s="6">
        <f t="shared" si="75"/>
        <v>3719.3524590163934</v>
      </c>
      <c r="M47" s="6">
        <f t="shared" si="1"/>
        <v>20625.5</v>
      </c>
      <c r="N47" s="6">
        <f t="shared" ref="N47:T47" si="80">$C$47/4</f>
        <v>16906.147540983606</v>
      </c>
      <c r="O47" s="6">
        <f t="shared" si="76"/>
        <v>3719.3524590163934</v>
      </c>
      <c r="P47" s="6">
        <f t="shared" si="2"/>
        <v>20625.5</v>
      </c>
      <c r="Q47" s="6">
        <f t="shared" si="80"/>
        <v>16906.147540983606</v>
      </c>
      <c r="R47" s="6">
        <f t="shared" si="77"/>
        <v>3719.3524590163934</v>
      </c>
      <c r="S47" s="6">
        <f t="shared" si="3"/>
        <v>20625.5</v>
      </c>
      <c r="T47" s="6">
        <f t="shared" si="80"/>
        <v>16906.147540983606</v>
      </c>
      <c r="U47" s="6">
        <f t="shared" si="78"/>
        <v>3719.3524590163934</v>
      </c>
      <c r="V47" s="6">
        <f t="shared" si="4"/>
        <v>20625.5</v>
      </c>
      <c r="W47" s="28"/>
      <c r="Y47" s="28"/>
    </row>
    <row r="48" spans="1:25" ht="24" x14ac:dyDescent="0.25">
      <c r="A48" s="14">
        <v>2.2000000000000002</v>
      </c>
      <c r="B48" s="29" t="s">
        <v>191</v>
      </c>
      <c r="C48" s="16">
        <f>C49</f>
        <v>311884.42622950819</v>
      </c>
      <c r="D48" s="16">
        <f t="shared" ref="D48:E48" si="81">D49</f>
        <v>68614.573770491799</v>
      </c>
      <c r="E48" s="16">
        <f t="shared" si="81"/>
        <v>380499</v>
      </c>
      <c r="F48" s="16"/>
      <c r="G48" s="16"/>
      <c r="H48" s="16">
        <f t="shared" ref="H48:U48" si="82">H49</f>
        <v>57094.5</v>
      </c>
      <c r="I48" s="16">
        <f t="shared" si="82"/>
        <v>12560.79</v>
      </c>
      <c r="J48" s="16">
        <f t="shared" si="0"/>
        <v>69655.290000000008</v>
      </c>
      <c r="K48" s="16">
        <f t="shared" ref="K48" si="83">K49</f>
        <v>77471.106557377047</v>
      </c>
      <c r="L48" s="16">
        <f t="shared" si="82"/>
        <v>17043.64344262295</v>
      </c>
      <c r="M48" s="16">
        <f t="shared" si="1"/>
        <v>94514.75</v>
      </c>
      <c r="N48" s="16">
        <f t="shared" ref="N48" si="84">N49</f>
        <v>77471.106557377047</v>
      </c>
      <c r="O48" s="16">
        <f t="shared" si="82"/>
        <v>17043.64344262295</v>
      </c>
      <c r="P48" s="16">
        <f t="shared" si="2"/>
        <v>94514.75</v>
      </c>
      <c r="Q48" s="16">
        <f t="shared" ref="Q48" si="85">Q49</f>
        <v>77471.106557377047</v>
      </c>
      <c r="R48" s="16">
        <f t="shared" si="82"/>
        <v>17043.64344262295</v>
      </c>
      <c r="S48" s="16">
        <f t="shared" si="3"/>
        <v>94514.75</v>
      </c>
      <c r="T48" s="16">
        <f t="shared" ref="T48" si="86">T49</f>
        <v>22376.885245901642</v>
      </c>
      <c r="U48" s="16">
        <f t="shared" si="82"/>
        <v>4922.9147540983604</v>
      </c>
      <c r="V48" s="16">
        <f t="shared" si="4"/>
        <v>27299.800000000003</v>
      </c>
      <c r="W48" s="28"/>
      <c r="Y48" s="28"/>
    </row>
    <row r="49" spans="1:23" x14ac:dyDescent="0.25">
      <c r="A49" s="30" t="s">
        <v>63</v>
      </c>
      <c r="B49" s="31" t="s">
        <v>64</v>
      </c>
      <c r="C49" s="32">
        <f t="shared" ref="C49:D49" si="87">SUM(C50:C52)</f>
        <v>311884.42622950819</v>
      </c>
      <c r="D49" s="32">
        <f t="shared" si="87"/>
        <v>68614.573770491799</v>
      </c>
      <c r="E49" s="32">
        <f>SUM(E50:E52)</f>
        <v>380499</v>
      </c>
      <c r="F49" s="32"/>
      <c r="G49" s="32"/>
      <c r="H49" s="32">
        <f t="shared" ref="H49:U49" si="88">SUM(H50:H52)</f>
        <v>57094.5</v>
      </c>
      <c r="I49" s="32">
        <f t="shared" si="88"/>
        <v>12560.79</v>
      </c>
      <c r="J49" s="32">
        <f t="shared" si="0"/>
        <v>69655.290000000008</v>
      </c>
      <c r="K49" s="32">
        <f t="shared" si="88"/>
        <v>77471.106557377047</v>
      </c>
      <c r="L49" s="32">
        <f t="shared" si="88"/>
        <v>17043.64344262295</v>
      </c>
      <c r="M49" s="32">
        <f t="shared" si="1"/>
        <v>94514.75</v>
      </c>
      <c r="N49" s="32">
        <f t="shared" si="88"/>
        <v>77471.106557377047</v>
      </c>
      <c r="O49" s="32">
        <f t="shared" si="88"/>
        <v>17043.64344262295</v>
      </c>
      <c r="P49" s="32">
        <f t="shared" si="2"/>
        <v>94514.75</v>
      </c>
      <c r="Q49" s="32">
        <f t="shared" si="88"/>
        <v>77471.106557377047</v>
      </c>
      <c r="R49" s="32">
        <f t="shared" si="88"/>
        <v>17043.64344262295</v>
      </c>
      <c r="S49" s="32">
        <f t="shared" si="3"/>
        <v>94514.75</v>
      </c>
      <c r="T49" s="32">
        <f t="shared" si="88"/>
        <v>22376.885245901642</v>
      </c>
      <c r="U49" s="32">
        <f t="shared" si="88"/>
        <v>4922.9147540983604</v>
      </c>
      <c r="V49" s="32">
        <f t="shared" si="4"/>
        <v>27299.800000000003</v>
      </c>
      <c r="W49" s="28"/>
    </row>
    <row r="50" spans="1:23" x14ac:dyDescent="0.25">
      <c r="A50" s="21" t="s">
        <v>65</v>
      </c>
      <c r="B50" s="4" t="s">
        <v>66</v>
      </c>
      <c r="C50" s="6">
        <v>38000</v>
      </c>
      <c r="D50" s="6">
        <f>C50*0.22</f>
        <v>8360</v>
      </c>
      <c r="E50" s="27">
        <f>C50+D50</f>
        <v>46360</v>
      </c>
      <c r="F50" s="22">
        <v>0.82</v>
      </c>
      <c r="G50" s="22">
        <v>0.18</v>
      </c>
      <c r="H50" s="6">
        <f>C50</f>
        <v>38000</v>
      </c>
      <c r="I50" s="6">
        <f t="shared" ref="I50:U52" si="89">H50*0.22</f>
        <v>8360</v>
      </c>
      <c r="J50" s="6">
        <f t="shared" si="0"/>
        <v>46360</v>
      </c>
      <c r="K50" s="6">
        <v>0</v>
      </c>
      <c r="L50" s="6">
        <f t="shared" ref="L50:L51" si="90">K50*0.22</f>
        <v>0</v>
      </c>
      <c r="M50" s="6">
        <f t="shared" si="1"/>
        <v>0</v>
      </c>
      <c r="N50" s="6">
        <v>0</v>
      </c>
      <c r="O50" s="6">
        <f t="shared" ref="O50:O51" si="91">N50*0.22</f>
        <v>0</v>
      </c>
      <c r="P50" s="6">
        <f t="shared" si="2"/>
        <v>0</v>
      </c>
      <c r="Q50" s="6">
        <v>0</v>
      </c>
      <c r="R50" s="6">
        <f t="shared" ref="R50:R51" si="92">Q50*0.22</f>
        <v>0</v>
      </c>
      <c r="S50" s="6">
        <f t="shared" si="3"/>
        <v>0</v>
      </c>
      <c r="T50" s="6">
        <v>0</v>
      </c>
      <c r="U50" s="6">
        <f t="shared" ref="U50:U51" si="93">T50*0.22</f>
        <v>0</v>
      </c>
      <c r="V50" s="6">
        <f t="shared" si="4"/>
        <v>0</v>
      </c>
      <c r="W50" s="28"/>
    </row>
    <row r="51" spans="1:23" x14ac:dyDescent="0.25">
      <c r="A51" s="21" t="s">
        <v>67</v>
      </c>
      <c r="B51" s="4" t="s">
        <v>68</v>
      </c>
      <c r="C51" s="6">
        <v>252000</v>
      </c>
      <c r="D51" s="6">
        <f>C51*0.22</f>
        <v>55440</v>
      </c>
      <c r="E51" s="27">
        <f>C51+D51</f>
        <v>307440</v>
      </c>
      <c r="F51" s="33">
        <v>0.82</v>
      </c>
      <c r="G51" s="33">
        <v>0.18</v>
      </c>
      <c r="H51" s="6">
        <f>1500*3*4</f>
        <v>18000</v>
      </c>
      <c r="I51" s="6">
        <f t="shared" si="89"/>
        <v>3960</v>
      </c>
      <c r="J51" s="6">
        <f t="shared" si="0"/>
        <v>21960</v>
      </c>
      <c r="K51" s="6">
        <f>1500*12*4</f>
        <v>72000</v>
      </c>
      <c r="L51" s="6">
        <f t="shared" si="90"/>
        <v>15840</v>
      </c>
      <c r="M51" s="6">
        <f t="shared" si="1"/>
        <v>87840</v>
      </c>
      <c r="N51" s="6">
        <f>1500*12*4</f>
        <v>72000</v>
      </c>
      <c r="O51" s="6">
        <f t="shared" si="91"/>
        <v>15840</v>
      </c>
      <c r="P51" s="6">
        <f t="shared" si="2"/>
        <v>87840</v>
      </c>
      <c r="Q51" s="6">
        <f>1500*12*4</f>
        <v>72000</v>
      </c>
      <c r="R51" s="6">
        <f t="shared" si="92"/>
        <v>15840</v>
      </c>
      <c r="S51" s="6">
        <f t="shared" si="3"/>
        <v>87840</v>
      </c>
      <c r="T51" s="6">
        <f>1500*3*4</f>
        <v>18000</v>
      </c>
      <c r="U51" s="6">
        <f t="shared" si="93"/>
        <v>3960</v>
      </c>
      <c r="V51" s="6">
        <f t="shared" si="4"/>
        <v>21960</v>
      </c>
      <c r="W51" s="28"/>
    </row>
    <row r="52" spans="1:23" s="17" customFormat="1" x14ac:dyDescent="0.25">
      <c r="A52" s="21" t="s">
        <v>188</v>
      </c>
      <c r="B52" s="4" t="s">
        <v>62</v>
      </c>
      <c r="C52" s="6">
        <f>26699/1.22</f>
        <v>21884.426229508197</v>
      </c>
      <c r="D52" s="6">
        <f>C52*0.22</f>
        <v>4814.5737704918038</v>
      </c>
      <c r="E52" s="27">
        <f>C52+D52</f>
        <v>26699</v>
      </c>
      <c r="F52" s="27"/>
      <c r="G52" s="27"/>
      <c r="H52" s="27">
        <v>1094.5</v>
      </c>
      <c r="I52" s="6">
        <f t="shared" si="89"/>
        <v>240.79</v>
      </c>
      <c r="J52" s="6">
        <f t="shared" si="0"/>
        <v>1335.29</v>
      </c>
      <c r="K52" s="27">
        <f>C52/60*15</f>
        <v>5471.1065573770493</v>
      </c>
      <c r="L52" s="6">
        <f t="shared" si="89"/>
        <v>1203.6434426229509</v>
      </c>
      <c r="M52" s="6">
        <f t="shared" si="1"/>
        <v>6674.75</v>
      </c>
      <c r="N52" s="27">
        <f>K52</f>
        <v>5471.1065573770493</v>
      </c>
      <c r="O52" s="6">
        <f t="shared" si="89"/>
        <v>1203.6434426229509</v>
      </c>
      <c r="P52" s="6">
        <f t="shared" si="2"/>
        <v>6674.75</v>
      </c>
      <c r="Q52" s="27">
        <f>N52</f>
        <v>5471.1065573770493</v>
      </c>
      <c r="R52" s="6">
        <f t="shared" si="89"/>
        <v>1203.6434426229509</v>
      </c>
      <c r="S52" s="6">
        <f t="shared" si="3"/>
        <v>6674.75</v>
      </c>
      <c r="T52" s="27">
        <f>C52/60*12</f>
        <v>4376.8852459016398</v>
      </c>
      <c r="U52" s="6">
        <f t="shared" si="89"/>
        <v>962.91475409836073</v>
      </c>
      <c r="V52" s="6">
        <f t="shared" si="4"/>
        <v>5339.8</v>
      </c>
      <c r="W52" s="28"/>
    </row>
    <row r="53" spans="1:23" ht="24" x14ac:dyDescent="0.25">
      <c r="A53" s="14">
        <v>2.2999999999999998</v>
      </c>
      <c r="B53" s="29" t="s">
        <v>192</v>
      </c>
      <c r="C53" s="16">
        <f>C54</f>
        <v>374655.73770491802</v>
      </c>
      <c r="D53" s="16">
        <f t="shared" ref="D53:U53" si="94">D54</f>
        <v>82424.262295081979</v>
      </c>
      <c r="E53" s="16">
        <f t="shared" si="94"/>
        <v>457080</v>
      </c>
      <c r="F53" s="16"/>
      <c r="G53" s="16"/>
      <c r="H53" s="16">
        <f t="shared" si="94"/>
        <v>34632.672131147541</v>
      </c>
      <c r="I53" s="16">
        <f t="shared" si="94"/>
        <v>7619.1878688524585</v>
      </c>
      <c r="J53" s="16">
        <f t="shared" si="0"/>
        <v>42251.86</v>
      </c>
      <c r="K53" s="16">
        <f t="shared" si="94"/>
        <v>103394.5355191257</v>
      </c>
      <c r="L53" s="16">
        <f t="shared" si="94"/>
        <v>22746.797814207654</v>
      </c>
      <c r="M53" s="16">
        <f t="shared" si="1"/>
        <v>126141.33333333334</v>
      </c>
      <c r="N53" s="16">
        <f t="shared" si="94"/>
        <v>103394.5355191257</v>
      </c>
      <c r="O53" s="16">
        <f t="shared" si="94"/>
        <v>22746.797814207654</v>
      </c>
      <c r="P53" s="16">
        <f t="shared" si="2"/>
        <v>126141.33333333334</v>
      </c>
      <c r="Q53" s="16">
        <f t="shared" si="94"/>
        <v>103394.5355191257</v>
      </c>
      <c r="R53" s="16">
        <f t="shared" si="94"/>
        <v>22746.797814207654</v>
      </c>
      <c r="S53" s="16">
        <f t="shared" si="3"/>
        <v>126141.33333333334</v>
      </c>
      <c r="T53" s="16">
        <f t="shared" si="94"/>
        <v>29839.344262295079</v>
      </c>
      <c r="U53" s="16">
        <f t="shared" si="94"/>
        <v>6564.6557377049176</v>
      </c>
      <c r="V53" s="16">
        <f t="shared" si="4"/>
        <v>36404</v>
      </c>
      <c r="W53" s="28"/>
    </row>
    <row r="54" spans="1:23" ht="24" x14ac:dyDescent="0.25">
      <c r="A54" s="30" t="s">
        <v>69</v>
      </c>
      <c r="B54" s="31" t="s">
        <v>70</v>
      </c>
      <c r="C54" s="32">
        <f>SUM(C55:C59)</f>
        <v>374655.73770491802</v>
      </c>
      <c r="D54" s="32">
        <f t="shared" ref="D54:U54" si="95">SUM(D55:D59)</f>
        <v>82424.262295081979</v>
      </c>
      <c r="E54" s="32">
        <f t="shared" si="95"/>
        <v>457080</v>
      </c>
      <c r="F54" s="32"/>
      <c r="G54" s="32"/>
      <c r="H54" s="32">
        <f t="shared" si="95"/>
        <v>34632.672131147541</v>
      </c>
      <c r="I54" s="32">
        <f t="shared" si="95"/>
        <v>7619.1878688524585</v>
      </c>
      <c r="J54" s="32">
        <f t="shared" si="0"/>
        <v>42251.86</v>
      </c>
      <c r="K54" s="32">
        <f t="shared" si="95"/>
        <v>103394.5355191257</v>
      </c>
      <c r="L54" s="32">
        <f t="shared" si="95"/>
        <v>22746.797814207654</v>
      </c>
      <c r="M54" s="32">
        <f t="shared" si="1"/>
        <v>126141.33333333334</v>
      </c>
      <c r="N54" s="32">
        <f t="shared" si="95"/>
        <v>103394.5355191257</v>
      </c>
      <c r="O54" s="32">
        <f t="shared" si="95"/>
        <v>22746.797814207654</v>
      </c>
      <c r="P54" s="32">
        <f t="shared" si="2"/>
        <v>126141.33333333334</v>
      </c>
      <c r="Q54" s="32">
        <f t="shared" si="95"/>
        <v>103394.5355191257</v>
      </c>
      <c r="R54" s="32">
        <f t="shared" si="95"/>
        <v>22746.797814207654</v>
      </c>
      <c r="S54" s="32">
        <f t="shared" si="3"/>
        <v>126141.33333333334</v>
      </c>
      <c r="T54" s="32">
        <f t="shared" si="95"/>
        <v>29839.344262295079</v>
      </c>
      <c r="U54" s="32">
        <f t="shared" si="95"/>
        <v>6564.6557377049176</v>
      </c>
      <c r="V54" s="32">
        <f t="shared" si="4"/>
        <v>36404</v>
      </c>
      <c r="W54" s="28"/>
    </row>
    <row r="55" spans="1:23" x14ac:dyDescent="0.25">
      <c r="A55" s="21" t="s">
        <v>71</v>
      </c>
      <c r="B55" s="4" t="s">
        <v>72</v>
      </c>
      <c r="C55" s="6">
        <v>20000</v>
      </c>
      <c r="D55" s="6">
        <f>C55*0.22</f>
        <v>4400</v>
      </c>
      <c r="E55" s="27">
        <f>C55+D55</f>
        <v>24400</v>
      </c>
      <c r="F55" s="33">
        <v>0.82</v>
      </c>
      <c r="G55" s="33">
        <v>0.18</v>
      </c>
      <c r="H55" s="6">
        <f>C55</f>
        <v>20000</v>
      </c>
      <c r="I55" s="6">
        <f t="shared" ref="I55" si="96">H55*0.22</f>
        <v>4400</v>
      </c>
      <c r="J55" s="6">
        <f t="shared" si="0"/>
        <v>24400</v>
      </c>
      <c r="K55" s="6">
        <v>0</v>
      </c>
      <c r="L55" s="6">
        <f t="shared" ref="L55" si="97">K55*0.22</f>
        <v>0</v>
      </c>
      <c r="M55" s="6">
        <f t="shared" si="1"/>
        <v>0</v>
      </c>
      <c r="N55" s="6">
        <v>0</v>
      </c>
      <c r="O55" s="6">
        <f t="shared" ref="O55" si="98">N55*0.22</f>
        <v>0</v>
      </c>
      <c r="P55" s="6">
        <f t="shared" si="2"/>
        <v>0</v>
      </c>
      <c r="Q55" s="6">
        <v>0</v>
      </c>
      <c r="R55" s="6">
        <f t="shared" ref="R55" si="99">Q55*0.22</f>
        <v>0</v>
      </c>
      <c r="S55" s="6">
        <f t="shared" si="3"/>
        <v>0</v>
      </c>
      <c r="T55" s="6">
        <v>0</v>
      </c>
      <c r="U55" s="6">
        <f t="shared" ref="U55:U59" si="100">T55*0.22</f>
        <v>0</v>
      </c>
      <c r="V55" s="6">
        <f t="shared" si="4"/>
        <v>0</v>
      </c>
      <c r="W55" s="28"/>
    </row>
    <row r="56" spans="1:23" s="17" customFormat="1" x14ac:dyDescent="0.25">
      <c r="A56" s="21" t="s">
        <v>73</v>
      </c>
      <c r="B56" s="35" t="s">
        <v>74</v>
      </c>
      <c r="C56" s="6">
        <f>82000/1.22</f>
        <v>67213.114754098366</v>
      </c>
      <c r="D56" s="6">
        <f>C56*0.22</f>
        <v>14786.88524590164</v>
      </c>
      <c r="E56" s="27">
        <f>C56+D56</f>
        <v>82000</v>
      </c>
      <c r="F56" s="33">
        <v>0.82</v>
      </c>
      <c r="G56" s="33">
        <v>0.18</v>
      </c>
      <c r="H56" s="6">
        <v>4213</v>
      </c>
      <c r="I56" s="6">
        <f t="shared" ref="I56" si="101">H56*0.22</f>
        <v>926.86</v>
      </c>
      <c r="J56" s="6">
        <f t="shared" si="0"/>
        <v>5139.8599999999997</v>
      </c>
      <c r="K56" s="6">
        <f>1500*12</f>
        <v>18000</v>
      </c>
      <c r="L56" s="6">
        <f t="shared" ref="L56" si="102">K56*0.22</f>
        <v>3960</v>
      </c>
      <c r="M56" s="6">
        <f t="shared" si="1"/>
        <v>21960</v>
      </c>
      <c r="N56" s="6">
        <f>1500*12</f>
        <v>18000</v>
      </c>
      <c r="O56" s="6">
        <f t="shared" ref="O56" si="103">N56*0.22</f>
        <v>3960</v>
      </c>
      <c r="P56" s="6">
        <f t="shared" si="2"/>
        <v>21960</v>
      </c>
      <c r="Q56" s="6">
        <f>1500*12</f>
        <v>18000</v>
      </c>
      <c r="R56" s="6">
        <f t="shared" ref="R56" si="104">Q56*0.22</f>
        <v>3960</v>
      </c>
      <c r="S56" s="6">
        <f t="shared" si="3"/>
        <v>21960</v>
      </c>
      <c r="T56" s="6">
        <f>1500*6</f>
        <v>9000</v>
      </c>
      <c r="U56" s="6">
        <f t="shared" si="100"/>
        <v>1980</v>
      </c>
      <c r="V56" s="6">
        <f t="shared" si="4"/>
        <v>10980</v>
      </c>
      <c r="W56" s="36"/>
    </row>
    <row r="57" spans="1:23" x14ac:dyDescent="0.25">
      <c r="A57" s="21" t="s">
        <v>182</v>
      </c>
      <c r="B57" s="4" t="s">
        <v>142</v>
      </c>
      <c r="C57" s="6">
        <v>144000</v>
      </c>
      <c r="D57" s="6">
        <f>C57*0.22</f>
        <v>31680</v>
      </c>
      <c r="E57" s="27">
        <f>C57+D57</f>
        <v>175680</v>
      </c>
      <c r="F57" s="33">
        <v>0.82</v>
      </c>
      <c r="G57" s="33">
        <v>0.18</v>
      </c>
      <c r="H57" s="6">
        <f>(800*4)*3</f>
        <v>9600</v>
      </c>
      <c r="I57" s="6">
        <f t="shared" ref="I57" si="105">H57*0.22</f>
        <v>2112</v>
      </c>
      <c r="J57" s="6">
        <f t="shared" si="0"/>
        <v>11712</v>
      </c>
      <c r="K57" s="6">
        <f>(800*4)*12</f>
        <v>38400</v>
      </c>
      <c r="L57" s="6">
        <f t="shared" ref="L57" si="106">K57*0.22</f>
        <v>8448</v>
      </c>
      <c r="M57" s="6">
        <f t="shared" si="1"/>
        <v>46848</v>
      </c>
      <c r="N57" s="6">
        <f>(800*4)*12</f>
        <v>38400</v>
      </c>
      <c r="O57" s="6">
        <f t="shared" ref="O57" si="107">N57*0.22</f>
        <v>8448</v>
      </c>
      <c r="P57" s="6">
        <f t="shared" si="2"/>
        <v>46848</v>
      </c>
      <c r="Q57" s="6">
        <f>(800*4)*12</f>
        <v>38400</v>
      </c>
      <c r="R57" s="6">
        <f t="shared" ref="R57" si="108">Q57*0.22</f>
        <v>8448</v>
      </c>
      <c r="S57" s="6">
        <f t="shared" si="3"/>
        <v>46848</v>
      </c>
      <c r="T57" s="6">
        <f>(800*4)*6</f>
        <v>19200</v>
      </c>
      <c r="U57" s="6">
        <f t="shared" si="100"/>
        <v>4224</v>
      </c>
      <c r="V57" s="6">
        <f t="shared" si="4"/>
        <v>23424</v>
      </c>
      <c r="W57" s="28"/>
    </row>
    <row r="58" spans="1:23" x14ac:dyDescent="0.25">
      <c r="A58" s="21" t="s">
        <v>183</v>
      </c>
      <c r="B58" s="4" t="s">
        <v>75</v>
      </c>
      <c r="C58" s="6">
        <f>15000/1.22</f>
        <v>12295.081967213115</v>
      </c>
      <c r="D58" s="6">
        <f>C58*0.22</f>
        <v>2704.9180327868853</v>
      </c>
      <c r="E58" s="27">
        <f>C58+D58</f>
        <v>15000</v>
      </c>
      <c r="F58" s="33">
        <v>0.82</v>
      </c>
      <c r="G58" s="33">
        <v>0.18</v>
      </c>
      <c r="H58" s="6">
        <f>(2459.01639344262/9)*3</f>
        <v>819.67213114754009</v>
      </c>
      <c r="I58" s="6">
        <f t="shared" ref="I58" si="109">H58*0.22</f>
        <v>180.32786885245881</v>
      </c>
      <c r="J58" s="6">
        <f t="shared" si="0"/>
        <v>999.99999999999886</v>
      </c>
      <c r="K58" s="6">
        <v>3278.688524590164</v>
      </c>
      <c r="L58" s="6">
        <f t="shared" ref="L58" si="110">K58*0.22</f>
        <v>721.31147540983613</v>
      </c>
      <c r="M58" s="6">
        <f t="shared" si="1"/>
        <v>4000</v>
      </c>
      <c r="N58" s="6">
        <v>3278.688524590164</v>
      </c>
      <c r="O58" s="6">
        <f t="shared" ref="O58" si="111">N58*0.22</f>
        <v>721.31147540983613</v>
      </c>
      <c r="P58" s="6">
        <f t="shared" si="2"/>
        <v>4000</v>
      </c>
      <c r="Q58" s="6">
        <v>3278.688524590164</v>
      </c>
      <c r="R58" s="6">
        <f t="shared" ref="R58" si="112">Q58*0.22</f>
        <v>721.31147540983613</v>
      </c>
      <c r="S58" s="6">
        <f t="shared" si="3"/>
        <v>4000</v>
      </c>
      <c r="T58" s="6">
        <f>(3278.68852459016/12)*6</f>
        <v>1639.3442622950802</v>
      </c>
      <c r="U58" s="6">
        <f t="shared" si="100"/>
        <v>360.65573770491761</v>
      </c>
      <c r="V58" s="6">
        <f t="shared" si="4"/>
        <v>1999.9999999999977</v>
      </c>
      <c r="W58" s="28"/>
    </row>
    <row r="59" spans="1:23" x14ac:dyDescent="0.25">
      <c r="A59" s="21" t="s">
        <v>184</v>
      </c>
      <c r="B59" s="4" t="s">
        <v>76</v>
      </c>
      <c r="C59" s="6">
        <f>160000/1.22</f>
        <v>131147.54098360657</v>
      </c>
      <c r="D59" s="6">
        <f>C59*0.22</f>
        <v>28852.459016393444</v>
      </c>
      <c r="E59" s="27">
        <f>C59+D59</f>
        <v>160000</v>
      </c>
      <c r="F59" s="33">
        <v>0.82</v>
      </c>
      <c r="G59" s="33">
        <v>0.18</v>
      </c>
      <c r="H59" s="6">
        <v>0</v>
      </c>
      <c r="I59" s="6">
        <f t="shared" ref="I59" si="113">H59*0.22</f>
        <v>0</v>
      </c>
      <c r="J59" s="6">
        <f t="shared" si="0"/>
        <v>0</v>
      </c>
      <c r="K59" s="6">
        <f>$C$59/3</f>
        <v>43715.846994535525</v>
      </c>
      <c r="L59" s="6">
        <f t="shared" ref="L59" si="114">K59*0.22</f>
        <v>9617.4863387978148</v>
      </c>
      <c r="M59" s="6">
        <f t="shared" si="1"/>
        <v>53333.333333333343</v>
      </c>
      <c r="N59" s="6">
        <f>$C$59/3</f>
        <v>43715.846994535525</v>
      </c>
      <c r="O59" s="6">
        <f t="shared" ref="O59" si="115">N59*0.22</f>
        <v>9617.4863387978148</v>
      </c>
      <c r="P59" s="6">
        <f t="shared" si="2"/>
        <v>53333.333333333343</v>
      </c>
      <c r="Q59" s="6">
        <f>$C$59/3</f>
        <v>43715.846994535525</v>
      </c>
      <c r="R59" s="6">
        <f t="shared" ref="R59" si="116">Q59*0.22</f>
        <v>9617.4863387978148</v>
      </c>
      <c r="S59" s="6">
        <f t="shared" si="3"/>
        <v>53333.333333333343</v>
      </c>
      <c r="T59" s="6">
        <v>0</v>
      </c>
      <c r="U59" s="6">
        <f t="shared" si="100"/>
        <v>0</v>
      </c>
      <c r="V59" s="6">
        <f t="shared" si="4"/>
        <v>0</v>
      </c>
      <c r="W59" s="28"/>
    </row>
    <row r="60" spans="1:23" x14ac:dyDescent="0.25">
      <c r="A60" s="14">
        <v>2.4</v>
      </c>
      <c r="B60" s="29" t="s">
        <v>193</v>
      </c>
      <c r="C60" s="16">
        <f t="shared" ref="C60:E60" si="117">C61</f>
        <v>356885.24590163934</v>
      </c>
      <c r="D60" s="16">
        <f t="shared" si="117"/>
        <v>78514.75409836066</v>
      </c>
      <c r="E60" s="16">
        <f t="shared" si="117"/>
        <v>435400</v>
      </c>
      <c r="F60" s="26"/>
      <c r="G60" s="26"/>
      <c r="H60" s="16">
        <f t="shared" ref="H60:U60" si="118">H61</f>
        <v>39654</v>
      </c>
      <c r="I60" s="16">
        <f t="shared" si="118"/>
        <v>8723.880000000001</v>
      </c>
      <c r="J60" s="16">
        <f t="shared" si="0"/>
        <v>48377.880000000005</v>
      </c>
      <c r="K60" s="16">
        <f t="shared" si="118"/>
        <v>118962</v>
      </c>
      <c r="L60" s="16">
        <f t="shared" si="118"/>
        <v>26171.640000000003</v>
      </c>
      <c r="M60" s="16">
        <f t="shared" si="1"/>
        <v>145133.64000000001</v>
      </c>
      <c r="N60" s="16">
        <f t="shared" si="118"/>
        <v>118962</v>
      </c>
      <c r="O60" s="16">
        <f t="shared" si="118"/>
        <v>26171.640000000003</v>
      </c>
      <c r="P60" s="16">
        <f t="shared" si="2"/>
        <v>145133.64000000001</v>
      </c>
      <c r="Q60" s="16">
        <f t="shared" si="118"/>
        <v>79307</v>
      </c>
      <c r="R60" s="16">
        <f t="shared" si="118"/>
        <v>17447.54</v>
      </c>
      <c r="S60" s="16">
        <f t="shared" si="3"/>
        <v>96754.540000000008</v>
      </c>
      <c r="T60" s="16">
        <f t="shared" si="118"/>
        <v>0</v>
      </c>
      <c r="U60" s="16">
        <f t="shared" si="118"/>
        <v>0</v>
      </c>
      <c r="V60" s="16">
        <f t="shared" si="4"/>
        <v>0</v>
      </c>
      <c r="W60" s="28"/>
    </row>
    <row r="61" spans="1:23" ht="24" x14ac:dyDescent="0.25">
      <c r="A61" s="30" t="s">
        <v>77</v>
      </c>
      <c r="B61" s="31" t="s">
        <v>78</v>
      </c>
      <c r="C61" s="32">
        <f>SUM(C62:C64)</f>
        <v>356885.24590163934</v>
      </c>
      <c r="D61" s="32">
        <f t="shared" ref="D61:U61" si="119">SUM(D62:D64)</f>
        <v>78514.75409836066</v>
      </c>
      <c r="E61" s="32">
        <f t="shared" si="119"/>
        <v>435400</v>
      </c>
      <c r="F61" s="32"/>
      <c r="G61" s="32"/>
      <c r="H61" s="32">
        <f t="shared" si="119"/>
        <v>39654</v>
      </c>
      <c r="I61" s="32">
        <f t="shared" si="119"/>
        <v>8723.880000000001</v>
      </c>
      <c r="J61" s="32">
        <f t="shared" si="0"/>
        <v>48377.880000000005</v>
      </c>
      <c r="K61" s="32">
        <f t="shared" si="119"/>
        <v>118962</v>
      </c>
      <c r="L61" s="32">
        <f t="shared" si="119"/>
        <v>26171.640000000003</v>
      </c>
      <c r="M61" s="32">
        <f t="shared" si="1"/>
        <v>145133.64000000001</v>
      </c>
      <c r="N61" s="32">
        <f t="shared" si="119"/>
        <v>118962</v>
      </c>
      <c r="O61" s="32">
        <f t="shared" si="119"/>
        <v>26171.640000000003</v>
      </c>
      <c r="P61" s="32">
        <f t="shared" si="2"/>
        <v>145133.64000000001</v>
      </c>
      <c r="Q61" s="32">
        <f t="shared" si="119"/>
        <v>79307</v>
      </c>
      <c r="R61" s="32">
        <f t="shared" si="119"/>
        <v>17447.54</v>
      </c>
      <c r="S61" s="32">
        <f t="shared" si="3"/>
        <v>96754.540000000008</v>
      </c>
      <c r="T61" s="32">
        <f t="shared" si="119"/>
        <v>0</v>
      </c>
      <c r="U61" s="32">
        <f t="shared" si="119"/>
        <v>0</v>
      </c>
      <c r="V61" s="32">
        <f t="shared" si="4"/>
        <v>0</v>
      </c>
      <c r="W61" s="28"/>
    </row>
    <row r="62" spans="1:23" x14ac:dyDescent="0.25">
      <c r="A62" s="21" t="s">
        <v>79</v>
      </c>
      <c r="B62" s="4" t="s">
        <v>80</v>
      </c>
      <c r="C62" s="6">
        <v>30000</v>
      </c>
      <c r="D62" s="6">
        <f>C62*0.22</f>
        <v>6600</v>
      </c>
      <c r="E62" s="27">
        <f>C62+D62</f>
        <v>36600</v>
      </c>
      <c r="F62" s="33">
        <v>0.82</v>
      </c>
      <c r="G62" s="33">
        <v>0.18</v>
      </c>
      <c r="H62" s="6">
        <f>C62</f>
        <v>30000</v>
      </c>
      <c r="I62" s="6">
        <f t="shared" ref="I62:I63" si="120">H62*0.22</f>
        <v>6600</v>
      </c>
      <c r="J62" s="6">
        <f t="shared" si="0"/>
        <v>36600</v>
      </c>
      <c r="K62" s="6">
        <v>0</v>
      </c>
      <c r="L62" s="6">
        <f t="shared" ref="L62:L64" si="121">K62*0.22</f>
        <v>0</v>
      </c>
      <c r="M62" s="6">
        <f t="shared" si="1"/>
        <v>0</v>
      </c>
      <c r="N62" s="6">
        <v>0</v>
      </c>
      <c r="O62" s="6">
        <f t="shared" ref="O62:O64" si="122">N62*0.22</f>
        <v>0</v>
      </c>
      <c r="P62" s="6">
        <f t="shared" si="2"/>
        <v>0</v>
      </c>
      <c r="Q62" s="6">
        <v>0</v>
      </c>
      <c r="R62" s="6">
        <f t="shared" ref="R62:R64" si="123">Q62*0.22</f>
        <v>0</v>
      </c>
      <c r="S62" s="6">
        <f t="shared" si="3"/>
        <v>0</v>
      </c>
      <c r="T62" s="6">
        <v>0</v>
      </c>
      <c r="U62" s="6">
        <f t="shared" ref="U62:U64" si="124">T62*0.22</f>
        <v>0</v>
      </c>
      <c r="V62" s="6">
        <f t="shared" si="4"/>
        <v>0</v>
      </c>
      <c r="W62" s="28"/>
    </row>
    <row r="63" spans="1:23" x14ac:dyDescent="0.25">
      <c r="A63" s="21" t="s">
        <v>186</v>
      </c>
      <c r="B63" s="4" t="s">
        <v>81</v>
      </c>
      <c r="C63" s="6">
        <v>40000</v>
      </c>
      <c r="D63" s="6">
        <f>C63*0.22</f>
        <v>8800</v>
      </c>
      <c r="E63" s="27">
        <f>C63+D63</f>
        <v>48800</v>
      </c>
      <c r="F63" s="33">
        <v>0.82</v>
      </c>
      <c r="G63" s="33">
        <v>0.18</v>
      </c>
      <c r="H63" s="6">
        <v>9654</v>
      </c>
      <c r="I63" s="6">
        <f t="shared" si="120"/>
        <v>2123.88</v>
      </c>
      <c r="J63" s="6">
        <f t="shared" si="0"/>
        <v>11777.880000000001</v>
      </c>
      <c r="K63" s="6">
        <v>15173</v>
      </c>
      <c r="L63" s="6">
        <f t="shared" si="121"/>
        <v>3338.06</v>
      </c>
      <c r="M63" s="6">
        <f t="shared" si="1"/>
        <v>18511.060000000001</v>
      </c>
      <c r="N63" s="6">
        <v>15173</v>
      </c>
      <c r="O63" s="6">
        <f t="shared" si="122"/>
        <v>3338.06</v>
      </c>
      <c r="P63" s="6">
        <f t="shared" si="2"/>
        <v>18511.060000000001</v>
      </c>
      <c r="Q63" s="6">
        <v>0</v>
      </c>
      <c r="R63" s="6">
        <f t="shared" si="123"/>
        <v>0</v>
      </c>
      <c r="S63" s="6">
        <f t="shared" si="3"/>
        <v>0</v>
      </c>
      <c r="T63" s="6">
        <v>0</v>
      </c>
      <c r="U63" s="6">
        <f t="shared" si="124"/>
        <v>0</v>
      </c>
      <c r="V63" s="6">
        <f t="shared" si="4"/>
        <v>0</v>
      </c>
      <c r="W63" s="28"/>
    </row>
    <row r="64" spans="1:23" x14ac:dyDescent="0.25">
      <c r="A64" s="21" t="s">
        <v>187</v>
      </c>
      <c r="B64" s="4" t="s">
        <v>82</v>
      </c>
      <c r="C64" s="6">
        <f>350000/1.22</f>
        <v>286885.24590163934</v>
      </c>
      <c r="D64" s="6">
        <f>C64*0.22</f>
        <v>63114.754098360652</v>
      </c>
      <c r="E64" s="27">
        <f>C64+D64</f>
        <v>350000</v>
      </c>
      <c r="F64" s="33">
        <v>0.82</v>
      </c>
      <c r="G64" s="33">
        <v>0.18</v>
      </c>
      <c r="H64" s="6"/>
      <c r="I64" s="6"/>
      <c r="J64" s="6">
        <f t="shared" si="0"/>
        <v>0</v>
      </c>
      <c r="K64" s="6">
        <v>103789</v>
      </c>
      <c r="L64" s="6">
        <f t="shared" si="121"/>
        <v>22833.58</v>
      </c>
      <c r="M64" s="6">
        <f t="shared" si="1"/>
        <v>126622.58</v>
      </c>
      <c r="N64" s="6">
        <v>103789</v>
      </c>
      <c r="O64" s="6">
        <f t="shared" si="122"/>
        <v>22833.58</v>
      </c>
      <c r="P64" s="6">
        <f t="shared" si="2"/>
        <v>126622.58</v>
      </c>
      <c r="Q64" s="6">
        <v>79307</v>
      </c>
      <c r="R64" s="6">
        <f t="shared" si="123"/>
        <v>17447.54</v>
      </c>
      <c r="S64" s="6">
        <f t="shared" si="3"/>
        <v>96754.540000000008</v>
      </c>
      <c r="T64" s="6">
        <v>0</v>
      </c>
      <c r="U64" s="6">
        <f t="shared" si="124"/>
        <v>0</v>
      </c>
      <c r="V64" s="6">
        <f t="shared" si="4"/>
        <v>0</v>
      </c>
      <c r="W64" s="28"/>
    </row>
    <row r="65" spans="1:23" x14ac:dyDescent="0.25">
      <c r="A65" s="14">
        <v>2.5</v>
      </c>
      <c r="B65" s="29" t="s">
        <v>194</v>
      </c>
      <c r="C65" s="16">
        <f t="shared" ref="C65:E65" si="125">C66</f>
        <v>267794.42622950819</v>
      </c>
      <c r="D65" s="16">
        <f t="shared" si="125"/>
        <v>58914.773770491796</v>
      </c>
      <c r="E65" s="16">
        <f t="shared" si="125"/>
        <v>326709.2</v>
      </c>
      <c r="F65" s="26"/>
      <c r="G65" s="26"/>
      <c r="H65" s="16">
        <f t="shared" ref="H65:U65" si="126">H66</f>
        <v>53558.885245901634</v>
      </c>
      <c r="I65" s="16">
        <f t="shared" si="126"/>
        <v>11782.954754098359</v>
      </c>
      <c r="J65" s="16">
        <f t="shared" si="0"/>
        <v>65341.84</v>
      </c>
      <c r="K65" s="16">
        <f t="shared" si="126"/>
        <v>53558.885245901634</v>
      </c>
      <c r="L65" s="16">
        <f t="shared" si="126"/>
        <v>11782.954754098359</v>
      </c>
      <c r="M65" s="16">
        <f t="shared" si="1"/>
        <v>65341.84</v>
      </c>
      <c r="N65" s="16">
        <f t="shared" si="126"/>
        <v>53558.885245901634</v>
      </c>
      <c r="O65" s="16">
        <f t="shared" si="126"/>
        <v>11782.954754098359</v>
      </c>
      <c r="P65" s="16">
        <f t="shared" si="2"/>
        <v>65341.84</v>
      </c>
      <c r="Q65" s="16">
        <f t="shared" si="126"/>
        <v>53558.885245901634</v>
      </c>
      <c r="R65" s="16">
        <f t="shared" si="126"/>
        <v>11782.954754098359</v>
      </c>
      <c r="S65" s="16">
        <f t="shared" si="3"/>
        <v>65341.84</v>
      </c>
      <c r="T65" s="16">
        <f t="shared" si="126"/>
        <v>53558.885245901634</v>
      </c>
      <c r="U65" s="16">
        <f t="shared" si="126"/>
        <v>11782.954754098359</v>
      </c>
      <c r="V65" s="16">
        <f t="shared" si="4"/>
        <v>65341.84</v>
      </c>
      <c r="W65" s="28"/>
    </row>
    <row r="66" spans="1:23" ht="24" x14ac:dyDescent="0.25">
      <c r="A66" s="30" t="s">
        <v>83</v>
      </c>
      <c r="B66" s="31" t="s">
        <v>84</v>
      </c>
      <c r="C66" s="32">
        <f>SUM(C67:C68)</f>
        <v>267794.42622950819</v>
      </c>
      <c r="D66" s="32">
        <f t="shared" ref="D66:U66" si="127">SUM(D67:D68)</f>
        <v>58914.773770491796</v>
      </c>
      <c r="E66" s="32">
        <f t="shared" si="127"/>
        <v>326709.2</v>
      </c>
      <c r="F66" s="32"/>
      <c r="G66" s="32"/>
      <c r="H66" s="32">
        <f t="shared" si="127"/>
        <v>53558.885245901634</v>
      </c>
      <c r="I66" s="32">
        <f t="shared" si="127"/>
        <v>11782.954754098359</v>
      </c>
      <c r="J66" s="32">
        <f t="shared" si="0"/>
        <v>65341.84</v>
      </c>
      <c r="K66" s="32">
        <f t="shared" si="127"/>
        <v>53558.885245901634</v>
      </c>
      <c r="L66" s="32">
        <f t="shared" si="127"/>
        <v>11782.954754098359</v>
      </c>
      <c r="M66" s="32">
        <f t="shared" si="1"/>
        <v>65341.84</v>
      </c>
      <c r="N66" s="32">
        <f t="shared" si="127"/>
        <v>53558.885245901634</v>
      </c>
      <c r="O66" s="32">
        <f t="shared" si="127"/>
        <v>11782.954754098359</v>
      </c>
      <c r="P66" s="32">
        <f t="shared" si="2"/>
        <v>65341.84</v>
      </c>
      <c r="Q66" s="32">
        <f t="shared" si="127"/>
        <v>53558.885245901634</v>
      </c>
      <c r="R66" s="32">
        <f t="shared" si="127"/>
        <v>11782.954754098359</v>
      </c>
      <c r="S66" s="32">
        <f t="shared" si="3"/>
        <v>65341.84</v>
      </c>
      <c r="T66" s="32">
        <f t="shared" si="127"/>
        <v>53558.885245901634</v>
      </c>
      <c r="U66" s="32">
        <f t="shared" si="127"/>
        <v>11782.954754098359</v>
      </c>
      <c r="V66" s="32">
        <f t="shared" si="4"/>
        <v>65341.84</v>
      </c>
      <c r="W66" s="28"/>
    </row>
    <row r="67" spans="1:23" x14ac:dyDescent="0.25">
      <c r="A67" s="21" t="s">
        <v>85</v>
      </c>
      <c r="B67" s="5" t="s">
        <v>129</v>
      </c>
      <c r="C67" s="6">
        <v>103860</v>
      </c>
      <c r="D67" s="6">
        <f>C67*0.22</f>
        <v>22849.200000000001</v>
      </c>
      <c r="E67" s="6">
        <f>C67+D67</f>
        <v>126709.2</v>
      </c>
      <c r="F67" s="33">
        <v>0.82</v>
      </c>
      <c r="G67" s="33">
        <v>0.18</v>
      </c>
      <c r="H67" s="6">
        <f>$C$67/5</f>
        <v>20772</v>
      </c>
      <c r="I67" s="6">
        <f t="shared" ref="I67:I68" si="128">H67*0.22</f>
        <v>4569.84</v>
      </c>
      <c r="J67" s="6">
        <f t="shared" si="0"/>
        <v>25341.84</v>
      </c>
      <c r="K67" s="6">
        <f>$C$67/5</f>
        <v>20772</v>
      </c>
      <c r="L67" s="6">
        <f t="shared" ref="L67:L68" si="129">K67*0.22</f>
        <v>4569.84</v>
      </c>
      <c r="M67" s="6">
        <f t="shared" si="1"/>
        <v>25341.84</v>
      </c>
      <c r="N67" s="6">
        <f>$C$67/5</f>
        <v>20772</v>
      </c>
      <c r="O67" s="6">
        <f t="shared" ref="O67:O68" si="130">N67*0.22</f>
        <v>4569.84</v>
      </c>
      <c r="P67" s="6">
        <f t="shared" si="2"/>
        <v>25341.84</v>
      </c>
      <c r="Q67" s="6">
        <f>$C$67/5</f>
        <v>20772</v>
      </c>
      <c r="R67" s="6">
        <f t="shared" ref="R67:R68" si="131">Q67*0.22</f>
        <v>4569.84</v>
      </c>
      <c r="S67" s="6">
        <f t="shared" si="3"/>
        <v>25341.84</v>
      </c>
      <c r="T67" s="6">
        <f>$C$67/5</f>
        <v>20772</v>
      </c>
      <c r="U67" s="6">
        <f t="shared" ref="U67:U68" si="132">T67*0.22</f>
        <v>4569.84</v>
      </c>
      <c r="V67" s="6">
        <f t="shared" si="4"/>
        <v>25341.84</v>
      </c>
      <c r="W67" s="28"/>
    </row>
    <row r="68" spans="1:23" x14ac:dyDescent="0.25">
      <c r="A68" s="21" t="s">
        <v>185</v>
      </c>
      <c r="B68" s="5" t="s">
        <v>86</v>
      </c>
      <c r="C68" s="6">
        <f>200000/1.22</f>
        <v>163934.42622950819</v>
      </c>
      <c r="D68" s="6">
        <f>C68*0.22</f>
        <v>36065.573770491799</v>
      </c>
      <c r="E68" s="27">
        <f>C68+D68</f>
        <v>200000</v>
      </c>
      <c r="F68" s="33">
        <v>0.82</v>
      </c>
      <c r="G68" s="33">
        <v>0.18</v>
      </c>
      <c r="H68" s="6">
        <f>$C$68/5</f>
        <v>32786.885245901634</v>
      </c>
      <c r="I68" s="6">
        <f t="shared" si="128"/>
        <v>7213.1147540983593</v>
      </c>
      <c r="J68" s="6">
        <f t="shared" si="0"/>
        <v>39999.999999999993</v>
      </c>
      <c r="K68" s="6">
        <f>$C$68/5</f>
        <v>32786.885245901634</v>
      </c>
      <c r="L68" s="6">
        <f t="shared" si="129"/>
        <v>7213.1147540983593</v>
      </c>
      <c r="M68" s="6">
        <f t="shared" si="1"/>
        <v>39999.999999999993</v>
      </c>
      <c r="N68" s="6">
        <f>$C$68/5</f>
        <v>32786.885245901634</v>
      </c>
      <c r="O68" s="6">
        <f t="shared" si="130"/>
        <v>7213.1147540983593</v>
      </c>
      <c r="P68" s="6">
        <f t="shared" si="2"/>
        <v>39999.999999999993</v>
      </c>
      <c r="Q68" s="6">
        <f>$C$68/5</f>
        <v>32786.885245901634</v>
      </c>
      <c r="R68" s="6">
        <f t="shared" si="131"/>
        <v>7213.1147540983593</v>
      </c>
      <c r="S68" s="6">
        <f t="shared" si="3"/>
        <v>39999.999999999993</v>
      </c>
      <c r="T68" s="6">
        <f>$C$68/5</f>
        <v>32786.885245901634</v>
      </c>
      <c r="U68" s="6">
        <f t="shared" si="132"/>
        <v>7213.1147540983593</v>
      </c>
      <c r="V68" s="6">
        <f t="shared" si="4"/>
        <v>39999.999999999993</v>
      </c>
      <c r="W68" s="28"/>
    </row>
    <row r="69" spans="1:23" x14ac:dyDescent="0.25">
      <c r="A69" s="12"/>
      <c r="B69" s="24" t="s">
        <v>87</v>
      </c>
      <c r="C69" s="2">
        <f>C67+C41+C48+C53+C60+C65</f>
        <v>1743204.4262295081</v>
      </c>
      <c r="D69" s="2">
        <f>D67+D41+D48+D53+D60+D65</f>
        <v>383504.97377049178</v>
      </c>
      <c r="E69" s="2">
        <f>E41+E48+E53+E60+E65</f>
        <v>2000000.2</v>
      </c>
      <c r="F69" s="2"/>
      <c r="G69" s="2"/>
      <c r="H69" s="2">
        <f>H41+H48+H53+H60+H65</f>
        <v>238440.05737704918</v>
      </c>
      <c r="I69" s="2">
        <f t="shared" ref="I69:U69" si="133">I41+I48+I53+I60+I65</f>
        <v>52456.81262295082</v>
      </c>
      <c r="J69" s="2">
        <f t="shared" si="0"/>
        <v>290896.87</v>
      </c>
      <c r="K69" s="2">
        <f t="shared" si="133"/>
        <v>433292.67486338801</v>
      </c>
      <c r="L69" s="2">
        <f t="shared" si="133"/>
        <v>95324.388469945363</v>
      </c>
      <c r="M69" s="2">
        <f t="shared" si="1"/>
        <v>528617.06333333335</v>
      </c>
      <c r="N69" s="2">
        <f t="shared" si="133"/>
        <v>433292.67486338801</v>
      </c>
      <c r="O69" s="2">
        <f t="shared" si="133"/>
        <v>95324.388469945363</v>
      </c>
      <c r="P69" s="2">
        <f t="shared" si="2"/>
        <v>528617.06333333335</v>
      </c>
      <c r="Q69" s="2">
        <f t="shared" si="133"/>
        <v>393637.67486338801</v>
      </c>
      <c r="R69" s="2">
        <f t="shared" si="133"/>
        <v>86600.288469945357</v>
      </c>
      <c r="S69" s="2">
        <f t="shared" si="3"/>
        <v>480237.96333333338</v>
      </c>
      <c r="T69" s="2">
        <f t="shared" si="133"/>
        <v>140681.26229508198</v>
      </c>
      <c r="U69" s="2">
        <f t="shared" si="133"/>
        <v>30949.877704918032</v>
      </c>
      <c r="V69" s="2">
        <f t="shared" si="4"/>
        <v>171631.14</v>
      </c>
      <c r="W69" s="36"/>
    </row>
    <row r="70" spans="1:23" ht="24" x14ac:dyDescent="0.25">
      <c r="A70" s="11">
        <v>3</v>
      </c>
      <c r="B70" s="12" t="s">
        <v>88</v>
      </c>
      <c r="C70" s="13">
        <f>C71+C94+C99</f>
        <v>2304881</v>
      </c>
      <c r="D70" s="13">
        <f>D71+D94+D99</f>
        <v>795340.46</v>
      </c>
      <c r="E70" s="13">
        <f>E71+E94+E99</f>
        <v>3100221.46</v>
      </c>
      <c r="F70" s="25"/>
      <c r="G70" s="25"/>
      <c r="H70" s="13">
        <f>H71+H94+H99</f>
        <v>351294.8</v>
      </c>
      <c r="I70" s="13">
        <f>I71+I94+I99</f>
        <v>87313.245999999985</v>
      </c>
      <c r="J70" s="13">
        <f t="shared" si="0"/>
        <v>438608.04599999997</v>
      </c>
      <c r="K70" s="13">
        <f>K71+K94+K99</f>
        <v>457652.8</v>
      </c>
      <c r="L70" s="13">
        <f>L71+L94+L99</f>
        <v>119022.226</v>
      </c>
      <c r="M70" s="13">
        <f t="shared" si="1"/>
        <v>576675.02599999995</v>
      </c>
      <c r="N70" s="13">
        <f>N71+N94+N99</f>
        <v>549557.80000000005</v>
      </c>
      <c r="O70" s="13">
        <f>O71+O94+O99</f>
        <v>152716.50599999999</v>
      </c>
      <c r="P70" s="13">
        <f t="shared" si="2"/>
        <v>702274.3060000001</v>
      </c>
      <c r="Q70" s="13">
        <f>Q71+Q94+Q99</f>
        <v>508574.8</v>
      </c>
      <c r="R70" s="13">
        <f>R71+R94+R99</f>
        <v>143700.24599999998</v>
      </c>
      <c r="S70" s="13">
        <f t="shared" si="3"/>
        <v>652275.04599999997</v>
      </c>
      <c r="T70" s="13">
        <f>T71+T94+T99</f>
        <v>561557.80000000005</v>
      </c>
      <c r="U70" s="13">
        <f>U71+U94+U99</f>
        <v>168831.68599999999</v>
      </c>
      <c r="V70" s="13">
        <f t="shared" si="4"/>
        <v>730389.48600000003</v>
      </c>
      <c r="W70" s="28"/>
    </row>
    <row r="71" spans="1:23" x14ac:dyDescent="0.25">
      <c r="A71" s="14">
        <v>3.1</v>
      </c>
      <c r="B71" s="15" t="s">
        <v>148</v>
      </c>
      <c r="C71" s="16">
        <f>C72+C78+C82+C85+C89</f>
        <v>1384093</v>
      </c>
      <c r="D71" s="16">
        <f>D72+D78+D82+D85+D89</f>
        <v>304500.45999999996</v>
      </c>
      <c r="E71" s="16">
        <f>E72+E78+E82+E85+E89</f>
        <v>1688593.46</v>
      </c>
      <c r="F71" s="16"/>
      <c r="G71" s="16"/>
      <c r="H71" s="16">
        <f>H72+H78+H82+H85+H89</f>
        <v>242113.8</v>
      </c>
      <c r="I71" s="16">
        <f>I72+I78+I82+I85+I89</f>
        <v>53265.035999999993</v>
      </c>
      <c r="J71" s="16">
        <f t="shared" si="0"/>
        <v>295378.83600000001</v>
      </c>
      <c r="K71" s="16">
        <f>K72+K78+K82+K85+K89</f>
        <v>294733.8</v>
      </c>
      <c r="L71" s="16">
        <f>L72+L78+L82+L85+L89</f>
        <v>64841.435999999994</v>
      </c>
      <c r="M71" s="16">
        <f t="shared" si="1"/>
        <v>359575.23599999998</v>
      </c>
      <c r="N71" s="16">
        <f>N72+N78+N82+N85+N89</f>
        <v>315716.8</v>
      </c>
      <c r="O71" s="16">
        <f>O72+O78+O82+O85+O89</f>
        <v>69457.695999999996</v>
      </c>
      <c r="P71" s="16">
        <f t="shared" si="2"/>
        <v>385174.49599999998</v>
      </c>
      <c r="Q71" s="16">
        <f>Q72+Q78+Q82+Q85+Q89</f>
        <v>274733.8</v>
      </c>
      <c r="R71" s="16">
        <f>R72+R78+R82+R85+R89</f>
        <v>60441.435999999994</v>
      </c>
      <c r="S71" s="16">
        <f t="shared" si="3"/>
        <v>335175.23599999998</v>
      </c>
      <c r="T71" s="16">
        <f>T72+T78+T82+T85+T89</f>
        <v>256794.8</v>
      </c>
      <c r="U71" s="16">
        <f>U72+U78+U82+U85+U89</f>
        <v>56494.856</v>
      </c>
      <c r="V71" s="16">
        <f t="shared" si="4"/>
        <v>313289.65599999996</v>
      </c>
      <c r="W71" s="28"/>
    </row>
    <row r="72" spans="1:23" x14ac:dyDescent="0.25">
      <c r="A72" s="18" t="s">
        <v>89</v>
      </c>
      <c r="B72" s="19" t="s">
        <v>90</v>
      </c>
      <c r="C72" s="20">
        <f>SUM(C73:C77)</f>
        <v>854400</v>
      </c>
      <c r="D72" s="20">
        <f>SUM(D73:D77)</f>
        <v>187968</v>
      </c>
      <c r="E72" s="20">
        <f>SUM(E73:E77)</f>
        <v>1042368</v>
      </c>
      <c r="F72" s="3"/>
      <c r="G72" s="3"/>
      <c r="H72" s="20">
        <f>SUM(H73:H77)</f>
        <v>106800</v>
      </c>
      <c r="I72" s="20">
        <f>SUM(I73:I77)</f>
        <v>23496</v>
      </c>
      <c r="J72" s="20">
        <f t="shared" ref="J72:J114" si="134">H72+I72</f>
        <v>130296</v>
      </c>
      <c r="K72" s="20">
        <f>SUM(K73:K77)</f>
        <v>213600</v>
      </c>
      <c r="L72" s="20">
        <f>SUM(L73:L77)</f>
        <v>46992</v>
      </c>
      <c r="M72" s="20">
        <f t="shared" ref="M72:M114" si="135">K72+L72</f>
        <v>260592</v>
      </c>
      <c r="N72" s="20">
        <f>SUM(N73:N77)</f>
        <v>213600</v>
      </c>
      <c r="O72" s="20">
        <f>SUM(O73:O77)</f>
        <v>46992</v>
      </c>
      <c r="P72" s="20">
        <f t="shared" ref="P72:P114" si="136">N72+O72</f>
        <v>260592</v>
      </c>
      <c r="Q72" s="20">
        <f>SUM(Q73:Q77)</f>
        <v>213600</v>
      </c>
      <c r="R72" s="20">
        <f>SUM(R73:R77)</f>
        <v>46992</v>
      </c>
      <c r="S72" s="20">
        <f t="shared" ref="S72:S114" si="137">Q72+R72</f>
        <v>260592</v>
      </c>
      <c r="T72" s="20">
        <f>SUM(T73:T77)</f>
        <v>106800</v>
      </c>
      <c r="U72" s="20">
        <f>SUM(U73:U77)</f>
        <v>23496</v>
      </c>
      <c r="V72" s="20">
        <f t="shared" ref="V72:V114" si="138">T72+U72</f>
        <v>130296</v>
      </c>
      <c r="W72" s="28"/>
    </row>
    <row r="73" spans="1:23" x14ac:dyDescent="0.25">
      <c r="A73" s="37" t="s">
        <v>91</v>
      </c>
      <c r="B73" s="5" t="s">
        <v>92</v>
      </c>
      <c r="C73" s="6">
        <f>2800*48</f>
        <v>134400</v>
      </c>
      <c r="D73" s="6">
        <f>(2800*0.22)*48</f>
        <v>29568</v>
      </c>
      <c r="E73" s="6">
        <f>C73+D73</f>
        <v>163968</v>
      </c>
      <c r="F73" s="33">
        <v>0.82</v>
      </c>
      <c r="G73" s="33">
        <v>0.18</v>
      </c>
      <c r="H73" s="6">
        <f>2800*6</f>
        <v>16800</v>
      </c>
      <c r="I73" s="6">
        <f t="shared" ref="I73:O79" si="139">H73*0.22</f>
        <v>3696</v>
      </c>
      <c r="J73" s="6">
        <f t="shared" si="134"/>
        <v>20496</v>
      </c>
      <c r="K73" s="6">
        <f t="shared" ref="K73:Q74" si="140">2800*12</f>
        <v>33600</v>
      </c>
      <c r="L73" s="6">
        <f t="shared" si="139"/>
        <v>7392</v>
      </c>
      <c r="M73" s="6">
        <f t="shared" si="135"/>
        <v>40992</v>
      </c>
      <c r="N73" s="6">
        <f t="shared" si="140"/>
        <v>33600</v>
      </c>
      <c r="O73" s="6">
        <f t="shared" ref="O73" si="141">N73*0.22</f>
        <v>7392</v>
      </c>
      <c r="P73" s="6">
        <f t="shared" si="136"/>
        <v>40992</v>
      </c>
      <c r="Q73" s="6">
        <f t="shared" si="140"/>
        <v>33600</v>
      </c>
      <c r="R73" s="6">
        <f t="shared" ref="R73" si="142">Q73*0.22</f>
        <v>7392</v>
      </c>
      <c r="S73" s="6">
        <f t="shared" si="137"/>
        <v>40992</v>
      </c>
      <c r="T73" s="6">
        <f>2800*6</f>
        <v>16800</v>
      </c>
      <c r="U73" s="6">
        <f t="shared" ref="U73" si="143">T73*0.22</f>
        <v>3696</v>
      </c>
      <c r="V73" s="6">
        <f t="shared" si="138"/>
        <v>20496</v>
      </c>
      <c r="W73" s="28"/>
    </row>
    <row r="74" spans="1:23" x14ac:dyDescent="0.25">
      <c r="A74" s="37" t="s">
        <v>93</v>
      </c>
      <c r="B74" s="5" t="s">
        <v>94</v>
      </c>
      <c r="C74" s="6">
        <f>2800*48</f>
        <v>134400</v>
      </c>
      <c r="D74" s="6">
        <f>(2800*0.22)*48</f>
        <v>29568</v>
      </c>
      <c r="E74" s="6">
        <f>C74+D74</f>
        <v>163968</v>
      </c>
      <c r="F74" s="33">
        <v>0.82</v>
      </c>
      <c r="G74" s="33">
        <v>0.18</v>
      </c>
      <c r="H74" s="6">
        <f>2800*6</f>
        <v>16800</v>
      </c>
      <c r="I74" s="6">
        <f t="shared" si="139"/>
        <v>3696</v>
      </c>
      <c r="J74" s="6">
        <f t="shared" si="134"/>
        <v>20496</v>
      </c>
      <c r="K74" s="6">
        <f t="shared" si="140"/>
        <v>33600</v>
      </c>
      <c r="L74" s="6">
        <f t="shared" si="139"/>
        <v>7392</v>
      </c>
      <c r="M74" s="6">
        <f t="shared" si="135"/>
        <v>40992</v>
      </c>
      <c r="N74" s="6">
        <f t="shared" si="140"/>
        <v>33600</v>
      </c>
      <c r="O74" s="6">
        <f t="shared" ref="O74" si="144">N74*0.22</f>
        <v>7392</v>
      </c>
      <c r="P74" s="6">
        <f t="shared" si="136"/>
        <v>40992</v>
      </c>
      <c r="Q74" s="6">
        <f t="shared" si="140"/>
        <v>33600</v>
      </c>
      <c r="R74" s="6">
        <f t="shared" ref="R74" si="145">Q74*0.22</f>
        <v>7392</v>
      </c>
      <c r="S74" s="6">
        <f t="shared" si="137"/>
        <v>40992</v>
      </c>
      <c r="T74" s="6">
        <f>2800*6</f>
        <v>16800</v>
      </c>
      <c r="U74" s="6">
        <f t="shared" ref="U74" si="146">T74*0.22</f>
        <v>3696</v>
      </c>
      <c r="V74" s="6">
        <f t="shared" si="138"/>
        <v>20496</v>
      </c>
      <c r="W74" s="28"/>
    </row>
    <row r="75" spans="1:23" x14ac:dyDescent="0.25">
      <c r="A75" s="37" t="s">
        <v>95</v>
      </c>
      <c r="B75" s="5" t="s">
        <v>96</v>
      </c>
      <c r="C75" s="6">
        <f>2200*48</f>
        <v>105600</v>
      </c>
      <c r="D75" s="6">
        <f>(2200*0.22)*48</f>
        <v>23232</v>
      </c>
      <c r="E75" s="6">
        <f>C75+D75</f>
        <v>128832</v>
      </c>
      <c r="F75" s="33">
        <v>0.82</v>
      </c>
      <c r="G75" s="33">
        <v>0.18</v>
      </c>
      <c r="H75" s="6">
        <f>2200*6</f>
        <v>13200</v>
      </c>
      <c r="I75" s="6">
        <f t="shared" si="139"/>
        <v>2904</v>
      </c>
      <c r="J75" s="6">
        <f t="shared" si="134"/>
        <v>16104</v>
      </c>
      <c r="K75" s="6">
        <f>2200*12</f>
        <v>26400</v>
      </c>
      <c r="L75" s="6">
        <f t="shared" si="139"/>
        <v>5808</v>
      </c>
      <c r="M75" s="6">
        <f t="shared" si="135"/>
        <v>32208</v>
      </c>
      <c r="N75" s="6">
        <f>2200*12</f>
        <v>26400</v>
      </c>
      <c r="O75" s="6">
        <f t="shared" ref="O75" si="147">N75*0.22</f>
        <v>5808</v>
      </c>
      <c r="P75" s="6">
        <f t="shared" si="136"/>
        <v>32208</v>
      </c>
      <c r="Q75" s="6">
        <f>2200*12</f>
        <v>26400</v>
      </c>
      <c r="R75" s="6">
        <f t="shared" ref="R75" si="148">Q75*0.22</f>
        <v>5808</v>
      </c>
      <c r="S75" s="6">
        <f t="shared" si="137"/>
        <v>32208</v>
      </c>
      <c r="T75" s="6">
        <f>2200*6</f>
        <v>13200</v>
      </c>
      <c r="U75" s="6">
        <f t="shared" ref="U75" si="149">T75*0.22</f>
        <v>2904</v>
      </c>
      <c r="V75" s="6">
        <f t="shared" si="138"/>
        <v>16104</v>
      </c>
      <c r="W75" s="28"/>
    </row>
    <row r="76" spans="1:23" x14ac:dyDescent="0.25">
      <c r="A76" s="37" t="s">
        <v>97</v>
      </c>
      <c r="B76" s="5" t="s">
        <v>98</v>
      </c>
      <c r="C76" s="6">
        <f>2000*4*48</f>
        <v>384000</v>
      </c>
      <c r="D76" s="6">
        <f>(2000*0.22)*4*48</f>
        <v>84480</v>
      </c>
      <c r="E76" s="6">
        <f>C76+D76</f>
        <v>468480</v>
      </c>
      <c r="F76" s="33">
        <v>0.82</v>
      </c>
      <c r="G76" s="33">
        <v>0.18</v>
      </c>
      <c r="H76" s="6">
        <f>2000*4*6</f>
        <v>48000</v>
      </c>
      <c r="I76" s="6">
        <f t="shared" si="139"/>
        <v>10560</v>
      </c>
      <c r="J76" s="6">
        <f t="shared" si="134"/>
        <v>58560</v>
      </c>
      <c r="K76" s="6">
        <f>2000*4*12</f>
        <v>96000</v>
      </c>
      <c r="L76" s="6">
        <f t="shared" si="139"/>
        <v>21120</v>
      </c>
      <c r="M76" s="6">
        <f t="shared" si="135"/>
        <v>117120</v>
      </c>
      <c r="N76" s="6">
        <f>2000*4*12</f>
        <v>96000</v>
      </c>
      <c r="O76" s="6">
        <f t="shared" ref="O76" si="150">N76*0.22</f>
        <v>21120</v>
      </c>
      <c r="P76" s="6">
        <f t="shared" si="136"/>
        <v>117120</v>
      </c>
      <c r="Q76" s="6">
        <f>2000*4*12</f>
        <v>96000</v>
      </c>
      <c r="R76" s="6">
        <f t="shared" ref="R76" si="151">Q76*0.22</f>
        <v>21120</v>
      </c>
      <c r="S76" s="6">
        <f t="shared" si="137"/>
        <v>117120</v>
      </c>
      <c r="T76" s="6">
        <f>2000*4*6</f>
        <v>48000</v>
      </c>
      <c r="U76" s="6">
        <f t="shared" ref="U76" si="152">T76*0.22</f>
        <v>10560</v>
      </c>
      <c r="V76" s="6">
        <f t="shared" si="138"/>
        <v>58560</v>
      </c>
      <c r="W76" s="28"/>
    </row>
    <row r="77" spans="1:23" x14ac:dyDescent="0.25">
      <c r="A77" s="37" t="s">
        <v>99</v>
      </c>
      <c r="B77" s="5" t="s">
        <v>100</v>
      </c>
      <c r="C77" s="6">
        <f>2000*48</f>
        <v>96000</v>
      </c>
      <c r="D77" s="6">
        <f>(2000*0.22)*48</f>
        <v>21120</v>
      </c>
      <c r="E77" s="6">
        <f>C77+D77</f>
        <v>117120</v>
      </c>
      <c r="F77" s="33">
        <v>0.82</v>
      </c>
      <c r="G77" s="33">
        <v>0.18</v>
      </c>
      <c r="H77" s="6">
        <f>2000*6</f>
        <v>12000</v>
      </c>
      <c r="I77" s="6">
        <f t="shared" si="139"/>
        <v>2640</v>
      </c>
      <c r="J77" s="6">
        <f t="shared" si="134"/>
        <v>14640</v>
      </c>
      <c r="K77" s="6">
        <f>2000*12</f>
        <v>24000</v>
      </c>
      <c r="L77" s="6">
        <f t="shared" si="139"/>
        <v>5280</v>
      </c>
      <c r="M77" s="6">
        <f t="shared" si="135"/>
        <v>29280</v>
      </c>
      <c r="N77" s="6">
        <f>2000*12</f>
        <v>24000</v>
      </c>
      <c r="O77" s="6">
        <f t="shared" ref="O77" si="153">N77*0.22</f>
        <v>5280</v>
      </c>
      <c r="P77" s="6">
        <f t="shared" si="136"/>
        <v>29280</v>
      </c>
      <c r="Q77" s="6">
        <f>2000*12</f>
        <v>24000</v>
      </c>
      <c r="R77" s="6">
        <f t="shared" ref="R77" si="154">Q77*0.22</f>
        <v>5280</v>
      </c>
      <c r="S77" s="6">
        <f t="shared" si="137"/>
        <v>29280</v>
      </c>
      <c r="T77" s="6">
        <f>2000*6</f>
        <v>12000</v>
      </c>
      <c r="U77" s="6">
        <f t="shared" ref="U77" si="155">T77*0.22</f>
        <v>2640</v>
      </c>
      <c r="V77" s="6">
        <f t="shared" si="138"/>
        <v>14640</v>
      </c>
      <c r="W77" s="28"/>
    </row>
    <row r="78" spans="1:23" x14ac:dyDescent="0.25">
      <c r="A78" s="18" t="s">
        <v>101</v>
      </c>
      <c r="B78" s="19" t="s">
        <v>102</v>
      </c>
      <c r="C78" s="20">
        <f>SUM(C79:C81)</f>
        <v>105300</v>
      </c>
      <c r="D78" s="20">
        <f>SUM(D79:D81)</f>
        <v>23166</v>
      </c>
      <c r="E78" s="20">
        <f>SUM(E79:E81)</f>
        <v>128466</v>
      </c>
      <c r="F78" s="3"/>
      <c r="G78" s="3"/>
      <c r="H78" s="20">
        <f>SUM(H79:H81)</f>
        <v>29060</v>
      </c>
      <c r="I78" s="20">
        <f>SUM(I79:I81)</f>
        <v>6393.2</v>
      </c>
      <c r="J78" s="20">
        <f t="shared" si="134"/>
        <v>35453.199999999997</v>
      </c>
      <c r="K78" s="20">
        <f>SUM(K79:K81)</f>
        <v>19060</v>
      </c>
      <c r="L78" s="20">
        <f>SUM(L79:L81)</f>
        <v>4193.2</v>
      </c>
      <c r="M78" s="20">
        <f t="shared" si="135"/>
        <v>23253.200000000001</v>
      </c>
      <c r="N78" s="20">
        <f>SUM(N79:N81)</f>
        <v>19060</v>
      </c>
      <c r="O78" s="20">
        <f>SUM(O79:O81)</f>
        <v>4193.2</v>
      </c>
      <c r="P78" s="20">
        <f t="shared" si="136"/>
        <v>23253.200000000001</v>
      </c>
      <c r="Q78" s="20">
        <f>SUM(Q79:Q81)</f>
        <v>19060</v>
      </c>
      <c r="R78" s="20">
        <f>SUM(R79:R81)</f>
        <v>4193.2</v>
      </c>
      <c r="S78" s="20">
        <f t="shared" si="137"/>
        <v>23253.200000000001</v>
      </c>
      <c r="T78" s="20">
        <f>SUM(T79:T81)</f>
        <v>19060</v>
      </c>
      <c r="U78" s="20">
        <f>SUM(U79:U81)</f>
        <v>4193.2</v>
      </c>
      <c r="V78" s="20">
        <f t="shared" si="138"/>
        <v>23253.200000000001</v>
      </c>
      <c r="W78" s="28"/>
    </row>
    <row r="79" spans="1:23" x14ac:dyDescent="0.25">
      <c r="A79" s="37" t="s">
        <v>103</v>
      </c>
      <c r="B79" s="5" t="s">
        <v>104</v>
      </c>
      <c r="C79" s="6">
        <v>10000</v>
      </c>
      <c r="D79" s="6">
        <f>C79*0.22</f>
        <v>2200</v>
      </c>
      <c r="E79" s="6">
        <f>C79+D79</f>
        <v>12200</v>
      </c>
      <c r="F79" s="33">
        <v>0.82</v>
      </c>
      <c r="G79" s="33">
        <v>0.18</v>
      </c>
      <c r="H79" s="6">
        <f>C79</f>
        <v>10000</v>
      </c>
      <c r="I79" s="6">
        <f t="shared" ref="I79" si="156">H79*0.22</f>
        <v>2200</v>
      </c>
      <c r="J79" s="6">
        <f t="shared" si="134"/>
        <v>12200</v>
      </c>
      <c r="K79" s="6">
        <v>0</v>
      </c>
      <c r="L79" s="6">
        <f t="shared" ref="L79" si="157">K79*0.22</f>
        <v>0</v>
      </c>
      <c r="M79" s="6">
        <f t="shared" si="135"/>
        <v>0</v>
      </c>
      <c r="N79" s="6">
        <v>0</v>
      </c>
      <c r="O79" s="6">
        <f t="shared" si="139"/>
        <v>0</v>
      </c>
      <c r="P79" s="6">
        <f t="shared" si="136"/>
        <v>0</v>
      </c>
      <c r="Q79" s="6">
        <v>0</v>
      </c>
      <c r="R79" s="6">
        <f t="shared" ref="R79" si="158">Q79*0.22</f>
        <v>0</v>
      </c>
      <c r="S79" s="6">
        <f t="shared" si="137"/>
        <v>0</v>
      </c>
      <c r="T79" s="6">
        <v>0</v>
      </c>
      <c r="U79" s="6">
        <f t="shared" ref="U79" si="159">T79*0.22</f>
        <v>0</v>
      </c>
      <c r="V79" s="6">
        <f t="shared" si="138"/>
        <v>0</v>
      </c>
      <c r="W79" s="28"/>
    </row>
    <row r="80" spans="1:23" x14ac:dyDescent="0.25">
      <c r="A80" s="37" t="s">
        <v>105</v>
      </c>
      <c r="B80" s="5" t="s">
        <v>106</v>
      </c>
      <c r="C80" s="6">
        <v>75300</v>
      </c>
      <c r="D80" s="6">
        <f>C80*0.22</f>
        <v>16566</v>
      </c>
      <c r="E80" s="6">
        <f>C80+D80</f>
        <v>91866</v>
      </c>
      <c r="F80" s="33">
        <v>0.82</v>
      </c>
      <c r="G80" s="33">
        <v>0.18</v>
      </c>
      <c r="H80" s="6">
        <f>$C$80/5</f>
        <v>15060</v>
      </c>
      <c r="I80" s="6">
        <f t="shared" ref="I80" si="160">H80*0.22</f>
        <v>3313.2</v>
      </c>
      <c r="J80" s="6">
        <f t="shared" si="134"/>
        <v>18373.2</v>
      </c>
      <c r="K80" s="6">
        <f>$C$80/5</f>
        <v>15060</v>
      </c>
      <c r="L80" s="6">
        <f t="shared" ref="L80" si="161">K80*0.22</f>
        <v>3313.2</v>
      </c>
      <c r="M80" s="6">
        <f t="shared" si="135"/>
        <v>18373.2</v>
      </c>
      <c r="N80" s="6">
        <f>$C$80/5</f>
        <v>15060</v>
      </c>
      <c r="O80" s="6">
        <f t="shared" ref="O80" si="162">N80*0.22</f>
        <v>3313.2</v>
      </c>
      <c r="P80" s="6">
        <f t="shared" si="136"/>
        <v>18373.2</v>
      </c>
      <c r="Q80" s="6">
        <f>$C$80/5</f>
        <v>15060</v>
      </c>
      <c r="R80" s="6">
        <f t="shared" ref="R80" si="163">Q80*0.22</f>
        <v>3313.2</v>
      </c>
      <c r="S80" s="6">
        <f t="shared" si="137"/>
        <v>18373.2</v>
      </c>
      <c r="T80" s="6">
        <f>$C$80/5</f>
        <v>15060</v>
      </c>
      <c r="U80" s="6">
        <f t="shared" ref="U80" si="164">T80*0.22</f>
        <v>3313.2</v>
      </c>
      <c r="V80" s="6">
        <f t="shared" si="138"/>
        <v>18373.2</v>
      </c>
      <c r="W80" s="28"/>
    </row>
    <row r="81" spans="1:24" x14ac:dyDescent="0.25">
      <c r="A81" s="37" t="s">
        <v>107</v>
      </c>
      <c r="B81" s="5" t="s">
        <v>108</v>
      </c>
      <c r="C81" s="6">
        <v>20000</v>
      </c>
      <c r="D81" s="6">
        <f>C81*0.22</f>
        <v>4400</v>
      </c>
      <c r="E81" s="6">
        <f>C81+D81</f>
        <v>24400</v>
      </c>
      <c r="F81" s="33">
        <v>0.82</v>
      </c>
      <c r="G81" s="33">
        <v>0.18</v>
      </c>
      <c r="H81" s="6">
        <f>$C$81/5</f>
        <v>4000</v>
      </c>
      <c r="I81" s="6">
        <f t="shared" ref="I81:L84" si="165">H81*0.22</f>
        <v>880</v>
      </c>
      <c r="J81" s="6">
        <f t="shared" si="134"/>
        <v>4880</v>
      </c>
      <c r="K81" s="6">
        <f>$C$81/5</f>
        <v>4000</v>
      </c>
      <c r="L81" s="6">
        <f t="shared" ref="L81" si="166">K81*0.22</f>
        <v>880</v>
      </c>
      <c r="M81" s="6">
        <f t="shared" si="135"/>
        <v>4880</v>
      </c>
      <c r="N81" s="6">
        <f>$C$81/5</f>
        <v>4000</v>
      </c>
      <c r="O81" s="6">
        <f t="shared" ref="O81" si="167">N81*0.22</f>
        <v>880</v>
      </c>
      <c r="P81" s="6">
        <f t="shared" si="136"/>
        <v>4880</v>
      </c>
      <c r="Q81" s="6">
        <f>$C$81/5</f>
        <v>4000</v>
      </c>
      <c r="R81" s="6">
        <f t="shared" ref="R81" si="168">Q81*0.22</f>
        <v>880</v>
      </c>
      <c r="S81" s="6">
        <f t="shared" si="137"/>
        <v>4880</v>
      </c>
      <c r="T81" s="6">
        <f>$C$81/5</f>
        <v>4000</v>
      </c>
      <c r="U81" s="6">
        <f t="shared" ref="U81" si="169">T81*0.22</f>
        <v>880</v>
      </c>
      <c r="V81" s="6">
        <f t="shared" si="138"/>
        <v>4880</v>
      </c>
      <c r="W81" s="28"/>
    </row>
    <row r="82" spans="1:24" x14ac:dyDescent="0.25">
      <c r="A82" s="18" t="s">
        <v>149</v>
      </c>
      <c r="B82" s="19" t="s">
        <v>157</v>
      </c>
      <c r="C82" s="20">
        <f>SUM(C83:C84)</f>
        <v>130000</v>
      </c>
      <c r="D82" s="20">
        <f>SUM(D83:D84)</f>
        <v>28600</v>
      </c>
      <c r="E82" s="20">
        <f>SUM(E83:E84)</f>
        <v>158600</v>
      </c>
      <c r="F82" s="3"/>
      <c r="G82" s="3"/>
      <c r="H82" s="20">
        <f>SUM(H83:H84)</f>
        <v>25000</v>
      </c>
      <c r="I82" s="20">
        <f>SUM(I83:I84)</f>
        <v>5500</v>
      </c>
      <c r="J82" s="20">
        <f t="shared" si="134"/>
        <v>30500</v>
      </c>
      <c r="K82" s="20">
        <f>SUM(K83:K84)</f>
        <v>30000</v>
      </c>
      <c r="L82" s="20">
        <f>SUM(L83:L84)</f>
        <v>6600</v>
      </c>
      <c r="M82" s="20">
        <f t="shared" si="135"/>
        <v>36600</v>
      </c>
      <c r="N82" s="20">
        <f>SUM(N83:N84)</f>
        <v>30000</v>
      </c>
      <c r="O82" s="20">
        <f>SUM(O83:O84)</f>
        <v>6600</v>
      </c>
      <c r="P82" s="20">
        <f t="shared" si="136"/>
        <v>36600</v>
      </c>
      <c r="Q82" s="20">
        <f>SUM(Q83:Q84)</f>
        <v>30000</v>
      </c>
      <c r="R82" s="20">
        <f>SUM(R83:R84)</f>
        <v>6600</v>
      </c>
      <c r="S82" s="20">
        <f t="shared" si="137"/>
        <v>36600</v>
      </c>
      <c r="T82" s="20">
        <f>SUM(T83:T84)</f>
        <v>15000</v>
      </c>
      <c r="U82" s="20">
        <f>SUM(U83:U84)</f>
        <v>3300</v>
      </c>
      <c r="V82" s="20">
        <f t="shared" si="138"/>
        <v>18300</v>
      </c>
      <c r="W82" s="28"/>
    </row>
    <row r="83" spans="1:24" x14ac:dyDescent="0.25">
      <c r="A83" s="37" t="s">
        <v>150</v>
      </c>
      <c r="B83" s="5" t="s">
        <v>111</v>
      </c>
      <c r="C83" s="6">
        <f>30000*4</f>
        <v>120000</v>
      </c>
      <c r="D83" s="6">
        <f>C83*0.22</f>
        <v>26400</v>
      </c>
      <c r="E83" s="6">
        <f>C83+D83</f>
        <v>146400</v>
      </c>
      <c r="F83" s="33">
        <v>0.82</v>
      </c>
      <c r="G83" s="33">
        <v>0.18</v>
      </c>
      <c r="H83" s="6">
        <f>$C$83/4/2</f>
        <v>15000</v>
      </c>
      <c r="I83" s="6">
        <f t="shared" si="165"/>
        <v>3300</v>
      </c>
      <c r="J83" s="6">
        <f t="shared" si="134"/>
        <v>18300</v>
      </c>
      <c r="K83" s="6">
        <f>$C$83/4</f>
        <v>30000</v>
      </c>
      <c r="L83" s="6">
        <f t="shared" si="165"/>
        <v>6600</v>
      </c>
      <c r="M83" s="6">
        <f t="shared" si="135"/>
        <v>36600</v>
      </c>
      <c r="N83" s="6">
        <f t="shared" ref="N83:Q83" si="170">$C$83/4</f>
        <v>30000</v>
      </c>
      <c r="O83" s="6">
        <f t="shared" ref="O83" si="171">N83*0.22</f>
        <v>6600</v>
      </c>
      <c r="P83" s="6">
        <f t="shared" si="136"/>
        <v>36600</v>
      </c>
      <c r="Q83" s="6">
        <f t="shared" si="170"/>
        <v>30000</v>
      </c>
      <c r="R83" s="6">
        <f t="shared" ref="R83" si="172">Q83*0.22</f>
        <v>6600</v>
      </c>
      <c r="S83" s="6">
        <f t="shared" si="137"/>
        <v>36600</v>
      </c>
      <c r="T83" s="6">
        <f>$C$83/4/2</f>
        <v>15000</v>
      </c>
      <c r="U83" s="6">
        <f t="shared" ref="U83" si="173">T83*0.22</f>
        <v>3300</v>
      </c>
      <c r="V83" s="6">
        <f t="shared" si="138"/>
        <v>18300</v>
      </c>
      <c r="W83" s="28"/>
    </row>
    <row r="84" spans="1:24" x14ac:dyDescent="0.25">
      <c r="A84" s="37" t="s">
        <v>151</v>
      </c>
      <c r="B84" s="5" t="s">
        <v>113</v>
      </c>
      <c r="C84" s="6">
        <v>10000</v>
      </c>
      <c r="D84" s="6">
        <f>C84*0.22</f>
        <v>2200</v>
      </c>
      <c r="E84" s="6">
        <f>C84+D84</f>
        <v>12200</v>
      </c>
      <c r="F84" s="33">
        <v>0.82</v>
      </c>
      <c r="G84" s="33">
        <v>0.18</v>
      </c>
      <c r="H84" s="6">
        <f>C84</f>
        <v>10000</v>
      </c>
      <c r="I84" s="6">
        <f t="shared" si="165"/>
        <v>2200</v>
      </c>
      <c r="J84" s="6">
        <f t="shared" si="134"/>
        <v>12200</v>
      </c>
      <c r="K84" s="6">
        <v>0</v>
      </c>
      <c r="L84" s="6">
        <f t="shared" si="165"/>
        <v>0</v>
      </c>
      <c r="M84" s="6">
        <f t="shared" si="135"/>
        <v>0</v>
      </c>
      <c r="N84" s="6">
        <v>0</v>
      </c>
      <c r="O84" s="6">
        <f t="shared" ref="O84" si="174">N84*0.22</f>
        <v>0</v>
      </c>
      <c r="P84" s="6">
        <f t="shared" si="136"/>
        <v>0</v>
      </c>
      <c r="Q84" s="6">
        <v>0</v>
      </c>
      <c r="R84" s="6">
        <f t="shared" ref="R84" si="175">Q84*0.22</f>
        <v>0</v>
      </c>
      <c r="S84" s="6">
        <f t="shared" si="137"/>
        <v>0</v>
      </c>
      <c r="T84" s="6">
        <v>0</v>
      </c>
      <c r="U84" s="6">
        <f t="shared" ref="U84" si="176">T84*0.22</f>
        <v>0</v>
      </c>
      <c r="V84" s="6">
        <f t="shared" si="138"/>
        <v>0</v>
      </c>
      <c r="W84" s="28"/>
    </row>
    <row r="85" spans="1:24" x14ac:dyDescent="0.25">
      <c r="A85" s="18" t="s">
        <v>152</v>
      </c>
      <c r="B85" s="19" t="s">
        <v>200</v>
      </c>
      <c r="C85" s="20">
        <f t="shared" ref="C85:D85" si="177">SUM(C86:C88)</f>
        <v>100369</v>
      </c>
      <c r="D85" s="20">
        <f t="shared" si="177"/>
        <v>22081.18</v>
      </c>
      <c r="E85" s="20">
        <f>SUM(E86:E88)</f>
        <v>122450.18</v>
      </c>
      <c r="F85" s="20"/>
      <c r="G85" s="20"/>
      <c r="H85" s="20">
        <f t="shared" ref="H85:U85" si="178">SUM(H86:H88)</f>
        <v>32073.8</v>
      </c>
      <c r="I85" s="20">
        <f t="shared" si="178"/>
        <v>7056.2359999999999</v>
      </c>
      <c r="J85" s="20">
        <f t="shared" si="134"/>
        <v>39130.036</v>
      </c>
      <c r="K85" s="20">
        <f t="shared" si="178"/>
        <v>32073.8</v>
      </c>
      <c r="L85" s="20">
        <f t="shared" si="178"/>
        <v>7056.2359999999999</v>
      </c>
      <c r="M85" s="20">
        <f t="shared" si="135"/>
        <v>39130.036</v>
      </c>
      <c r="N85" s="20">
        <f t="shared" si="178"/>
        <v>12073.8</v>
      </c>
      <c r="O85" s="20">
        <f t="shared" si="178"/>
        <v>2656.2359999999999</v>
      </c>
      <c r="P85" s="20">
        <f t="shared" si="136"/>
        <v>14730.036</v>
      </c>
      <c r="Q85" s="20">
        <f t="shared" si="178"/>
        <v>12073.8</v>
      </c>
      <c r="R85" s="20">
        <f t="shared" si="178"/>
        <v>2656.2359999999999</v>
      </c>
      <c r="S85" s="20">
        <f t="shared" si="137"/>
        <v>14730.036</v>
      </c>
      <c r="T85" s="20">
        <f t="shared" si="178"/>
        <v>12073.8</v>
      </c>
      <c r="U85" s="20">
        <f t="shared" si="178"/>
        <v>2656.2359999999999</v>
      </c>
      <c r="V85" s="20">
        <f t="shared" si="138"/>
        <v>14730.036</v>
      </c>
      <c r="W85" s="28"/>
    </row>
    <row r="86" spans="1:24" ht="23.25" customHeight="1" x14ac:dyDescent="0.25">
      <c r="A86" s="37" t="s">
        <v>153</v>
      </c>
      <c r="B86" s="4" t="s">
        <v>206</v>
      </c>
      <c r="C86" s="6">
        <v>40000</v>
      </c>
      <c r="D86" s="6">
        <f>C86*0.22</f>
        <v>8800</v>
      </c>
      <c r="E86" s="6">
        <f>C86+D86</f>
        <v>48800</v>
      </c>
      <c r="F86" s="33">
        <v>0.82</v>
      </c>
      <c r="G86" s="33">
        <v>0.18</v>
      </c>
      <c r="H86" s="6">
        <f>$C$86/2</f>
        <v>20000</v>
      </c>
      <c r="I86" s="6">
        <f t="shared" ref="I86" si="179">H86*0.22</f>
        <v>4400</v>
      </c>
      <c r="J86" s="6">
        <f t="shared" si="134"/>
        <v>24400</v>
      </c>
      <c r="K86" s="6">
        <f>$C$86/2</f>
        <v>20000</v>
      </c>
      <c r="L86" s="6">
        <f t="shared" ref="L86" si="180">K86*0.22</f>
        <v>4400</v>
      </c>
      <c r="M86" s="6">
        <f t="shared" si="135"/>
        <v>24400</v>
      </c>
      <c r="N86" s="6">
        <v>0</v>
      </c>
      <c r="O86" s="6">
        <f t="shared" ref="O86" si="181">N86*0.22</f>
        <v>0</v>
      </c>
      <c r="P86" s="6">
        <f t="shared" si="136"/>
        <v>0</v>
      </c>
      <c r="Q86" s="6">
        <v>0</v>
      </c>
      <c r="R86" s="6">
        <f t="shared" ref="R86" si="182">Q86*0.22</f>
        <v>0</v>
      </c>
      <c r="S86" s="6">
        <f t="shared" si="137"/>
        <v>0</v>
      </c>
      <c r="T86" s="6">
        <v>0</v>
      </c>
      <c r="U86" s="6">
        <f t="shared" ref="U86" si="183">T86*0.22</f>
        <v>0</v>
      </c>
      <c r="V86" s="6">
        <f t="shared" si="138"/>
        <v>0</v>
      </c>
      <c r="W86" s="28"/>
    </row>
    <row r="87" spans="1:24" x14ac:dyDescent="0.25">
      <c r="A87" s="37" t="s">
        <v>154</v>
      </c>
      <c r="B87" s="5" t="s">
        <v>189</v>
      </c>
      <c r="C87" s="6">
        <f>40984-615</f>
        <v>40369</v>
      </c>
      <c r="D87" s="6">
        <f>C87*0.22</f>
        <v>8881.18</v>
      </c>
      <c r="E87" s="6">
        <f>C87+D87</f>
        <v>49250.18</v>
      </c>
      <c r="F87" s="38">
        <v>0.82</v>
      </c>
      <c r="G87" s="38">
        <v>0.18</v>
      </c>
      <c r="H87" s="6">
        <f>$C$87/5</f>
        <v>8073.8</v>
      </c>
      <c r="I87" s="6">
        <f t="shared" ref="I87" si="184">H87*0.22</f>
        <v>1776.2360000000001</v>
      </c>
      <c r="J87" s="6">
        <f t="shared" si="134"/>
        <v>9850.0360000000001</v>
      </c>
      <c r="K87" s="6">
        <f>$C$87/5</f>
        <v>8073.8</v>
      </c>
      <c r="L87" s="6">
        <f t="shared" ref="L87" si="185">K87*0.22</f>
        <v>1776.2360000000001</v>
      </c>
      <c r="M87" s="6">
        <f t="shared" si="135"/>
        <v>9850.0360000000001</v>
      </c>
      <c r="N87" s="6">
        <f>$C$87/5</f>
        <v>8073.8</v>
      </c>
      <c r="O87" s="6">
        <f t="shared" ref="O87" si="186">N87*0.22</f>
        <v>1776.2360000000001</v>
      </c>
      <c r="P87" s="6">
        <f t="shared" si="136"/>
        <v>9850.0360000000001</v>
      </c>
      <c r="Q87" s="6">
        <f>$C$87/5</f>
        <v>8073.8</v>
      </c>
      <c r="R87" s="6">
        <f t="shared" ref="R87" si="187">Q87*0.22</f>
        <v>1776.2360000000001</v>
      </c>
      <c r="S87" s="6">
        <f t="shared" si="137"/>
        <v>9850.0360000000001</v>
      </c>
      <c r="T87" s="6">
        <f>$C$87/5</f>
        <v>8073.8</v>
      </c>
      <c r="U87" s="6">
        <f t="shared" ref="U87" si="188">T87*0.22</f>
        <v>1776.2360000000001</v>
      </c>
      <c r="V87" s="6">
        <f t="shared" si="138"/>
        <v>9850.0360000000001</v>
      </c>
      <c r="W87" s="28"/>
    </row>
    <row r="88" spans="1:24" x14ac:dyDescent="0.25">
      <c r="A88" s="37" t="s">
        <v>201</v>
      </c>
      <c r="B88" s="5" t="s">
        <v>114</v>
      </c>
      <c r="C88" s="6">
        <v>20000</v>
      </c>
      <c r="D88" s="6">
        <f>C88*0.22</f>
        <v>4400</v>
      </c>
      <c r="E88" s="6">
        <f>C88+D88</f>
        <v>24400</v>
      </c>
      <c r="F88" s="38">
        <v>0.82</v>
      </c>
      <c r="G88" s="38">
        <v>0.18</v>
      </c>
      <c r="H88" s="6">
        <f>$C$88/5</f>
        <v>4000</v>
      </c>
      <c r="I88" s="6">
        <f t="shared" ref="I88:L93" si="189">H88*0.22</f>
        <v>880</v>
      </c>
      <c r="J88" s="6">
        <f t="shared" si="134"/>
        <v>4880</v>
      </c>
      <c r="K88" s="6">
        <f>$C$88/5</f>
        <v>4000</v>
      </c>
      <c r="L88" s="6">
        <f t="shared" ref="L88" si="190">K88*0.22</f>
        <v>880</v>
      </c>
      <c r="M88" s="6">
        <f t="shared" si="135"/>
        <v>4880</v>
      </c>
      <c r="N88" s="6">
        <f>$C$88/5</f>
        <v>4000</v>
      </c>
      <c r="O88" s="6">
        <f t="shared" ref="O88" si="191">N88*0.22</f>
        <v>880</v>
      </c>
      <c r="P88" s="6">
        <f t="shared" si="136"/>
        <v>4880</v>
      </c>
      <c r="Q88" s="6">
        <f>$C$88/5</f>
        <v>4000</v>
      </c>
      <c r="R88" s="6">
        <f t="shared" ref="R88" si="192">Q88*0.22</f>
        <v>880</v>
      </c>
      <c r="S88" s="6">
        <f t="shared" si="137"/>
        <v>4880</v>
      </c>
      <c r="T88" s="6">
        <f>$C$88/5</f>
        <v>4000</v>
      </c>
      <c r="U88" s="6">
        <f t="shared" ref="U88" si="193">T88*0.22</f>
        <v>880</v>
      </c>
      <c r="V88" s="6">
        <f t="shared" si="138"/>
        <v>4880</v>
      </c>
      <c r="W88" s="28"/>
    </row>
    <row r="89" spans="1:24" x14ac:dyDescent="0.25">
      <c r="A89" s="18" t="s">
        <v>155</v>
      </c>
      <c r="B89" s="19" t="s">
        <v>205</v>
      </c>
      <c r="C89" s="20">
        <f>SUM(C90:C93)</f>
        <v>194024</v>
      </c>
      <c r="D89" s="20">
        <f>SUM(D90:D93)</f>
        <v>42685.279999999999</v>
      </c>
      <c r="E89" s="20">
        <f>SUM(E90:E93)</f>
        <v>236709.28000000003</v>
      </c>
      <c r="F89" s="3"/>
      <c r="G89" s="3"/>
      <c r="H89" s="20">
        <f>SUM(H90:H93)</f>
        <v>49180</v>
      </c>
      <c r="I89" s="20">
        <f>SUM(I90:I93)</f>
        <v>10819.6</v>
      </c>
      <c r="J89" s="20">
        <f t="shared" si="134"/>
        <v>59999.6</v>
      </c>
      <c r="K89" s="20">
        <f t="shared" ref="K89:T89" si="194">SUM(K90:K93)</f>
        <v>0</v>
      </c>
      <c r="L89" s="20">
        <f>SUM(L90:L93)</f>
        <v>0</v>
      </c>
      <c r="M89" s="20">
        <f t="shared" si="135"/>
        <v>0</v>
      </c>
      <c r="N89" s="20">
        <f t="shared" si="194"/>
        <v>40983</v>
      </c>
      <c r="O89" s="20">
        <f>SUM(O90:O93)</f>
        <v>9016.26</v>
      </c>
      <c r="P89" s="20">
        <f t="shared" si="136"/>
        <v>49999.26</v>
      </c>
      <c r="Q89" s="20">
        <f t="shared" si="194"/>
        <v>0</v>
      </c>
      <c r="R89" s="20">
        <f>SUM(R90:R93)</f>
        <v>0</v>
      </c>
      <c r="S89" s="20">
        <f t="shared" si="137"/>
        <v>0</v>
      </c>
      <c r="T89" s="20">
        <f t="shared" si="194"/>
        <v>103861</v>
      </c>
      <c r="U89" s="20">
        <f>SUM(U90:U93)</f>
        <v>22849.420000000002</v>
      </c>
      <c r="V89" s="20">
        <f t="shared" si="138"/>
        <v>126710.42</v>
      </c>
      <c r="W89" s="28"/>
    </row>
    <row r="90" spans="1:24" x14ac:dyDescent="0.25">
      <c r="A90" s="37" t="s">
        <v>156</v>
      </c>
      <c r="B90" s="5" t="s">
        <v>120</v>
      </c>
      <c r="C90" s="6">
        <v>103860</v>
      </c>
      <c r="D90" s="6">
        <f>C90*0.22</f>
        <v>22849.200000000001</v>
      </c>
      <c r="E90" s="6">
        <f>C90+D90</f>
        <v>126709.2</v>
      </c>
      <c r="F90" s="33">
        <v>0.82</v>
      </c>
      <c r="G90" s="33">
        <v>0.18</v>
      </c>
      <c r="H90" s="6">
        <v>16393</v>
      </c>
      <c r="I90" s="6">
        <f t="shared" si="189"/>
        <v>3606.46</v>
      </c>
      <c r="J90" s="6">
        <f t="shared" si="134"/>
        <v>19999.46</v>
      </c>
      <c r="K90" s="6">
        <v>0</v>
      </c>
      <c r="L90" s="6">
        <f t="shared" si="189"/>
        <v>0</v>
      </c>
      <c r="M90" s="6">
        <f t="shared" si="135"/>
        <v>0</v>
      </c>
      <c r="N90" s="6">
        <v>16393</v>
      </c>
      <c r="O90" s="6">
        <f t="shared" ref="O90" si="195">N90*0.22</f>
        <v>3606.46</v>
      </c>
      <c r="P90" s="6">
        <f t="shared" si="136"/>
        <v>19999.46</v>
      </c>
      <c r="Q90" s="6">
        <v>0</v>
      </c>
      <c r="R90" s="6">
        <f t="shared" ref="R90" si="196">Q90*0.22</f>
        <v>0</v>
      </c>
      <c r="S90" s="6">
        <f t="shared" si="137"/>
        <v>0</v>
      </c>
      <c r="T90" s="6">
        <v>71074</v>
      </c>
      <c r="U90" s="6">
        <f t="shared" ref="U90" si="197">T90*0.22</f>
        <v>15636.28</v>
      </c>
      <c r="V90" s="6">
        <f t="shared" si="138"/>
        <v>86710.28</v>
      </c>
      <c r="W90" s="28"/>
    </row>
    <row r="91" spans="1:24" x14ac:dyDescent="0.25">
      <c r="A91" s="37" t="s">
        <v>202</v>
      </c>
      <c r="B91" s="5" t="s">
        <v>121</v>
      </c>
      <c r="C91" s="6">
        <v>24590</v>
      </c>
      <c r="D91" s="6">
        <f>C91*0.22</f>
        <v>5409.8</v>
      </c>
      <c r="E91" s="6">
        <f>C91+D91</f>
        <v>29999.8</v>
      </c>
      <c r="F91" s="33">
        <v>0.82</v>
      </c>
      <c r="G91" s="33">
        <v>0.18</v>
      </c>
      <c r="H91" s="6">
        <v>0</v>
      </c>
      <c r="I91" s="6">
        <f t="shared" si="189"/>
        <v>0</v>
      </c>
      <c r="J91" s="6">
        <f t="shared" si="134"/>
        <v>0</v>
      </c>
      <c r="K91" s="6"/>
      <c r="L91" s="6">
        <f t="shared" si="189"/>
        <v>0</v>
      </c>
      <c r="M91" s="6">
        <f t="shared" si="135"/>
        <v>0</v>
      </c>
      <c r="N91" s="6">
        <f>C91</f>
        <v>24590</v>
      </c>
      <c r="O91" s="6">
        <f t="shared" ref="O91" si="198">N91*0.22</f>
        <v>5409.8</v>
      </c>
      <c r="P91" s="6">
        <f t="shared" si="136"/>
        <v>29999.8</v>
      </c>
      <c r="Q91" s="6">
        <v>0</v>
      </c>
      <c r="R91" s="6">
        <f t="shared" ref="R91" si="199">Q91*0.22</f>
        <v>0</v>
      </c>
      <c r="S91" s="6">
        <f t="shared" si="137"/>
        <v>0</v>
      </c>
      <c r="T91" s="6">
        <v>0</v>
      </c>
      <c r="U91" s="6">
        <f t="shared" ref="U91" si="200">T91*0.22</f>
        <v>0</v>
      </c>
      <c r="V91" s="6">
        <f t="shared" si="138"/>
        <v>0</v>
      </c>
      <c r="W91" s="28"/>
      <c r="X91" s="6"/>
    </row>
    <row r="92" spans="1:24" x14ac:dyDescent="0.25">
      <c r="A92" s="37" t="s">
        <v>203</v>
      </c>
      <c r="B92" s="5" t="s">
        <v>122</v>
      </c>
      <c r="C92" s="6">
        <v>32787</v>
      </c>
      <c r="D92" s="6">
        <f>C92*0.22</f>
        <v>7213.14</v>
      </c>
      <c r="E92" s="6">
        <f>C92+D92</f>
        <v>40000.14</v>
      </c>
      <c r="F92" s="33">
        <v>0.82</v>
      </c>
      <c r="G92" s="33">
        <v>0.18</v>
      </c>
      <c r="H92" s="6">
        <v>0</v>
      </c>
      <c r="I92" s="6">
        <f t="shared" si="189"/>
        <v>0</v>
      </c>
      <c r="J92" s="6">
        <f t="shared" si="134"/>
        <v>0</v>
      </c>
      <c r="K92" s="6">
        <v>0</v>
      </c>
      <c r="L92" s="6">
        <f t="shared" si="189"/>
        <v>0</v>
      </c>
      <c r="M92" s="6">
        <f t="shared" si="135"/>
        <v>0</v>
      </c>
      <c r="N92" s="6">
        <v>0</v>
      </c>
      <c r="O92" s="6">
        <f t="shared" ref="O92" si="201">N92*0.22</f>
        <v>0</v>
      </c>
      <c r="P92" s="6">
        <f t="shared" si="136"/>
        <v>0</v>
      </c>
      <c r="Q92" s="6"/>
      <c r="R92" s="6">
        <f t="shared" ref="R92" si="202">Q92*0.22</f>
        <v>0</v>
      </c>
      <c r="S92" s="6">
        <f t="shared" si="137"/>
        <v>0</v>
      </c>
      <c r="T92" s="6">
        <f>C92</f>
        <v>32787</v>
      </c>
      <c r="U92" s="6">
        <f t="shared" ref="U92" si="203">T92*0.22</f>
        <v>7213.14</v>
      </c>
      <c r="V92" s="6">
        <f t="shared" si="138"/>
        <v>40000.14</v>
      </c>
      <c r="W92" s="28"/>
    </row>
    <row r="93" spans="1:24" x14ac:dyDescent="0.25">
      <c r="A93" s="37" t="s">
        <v>204</v>
      </c>
      <c r="B93" s="5" t="s">
        <v>166</v>
      </c>
      <c r="C93" s="6">
        <v>32787</v>
      </c>
      <c r="D93" s="6">
        <f>C93*0.22</f>
        <v>7213.14</v>
      </c>
      <c r="E93" s="6">
        <f>C93+D93</f>
        <v>40000.14</v>
      </c>
      <c r="F93" s="33">
        <v>0.82</v>
      </c>
      <c r="G93" s="33">
        <v>0.18</v>
      </c>
      <c r="H93" s="6">
        <f>C93</f>
        <v>32787</v>
      </c>
      <c r="I93" s="6">
        <f t="shared" si="189"/>
        <v>7213.14</v>
      </c>
      <c r="J93" s="6">
        <f t="shared" si="134"/>
        <v>40000.14</v>
      </c>
      <c r="K93" s="6">
        <v>0</v>
      </c>
      <c r="L93" s="6">
        <f t="shared" si="189"/>
        <v>0</v>
      </c>
      <c r="M93" s="6">
        <f t="shared" si="135"/>
        <v>0</v>
      </c>
      <c r="N93" s="6">
        <v>0</v>
      </c>
      <c r="O93" s="6">
        <f t="shared" ref="O93" si="204">N93*0.22</f>
        <v>0</v>
      </c>
      <c r="P93" s="6">
        <f t="shared" si="136"/>
        <v>0</v>
      </c>
      <c r="Q93" s="6">
        <v>0</v>
      </c>
      <c r="R93" s="6">
        <f t="shared" ref="R93" si="205">Q93*0.22</f>
        <v>0</v>
      </c>
      <c r="S93" s="6">
        <f t="shared" si="137"/>
        <v>0</v>
      </c>
      <c r="T93" s="6">
        <v>0</v>
      </c>
      <c r="U93" s="6">
        <f t="shared" ref="U93" si="206">T93*0.22</f>
        <v>0</v>
      </c>
      <c r="V93" s="6">
        <f t="shared" si="138"/>
        <v>0</v>
      </c>
      <c r="W93" s="28"/>
    </row>
    <row r="94" spans="1:24" x14ac:dyDescent="0.25">
      <c r="A94" s="14">
        <v>3.2</v>
      </c>
      <c r="B94" s="39" t="s">
        <v>158</v>
      </c>
      <c r="C94" s="16">
        <f>C95</f>
        <v>650788</v>
      </c>
      <c r="D94" s="16">
        <f t="shared" ref="D94:E94" si="207">D95</f>
        <v>431440</v>
      </c>
      <c r="E94" s="16">
        <f t="shared" si="207"/>
        <v>1082228</v>
      </c>
      <c r="F94" s="26"/>
      <c r="G94" s="26"/>
      <c r="H94" s="16">
        <f t="shared" ref="H94:U94" si="208">H95</f>
        <v>59181</v>
      </c>
      <c r="I94" s="16">
        <f t="shared" si="208"/>
        <v>23048.21</v>
      </c>
      <c r="J94" s="16">
        <f t="shared" si="134"/>
        <v>82229.209999999992</v>
      </c>
      <c r="K94" s="16">
        <f t="shared" si="208"/>
        <v>107919</v>
      </c>
      <c r="L94" s="16">
        <f t="shared" si="208"/>
        <v>42080.79</v>
      </c>
      <c r="M94" s="16">
        <f t="shared" si="135"/>
        <v>149999.79</v>
      </c>
      <c r="N94" s="16">
        <f t="shared" si="208"/>
        <v>178841</v>
      </c>
      <c r="O94" s="16">
        <f t="shared" si="208"/>
        <v>71158.81</v>
      </c>
      <c r="P94" s="16">
        <f t="shared" si="136"/>
        <v>249999.81</v>
      </c>
      <c r="Q94" s="16">
        <f t="shared" si="208"/>
        <v>178841</v>
      </c>
      <c r="R94" s="16">
        <f t="shared" si="208"/>
        <v>71158.81</v>
      </c>
      <c r="S94" s="16">
        <f t="shared" si="137"/>
        <v>249999.81</v>
      </c>
      <c r="T94" s="16">
        <f t="shared" si="208"/>
        <v>249763</v>
      </c>
      <c r="U94" s="16">
        <f t="shared" si="208"/>
        <v>100236.82999999999</v>
      </c>
      <c r="V94" s="16">
        <f t="shared" si="138"/>
        <v>349999.82999999996</v>
      </c>
      <c r="W94" s="28"/>
    </row>
    <row r="95" spans="1:24" x14ac:dyDescent="0.25">
      <c r="A95" s="18" t="s">
        <v>109</v>
      </c>
      <c r="B95" s="19" t="s">
        <v>160</v>
      </c>
      <c r="C95" s="20">
        <f>SUM(C96:C98)</f>
        <v>650788</v>
      </c>
      <c r="D95" s="20">
        <f>SUM(D96:D98)</f>
        <v>431440</v>
      </c>
      <c r="E95" s="20">
        <f>SUM(E96:E98)</f>
        <v>1082228</v>
      </c>
      <c r="F95" s="3"/>
      <c r="G95" s="3"/>
      <c r="H95" s="20">
        <f>SUM(H96:H98)</f>
        <v>59181</v>
      </c>
      <c r="I95" s="20">
        <f>SUM(I96:I98)</f>
        <v>23048.21</v>
      </c>
      <c r="J95" s="20">
        <f t="shared" si="134"/>
        <v>82229.209999999992</v>
      </c>
      <c r="K95" s="20">
        <f>SUM(K96:K98)</f>
        <v>107919</v>
      </c>
      <c r="L95" s="20">
        <f>SUM(L96:L98)</f>
        <v>42080.79</v>
      </c>
      <c r="M95" s="20">
        <f t="shared" si="135"/>
        <v>149999.79</v>
      </c>
      <c r="N95" s="20">
        <f>SUM(N96:N98)</f>
        <v>178841</v>
      </c>
      <c r="O95" s="20">
        <f>SUM(O96:O98)</f>
        <v>71158.81</v>
      </c>
      <c r="P95" s="20">
        <f t="shared" si="136"/>
        <v>249999.81</v>
      </c>
      <c r="Q95" s="20">
        <f>SUM(Q96:Q98)</f>
        <v>178841</v>
      </c>
      <c r="R95" s="20">
        <f>SUM(R96:R98)</f>
        <v>71158.81</v>
      </c>
      <c r="S95" s="20">
        <f t="shared" si="137"/>
        <v>249999.81</v>
      </c>
      <c r="T95" s="20">
        <f>SUM(T96:T98)</f>
        <v>249763</v>
      </c>
      <c r="U95" s="20">
        <f>SUM(U96:U98)</f>
        <v>100236.82999999999</v>
      </c>
      <c r="V95" s="20">
        <f t="shared" si="138"/>
        <v>349999.82999999996</v>
      </c>
      <c r="W95" s="28"/>
    </row>
    <row r="96" spans="1:24" ht="24" x14ac:dyDescent="0.25">
      <c r="A96" s="37" t="s">
        <v>110</v>
      </c>
      <c r="B96" s="4" t="s">
        <v>115</v>
      </c>
      <c r="C96" s="6">
        <v>32000</v>
      </c>
      <c r="D96" s="6">
        <f>C96*0.22</f>
        <v>7040</v>
      </c>
      <c r="E96" s="6">
        <f>C96+D96</f>
        <v>39040</v>
      </c>
      <c r="F96" s="33">
        <v>0.82</v>
      </c>
      <c r="G96" s="33">
        <v>0.18</v>
      </c>
      <c r="H96" s="6">
        <f>$C$96/5</f>
        <v>6400</v>
      </c>
      <c r="I96" s="6">
        <f t="shared" ref="I96" si="209">H96*0.22</f>
        <v>1408</v>
      </c>
      <c r="J96" s="6">
        <f t="shared" si="134"/>
        <v>7808</v>
      </c>
      <c r="K96" s="6">
        <f>$C$96/5</f>
        <v>6400</v>
      </c>
      <c r="L96" s="6">
        <f t="shared" ref="L96" si="210">K96*0.22</f>
        <v>1408</v>
      </c>
      <c r="M96" s="6">
        <f t="shared" si="135"/>
        <v>7808</v>
      </c>
      <c r="N96" s="6">
        <f>$C$96/5</f>
        <v>6400</v>
      </c>
      <c r="O96" s="6">
        <f t="shared" ref="O96" si="211">N96*0.22</f>
        <v>1408</v>
      </c>
      <c r="P96" s="6">
        <f t="shared" si="136"/>
        <v>7808</v>
      </c>
      <c r="Q96" s="6">
        <f>$C$96/5</f>
        <v>6400</v>
      </c>
      <c r="R96" s="6">
        <f t="shared" ref="R96" si="212">Q96*0.22</f>
        <v>1408</v>
      </c>
      <c r="S96" s="6">
        <f t="shared" si="137"/>
        <v>7808</v>
      </c>
      <c r="T96" s="6">
        <f>$C$96/5</f>
        <v>6400</v>
      </c>
      <c r="U96" s="6">
        <f t="shared" ref="U96" si="213">T96*0.22</f>
        <v>1408</v>
      </c>
      <c r="V96" s="6">
        <f t="shared" si="138"/>
        <v>7808</v>
      </c>
      <c r="W96" s="28"/>
    </row>
    <row r="97" spans="1:25" x14ac:dyDescent="0.25">
      <c r="A97" s="37" t="s">
        <v>112</v>
      </c>
      <c r="B97" s="5" t="s">
        <v>116</v>
      </c>
      <c r="C97" s="6">
        <f>600000-1212</f>
        <v>598788</v>
      </c>
      <c r="D97" s="6">
        <v>420000</v>
      </c>
      <c r="E97" s="6">
        <f>C97+D97</f>
        <v>1018788</v>
      </c>
      <c r="F97" s="33">
        <f>C97/E97</f>
        <v>0.58774543869774676</v>
      </c>
      <c r="G97" s="33">
        <f>D97/E97</f>
        <v>0.41225456130225324</v>
      </c>
      <c r="H97" s="6">
        <v>52781</v>
      </c>
      <c r="I97" s="6">
        <f>H97*0.41</f>
        <v>21640.21</v>
      </c>
      <c r="J97" s="6">
        <f t="shared" si="134"/>
        <v>74421.209999999992</v>
      </c>
      <c r="K97" s="6">
        <v>96519</v>
      </c>
      <c r="L97" s="6">
        <f>K97*0.41</f>
        <v>39572.79</v>
      </c>
      <c r="M97" s="6">
        <f t="shared" si="135"/>
        <v>136091.79</v>
      </c>
      <c r="N97" s="6">
        <v>167441</v>
      </c>
      <c r="O97" s="6">
        <f>N97*0.41</f>
        <v>68650.81</v>
      </c>
      <c r="P97" s="6">
        <f t="shared" si="136"/>
        <v>236091.81</v>
      </c>
      <c r="Q97" s="6">
        <v>167441</v>
      </c>
      <c r="R97" s="6">
        <f>Q97*0.41</f>
        <v>68650.81</v>
      </c>
      <c r="S97" s="6">
        <f t="shared" si="137"/>
        <v>236091.81</v>
      </c>
      <c r="T97" s="6">
        <v>238363</v>
      </c>
      <c r="U97" s="6">
        <f>T97*0.41</f>
        <v>97728.829999999987</v>
      </c>
      <c r="V97" s="6">
        <f t="shared" si="138"/>
        <v>336091.82999999996</v>
      </c>
      <c r="W97" s="28"/>
    </row>
    <row r="98" spans="1:25" x14ac:dyDescent="0.25">
      <c r="A98" s="37" t="s">
        <v>159</v>
      </c>
      <c r="B98" s="5" t="s">
        <v>117</v>
      </c>
      <c r="C98" s="6">
        <v>20000</v>
      </c>
      <c r="D98" s="6">
        <f>C98*0.22</f>
        <v>4400</v>
      </c>
      <c r="E98" s="6">
        <f>C98+D98</f>
        <v>24400</v>
      </c>
      <c r="F98" s="33">
        <v>0.82</v>
      </c>
      <c r="G98" s="33">
        <v>0.18</v>
      </c>
      <c r="H98" s="6">
        <v>0</v>
      </c>
      <c r="I98" s="6">
        <f t="shared" ref="I98" si="214">H98*0.22</f>
        <v>0</v>
      </c>
      <c r="J98" s="6">
        <f t="shared" si="134"/>
        <v>0</v>
      </c>
      <c r="K98" s="6">
        <f>$C$98/4</f>
        <v>5000</v>
      </c>
      <c r="L98" s="6">
        <f t="shared" ref="L98" si="215">K98*0.22</f>
        <v>1100</v>
      </c>
      <c r="M98" s="6">
        <f t="shared" si="135"/>
        <v>6100</v>
      </c>
      <c r="N98" s="6">
        <f t="shared" ref="N98:T98" si="216">$C$98/4</f>
        <v>5000</v>
      </c>
      <c r="O98" s="6">
        <f t="shared" ref="O98" si="217">N98*0.22</f>
        <v>1100</v>
      </c>
      <c r="P98" s="6">
        <f t="shared" si="136"/>
        <v>6100</v>
      </c>
      <c r="Q98" s="6">
        <f t="shared" si="216"/>
        <v>5000</v>
      </c>
      <c r="R98" s="6">
        <f t="shared" ref="R98" si="218">Q98*0.22</f>
        <v>1100</v>
      </c>
      <c r="S98" s="6">
        <f t="shared" si="137"/>
        <v>6100</v>
      </c>
      <c r="T98" s="6">
        <f t="shared" si="216"/>
        <v>5000</v>
      </c>
      <c r="U98" s="6">
        <f t="shared" ref="U98" si="219">T98*0.22</f>
        <v>1100</v>
      </c>
      <c r="V98" s="6">
        <f t="shared" si="138"/>
        <v>6100</v>
      </c>
      <c r="W98" s="28"/>
    </row>
    <row r="99" spans="1:25" x14ac:dyDescent="0.25">
      <c r="A99" s="14">
        <v>3.3</v>
      </c>
      <c r="B99" s="39" t="s">
        <v>161</v>
      </c>
      <c r="C99" s="16">
        <f>C100</f>
        <v>270000</v>
      </c>
      <c r="D99" s="16">
        <f t="shared" ref="D99:E99" si="220">D100</f>
        <v>59400</v>
      </c>
      <c r="E99" s="16">
        <f t="shared" si="220"/>
        <v>329400</v>
      </c>
      <c r="F99" s="26"/>
      <c r="G99" s="26"/>
      <c r="H99" s="16">
        <f t="shared" ref="H99:U99" si="221">H100</f>
        <v>50000</v>
      </c>
      <c r="I99" s="16">
        <f t="shared" si="221"/>
        <v>11000</v>
      </c>
      <c r="J99" s="16">
        <f t="shared" si="134"/>
        <v>61000</v>
      </c>
      <c r="K99" s="16">
        <f t="shared" si="221"/>
        <v>55000</v>
      </c>
      <c r="L99" s="16">
        <f t="shared" si="221"/>
        <v>12100</v>
      </c>
      <c r="M99" s="16">
        <f t="shared" si="135"/>
        <v>67100</v>
      </c>
      <c r="N99" s="16">
        <f t="shared" si="221"/>
        <v>55000</v>
      </c>
      <c r="O99" s="16">
        <f t="shared" si="221"/>
        <v>12100</v>
      </c>
      <c r="P99" s="16">
        <f t="shared" si="136"/>
        <v>67100</v>
      </c>
      <c r="Q99" s="16">
        <f t="shared" si="221"/>
        <v>55000</v>
      </c>
      <c r="R99" s="16">
        <f t="shared" si="221"/>
        <v>12100</v>
      </c>
      <c r="S99" s="16">
        <f t="shared" si="137"/>
        <v>67100</v>
      </c>
      <c r="T99" s="16">
        <f t="shared" si="221"/>
        <v>55000</v>
      </c>
      <c r="U99" s="16">
        <f t="shared" si="221"/>
        <v>12100</v>
      </c>
      <c r="V99" s="16">
        <f t="shared" si="138"/>
        <v>67100</v>
      </c>
      <c r="W99" s="28"/>
    </row>
    <row r="100" spans="1:25" s="17" customFormat="1" x14ac:dyDescent="0.25">
      <c r="A100" s="18" t="s">
        <v>162</v>
      </c>
      <c r="B100" s="19" t="s">
        <v>163</v>
      </c>
      <c r="C100" s="20">
        <f>SUM(C101:C102)</f>
        <v>270000</v>
      </c>
      <c r="D100" s="20">
        <f>SUM(D101:D102)</f>
        <v>59400</v>
      </c>
      <c r="E100" s="20">
        <f>SUM(E101:E102)</f>
        <v>329400</v>
      </c>
      <c r="F100" s="3"/>
      <c r="G100" s="3"/>
      <c r="H100" s="20">
        <f>SUM(H101:H102)</f>
        <v>50000</v>
      </c>
      <c r="I100" s="20">
        <f>SUM(I101:I102)</f>
        <v>11000</v>
      </c>
      <c r="J100" s="20">
        <f t="shared" si="134"/>
        <v>61000</v>
      </c>
      <c r="K100" s="20">
        <f>SUM(K101:K102)</f>
        <v>55000</v>
      </c>
      <c r="L100" s="20">
        <f>SUM(L101:L102)</f>
        <v>12100</v>
      </c>
      <c r="M100" s="20">
        <f t="shared" si="135"/>
        <v>67100</v>
      </c>
      <c r="N100" s="20">
        <f>SUM(N101:N102)</f>
        <v>55000</v>
      </c>
      <c r="O100" s="20">
        <f>SUM(O101:O102)</f>
        <v>12100</v>
      </c>
      <c r="P100" s="20">
        <f t="shared" si="136"/>
        <v>67100</v>
      </c>
      <c r="Q100" s="20">
        <f>SUM(Q101:Q102)</f>
        <v>55000</v>
      </c>
      <c r="R100" s="20">
        <f>SUM(R101:R102)</f>
        <v>12100</v>
      </c>
      <c r="S100" s="20">
        <f t="shared" si="137"/>
        <v>67100</v>
      </c>
      <c r="T100" s="20">
        <f>SUM(T101:T102)</f>
        <v>55000</v>
      </c>
      <c r="U100" s="20">
        <f>SUM(U101:U102)</f>
        <v>12100</v>
      </c>
      <c r="V100" s="20">
        <f t="shared" si="138"/>
        <v>67100</v>
      </c>
      <c r="W100" s="28"/>
    </row>
    <row r="101" spans="1:25" x14ac:dyDescent="0.25">
      <c r="A101" s="37" t="s">
        <v>164</v>
      </c>
      <c r="B101" s="5" t="s">
        <v>118</v>
      </c>
      <c r="C101" s="6">
        <v>250000</v>
      </c>
      <c r="D101" s="6">
        <f>C101*0.22</f>
        <v>55000</v>
      </c>
      <c r="E101" s="6">
        <f>C101+D101</f>
        <v>305000</v>
      </c>
      <c r="F101" s="38">
        <v>0.82</v>
      </c>
      <c r="G101" s="38">
        <v>0.18</v>
      </c>
      <c r="H101" s="6">
        <f>$C$101/5</f>
        <v>50000</v>
      </c>
      <c r="I101" s="6">
        <f t="shared" ref="I101:I102" si="222">H101*0.22</f>
        <v>11000</v>
      </c>
      <c r="J101" s="6">
        <f t="shared" si="134"/>
        <v>61000</v>
      </c>
      <c r="K101" s="6">
        <f>$C$101/5</f>
        <v>50000</v>
      </c>
      <c r="L101" s="6">
        <f t="shared" ref="L101:L102" si="223">K101*0.22</f>
        <v>11000</v>
      </c>
      <c r="M101" s="6">
        <f t="shared" si="135"/>
        <v>61000</v>
      </c>
      <c r="N101" s="6">
        <f>$C$101/5</f>
        <v>50000</v>
      </c>
      <c r="O101" s="6">
        <f t="shared" ref="O101:O102" si="224">N101*0.22</f>
        <v>11000</v>
      </c>
      <c r="P101" s="6">
        <f t="shared" si="136"/>
        <v>61000</v>
      </c>
      <c r="Q101" s="6">
        <f>$C$101/5</f>
        <v>50000</v>
      </c>
      <c r="R101" s="6">
        <f t="shared" ref="R101:R102" si="225">Q101*0.22</f>
        <v>11000</v>
      </c>
      <c r="S101" s="6">
        <f t="shared" si="137"/>
        <v>61000</v>
      </c>
      <c r="T101" s="6">
        <f>$C$101/5</f>
        <v>50000</v>
      </c>
      <c r="U101" s="6">
        <f t="shared" ref="U101:U102" si="226">T101*0.22</f>
        <v>11000</v>
      </c>
      <c r="V101" s="6">
        <f t="shared" si="138"/>
        <v>61000</v>
      </c>
      <c r="W101" s="28"/>
    </row>
    <row r="102" spans="1:25" x14ac:dyDescent="0.25">
      <c r="A102" s="37" t="s">
        <v>165</v>
      </c>
      <c r="B102" s="5" t="s">
        <v>119</v>
      </c>
      <c r="C102" s="6">
        <v>20000</v>
      </c>
      <c r="D102" s="6">
        <f>C102*0.22</f>
        <v>4400</v>
      </c>
      <c r="E102" s="6">
        <f>C102+D102</f>
        <v>24400</v>
      </c>
      <c r="F102" s="38">
        <v>0.82</v>
      </c>
      <c r="G102" s="38">
        <v>0.18</v>
      </c>
      <c r="H102" s="6">
        <v>0</v>
      </c>
      <c r="I102" s="6">
        <f t="shared" si="222"/>
        <v>0</v>
      </c>
      <c r="J102" s="6">
        <f t="shared" si="134"/>
        <v>0</v>
      </c>
      <c r="K102" s="6">
        <f>$C$102/4</f>
        <v>5000</v>
      </c>
      <c r="L102" s="6">
        <f t="shared" si="223"/>
        <v>1100</v>
      </c>
      <c r="M102" s="6">
        <f t="shared" si="135"/>
        <v>6100</v>
      </c>
      <c r="N102" s="6">
        <v>5000</v>
      </c>
      <c r="O102" s="6">
        <f t="shared" si="224"/>
        <v>1100</v>
      </c>
      <c r="P102" s="6">
        <f t="shared" si="136"/>
        <v>6100</v>
      </c>
      <c r="Q102" s="6">
        <v>5000</v>
      </c>
      <c r="R102" s="6">
        <f t="shared" si="225"/>
        <v>1100</v>
      </c>
      <c r="S102" s="6">
        <f t="shared" si="137"/>
        <v>6100</v>
      </c>
      <c r="T102" s="6">
        <v>5000</v>
      </c>
      <c r="U102" s="6">
        <f t="shared" si="226"/>
        <v>1100</v>
      </c>
      <c r="V102" s="6">
        <f t="shared" si="138"/>
        <v>6100</v>
      </c>
      <c r="W102" s="28"/>
    </row>
    <row r="103" spans="1:25" x14ac:dyDescent="0.25">
      <c r="A103" s="12"/>
      <c r="B103" s="24" t="s">
        <v>123</v>
      </c>
      <c r="C103" s="2">
        <f>C70</f>
        <v>2304881</v>
      </c>
      <c r="D103" s="2">
        <f>D70</f>
        <v>795340.46</v>
      </c>
      <c r="E103" s="2">
        <f>E70</f>
        <v>3100221.46</v>
      </c>
      <c r="F103" s="2"/>
      <c r="G103" s="2"/>
      <c r="H103" s="2">
        <f>H70</f>
        <v>351294.8</v>
      </c>
      <c r="I103" s="2">
        <f>I70</f>
        <v>87313.245999999985</v>
      </c>
      <c r="J103" s="2">
        <f t="shared" si="134"/>
        <v>438608.04599999997</v>
      </c>
      <c r="K103" s="2">
        <f>K70</f>
        <v>457652.8</v>
      </c>
      <c r="L103" s="2">
        <f>L70</f>
        <v>119022.226</v>
      </c>
      <c r="M103" s="2">
        <f t="shared" si="135"/>
        <v>576675.02599999995</v>
      </c>
      <c r="N103" s="2">
        <f>N70</f>
        <v>549557.80000000005</v>
      </c>
      <c r="O103" s="2">
        <f>O70</f>
        <v>152716.50599999999</v>
      </c>
      <c r="P103" s="2">
        <f t="shared" si="136"/>
        <v>702274.3060000001</v>
      </c>
      <c r="Q103" s="2">
        <f>Q70</f>
        <v>508574.8</v>
      </c>
      <c r="R103" s="2">
        <f>R70</f>
        <v>143700.24599999998</v>
      </c>
      <c r="S103" s="2">
        <f t="shared" si="137"/>
        <v>652275.04599999997</v>
      </c>
      <c r="T103" s="2">
        <f>T70</f>
        <v>561557.80000000005</v>
      </c>
      <c r="U103" s="2">
        <f>U70</f>
        <v>168831.68599999999</v>
      </c>
      <c r="V103" s="2">
        <f t="shared" si="138"/>
        <v>730389.48600000003</v>
      </c>
      <c r="W103" s="28"/>
      <c r="Y103" s="40"/>
    </row>
    <row r="104" spans="1:25" x14ac:dyDescent="0.25">
      <c r="A104" s="11">
        <v>4</v>
      </c>
      <c r="B104" s="12" t="s">
        <v>124</v>
      </c>
      <c r="C104" s="13">
        <f>C105+C110</f>
        <v>563972</v>
      </c>
      <c r="D104" s="13">
        <f>D105+D110</f>
        <v>113073.84</v>
      </c>
      <c r="E104" s="13">
        <f>E105+E110</f>
        <v>677045.84000000008</v>
      </c>
      <c r="F104" s="25"/>
      <c r="G104" s="25"/>
      <c r="H104" s="13">
        <f>H105+H110</f>
        <v>67108</v>
      </c>
      <c r="I104" s="13">
        <f>I105+I110</f>
        <v>12563.76</v>
      </c>
      <c r="J104" s="13">
        <f t="shared" si="134"/>
        <v>79671.759999999995</v>
      </c>
      <c r="K104" s="13">
        <f>K105+K110</f>
        <v>124216</v>
      </c>
      <c r="L104" s="13">
        <f>L105+L110</f>
        <v>25127.52</v>
      </c>
      <c r="M104" s="13">
        <f t="shared" si="135"/>
        <v>149343.51999999999</v>
      </c>
      <c r="N104" s="13">
        <f>N105+N110</f>
        <v>124216</v>
      </c>
      <c r="O104" s="13">
        <f>O105+O110</f>
        <v>25127.52</v>
      </c>
      <c r="P104" s="13">
        <f t="shared" si="136"/>
        <v>149343.51999999999</v>
      </c>
      <c r="Q104" s="13">
        <f>Q105+Q110</f>
        <v>124216</v>
      </c>
      <c r="R104" s="13">
        <f>R105+R110</f>
        <v>25127.52</v>
      </c>
      <c r="S104" s="13">
        <f t="shared" si="137"/>
        <v>149343.51999999999</v>
      </c>
      <c r="T104" s="13">
        <f>T105+T110</f>
        <v>124216</v>
      </c>
      <c r="U104" s="13">
        <f>U105+U110</f>
        <v>25127.52</v>
      </c>
      <c r="V104" s="13">
        <f t="shared" si="138"/>
        <v>149343.51999999999</v>
      </c>
      <c r="W104" s="28"/>
      <c r="Y104" s="40"/>
    </row>
    <row r="105" spans="1:25" x14ac:dyDescent="0.25">
      <c r="A105" s="14">
        <v>4.0999999999999996</v>
      </c>
      <c r="B105" s="15" t="s">
        <v>125</v>
      </c>
      <c r="C105" s="16">
        <f>SUM(C106:C109)</f>
        <v>513972</v>
      </c>
      <c r="D105" s="16">
        <f>SUM(D106:D109)</f>
        <v>113073.84</v>
      </c>
      <c r="E105" s="16">
        <f>SUM(E106:E109)</f>
        <v>627045.84000000008</v>
      </c>
      <c r="F105" s="26"/>
      <c r="G105" s="26"/>
      <c r="H105" s="16">
        <f>SUM(H106:H109)</f>
        <v>57108</v>
      </c>
      <c r="I105" s="16">
        <f>SUM(I106:I109)</f>
        <v>12563.76</v>
      </c>
      <c r="J105" s="16">
        <f t="shared" si="134"/>
        <v>69671.759999999995</v>
      </c>
      <c r="K105" s="16">
        <f>SUM(K106:K109)</f>
        <v>114216</v>
      </c>
      <c r="L105" s="16">
        <f>SUM(L106:L109)</f>
        <v>25127.52</v>
      </c>
      <c r="M105" s="16">
        <f t="shared" si="135"/>
        <v>139343.51999999999</v>
      </c>
      <c r="N105" s="16">
        <f>SUM(N106:N109)</f>
        <v>114216</v>
      </c>
      <c r="O105" s="16">
        <f>SUM(O106:O109)</f>
        <v>25127.52</v>
      </c>
      <c r="P105" s="16">
        <f t="shared" si="136"/>
        <v>139343.51999999999</v>
      </c>
      <c r="Q105" s="16">
        <f>SUM(Q106:Q109)</f>
        <v>114216</v>
      </c>
      <c r="R105" s="16">
        <f>SUM(R106:R109)</f>
        <v>25127.52</v>
      </c>
      <c r="S105" s="16">
        <f t="shared" si="137"/>
        <v>139343.51999999999</v>
      </c>
      <c r="T105" s="16">
        <f>SUM(T106:T109)</f>
        <v>114216</v>
      </c>
      <c r="U105" s="16">
        <f>SUM(U106:U109)</f>
        <v>25127.52</v>
      </c>
      <c r="V105" s="16">
        <f t="shared" si="138"/>
        <v>139343.51999999999</v>
      </c>
      <c r="W105" s="28"/>
    </row>
    <row r="106" spans="1:25" x14ac:dyDescent="0.25">
      <c r="A106" s="37" t="s">
        <v>126</v>
      </c>
      <c r="B106" s="5" t="s">
        <v>127</v>
      </c>
      <c r="C106" s="6">
        <f>3461*54</f>
        <v>186894</v>
      </c>
      <c r="D106" s="6">
        <f>C106*0.22</f>
        <v>41116.68</v>
      </c>
      <c r="E106" s="6">
        <f>C106+D106</f>
        <v>228010.68</v>
      </c>
      <c r="F106" s="33">
        <f>C106/E106</f>
        <v>0.81967213114754101</v>
      </c>
      <c r="G106" s="33">
        <f>D106/E106</f>
        <v>0.18032786885245902</v>
      </c>
      <c r="H106" s="6">
        <f>(3461)*6</f>
        <v>20766</v>
      </c>
      <c r="I106" s="6">
        <f t="shared" ref="I106:L106" si="227">H106*0.22</f>
        <v>4568.5200000000004</v>
      </c>
      <c r="J106" s="6">
        <f t="shared" si="134"/>
        <v>25334.52</v>
      </c>
      <c r="K106" s="6">
        <f>(3461)*12</f>
        <v>41532</v>
      </c>
      <c r="L106" s="6">
        <f t="shared" si="227"/>
        <v>9137.0400000000009</v>
      </c>
      <c r="M106" s="6">
        <f t="shared" si="135"/>
        <v>50669.04</v>
      </c>
      <c r="N106" s="6">
        <f>(3461)*12</f>
        <v>41532</v>
      </c>
      <c r="O106" s="6">
        <f t="shared" ref="O106" si="228">N106*0.22</f>
        <v>9137.0400000000009</v>
      </c>
      <c r="P106" s="6">
        <f t="shared" si="136"/>
        <v>50669.04</v>
      </c>
      <c r="Q106" s="6">
        <f>(3461)*12</f>
        <v>41532</v>
      </c>
      <c r="R106" s="6">
        <f t="shared" ref="R106" si="229">Q106*0.22</f>
        <v>9137.0400000000009</v>
      </c>
      <c r="S106" s="6">
        <f t="shared" si="137"/>
        <v>50669.04</v>
      </c>
      <c r="T106" s="6">
        <f>(3461)*12</f>
        <v>41532</v>
      </c>
      <c r="U106" s="6">
        <f t="shared" ref="U106" si="230">T106*0.22</f>
        <v>9137.0400000000009</v>
      </c>
      <c r="V106" s="6">
        <f t="shared" si="138"/>
        <v>50669.04</v>
      </c>
      <c r="W106" s="28"/>
    </row>
    <row r="107" spans="1:25" x14ac:dyDescent="0.25">
      <c r="A107" s="37" t="s">
        <v>128</v>
      </c>
      <c r="B107" s="5" t="s">
        <v>131</v>
      </c>
      <c r="C107" s="6">
        <f>2769*54</f>
        <v>149526</v>
      </c>
      <c r="D107" s="6">
        <f t="shared" ref="D107:D109" si="231">C107*0.22</f>
        <v>32895.72</v>
      </c>
      <c r="E107" s="6">
        <f>C107+D107</f>
        <v>182421.72</v>
      </c>
      <c r="F107" s="33">
        <f t="shared" ref="F107:F109" si="232">C107/E107</f>
        <v>0.81967213114754101</v>
      </c>
      <c r="G107" s="33">
        <f t="shared" ref="G107:G109" si="233">D107/E107</f>
        <v>0.18032786885245902</v>
      </c>
      <c r="H107" s="6">
        <f>(2769)*6</f>
        <v>16614</v>
      </c>
      <c r="I107" s="6">
        <f t="shared" ref="I107:L107" si="234">H107*0.22</f>
        <v>3655.08</v>
      </c>
      <c r="J107" s="6">
        <f t="shared" si="134"/>
        <v>20269.080000000002</v>
      </c>
      <c r="K107" s="6">
        <f>(2769)*12</f>
        <v>33228</v>
      </c>
      <c r="L107" s="6">
        <f t="shared" si="234"/>
        <v>7310.16</v>
      </c>
      <c r="M107" s="6">
        <f t="shared" si="135"/>
        <v>40538.160000000003</v>
      </c>
      <c r="N107" s="6">
        <f>(2769)*12</f>
        <v>33228</v>
      </c>
      <c r="O107" s="6">
        <f t="shared" ref="O107" si="235">N107*0.22</f>
        <v>7310.16</v>
      </c>
      <c r="P107" s="6">
        <f t="shared" si="136"/>
        <v>40538.160000000003</v>
      </c>
      <c r="Q107" s="6">
        <f>(2769)*12</f>
        <v>33228</v>
      </c>
      <c r="R107" s="6">
        <f t="shared" ref="R107" si="236">Q107*0.22</f>
        <v>7310.16</v>
      </c>
      <c r="S107" s="6">
        <f t="shared" si="137"/>
        <v>40538.160000000003</v>
      </c>
      <c r="T107" s="6">
        <f>(2769)*12</f>
        <v>33228</v>
      </c>
      <c r="U107" s="6">
        <f t="shared" ref="U107" si="237">T107*0.22</f>
        <v>7310.16</v>
      </c>
      <c r="V107" s="6">
        <f t="shared" si="138"/>
        <v>40538.160000000003</v>
      </c>
      <c r="W107" s="28"/>
    </row>
    <row r="108" spans="1:25" x14ac:dyDescent="0.25">
      <c r="A108" s="37" t="s">
        <v>130</v>
      </c>
      <c r="B108" s="5" t="s">
        <v>133</v>
      </c>
      <c r="C108" s="6">
        <f>1731*54</f>
        <v>93474</v>
      </c>
      <c r="D108" s="6">
        <f t="shared" si="231"/>
        <v>20564.28</v>
      </c>
      <c r="E108" s="6">
        <f>C108+D108</f>
        <v>114038.28</v>
      </c>
      <c r="F108" s="33">
        <f t="shared" si="232"/>
        <v>0.81967213114754101</v>
      </c>
      <c r="G108" s="33">
        <f t="shared" si="233"/>
        <v>0.18032786885245899</v>
      </c>
      <c r="H108" s="6">
        <f>(1731)*6</f>
        <v>10386</v>
      </c>
      <c r="I108" s="6">
        <f t="shared" ref="I108:L108" si="238">H108*0.22</f>
        <v>2284.92</v>
      </c>
      <c r="J108" s="6">
        <f t="shared" si="134"/>
        <v>12670.92</v>
      </c>
      <c r="K108" s="6">
        <f>(1731)*12</f>
        <v>20772</v>
      </c>
      <c r="L108" s="6">
        <f t="shared" si="238"/>
        <v>4569.84</v>
      </c>
      <c r="M108" s="6">
        <f t="shared" si="135"/>
        <v>25341.84</v>
      </c>
      <c r="N108" s="6">
        <f>(1731)*12</f>
        <v>20772</v>
      </c>
      <c r="O108" s="6">
        <f t="shared" ref="O108" si="239">N108*0.22</f>
        <v>4569.84</v>
      </c>
      <c r="P108" s="6">
        <f t="shared" si="136"/>
        <v>25341.84</v>
      </c>
      <c r="Q108" s="6">
        <f>(1731)*12</f>
        <v>20772</v>
      </c>
      <c r="R108" s="6">
        <f t="shared" ref="R108" si="240">Q108*0.22</f>
        <v>4569.84</v>
      </c>
      <c r="S108" s="6">
        <f t="shared" si="137"/>
        <v>25341.84</v>
      </c>
      <c r="T108" s="6">
        <f>(1731)*12</f>
        <v>20772</v>
      </c>
      <c r="U108" s="6">
        <f t="shared" ref="U108" si="241">T108*0.22</f>
        <v>4569.84</v>
      </c>
      <c r="V108" s="6">
        <f t="shared" si="138"/>
        <v>25341.84</v>
      </c>
      <c r="W108" s="28"/>
    </row>
    <row r="109" spans="1:25" x14ac:dyDescent="0.25">
      <c r="A109" s="37" t="s">
        <v>132</v>
      </c>
      <c r="B109" s="5" t="s">
        <v>134</v>
      </c>
      <c r="C109" s="6">
        <f>1557*54</f>
        <v>84078</v>
      </c>
      <c r="D109" s="6">
        <f t="shared" si="231"/>
        <v>18497.16</v>
      </c>
      <c r="E109" s="6">
        <f>C109+D109</f>
        <v>102575.16</v>
      </c>
      <c r="F109" s="33">
        <f t="shared" si="232"/>
        <v>0.81967213114754101</v>
      </c>
      <c r="G109" s="33">
        <f t="shared" si="233"/>
        <v>0.18032786885245902</v>
      </c>
      <c r="H109" s="6">
        <f>(1557)*6</f>
        <v>9342</v>
      </c>
      <c r="I109" s="6">
        <f t="shared" ref="I109:L109" si="242">H109*0.22</f>
        <v>2055.2400000000002</v>
      </c>
      <c r="J109" s="6">
        <f t="shared" si="134"/>
        <v>11397.24</v>
      </c>
      <c r="K109" s="6">
        <f>(1557)*12</f>
        <v>18684</v>
      </c>
      <c r="L109" s="6">
        <f t="shared" si="242"/>
        <v>4110.4800000000005</v>
      </c>
      <c r="M109" s="6">
        <f t="shared" si="135"/>
        <v>22794.48</v>
      </c>
      <c r="N109" s="6">
        <f>(1557)*12</f>
        <v>18684</v>
      </c>
      <c r="O109" s="6">
        <f t="shared" ref="O109" si="243">N109*0.22</f>
        <v>4110.4800000000005</v>
      </c>
      <c r="P109" s="6">
        <f t="shared" si="136"/>
        <v>22794.48</v>
      </c>
      <c r="Q109" s="6">
        <f>(1557)*12</f>
        <v>18684</v>
      </c>
      <c r="R109" s="6">
        <f t="shared" ref="R109" si="244">Q109*0.22</f>
        <v>4110.4800000000005</v>
      </c>
      <c r="S109" s="6">
        <f t="shared" si="137"/>
        <v>22794.48</v>
      </c>
      <c r="T109" s="6">
        <f>(1557)*12</f>
        <v>18684</v>
      </c>
      <c r="U109" s="6">
        <f t="shared" ref="U109" si="245">T109*0.22</f>
        <v>4110.4800000000005</v>
      </c>
      <c r="V109" s="6">
        <f t="shared" si="138"/>
        <v>22794.48</v>
      </c>
      <c r="W109" s="28"/>
    </row>
    <row r="110" spans="1:25" x14ac:dyDescent="0.25">
      <c r="A110" s="14">
        <v>4.2</v>
      </c>
      <c r="B110" s="15" t="s">
        <v>135</v>
      </c>
      <c r="C110" s="16">
        <f>C111</f>
        <v>50000</v>
      </c>
      <c r="D110" s="16">
        <f>D111</f>
        <v>0</v>
      </c>
      <c r="E110" s="16">
        <f>E111</f>
        <v>50000</v>
      </c>
      <c r="F110" s="26"/>
      <c r="G110" s="26"/>
      <c r="H110" s="16">
        <f>H111</f>
        <v>10000</v>
      </c>
      <c r="I110" s="16">
        <f>I111</f>
        <v>0</v>
      </c>
      <c r="J110" s="16">
        <f t="shared" si="134"/>
        <v>10000</v>
      </c>
      <c r="K110" s="16">
        <f>K111</f>
        <v>10000</v>
      </c>
      <c r="L110" s="16">
        <f>L111</f>
        <v>0</v>
      </c>
      <c r="M110" s="16">
        <f t="shared" si="135"/>
        <v>10000</v>
      </c>
      <c r="N110" s="16">
        <f>N111</f>
        <v>10000</v>
      </c>
      <c r="O110" s="16">
        <f>O111</f>
        <v>0</v>
      </c>
      <c r="P110" s="16">
        <f t="shared" si="136"/>
        <v>10000</v>
      </c>
      <c r="Q110" s="16">
        <f>Q111</f>
        <v>10000</v>
      </c>
      <c r="R110" s="16">
        <f>R111</f>
        <v>0</v>
      </c>
      <c r="S110" s="16">
        <f t="shared" si="137"/>
        <v>10000</v>
      </c>
      <c r="T110" s="16">
        <f>T111</f>
        <v>10000</v>
      </c>
      <c r="U110" s="16">
        <f>U111</f>
        <v>0</v>
      </c>
      <c r="V110" s="16">
        <f t="shared" si="138"/>
        <v>10000</v>
      </c>
      <c r="W110" s="28"/>
    </row>
    <row r="111" spans="1:25" x14ac:dyDescent="0.25">
      <c r="A111" s="37" t="s">
        <v>136</v>
      </c>
      <c r="B111" s="5" t="s">
        <v>137</v>
      </c>
      <c r="C111" s="6">
        <v>50000</v>
      </c>
      <c r="D111" s="6">
        <v>0</v>
      </c>
      <c r="E111" s="6">
        <f>C111+D111</f>
        <v>50000</v>
      </c>
      <c r="F111" s="41">
        <v>1</v>
      </c>
      <c r="G111" s="41"/>
      <c r="H111" s="6">
        <f>$C$111/5</f>
        <v>10000</v>
      </c>
      <c r="I111" s="6">
        <v>0</v>
      </c>
      <c r="J111" s="6">
        <f t="shared" si="134"/>
        <v>10000</v>
      </c>
      <c r="K111" s="6">
        <f>$C$111/5</f>
        <v>10000</v>
      </c>
      <c r="L111" s="6">
        <v>0</v>
      </c>
      <c r="M111" s="6">
        <f t="shared" si="135"/>
        <v>10000</v>
      </c>
      <c r="N111" s="6">
        <f>$C$111/5</f>
        <v>10000</v>
      </c>
      <c r="O111" s="6">
        <v>0</v>
      </c>
      <c r="P111" s="6">
        <f t="shared" si="136"/>
        <v>10000</v>
      </c>
      <c r="Q111" s="6">
        <f>$C$111/5</f>
        <v>10000</v>
      </c>
      <c r="R111" s="6">
        <v>0</v>
      </c>
      <c r="S111" s="6">
        <f t="shared" si="137"/>
        <v>10000</v>
      </c>
      <c r="T111" s="6">
        <f>$C$111/5</f>
        <v>10000</v>
      </c>
      <c r="U111" s="6">
        <v>0</v>
      </c>
      <c r="V111" s="6">
        <f t="shared" si="138"/>
        <v>10000</v>
      </c>
      <c r="W111" s="28"/>
    </row>
    <row r="112" spans="1:25" x14ac:dyDescent="0.25">
      <c r="A112" s="12"/>
      <c r="B112" s="24" t="s">
        <v>138</v>
      </c>
      <c r="C112" s="2">
        <f>C104</f>
        <v>563972</v>
      </c>
      <c r="D112" s="2">
        <f>D104</f>
        <v>113073.84</v>
      </c>
      <c r="E112" s="2">
        <f>E104</f>
        <v>677045.84000000008</v>
      </c>
      <c r="F112" s="2"/>
      <c r="G112" s="2"/>
      <c r="H112" s="2">
        <f>H104</f>
        <v>67108</v>
      </c>
      <c r="I112" s="2">
        <f>I104</f>
        <v>12563.76</v>
      </c>
      <c r="J112" s="2">
        <f t="shared" si="134"/>
        <v>79671.759999999995</v>
      </c>
      <c r="K112" s="2">
        <f>K104</f>
        <v>124216</v>
      </c>
      <c r="L112" s="2">
        <f>L104</f>
        <v>25127.52</v>
      </c>
      <c r="M112" s="2">
        <f t="shared" si="135"/>
        <v>149343.51999999999</v>
      </c>
      <c r="N112" s="2">
        <f>N104</f>
        <v>124216</v>
      </c>
      <c r="O112" s="2">
        <f>O104</f>
        <v>25127.52</v>
      </c>
      <c r="P112" s="2">
        <f t="shared" si="136"/>
        <v>149343.51999999999</v>
      </c>
      <c r="Q112" s="2">
        <f>Q104</f>
        <v>124216</v>
      </c>
      <c r="R112" s="2">
        <f>R104</f>
        <v>25127.52</v>
      </c>
      <c r="S112" s="2">
        <f t="shared" si="137"/>
        <v>149343.51999999999</v>
      </c>
      <c r="T112" s="2">
        <f>T104</f>
        <v>124216</v>
      </c>
      <c r="U112" s="2">
        <f>U104</f>
        <v>25127.52</v>
      </c>
      <c r="V112" s="2">
        <f t="shared" si="138"/>
        <v>149343.51999999999</v>
      </c>
      <c r="W112" s="28"/>
      <c r="Y112" s="40"/>
    </row>
    <row r="113" spans="1:25" x14ac:dyDescent="0.25">
      <c r="A113" s="37"/>
      <c r="B113" s="5" t="s">
        <v>139</v>
      </c>
      <c r="C113" s="6">
        <v>0</v>
      </c>
      <c r="D113" s="6">
        <f>C113*0.22</f>
        <v>0</v>
      </c>
      <c r="E113" s="6">
        <f>C113+D113</f>
        <v>0</v>
      </c>
      <c r="F113" s="41"/>
      <c r="G113" s="41"/>
      <c r="H113" s="6">
        <f>$C$113/4</f>
        <v>0</v>
      </c>
      <c r="I113" s="6">
        <v>0</v>
      </c>
      <c r="J113" s="6">
        <f t="shared" si="134"/>
        <v>0</v>
      </c>
      <c r="K113" s="6">
        <f>$C$113/4</f>
        <v>0</v>
      </c>
      <c r="L113" s="6">
        <v>0</v>
      </c>
      <c r="M113" s="6">
        <f t="shared" si="135"/>
        <v>0</v>
      </c>
      <c r="N113" s="6">
        <f>$C$113/4</f>
        <v>0</v>
      </c>
      <c r="O113" s="6">
        <v>0</v>
      </c>
      <c r="P113" s="6">
        <f t="shared" si="136"/>
        <v>0</v>
      </c>
      <c r="Q113" s="6">
        <f>$C$113/4</f>
        <v>0</v>
      </c>
      <c r="R113" s="6">
        <v>0</v>
      </c>
      <c r="S113" s="6">
        <f t="shared" si="137"/>
        <v>0</v>
      </c>
      <c r="T113" s="6">
        <f>$C$113/4</f>
        <v>0</v>
      </c>
      <c r="U113" s="6">
        <v>0</v>
      </c>
      <c r="V113" s="6">
        <f t="shared" si="138"/>
        <v>0</v>
      </c>
      <c r="W113" s="28"/>
    </row>
    <row r="114" spans="1:25" x14ac:dyDescent="0.25">
      <c r="A114" s="12"/>
      <c r="B114" s="24" t="s">
        <v>140</v>
      </c>
      <c r="C114" s="2">
        <f>C112+C70+C40+C8+C113</f>
        <v>6000000.2459016396</v>
      </c>
      <c r="D114" s="2">
        <f>D112+D70+D40+D8+D113</f>
        <v>1999999.6940983608</v>
      </c>
      <c r="E114" s="2">
        <f>E112+E70+E40+E8+E113</f>
        <v>7999999.9399999995</v>
      </c>
      <c r="F114" s="2"/>
      <c r="G114" s="2"/>
      <c r="H114" s="2">
        <f>H112+H70+H40+H8+H113</f>
        <v>1078427.5147540984</v>
      </c>
      <c r="I114" s="2">
        <f>I112+I70+I40+I8+I113</f>
        <v>406175.44324590161</v>
      </c>
      <c r="J114" s="2">
        <f t="shared" si="134"/>
        <v>1484602.9580000001</v>
      </c>
      <c r="K114" s="2">
        <f>K112+K70+K40+K8+K113</f>
        <v>1488795.1379781421</v>
      </c>
      <c r="L114" s="2">
        <f>L112+L70+L40+L8+L113</f>
        <v>504766.54035519122</v>
      </c>
      <c r="M114" s="2">
        <f t="shared" si="135"/>
        <v>1993561.6783333332</v>
      </c>
      <c r="N114" s="2">
        <f>N112+N70+N40+N8+N113</f>
        <v>1375781.7199453553</v>
      </c>
      <c r="O114" s="2">
        <f>O112+O70+O40+O8+O113</f>
        <v>412832.76838797814</v>
      </c>
      <c r="P114" s="2">
        <f t="shared" si="136"/>
        <v>1788614.4883333335</v>
      </c>
      <c r="Q114" s="2">
        <f>Q112+Q70+Q40+Q8+Q113</f>
        <v>1155116.5109289619</v>
      </c>
      <c r="R114" s="2">
        <f>R112+R70+R40+R8+R113</f>
        <v>283739.42240437155</v>
      </c>
      <c r="S114" s="2">
        <f t="shared" si="137"/>
        <v>1438855.9333333336</v>
      </c>
      <c r="T114" s="2">
        <f>T112+T70+T40+T8+T113</f>
        <v>1025636.2803278689</v>
      </c>
      <c r="U114" s="2">
        <f>U112+U70+U40+U8+U113</f>
        <v>268728.95167213114</v>
      </c>
      <c r="V114" s="2">
        <f t="shared" si="138"/>
        <v>1294365.2320000001</v>
      </c>
      <c r="W114" s="28"/>
      <c r="Y114" s="40"/>
    </row>
    <row r="115" spans="1:25" x14ac:dyDescent="0.25">
      <c r="B115" s="5" t="s">
        <v>141</v>
      </c>
      <c r="C115" s="6">
        <v>6000000</v>
      </c>
      <c r="D115" s="6">
        <v>2000000</v>
      </c>
      <c r="E115" s="6">
        <f>C115+D115</f>
        <v>8000000</v>
      </c>
    </row>
    <row r="116" spans="1:25" x14ac:dyDescent="0.25">
      <c r="C116" s="6">
        <f>C115-C114</f>
        <v>-0.24590163957327604</v>
      </c>
      <c r="D116" s="6">
        <f>D115-D114</f>
        <v>0.30590163916349411</v>
      </c>
      <c r="J116" s="34"/>
    </row>
  </sheetData>
  <sheetProtection selectLockedCells="1" selectUnlockedCells="1"/>
  <mergeCells count="2">
    <mergeCell ref="C5:G5"/>
    <mergeCell ref="H5:V5"/>
  </mergeCells>
  <pageMargins left="0.25" right="0.25" top="0.75" bottom="0.75" header="0.51180555555555551" footer="0.51180555555555551"/>
  <pageSetup scale="56" firstPageNumber="0" fitToHeight="0" orientation="landscape" horizontalDpi="300" verticalDpi="300" r:id="rId1"/>
  <headerFooter alignWithMargins="0"/>
  <ignoredErrors>
    <ignoredError sqref="D14:H14 C50 T50 C110:D110 C11 C13 F10:G10 D15:G15 T13:T14 D25:E26 C8:D8 F8:G8 T7 T55 T39 C69:D69 C7 T30 F69:G69 D47:H47 C55:H55 C41:H41 F7:H7 C9:G9 F13:H13 E11:H11 C99:H99 C94:H94 C51:H51 C43:H46 D39:H39 K39 K55 K7 K13 K50 N39 N55 N7 N13 N50 Q39 Q55 Q7 Q13 Q50 H8:I9 T8:U9 D18:H19 T16:U17 H25:H26 H24:I24 U24:U25 T26:U28 T29:U29 H29:H30 H34:I34 H32:H33 K32:L33 L34 C27:E27 D22:E22 D32:D34 H36:I36 H37:H38 U43:U47 T40:U42 C61:E61 T60:U61 C60:I60 C67:H68 C65:I65 T65:U66 C66:E66 C53:E54 T53:U54 C48:E48 T48:U49 C16:I17 C70:I71 T70:U71 F106:G109 T104:U105 C104:I105 F110:I110 T110:U110 F97:G97 T94:U95 T99:U100 I98:I100 I94:I95 C40:I40 H48:I48 H53:I54 H66:I66 H61:I61 C49:I49 I41:I47 H27:I28 K99:L100 K94:L95 K110:L110 K104:L105 K70:L71 K48:L49 K53:L54 K65:L66 K60:L61 K40:L42 K26:L28 K16:L17 K8:L9 N99:O100 N94:O95 N110:O110 N104:O105 N70:O71 N48:O49 N53:O54 N65:O66 N60:O61 N40:O42 N26:O28 N16:O17 N8:O9 Q99:R100 Q94:R95 Q110:R110 Q104:R105 Q70:R71 Q48:R49 Q53:R54 Q65:R66 Q60:R61 Q40:R42 R29 Q26:R28 Q16:R17 Q8:R9" unlockedFormula="1"/>
    <ignoredError sqref="D20 E20:E21 E78 E112 E114 E23:E24 D87:E89 N12:O12 U12 N14:O15 O13 I18 U18:U19 L18 O18:O19 R18 N20:O21 K31:L31 U31 D31:E31 D35:E35 T35:U36 E36:E38 T37:U38 L51 O51 R51 T52:U52 T56:U59 L63 T106:U109 T73:U78 T80:T81 T82:U83 D82:E85 T85:U85 O86 R86 U86 T87:U89 T92:U93 N91 O90:O91 R90 U90 T91:U91 L97 O97 R97 U97 I97 K96 N96 Q96 T96 I85:I93 I80:I83 I78 I31 I20:I21 J7:J114 L90:L91 K92:L93 K85:L89 K80:L83 K73:L78 K106:L109 K56:L59 K52:L52 L36:L38 K35:L35 K20:L21 K14:L15 N92:O93 N87:O89 N85:O85 N82:O83 N80:O81 N73:O78 N106:O109 N56:O59 N52:O52 N35:O36 Q91:R91 Q92:R93 Q87:R89 Q85:R85 Q82:R83 Q80:R81 Q73:R78 Q106:R109 Q56:R59 Q52:R52 R37:R38 Q35:R36" formula="1"/>
    <ignoredError sqref="D21 D50:H50 E110 D11:D13 D24 D29:D30 Q14 E13 Q18 N18:N19 K18:K19 T18 L19 I19 I25:I26 T24:T25 K29:K30 L30 I29:I30 I32:I33 K34 K36:K38 I37:I38 D36:D38 Q37:Q38 T43:T47 Q51 N51 K51 T51 T67:U68 T98:U98 I96 U96 R96 O96 L96 T101:U102 I101:I102 I67:I68 K101:L102 K98:L98 K67:L68 K43:L47 K24:L25 N101:O102 N98:O98 N67:O68 N43:O47 N37:O38 N24:O25 Q101:R102 Q98:R98 Q67:R68 Q43:R47 Q24:R25" formula="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F15"/>
  <sheetViews>
    <sheetView workbookViewId="0">
      <selection activeCell="E7" sqref="E7:F15"/>
    </sheetView>
  </sheetViews>
  <sheetFormatPr defaultColWidth="8.5703125" defaultRowHeight="15" x14ac:dyDescent="0.25"/>
  <cols>
    <col min="5" max="5" width="14.85546875" customWidth="1"/>
    <col min="6" max="6" width="8.85546875" bestFit="1" customWidth="1"/>
  </cols>
  <sheetData>
    <row r="7" spans="5:6" x14ac:dyDescent="0.25">
      <c r="E7" s="55"/>
    </row>
    <row r="8" spans="5:6" x14ac:dyDescent="0.25">
      <c r="E8" s="55"/>
    </row>
    <row r="9" spans="5:6" x14ac:dyDescent="0.25">
      <c r="E9" s="55"/>
    </row>
    <row r="10" spans="5:6" x14ac:dyDescent="0.25">
      <c r="E10" s="55"/>
    </row>
    <row r="11" spans="5:6" x14ac:dyDescent="0.25">
      <c r="E11" s="55"/>
    </row>
    <row r="12" spans="5:6" x14ac:dyDescent="0.25">
      <c r="E12" s="55"/>
      <c r="F12" s="55"/>
    </row>
    <row r="13" spans="5:6" x14ac:dyDescent="0.25">
      <c r="E13" s="55"/>
    </row>
    <row r="14" spans="5:6" x14ac:dyDescent="0.25">
      <c r="E14" s="55"/>
    </row>
    <row r="15" spans="5:6" x14ac:dyDescent="0.25">
      <c r="E15" s="55"/>
    </row>
  </sheetData>
  <sheetProtection selectLockedCells="1" selectUnlockedCells="1"/>
  <phoneticPr fontId="5" type="noConversion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40565130</IDBDocs_x0020_Number>
    <TaxCatchAll xmlns="9c571b2f-e523-4ab2-ba2e-09e151a03ef4">
      <Value>5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IFD/ICS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Serrano Berthet, Rodrigo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UR-L1112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RM-GIP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857460A92E36ED459B7F025557D103E0" ma:contentTypeVersion="0" ma:contentTypeDescription="A content type to manage public (operations) IDB documents" ma:contentTypeScope="" ma:versionID="15e67e88d881b092d00f157bd3e4e94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fca353a57030c8e3f0c4df7811ea3665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280a35e-b938-40a4-87f4-c822ed063427}" ma:internalName="TaxCatchAll" ma:showField="CatchAllData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280a35e-b938-40a4-87f4-c822ed063427}" ma:internalName="TaxCatchAllLabel" ma:readOnly="true" ma:showField="CatchAllDataLabel" ma:web="69dee779-4b5f-41e8-86c4-0ae5d8a27b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BC6E27-FA57-47D1-A3D4-65968B4CFE5A}"/>
</file>

<file path=customXml/itemProps2.xml><?xml version="1.0" encoding="utf-8"?>
<ds:datastoreItem xmlns:ds="http://schemas.openxmlformats.org/officeDocument/2006/customXml" ds:itemID="{969C23A8-71F3-40FC-8B94-BB0A690FDD07}"/>
</file>

<file path=customXml/itemProps3.xml><?xml version="1.0" encoding="utf-8"?>
<ds:datastoreItem xmlns:ds="http://schemas.openxmlformats.org/officeDocument/2006/customXml" ds:itemID="{DBD02F69-6D08-40C3-B8A3-AF84CD2D25F9}"/>
</file>

<file path=customXml/itemProps4.xml><?xml version="1.0" encoding="utf-8"?>
<ds:datastoreItem xmlns:ds="http://schemas.openxmlformats.org/officeDocument/2006/customXml" ds:itemID="{1F8DCE0D-774D-49E8-A1CD-31EB9787CA6C}"/>
</file>

<file path=customXml/itemProps5.xml><?xml version="1.0" encoding="utf-8"?>
<ds:datastoreItem xmlns:ds="http://schemas.openxmlformats.org/officeDocument/2006/customXml" ds:itemID="{029BE044-A72D-4D2C-98B9-227FCE616C8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PEP 5 años</vt:lpstr>
      <vt:lpstr>Sheet3</vt:lpstr>
      <vt:lpstr>'PEP 5 años'!Print_Area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Ejecución Plurianual (PEP), Plan de Adquisiciones, y Presupuesto Detallado</dc:title>
  <dc:creator>IADB</dc:creator>
  <cp:lastModifiedBy>Melissa Gonzalez</cp:lastModifiedBy>
  <cp:revision>0</cp:revision>
  <cp:lastPrinted>2016-08-29T15:51:58Z</cp:lastPrinted>
  <dcterms:created xsi:type="dcterms:W3CDTF">2016-08-03T18:22:36Z</dcterms:created>
  <dcterms:modified xsi:type="dcterms:W3CDTF">2016-08-29T17:00:39Z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Inter-American Development Bank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0x01010046CF21643EE8D14686A648AA6DAD089200857460A92E36ED459B7F025557D103E0</vt:lpwstr>
  </property>
  <property fmtid="{D5CDD505-2E9C-101B-9397-08002B2CF9AE}" pid="10" name="TaxKeyword">
    <vt:lpwstr/>
  </property>
  <property fmtid="{D5CDD505-2E9C-101B-9397-08002B2CF9AE}" pid="11" name="Sub_x002d_Sector">
    <vt:lpwstr/>
  </property>
  <property fmtid="{D5CDD505-2E9C-101B-9397-08002B2CF9AE}" pid="12" name="TaxKeywordTaxHTField">
    <vt:lpwstr/>
  </property>
  <property fmtid="{D5CDD505-2E9C-101B-9397-08002B2CF9AE}" pid="13" name="Series Operations IDB">
    <vt:lpwstr>5;#Unclassified|a6dff32e-d477-44cd-a56b-85efe9e0a56c</vt:lpwstr>
  </property>
  <property fmtid="{D5CDD505-2E9C-101B-9397-08002B2CF9AE}" pid="15" name="Country">
    <vt:lpwstr/>
  </property>
  <property fmtid="{D5CDD505-2E9C-101B-9397-08002B2CF9AE}" pid="16" name="Fund IDB">
    <vt:lpwstr/>
  </property>
  <property fmtid="{D5CDD505-2E9C-101B-9397-08002B2CF9AE}" pid="17" name="Series_x0020_Operations_x0020_IDB">
    <vt:lpwstr>5;#Unclassified|a6dff32e-d477-44cd-a56b-85efe9e0a56c</vt:lpwstr>
  </property>
  <property fmtid="{D5CDD505-2E9C-101B-9397-08002B2CF9AE}" pid="18" name="To:">
    <vt:lpwstr/>
  </property>
  <property fmtid="{D5CDD505-2E9C-101B-9397-08002B2CF9AE}" pid="19" name="From:">
    <vt:lpwstr/>
  </property>
  <property fmtid="{D5CDD505-2E9C-101B-9397-08002B2CF9AE}" pid="20" name="Sector IDB">
    <vt:lpwstr/>
  </property>
  <property fmtid="{D5CDD505-2E9C-101B-9397-08002B2CF9AE}" pid="21" name="Function Operations IDB">
    <vt:lpwstr>6;#IDBDocs|cca77002-e150-4b2d-ab1f-1d7a7cdcae16</vt:lpwstr>
  </property>
  <property fmtid="{D5CDD505-2E9C-101B-9397-08002B2CF9AE}" pid="22" name="Sub-Sector">
    <vt:lpwstr/>
  </property>
</Properties>
</file>