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Gonzalez\Documents\DISCO D\Desktop_backup\LOANS\2017\PE-L1171\para Directorio\traducciones\"/>
    </mc:Choice>
  </mc:AlternateContent>
  <bookViews>
    <workbookView xWindow="0" yWindow="0" windowWidth="23040" windowHeight="8496" tabRatio="741" activeTab="2" xr2:uid="{00000000-000D-0000-FFFF-FFFF00000000}"/>
  </bookViews>
  <sheets>
    <sheet name="PLAN ADQUISICIONES" sheetId="30" r:id="rId1"/>
    <sheet name="POA" sheetId="31" r:id="rId2"/>
    <sheet name="PEP" sheetId="22" r:id="rId3"/>
  </sheets>
  <definedNames>
    <definedName name="_xlnm._FilterDatabase" localSheetId="2" hidden="1">PEP!$A$1:$E$148</definedName>
    <definedName name="_xlnm._FilterDatabase" localSheetId="0" hidden="1">'PLAN ADQUISICIONES'!$A$3:$F$63</definedName>
    <definedName name="_xlnm._FilterDatabase" localSheetId="1" hidden="1">POA!$A$1:$B$145</definedName>
    <definedName name="_ftn1" localSheetId="2">PEP!#REF!</definedName>
    <definedName name="_ftn1" localSheetId="0">'PLAN ADQUISICIONES'!#REF!</definedName>
    <definedName name="_ftn1" localSheetId="1">POA!#REF!</definedName>
    <definedName name="_ftnref1" localSheetId="2">PEP!#REF!</definedName>
    <definedName name="_ftnref1" localSheetId="0">'PLAN ADQUISICIONES'!#REF!</definedName>
    <definedName name="_ftnref1" localSheetId="1">POA!#REF!</definedName>
    <definedName name="_xlnm.Print_Area" localSheetId="0">'PLAN ADQUISICIONES'!$A$21:$O$37,'PLAN ADQUISICIONES'!$A$4:$O$18,'PLAN ADQUISICIONES'!$A$39:$O$55,'PLAN ADQUISICIONES'!$A$57:$O$76</definedName>
    <definedName name="_xlnm.Print_Area" localSheetId="1">POA!$A$1:$K$172</definedName>
  </definedNames>
  <calcPr calcId="171027"/>
</workbook>
</file>

<file path=xl/calcChain.xml><?xml version="1.0" encoding="utf-8"?>
<calcChain xmlns="http://schemas.openxmlformats.org/spreadsheetml/2006/main">
  <c r="X175" i="22" l="1"/>
  <c r="T175" i="22"/>
  <c r="P175" i="22"/>
  <c r="L175" i="22"/>
  <c r="Y175" i="22" s="1"/>
  <c r="X177" i="22"/>
  <c r="T177" i="22"/>
  <c r="P177" i="22"/>
  <c r="L177" i="22"/>
  <c r="Y177" i="22" s="1"/>
  <c r="X148" i="22"/>
  <c r="T148" i="22"/>
  <c r="P148" i="22"/>
  <c r="L148" i="22"/>
  <c r="Y148" i="22" s="1"/>
  <c r="X114" i="22"/>
  <c r="T114" i="22"/>
  <c r="P114" i="22"/>
  <c r="L114" i="22"/>
  <c r="Y114" i="22" s="1"/>
  <c r="L79" i="22"/>
  <c r="Y79" i="22"/>
  <c r="X79" i="22"/>
  <c r="T79" i="22"/>
  <c r="P79" i="22"/>
  <c r="K182" i="22" l="1"/>
  <c r="C176" i="22" l="1"/>
  <c r="C150" i="22"/>
  <c r="E176" i="22"/>
  <c r="E174" i="22"/>
  <c r="M16" i="31" l="1"/>
  <c r="I65" i="31" l="1"/>
  <c r="D150" i="22" l="1"/>
  <c r="E150" i="22"/>
  <c r="E147" i="22"/>
  <c r="D147" i="22"/>
  <c r="C147" i="22"/>
  <c r="X16" i="22"/>
  <c r="V16" i="22"/>
  <c r="T16" i="22"/>
  <c r="R16" i="22"/>
  <c r="P16" i="22"/>
  <c r="N16" i="22"/>
  <c r="M45" i="31" l="1"/>
  <c r="L45" i="31"/>
  <c r="M170" i="31"/>
  <c r="L170" i="31"/>
  <c r="K170" i="31"/>
  <c r="J170" i="31"/>
  <c r="I170" i="31"/>
  <c r="H170" i="31"/>
  <c r="I39" i="31"/>
  <c r="H39" i="31"/>
  <c r="I132" i="31"/>
  <c r="H132" i="31"/>
  <c r="M129" i="31"/>
  <c r="L129" i="31"/>
  <c r="M126" i="31"/>
  <c r="L126" i="31"/>
  <c r="M121" i="31"/>
  <c r="L121" i="31"/>
  <c r="I115" i="31"/>
  <c r="J106" i="31"/>
  <c r="L105" i="31"/>
  <c r="L104" i="31"/>
  <c r="M101" i="31"/>
  <c r="L101" i="31"/>
  <c r="M100" i="31"/>
  <c r="L100" i="31"/>
  <c r="M99" i="31"/>
  <c r="L99" i="31"/>
  <c r="M92" i="31"/>
  <c r="L92" i="31"/>
  <c r="I91" i="31"/>
  <c r="H91" i="31"/>
  <c r="M88" i="31"/>
  <c r="L88" i="31"/>
  <c r="M87" i="31"/>
  <c r="L87" i="31"/>
  <c r="M86" i="31"/>
  <c r="L86" i="31"/>
  <c r="M85" i="31"/>
  <c r="L85" i="31"/>
  <c r="M84" i="31"/>
  <c r="L84" i="31"/>
  <c r="M83" i="31"/>
  <c r="L83" i="31"/>
  <c r="I82" i="31"/>
  <c r="H82" i="31"/>
  <c r="M69" i="31"/>
  <c r="L69" i="31"/>
  <c r="M68" i="31"/>
  <c r="L68" i="31"/>
  <c r="M67" i="31"/>
  <c r="L67" i="31"/>
  <c r="M66" i="31"/>
  <c r="L66" i="31"/>
  <c r="M65" i="31"/>
  <c r="L65" i="31"/>
  <c r="M64" i="31"/>
  <c r="L64" i="31"/>
  <c r="M62" i="31"/>
  <c r="L62" i="31"/>
  <c r="M61" i="31"/>
  <c r="L61" i="31"/>
  <c r="M60" i="31"/>
  <c r="L60" i="31"/>
  <c r="M59" i="31"/>
  <c r="L59" i="31"/>
  <c r="I62" i="31"/>
  <c r="H62" i="31"/>
  <c r="I59" i="31"/>
  <c r="M56" i="31"/>
  <c r="L56" i="31"/>
  <c r="M55" i="31"/>
  <c r="L55" i="31"/>
  <c r="M52" i="31"/>
  <c r="L52" i="31"/>
  <c r="I52" i="31"/>
  <c r="H52" i="31"/>
  <c r="M50" i="31"/>
  <c r="L50" i="31"/>
  <c r="M49" i="31"/>
  <c r="L49" i="31"/>
  <c r="M48" i="31"/>
  <c r="L48" i="31"/>
  <c r="I48" i="31"/>
  <c r="H48" i="31"/>
  <c r="M35" i="31"/>
  <c r="L35" i="31"/>
  <c r="M34" i="31"/>
  <c r="L34" i="31"/>
  <c r="M33" i="31"/>
  <c r="L33" i="31"/>
  <c r="K33" i="31"/>
  <c r="K147" i="31" s="1"/>
  <c r="J33" i="31"/>
  <c r="I33" i="31"/>
  <c r="H33" i="31"/>
  <c r="M32" i="31"/>
  <c r="L32" i="31"/>
  <c r="M29" i="31"/>
  <c r="L29" i="31"/>
  <c r="M28" i="31"/>
  <c r="L28" i="31"/>
  <c r="M27" i="31"/>
  <c r="L27" i="31"/>
  <c r="M26" i="31"/>
  <c r="L26" i="31"/>
  <c r="M25" i="31"/>
  <c r="L25" i="31"/>
  <c r="I25" i="31"/>
  <c r="H25" i="31"/>
  <c r="M24" i="31"/>
  <c r="L24" i="31"/>
  <c r="M23" i="31"/>
  <c r="L23" i="31"/>
  <c r="M22" i="31"/>
  <c r="L22" i="31"/>
  <c r="M21" i="31"/>
  <c r="L21" i="31"/>
  <c r="M20" i="31"/>
  <c r="L20" i="31"/>
  <c r="M19" i="31"/>
  <c r="L19" i="31"/>
  <c r="M18" i="31"/>
  <c r="L18" i="31"/>
  <c r="M17" i="31"/>
  <c r="L17" i="31"/>
  <c r="L16" i="31"/>
  <c r="I16" i="31"/>
  <c r="H16" i="31"/>
  <c r="M15" i="31"/>
  <c r="L15" i="31"/>
  <c r="M14" i="31"/>
  <c r="L14" i="31"/>
  <c r="M13" i="31"/>
  <c r="L13" i="31"/>
  <c r="M12" i="31"/>
  <c r="L12" i="31"/>
  <c r="I12" i="31"/>
  <c r="I9" i="31"/>
  <c r="H9" i="31"/>
  <c r="M8" i="31"/>
  <c r="L8" i="31"/>
  <c r="M6" i="31"/>
  <c r="L6" i="31"/>
  <c r="M5" i="31"/>
  <c r="L5" i="31"/>
  <c r="K172" i="31" l="1"/>
  <c r="J147" i="31"/>
  <c r="J172" i="31" s="1"/>
  <c r="I147" i="31"/>
  <c r="I172" i="31" s="1"/>
  <c r="H147" i="31"/>
  <c r="H172" i="31" s="1"/>
  <c r="M147" i="31"/>
  <c r="M172" i="31" s="1"/>
  <c r="L147" i="31"/>
  <c r="L172" i="31" s="1"/>
  <c r="H78" i="22" l="1"/>
  <c r="H113" i="22"/>
  <c r="I113" i="22"/>
  <c r="J113" i="22"/>
  <c r="K113" i="22"/>
  <c r="L113" i="22"/>
  <c r="G113" i="22"/>
  <c r="H147" i="22"/>
  <c r="K147" i="22"/>
  <c r="L147" i="22"/>
  <c r="L174" i="22"/>
  <c r="J174" i="22"/>
  <c r="G174" i="22"/>
  <c r="H174" i="22"/>
  <c r="K174" i="22"/>
  <c r="M174" i="22"/>
  <c r="N174" i="22"/>
  <c r="O174" i="22"/>
  <c r="P174" i="22"/>
  <c r="Q174" i="22"/>
  <c r="R174" i="22"/>
  <c r="S174" i="22"/>
  <c r="T174" i="22"/>
  <c r="U174" i="22"/>
  <c r="V174" i="22"/>
  <c r="W174" i="22"/>
  <c r="X174" i="22"/>
  <c r="I174" i="22"/>
  <c r="H176" i="22" l="1"/>
  <c r="N54" i="22"/>
  <c r="M54" i="22"/>
  <c r="E9" i="31" l="1"/>
  <c r="D9" i="31"/>
  <c r="I9" i="22"/>
  <c r="C9" i="22" s="1"/>
  <c r="J9" i="22"/>
  <c r="D9" i="22" s="1"/>
  <c r="E9" i="22" l="1"/>
  <c r="F9" i="31"/>
  <c r="G161" i="31" l="1"/>
  <c r="D161" i="31" s="1"/>
  <c r="G155" i="31"/>
  <c r="G154" i="31"/>
  <c r="G153" i="31"/>
  <c r="D153" i="31" s="1"/>
  <c r="G150" i="31"/>
  <c r="D150" i="31" s="1"/>
  <c r="C164" i="22"/>
  <c r="C158" i="22"/>
  <c r="C157" i="22"/>
  <c r="C156" i="22"/>
  <c r="C153" i="22"/>
  <c r="G170" i="31" l="1"/>
  <c r="G172" i="31" s="1"/>
  <c r="E164" i="31"/>
  <c r="E165" i="31"/>
  <c r="E166" i="31"/>
  <c r="E167" i="31"/>
  <c r="E168" i="31"/>
  <c r="D164" i="31"/>
  <c r="F164" i="31" s="1"/>
  <c r="D165" i="31"/>
  <c r="D166" i="31"/>
  <c r="D167" i="31"/>
  <c r="D168" i="31"/>
  <c r="F168" i="31" s="1"/>
  <c r="D110" i="31"/>
  <c r="F110" i="31" s="1"/>
  <c r="F165" i="31" l="1"/>
  <c r="F167" i="31"/>
  <c r="F166" i="31"/>
  <c r="E38" i="31"/>
  <c r="D38" i="31"/>
  <c r="E132" i="31"/>
  <c r="D132" i="31"/>
  <c r="F132" i="31" s="1"/>
  <c r="E115" i="31"/>
  <c r="G115" i="31"/>
  <c r="D115" i="31" s="1"/>
  <c r="D106" i="31"/>
  <c r="F106" i="31" s="1"/>
  <c r="E91" i="31"/>
  <c r="D91" i="31"/>
  <c r="E82" i="31"/>
  <c r="D82" i="31"/>
  <c r="E76" i="31"/>
  <c r="D76" i="31"/>
  <c r="E73" i="31"/>
  <c r="D73" i="31"/>
  <c r="E70" i="31"/>
  <c r="G70" i="31"/>
  <c r="D70" i="31" s="1"/>
  <c r="E52" i="31"/>
  <c r="D52" i="31"/>
  <c r="E48" i="31"/>
  <c r="D48" i="31"/>
  <c r="E25" i="31"/>
  <c r="D25" i="31"/>
  <c r="E16" i="31"/>
  <c r="D16" i="31"/>
  <c r="E12" i="31"/>
  <c r="G12" i="31"/>
  <c r="D12" i="31" s="1"/>
  <c r="D153" i="22"/>
  <c r="N32" i="22"/>
  <c r="O32" i="22"/>
  <c r="P32" i="22"/>
  <c r="M32" i="22"/>
  <c r="R145" i="22"/>
  <c r="Q145" i="22"/>
  <c r="P134" i="22"/>
  <c r="O134" i="22"/>
  <c r="P40" i="22"/>
  <c r="O40" i="22"/>
  <c r="P39" i="22"/>
  <c r="O39" i="22"/>
  <c r="P38" i="22"/>
  <c r="O38" i="22"/>
  <c r="J37" i="22"/>
  <c r="I37" i="22"/>
  <c r="P139" i="22"/>
  <c r="O139" i="22"/>
  <c r="P138" i="22"/>
  <c r="O138" i="22"/>
  <c r="P137" i="22"/>
  <c r="O137" i="22"/>
  <c r="P136" i="22"/>
  <c r="O136" i="22"/>
  <c r="P135" i="22"/>
  <c r="O135" i="22"/>
  <c r="J134" i="22"/>
  <c r="I134" i="22"/>
  <c r="I147" i="22" s="1"/>
  <c r="P131" i="22"/>
  <c r="O131" i="22"/>
  <c r="N131" i="22"/>
  <c r="M131" i="22"/>
  <c r="X128" i="22"/>
  <c r="W128" i="22"/>
  <c r="V128" i="22"/>
  <c r="U128" i="22"/>
  <c r="T128" i="22"/>
  <c r="S128" i="22"/>
  <c r="R128" i="22"/>
  <c r="Q128" i="22"/>
  <c r="P128" i="22"/>
  <c r="O128" i="22"/>
  <c r="N128" i="22"/>
  <c r="M128" i="22"/>
  <c r="P127" i="22"/>
  <c r="O127" i="22"/>
  <c r="X126" i="22"/>
  <c r="W126" i="22"/>
  <c r="V126" i="22"/>
  <c r="U126" i="22"/>
  <c r="T126" i="22"/>
  <c r="S126" i="22"/>
  <c r="R126" i="22"/>
  <c r="Q126" i="22"/>
  <c r="P125" i="22"/>
  <c r="O125" i="22"/>
  <c r="P124" i="22"/>
  <c r="O124" i="22"/>
  <c r="X123" i="22"/>
  <c r="W123" i="22"/>
  <c r="V123" i="22"/>
  <c r="U123" i="22"/>
  <c r="T123" i="22"/>
  <c r="S123" i="22"/>
  <c r="R123" i="22"/>
  <c r="Q123" i="22"/>
  <c r="P123" i="22"/>
  <c r="O123" i="22"/>
  <c r="N123" i="22"/>
  <c r="N147" i="22" s="1"/>
  <c r="M123" i="22"/>
  <c r="M147" i="22" s="1"/>
  <c r="X122" i="22"/>
  <c r="W122" i="22"/>
  <c r="V122" i="22"/>
  <c r="U122" i="22"/>
  <c r="T122" i="22"/>
  <c r="S122" i="22"/>
  <c r="R122" i="22"/>
  <c r="Q122" i="22"/>
  <c r="X121" i="22"/>
  <c r="W121" i="22"/>
  <c r="V121" i="22"/>
  <c r="U121" i="22"/>
  <c r="T121" i="22"/>
  <c r="S121" i="22"/>
  <c r="R121" i="22"/>
  <c r="Q121" i="22"/>
  <c r="X120" i="22"/>
  <c r="W120" i="22"/>
  <c r="V120" i="22"/>
  <c r="U120" i="22"/>
  <c r="T120" i="22"/>
  <c r="S120" i="22"/>
  <c r="R120" i="22"/>
  <c r="Q120" i="22"/>
  <c r="X119" i="22"/>
  <c r="W119" i="22"/>
  <c r="V119" i="22"/>
  <c r="U119" i="22"/>
  <c r="T119" i="22"/>
  <c r="S119" i="22"/>
  <c r="R119" i="22"/>
  <c r="Q119" i="22"/>
  <c r="X118" i="22"/>
  <c r="W118" i="22"/>
  <c r="V118" i="22"/>
  <c r="U118" i="22"/>
  <c r="T118" i="22"/>
  <c r="S118" i="22"/>
  <c r="R118" i="22"/>
  <c r="R147" i="22" s="1"/>
  <c r="Q118" i="22"/>
  <c r="Q147" i="22" s="1"/>
  <c r="J117" i="22"/>
  <c r="J147" i="22" s="1"/>
  <c r="G117" i="22"/>
  <c r="G147" i="22" s="1"/>
  <c r="D111" i="22"/>
  <c r="D110" i="22"/>
  <c r="D109" i="22"/>
  <c r="D108" i="22"/>
  <c r="D107" i="22"/>
  <c r="D106" i="22"/>
  <c r="D105" i="22"/>
  <c r="D104" i="22"/>
  <c r="C111" i="22"/>
  <c r="C110" i="22"/>
  <c r="C109" i="22"/>
  <c r="C108" i="22"/>
  <c r="C107" i="22"/>
  <c r="C106" i="22"/>
  <c r="C105" i="22"/>
  <c r="C104" i="22"/>
  <c r="C96" i="22"/>
  <c r="C95" i="22"/>
  <c r="C94" i="22"/>
  <c r="C93" i="22"/>
  <c r="C92" i="22"/>
  <c r="D96" i="22"/>
  <c r="D95" i="22"/>
  <c r="D94" i="22"/>
  <c r="D93" i="22"/>
  <c r="D92" i="22"/>
  <c r="D91" i="22"/>
  <c r="C91" i="22"/>
  <c r="C83" i="22"/>
  <c r="C82" i="22"/>
  <c r="D100" i="22"/>
  <c r="C100" i="22"/>
  <c r="D99" i="22"/>
  <c r="C99" i="22"/>
  <c r="X101" i="22"/>
  <c r="X113" i="22" s="1"/>
  <c r="W101" i="22"/>
  <c r="W113" i="22" s="1"/>
  <c r="V101" i="22"/>
  <c r="V113" i="22" s="1"/>
  <c r="U101" i="22"/>
  <c r="U113" i="22" s="1"/>
  <c r="T101" i="22"/>
  <c r="T113" i="22" s="1"/>
  <c r="S101" i="22"/>
  <c r="S113" i="22" s="1"/>
  <c r="R101" i="22"/>
  <c r="R113" i="22" s="1"/>
  <c r="Q101" i="22"/>
  <c r="Q113" i="22" s="1"/>
  <c r="P101" i="22"/>
  <c r="P113" i="22" s="1"/>
  <c r="O101" i="22"/>
  <c r="O113" i="22" s="1"/>
  <c r="N101" i="22"/>
  <c r="N113" i="22" s="1"/>
  <c r="M101" i="22"/>
  <c r="M113" i="22" s="1"/>
  <c r="D88" i="22"/>
  <c r="D83" i="22"/>
  <c r="D84" i="22"/>
  <c r="D85" i="22"/>
  <c r="D86" i="22"/>
  <c r="D87" i="22"/>
  <c r="C84" i="22"/>
  <c r="C85" i="22"/>
  <c r="C86" i="22"/>
  <c r="C87" i="22"/>
  <c r="C88" i="22"/>
  <c r="D82" i="22"/>
  <c r="D76" i="22"/>
  <c r="C76" i="22"/>
  <c r="D75" i="22"/>
  <c r="C75" i="22"/>
  <c r="J74" i="22"/>
  <c r="C74" i="22"/>
  <c r="P73" i="22"/>
  <c r="O73" i="22"/>
  <c r="C73" i="22" s="1"/>
  <c r="P72" i="22"/>
  <c r="O72" i="22"/>
  <c r="C72" i="22" s="1"/>
  <c r="J71" i="22"/>
  <c r="I71" i="22"/>
  <c r="C71" i="22" s="1"/>
  <c r="P70" i="22"/>
  <c r="O70" i="22"/>
  <c r="C70" i="22" s="1"/>
  <c r="P69" i="22"/>
  <c r="O69" i="22"/>
  <c r="C69" i="22" s="1"/>
  <c r="J68" i="22"/>
  <c r="G68" i="22"/>
  <c r="X67" i="22"/>
  <c r="W67" i="22"/>
  <c r="V67" i="22"/>
  <c r="U67" i="22"/>
  <c r="T67" i="22"/>
  <c r="S67" i="22"/>
  <c r="R67" i="22"/>
  <c r="Q67" i="22"/>
  <c r="P67" i="22"/>
  <c r="O67" i="22"/>
  <c r="N67" i="22"/>
  <c r="M67" i="22"/>
  <c r="X66" i="22"/>
  <c r="W66" i="22"/>
  <c r="V66" i="22"/>
  <c r="U66" i="22"/>
  <c r="T66" i="22"/>
  <c r="S66" i="22"/>
  <c r="R66" i="22"/>
  <c r="Q66" i="22"/>
  <c r="P66" i="22"/>
  <c r="O66" i="22"/>
  <c r="N66" i="22"/>
  <c r="M66" i="22"/>
  <c r="N65" i="22"/>
  <c r="M65" i="22"/>
  <c r="C65" i="22" s="1"/>
  <c r="V64" i="22"/>
  <c r="U64" i="22"/>
  <c r="R64" i="22"/>
  <c r="Q64" i="22"/>
  <c r="N64" i="22"/>
  <c r="M64" i="22"/>
  <c r="N63" i="22"/>
  <c r="M63" i="22"/>
  <c r="C63" i="22" s="1"/>
  <c r="X62" i="22"/>
  <c r="W62" i="22"/>
  <c r="V62" i="22"/>
  <c r="U62" i="22"/>
  <c r="T62" i="22"/>
  <c r="S62" i="22"/>
  <c r="R62" i="22"/>
  <c r="Q62" i="22"/>
  <c r="P62" i="22"/>
  <c r="O62" i="22"/>
  <c r="N62" i="22"/>
  <c r="M62" i="22"/>
  <c r="P61" i="22"/>
  <c r="O61" i="22"/>
  <c r="C61" i="22" s="1"/>
  <c r="N60" i="22"/>
  <c r="M60" i="22"/>
  <c r="C60" i="22" s="1"/>
  <c r="N59" i="22"/>
  <c r="M59" i="22"/>
  <c r="C59" i="22" s="1"/>
  <c r="T58" i="22"/>
  <c r="S58" i="22"/>
  <c r="R58" i="22"/>
  <c r="Q58" i="22"/>
  <c r="P58" i="22"/>
  <c r="O58" i="22"/>
  <c r="N58" i="22"/>
  <c r="M58" i="22"/>
  <c r="X57" i="22"/>
  <c r="W57" i="22"/>
  <c r="V57" i="22"/>
  <c r="U57" i="22"/>
  <c r="T57" i="22"/>
  <c r="S57" i="22"/>
  <c r="R57" i="22"/>
  <c r="Q57" i="22"/>
  <c r="P57" i="22"/>
  <c r="O57" i="22"/>
  <c r="N57" i="22"/>
  <c r="M57" i="22"/>
  <c r="C43" i="22"/>
  <c r="C42" i="22" s="1"/>
  <c r="C29" i="22"/>
  <c r="C28" i="22"/>
  <c r="C27" i="22"/>
  <c r="C26" i="22"/>
  <c r="C25" i="22"/>
  <c r="C24" i="22"/>
  <c r="C23" i="22"/>
  <c r="C22" i="22"/>
  <c r="C21" i="22"/>
  <c r="C20" i="22"/>
  <c r="C19" i="22"/>
  <c r="C18" i="22"/>
  <c r="C17" i="22"/>
  <c r="C16" i="22"/>
  <c r="C15" i="22"/>
  <c r="C14" i="22"/>
  <c r="C13" i="22"/>
  <c r="C12" i="22"/>
  <c r="N53" i="22"/>
  <c r="M53" i="22"/>
  <c r="C53" i="22" s="1"/>
  <c r="N50" i="22"/>
  <c r="M50" i="22"/>
  <c r="J50" i="22"/>
  <c r="I50" i="22"/>
  <c r="V49" i="22"/>
  <c r="U49" i="22"/>
  <c r="R49" i="22"/>
  <c r="Q49" i="22"/>
  <c r="P49" i="22"/>
  <c r="O49" i="22"/>
  <c r="X48" i="22"/>
  <c r="W48" i="22"/>
  <c r="V48" i="22"/>
  <c r="U48" i="22"/>
  <c r="T48" i="22"/>
  <c r="S48" i="22"/>
  <c r="R48" i="22"/>
  <c r="Q48" i="22"/>
  <c r="P48" i="22"/>
  <c r="O48" i="22"/>
  <c r="N48" i="22"/>
  <c r="M48" i="22"/>
  <c r="X47" i="22"/>
  <c r="W47" i="22"/>
  <c r="V47" i="22"/>
  <c r="U47" i="22"/>
  <c r="T47" i="22"/>
  <c r="S47" i="22"/>
  <c r="R47" i="22"/>
  <c r="Q47" i="22"/>
  <c r="P47" i="22"/>
  <c r="O47" i="22"/>
  <c r="N47" i="22"/>
  <c r="M47" i="22"/>
  <c r="R46" i="22"/>
  <c r="Q46" i="22"/>
  <c r="N46" i="22"/>
  <c r="M46" i="22"/>
  <c r="J46" i="22"/>
  <c r="I46" i="22"/>
  <c r="X145" i="22"/>
  <c r="W145" i="22"/>
  <c r="V145" i="22"/>
  <c r="U145" i="22"/>
  <c r="T145" i="22"/>
  <c r="S145" i="22"/>
  <c r="X34" i="22"/>
  <c r="W34" i="22"/>
  <c r="V34" i="22"/>
  <c r="U34" i="22"/>
  <c r="T34" i="22"/>
  <c r="S34" i="22"/>
  <c r="R34" i="22"/>
  <c r="Q34" i="22"/>
  <c r="P34" i="22"/>
  <c r="O34" i="22"/>
  <c r="N34" i="22"/>
  <c r="M34" i="22"/>
  <c r="P33" i="22"/>
  <c r="O33" i="22"/>
  <c r="N33" i="22"/>
  <c r="M33" i="22"/>
  <c r="L33" i="22"/>
  <c r="L78" i="22" s="1"/>
  <c r="L176" i="22" s="1"/>
  <c r="K33" i="22"/>
  <c r="K78" i="22" s="1"/>
  <c r="K176" i="22" s="1"/>
  <c r="J33" i="22"/>
  <c r="I33" i="22"/>
  <c r="T32" i="22"/>
  <c r="S32" i="22"/>
  <c r="R32" i="22"/>
  <c r="Q32" i="22"/>
  <c r="N8" i="22"/>
  <c r="M8" i="22"/>
  <c r="C8" i="22" s="1"/>
  <c r="P7" i="22"/>
  <c r="O7" i="22"/>
  <c r="C7" i="22" s="1"/>
  <c r="N6" i="22"/>
  <c r="M6" i="22"/>
  <c r="C6" i="22" s="1"/>
  <c r="X5" i="22"/>
  <c r="W5" i="22"/>
  <c r="V5" i="22"/>
  <c r="U5" i="22"/>
  <c r="T5" i="22"/>
  <c r="S5" i="22"/>
  <c r="R5" i="22"/>
  <c r="Q5" i="22"/>
  <c r="P5" i="22"/>
  <c r="O5" i="22"/>
  <c r="N5" i="22"/>
  <c r="M5" i="22"/>
  <c r="V147" i="22" l="1"/>
  <c r="P78" i="22"/>
  <c r="T78" i="22"/>
  <c r="X78" i="22"/>
  <c r="J78" i="22"/>
  <c r="J176" i="22" s="1"/>
  <c r="U147" i="22"/>
  <c r="M78" i="22"/>
  <c r="M176" i="22" s="1"/>
  <c r="Q78" i="22"/>
  <c r="Q176" i="22" s="1"/>
  <c r="U78" i="22"/>
  <c r="N78" i="22"/>
  <c r="N176" i="22" s="1"/>
  <c r="R78" i="22"/>
  <c r="R176" i="22" s="1"/>
  <c r="V78" i="22"/>
  <c r="V176" i="22" s="1"/>
  <c r="C68" i="22"/>
  <c r="G78" i="22"/>
  <c r="G176" i="22" s="1"/>
  <c r="S147" i="22"/>
  <c r="W147" i="22"/>
  <c r="O147" i="22"/>
  <c r="O78" i="22"/>
  <c r="S78" i="22"/>
  <c r="W78" i="22"/>
  <c r="I78" i="22"/>
  <c r="I176" i="22" s="1"/>
  <c r="T147" i="22"/>
  <c r="X147" i="22"/>
  <c r="P147" i="22"/>
  <c r="P176" i="22" s="1"/>
  <c r="F12" i="31"/>
  <c r="F25" i="31"/>
  <c r="F52" i="31"/>
  <c r="F73" i="31"/>
  <c r="F82" i="31"/>
  <c r="F115" i="31"/>
  <c r="F38" i="31"/>
  <c r="D151" i="31"/>
  <c r="D152" i="31"/>
  <c r="F16" i="31"/>
  <c r="F48" i="31"/>
  <c r="F70" i="31"/>
  <c r="F76" i="31"/>
  <c r="F91" i="31"/>
  <c r="E162" i="31"/>
  <c r="D33" i="31"/>
  <c r="D154" i="31"/>
  <c r="D155" i="31"/>
  <c r="D156" i="31"/>
  <c r="D157" i="31"/>
  <c r="D158" i="31"/>
  <c r="D159" i="31"/>
  <c r="D160" i="31"/>
  <c r="D162" i="31"/>
  <c r="D163" i="31"/>
  <c r="E33" i="31"/>
  <c r="E147" i="31" s="1"/>
  <c r="E150" i="31"/>
  <c r="E151" i="31"/>
  <c r="E152" i="31"/>
  <c r="E153" i="31"/>
  <c r="E154" i="31"/>
  <c r="E155" i="31"/>
  <c r="E156" i="31"/>
  <c r="E157" i="31"/>
  <c r="E158" i="31"/>
  <c r="E159" i="31"/>
  <c r="E160" i="31"/>
  <c r="E161" i="31"/>
  <c r="E163" i="31"/>
  <c r="D145" i="22"/>
  <c r="C134" i="22"/>
  <c r="C101" i="22"/>
  <c r="C98" i="22" s="1"/>
  <c r="C145" i="22"/>
  <c r="C11" i="22"/>
  <c r="D134" i="22"/>
  <c r="E134" i="22" s="1"/>
  <c r="C5" i="22"/>
  <c r="C4" i="22" s="1"/>
  <c r="C32" i="22"/>
  <c r="C46" i="22"/>
  <c r="C50" i="22"/>
  <c r="C54" i="22"/>
  <c r="C52" i="22" s="1"/>
  <c r="C57" i="22"/>
  <c r="D101" i="22"/>
  <c r="E76" i="22"/>
  <c r="C48" i="22"/>
  <c r="E75" i="22"/>
  <c r="C33" i="22"/>
  <c r="C34" i="22"/>
  <c r="C47" i="22"/>
  <c r="C49" i="22"/>
  <c r="C62" i="22"/>
  <c r="C67" i="22"/>
  <c r="C58" i="22"/>
  <c r="C64" i="22"/>
  <c r="C66" i="22"/>
  <c r="T176" i="22" l="1"/>
  <c r="M182" i="22" s="1"/>
  <c r="X176" i="22"/>
  <c r="N182" i="22" s="1"/>
  <c r="L182" i="22"/>
  <c r="W176" i="22"/>
  <c r="S176" i="22"/>
  <c r="O176" i="22"/>
  <c r="U176" i="22"/>
  <c r="F163" i="31"/>
  <c r="F158" i="31"/>
  <c r="F157" i="31"/>
  <c r="F151" i="31"/>
  <c r="F162" i="31"/>
  <c r="F152" i="31"/>
  <c r="F160" i="31"/>
  <c r="F156" i="31"/>
  <c r="D147" i="31"/>
  <c r="F33" i="31"/>
  <c r="F147" i="31" s="1"/>
  <c r="F159" i="31"/>
  <c r="F161" i="31"/>
  <c r="F155" i="31"/>
  <c r="F154" i="31"/>
  <c r="F153" i="31"/>
  <c r="F150" i="31"/>
  <c r="E170" i="31"/>
  <c r="E172" i="31" s="1"/>
  <c r="D170" i="31"/>
  <c r="C31" i="22"/>
  <c r="C56" i="22"/>
  <c r="C78" i="22" s="1"/>
  <c r="C45" i="22"/>
  <c r="D172" i="31" l="1"/>
  <c r="F170" i="31"/>
  <c r="F172" i="31" s="1"/>
  <c r="D8" i="22"/>
  <c r="D7" i="22"/>
  <c r="D6" i="22"/>
  <c r="D49" i="22" l="1"/>
  <c r="E8" i="22"/>
  <c r="D5" i="22"/>
  <c r="D4" i="22" s="1"/>
  <c r="E7" i="22" l="1"/>
  <c r="D172" i="22" l="1"/>
  <c r="C172" i="22"/>
  <c r="D171" i="22"/>
  <c r="C171" i="22"/>
  <c r="D170" i="22"/>
  <c r="C170" i="22"/>
  <c r="D167" i="22"/>
  <c r="C167" i="22"/>
  <c r="C166" i="22"/>
  <c r="C163" i="22"/>
  <c r="C162" i="22"/>
  <c r="C160" i="22"/>
  <c r="C159" i="22"/>
  <c r="C155" i="22"/>
  <c r="C154" i="22"/>
  <c r="D74" i="22"/>
  <c r="D73" i="22"/>
  <c r="D72" i="22"/>
  <c r="D71" i="22"/>
  <c r="D70" i="22"/>
  <c r="D69" i="22"/>
  <c r="D68" i="22"/>
  <c r="E167" i="22" l="1"/>
  <c r="D154" i="22"/>
  <c r="D155" i="22"/>
  <c r="E155" i="22" s="1"/>
  <c r="D156" i="22"/>
  <c r="E156" i="22" s="1"/>
  <c r="D157" i="22"/>
  <c r="D158" i="22"/>
  <c r="E158" i="22" s="1"/>
  <c r="D159" i="22"/>
  <c r="E159" i="22" s="1"/>
  <c r="D160" i="22"/>
  <c r="E160" i="22" s="1"/>
  <c r="D161" i="22"/>
  <c r="D162" i="22"/>
  <c r="E162" i="22" s="1"/>
  <c r="D163" i="22"/>
  <c r="E163" i="22" s="1"/>
  <c r="D164" i="22"/>
  <c r="E164" i="22" s="1"/>
  <c r="D165" i="22"/>
  <c r="D166" i="22"/>
  <c r="E166" i="22" s="1"/>
  <c r="D169" i="22"/>
  <c r="C161" i="22"/>
  <c r="C165" i="22"/>
  <c r="C169" i="22"/>
  <c r="E172" i="22"/>
  <c r="E171" i="22"/>
  <c r="E170" i="22"/>
  <c r="D67" i="22"/>
  <c r="E69" i="22"/>
  <c r="E73" i="22"/>
  <c r="E71" i="22"/>
  <c r="E70" i="22"/>
  <c r="E68" i="22"/>
  <c r="E74" i="22"/>
  <c r="E72" i="22"/>
  <c r="E157" i="22" l="1"/>
  <c r="E154" i="22"/>
  <c r="D168" i="22"/>
  <c r="D174" i="22" s="1"/>
  <c r="C168" i="22"/>
  <c r="C174" i="22" s="1"/>
  <c r="E169" i="22"/>
  <c r="E183" i="22" s="1"/>
  <c r="E153" i="22"/>
  <c r="E161" i="22"/>
  <c r="E165" i="22"/>
  <c r="E67" i="22"/>
  <c r="E168" i="22" l="1"/>
  <c r="D142" i="22" l="1"/>
  <c r="D141" i="22" s="1"/>
  <c r="C142" i="22"/>
  <c r="C141" i="22" s="1"/>
  <c r="D40" i="22"/>
  <c r="C40" i="22"/>
  <c r="D39" i="22"/>
  <c r="C39" i="22"/>
  <c r="D38" i="22"/>
  <c r="C38" i="22"/>
  <c r="D37" i="22"/>
  <c r="C37" i="22"/>
  <c r="D139" i="22"/>
  <c r="C139" i="22"/>
  <c r="D138" i="22"/>
  <c r="C138" i="22"/>
  <c r="D137" i="22"/>
  <c r="C137" i="22"/>
  <c r="D136" i="22"/>
  <c r="C136" i="22"/>
  <c r="D135" i="22"/>
  <c r="C135" i="22"/>
  <c r="D127" i="22"/>
  <c r="C127" i="22"/>
  <c r="D125" i="22"/>
  <c r="C125" i="22"/>
  <c r="D124" i="22"/>
  <c r="C124" i="22"/>
  <c r="D117" i="22"/>
  <c r="C117" i="22"/>
  <c r="D32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26" i="22"/>
  <c r="D27" i="22"/>
  <c r="D28" i="22"/>
  <c r="D29" i="22"/>
  <c r="D33" i="22"/>
  <c r="D34" i="22"/>
  <c r="D144" i="22"/>
  <c r="D43" i="22"/>
  <c r="D42" i="22" s="1"/>
  <c r="D46" i="22"/>
  <c r="D47" i="22"/>
  <c r="D48" i="22"/>
  <c r="D50" i="22"/>
  <c r="D53" i="22"/>
  <c r="D54" i="22"/>
  <c r="D57" i="22"/>
  <c r="D58" i="22"/>
  <c r="D59" i="22"/>
  <c r="D60" i="22"/>
  <c r="D61" i="22"/>
  <c r="D62" i="22"/>
  <c r="D63" i="22"/>
  <c r="D64" i="22"/>
  <c r="D65" i="22"/>
  <c r="D66" i="22"/>
  <c r="D133" i="22" l="1"/>
  <c r="E124" i="22"/>
  <c r="E127" i="22"/>
  <c r="E136" i="22"/>
  <c r="E138" i="22"/>
  <c r="D11" i="22"/>
  <c r="D31" i="22"/>
  <c r="E117" i="22"/>
  <c r="E125" i="22"/>
  <c r="E135" i="22"/>
  <c r="C133" i="22"/>
  <c r="E137" i="22"/>
  <c r="E139" i="22"/>
  <c r="D56" i="22"/>
  <c r="C121" i="22"/>
  <c r="C122" i="22"/>
  <c r="C123" i="22"/>
  <c r="C126" i="22"/>
  <c r="C131" i="22"/>
  <c r="C130" i="22" s="1"/>
  <c r="C118" i="22"/>
  <c r="C119" i="22"/>
  <c r="C120" i="22"/>
  <c r="D118" i="22"/>
  <c r="D119" i="22"/>
  <c r="D122" i="22"/>
  <c r="D123" i="22"/>
  <c r="D126" i="22"/>
  <c r="C36" i="22"/>
  <c r="D120" i="22"/>
  <c r="D121" i="22"/>
  <c r="D128" i="22"/>
  <c r="D131" i="22"/>
  <c r="D130" i="22" s="1"/>
  <c r="C128" i="22"/>
  <c r="E40" i="22"/>
  <c r="D36" i="22"/>
  <c r="E37" i="22"/>
  <c r="E39" i="22"/>
  <c r="E141" i="22"/>
  <c r="E38" i="22"/>
  <c r="E142" i="22"/>
  <c r="E108" i="22"/>
  <c r="D90" i="22"/>
  <c r="E27" i="22"/>
  <c r="E23" i="22"/>
  <c r="E19" i="22"/>
  <c r="E15" i="22"/>
  <c r="E6" i="22"/>
  <c r="E92" i="22"/>
  <c r="E105" i="22"/>
  <c r="E109" i="22"/>
  <c r="E94" i="22"/>
  <c r="E96" i="22"/>
  <c r="E101" i="22"/>
  <c r="E104" i="22"/>
  <c r="E95" i="22"/>
  <c r="E93" i="22"/>
  <c r="E91" i="22"/>
  <c r="E84" i="22"/>
  <c r="E82" i="22"/>
  <c r="E99" i="22"/>
  <c r="E110" i="22"/>
  <c r="E106" i="22"/>
  <c r="E85" i="22"/>
  <c r="E111" i="22"/>
  <c r="E107" i="22"/>
  <c r="D103" i="22"/>
  <c r="E63" i="22"/>
  <c r="E47" i="22"/>
  <c r="E32" i="22"/>
  <c r="D52" i="22"/>
  <c r="E29" i="22"/>
  <c r="E25" i="22"/>
  <c r="E21" i="22"/>
  <c r="E17" i="22"/>
  <c r="E33" i="22"/>
  <c r="E66" i="22"/>
  <c r="E62" i="22"/>
  <c r="E58" i="22"/>
  <c r="E50" i="22"/>
  <c r="E26" i="22"/>
  <c r="E22" i="22"/>
  <c r="E18" i="22"/>
  <c r="E14" i="22"/>
  <c r="E65" i="22"/>
  <c r="E61" i="22"/>
  <c r="E57" i="22"/>
  <c r="E49" i="22"/>
  <c r="E53" i="22"/>
  <c r="E28" i="22"/>
  <c r="E24" i="22"/>
  <c r="E20" i="22"/>
  <c r="E16" i="22"/>
  <c r="E12" i="22"/>
  <c r="E42" i="22"/>
  <c r="E59" i="22"/>
  <c r="E64" i="22"/>
  <c r="E60" i="22"/>
  <c r="E54" i="22"/>
  <c r="E48" i="22"/>
  <c r="E145" i="22"/>
  <c r="D45" i="22"/>
  <c r="C144" i="22"/>
  <c r="E13" i="22"/>
  <c r="E5" i="22"/>
  <c r="E46" i="22"/>
  <c r="E34" i="22"/>
  <c r="E43" i="22"/>
  <c r="E56" i="22" l="1"/>
  <c r="E78" i="22" s="1"/>
  <c r="D78" i="22"/>
  <c r="E4" i="22"/>
  <c r="E128" i="22"/>
  <c r="E119" i="22"/>
  <c r="D116" i="22"/>
  <c r="E120" i="22"/>
  <c r="E126" i="22"/>
  <c r="E133" i="22"/>
  <c r="E123" i="22"/>
  <c r="E144" i="22"/>
  <c r="E118" i="22"/>
  <c r="E122" i="22"/>
  <c r="E121" i="22"/>
  <c r="C116" i="22"/>
  <c r="C90" i="22"/>
  <c r="E90" i="22" s="1"/>
  <c r="D98" i="22"/>
  <c r="E52" i="22"/>
  <c r="E130" i="22"/>
  <c r="E36" i="22"/>
  <c r="E131" i="22"/>
  <c r="E83" i="22"/>
  <c r="E88" i="22"/>
  <c r="E86" i="22"/>
  <c r="D81" i="22"/>
  <c r="E87" i="22"/>
  <c r="C81" i="22"/>
  <c r="C103" i="22"/>
  <c r="E103" i="22"/>
  <c r="E100" i="22"/>
  <c r="E31" i="22"/>
  <c r="E11" i="22"/>
  <c r="E45" i="22"/>
  <c r="E116" i="22" l="1"/>
  <c r="D113" i="22"/>
  <c r="E98" i="22"/>
  <c r="E81" i="22"/>
  <c r="C113" i="22"/>
  <c r="E113" i="22" l="1"/>
  <c r="D176" i="22" l="1"/>
  <c r="E178" i="22"/>
  <c r="E181" i="2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Pareja Glass, Alejandro</author>
  </authors>
  <commentList>
    <comment ref="A18" authorId="0" shapeId="0" xr:uid="{00000000-0006-0000-0000-000001000000}">
      <text>
        <r>
          <rPr>
            <b/>
            <sz val="8"/>
            <color indexed="81"/>
            <rFont val="Tahoma"/>
            <charset val="1"/>
          </rPr>
          <t>Pareja Glass, Alejandro:</t>
        </r>
        <r>
          <rPr>
            <sz val="8"/>
            <color indexed="81"/>
            <rFont val="Tahoma"/>
            <charset val="1"/>
          </rPr>
          <t xml:space="preserve">
Se cambió código en columna C para reflejar el movimiento de esta actividad del componente 3 al 1.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Serale, Florencia</author>
    <author>Pareja Glass, Alejandro</author>
  </authors>
  <commentList>
    <comment ref="C1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Serale, Florencia:</t>
        </r>
        <r>
          <rPr>
            <sz val="9"/>
            <color indexed="81"/>
            <rFont val="Tahoma"/>
            <family val="2"/>
          </rPr>
          <t xml:space="preserve">
En los casos donde no se aclara el tipo de precedencia, la misma es de Finish to Start (FS). (SS) significa Start to Start</t>
        </r>
      </text>
    </comment>
    <comment ref="B16" authorId="1" shapeId="0" xr:uid="{00000000-0006-0000-0200-000002000000}">
      <text>
        <r>
          <rPr>
            <b/>
            <sz val="8"/>
            <color indexed="81"/>
            <rFont val="Tahoma"/>
            <charset val="1"/>
          </rPr>
          <t>Pareja Glass, Alejandro:</t>
        </r>
        <r>
          <rPr>
            <sz val="8"/>
            <color indexed="81"/>
            <rFont val="Tahoma"/>
            <charset val="1"/>
          </rPr>
          <t xml:space="preserve">
Se ajustaron los desembolsos BID a efectos de que coincidan exactamente los montos de cada componente.</t>
        </r>
      </text>
    </comment>
    <comment ref="B37" authorId="1" shapeId="0" xr:uid="{00000000-0006-0000-0200-000003000000}">
      <text>
        <r>
          <rPr>
            <b/>
            <sz val="8"/>
            <color indexed="81"/>
            <rFont val="Tahoma"/>
            <charset val="1"/>
          </rPr>
          <t>Pareja Glass, Alejandro:</t>
        </r>
        <r>
          <rPr>
            <sz val="8"/>
            <color indexed="81"/>
            <rFont val="Tahoma"/>
            <charset val="1"/>
          </rPr>
          <t xml:space="preserve">
Esta actividad fue movida del componente 3 al 1. No hay cambios en los montos.</t>
        </r>
      </text>
    </comment>
    <comment ref="B54" authorId="1" shapeId="0" xr:uid="{00000000-0006-0000-0200-000004000000}">
      <text>
        <r>
          <rPr>
            <b/>
            <sz val="8"/>
            <color indexed="81"/>
            <rFont val="Tahoma"/>
            <charset val="1"/>
          </rPr>
          <t>Pareja Glass, Alejandro:</t>
        </r>
        <r>
          <rPr>
            <sz val="8"/>
            <color indexed="81"/>
            <rFont val="Tahoma"/>
            <charset val="1"/>
          </rPr>
          <t xml:space="preserve">
Se cambió el nombre para hacerlo coincidir con matriz de productos.</t>
        </r>
      </text>
    </comment>
    <comment ref="B157" authorId="1" shapeId="0" xr:uid="{00000000-0006-0000-0200-000005000000}">
      <text>
        <r>
          <rPr>
            <b/>
            <sz val="8"/>
            <color indexed="81"/>
            <rFont val="Tahoma"/>
            <charset val="1"/>
          </rPr>
          <t>Pareja Glass, Alejandro:</t>
        </r>
        <r>
          <rPr>
            <sz val="8"/>
            <color indexed="81"/>
            <rFont val="Tahoma"/>
            <charset val="1"/>
          </rPr>
          <t xml:space="preserve">
Se ajustaron los desembolsos BID a efectos de que coincidan exactamente los montos de cada componente.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Pareja Glass, Alejandro</author>
  </authors>
  <commentList>
    <comment ref="B16" authorId="0" shapeId="0" xr:uid="{00000000-0006-0000-0300-000001000000}">
      <text>
        <r>
          <rPr>
            <b/>
            <sz val="8"/>
            <color indexed="81"/>
            <rFont val="Tahoma"/>
            <charset val="1"/>
          </rPr>
          <t>Pareja Glass, Alejandro:</t>
        </r>
        <r>
          <rPr>
            <sz val="8"/>
            <color indexed="81"/>
            <rFont val="Tahoma"/>
            <charset val="1"/>
          </rPr>
          <t xml:space="preserve">
Se ajustaron los desembolsos BID a efectos de que coincidan exactamente los montos de cada componente.</t>
        </r>
      </text>
    </comment>
    <comment ref="B36" authorId="0" shapeId="0" xr:uid="{00000000-0006-0000-0300-000002000000}">
      <text>
        <r>
          <rPr>
            <b/>
            <sz val="8"/>
            <color indexed="81"/>
            <rFont val="Tahoma"/>
            <charset val="1"/>
          </rPr>
          <t>Pareja Glass, Alejandro:</t>
        </r>
        <r>
          <rPr>
            <sz val="8"/>
            <color indexed="81"/>
            <rFont val="Tahoma"/>
            <charset val="1"/>
          </rPr>
          <t xml:space="preserve">
Esta actividad fue movida del componente 3 al 1. No hay cambios en los montos.</t>
        </r>
      </text>
    </comment>
    <comment ref="B52" authorId="0" shapeId="0" xr:uid="{00000000-0006-0000-0300-000003000000}">
      <text>
        <r>
          <rPr>
            <b/>
            <sz val="8"/>
            <color indexed="81"/>
            <rFont val="Tahoma"/>
            <charset val="1"/>
          </rPr>
          <t>Pareja Glass, Alejandro:</t>
        </r>
        <r>
          <rPr>
            <sz val="8"/>
            <color indexed="81"/>
            <rFont val="Tahoma"/>
            <charset val="1"/>
          </rPr>
          <t xml:space="preserve">
Se cambió el nombre para hacerlo coincidir con matriz de productos.</t>
        </r>
      </text>
    </comment>
    <comment ref="B141" authorId="0" shapeId="0" xr:uid="{00000000-0006-0000-0300-000004000000}">
      <text>
        <r>
          <rPr>
            <b/>
            <sz val="8"/>
            <color indexed="81"/>
            <rFont val="Tahoma"/>
            <charset val="1"/>
          </rPr>
          <t>Pareja Glass, Alejandro:</t>
        </r>
        <r>
          <rPr>
            <sz val="8"/>
            <color indexed="81"/>
            <rFont val="Tahoma"/>
            <charset val="1"/>
          </rPr>
          <t xml:space="preserve">
Esta actividad fue movida del componente 1 al 3. No hay cambios en los montos.</t>
        </r>
      </text>
    </comment>
    <comment ref="B155" authorId="0" shapeId="0" xr:uid="{00000000-0006-0000-0300-000005000000}">
      <text>
        <r>
          <rPr>
            <b/>
            <sz val="8"/>
            <color indexed="81"/>
            <rFont val="Tahoma"/>
            <charset val="1"/>
          </rPr>
          <t>Pareja Glass, Alejandro:</t>
        </r>
        <r>
          <rPr>
            <sz val="8"/>
            <color indexed="81"/>
            <rFont val="Tahoma"/>
            <charset val="1"/>
          </rPr>
          <t xml:space="preserve">
Se ajustaron los desembolsos BID a efectos de que coincidan exactamente los montos de cada componente.</t>
        </r>
      </text>
    </comment>
    <comment ref="B160" authorId="0" shapeId="0" xr:uid="{00000000-0006-0000-0300-000006000000}">
      <text>
        <r>
          <rPr>
            <b/>
            <sz val="8"/>
            <color indexed="81"/>
            <rFont val="Tahoma"/>
            <charset val="1"/>
          </rPr>
          <t>Pareja Glass, Alejandro:</t>
        </r>
        <r>
          <rPr>
            <sz val="8"/>
            <color indexed="81"/>
            <rFont val="Tahoma"/>
            <charset val="1"/>
          </rPr>
          <t xml:space="preserve">
Se ajustaron los desembolsos BID a efectos de que coincidan exactamente los montos de cada componente.</t>
        </r>
      </text>
    </comment>
  </commentList>
</comments>
</file>

<file path=xl/sharedStrings.xml><?xml version="1.0" encoding="utf-8"?>
<sst xmlns="http://schemas.openxmlformats.org/spreadsheetml/2006/main" count="1032" uniqueCount="442">
  <si>
    <t>Administración</t>
  </si>
  <si>
    <t>Unidad - Coordinador</t>
  </si>
  <si>
    <t>Unidad - Especialista Financiero</t>
  </si>
  <si>
    <t>Componente 3. Fortalecimiento institucional relacionado con las TIC para la prestación de servicios públicos</t>
  </si>
  <si>
    <t>ACTIVIDADES Y COSTOS US$</t>
  </si>
  <si>
    <t>BID</t>
  </si>
  <si>
    <t>SUBTOTAL Componente 1</t>
  </si>
  <si>
    <t>SUBTOTAL Componente 2</t>
  </si>
  <si>
    <t>SUBTOTAL Componente 3</t>
  </si>
  <si>
    <t>Total</t>
  </si>
  <si>
    <t>Total Componentes y Administración</t>
  </si>
  <si>
    <t>Imprevistos</t>
  </si>
  <si>
    <t>Componente 1. Simplificación y disponibilidad en línea de trámites para la competitividad y la equidad</t>
  </si>
  <si>
    <t>Componente 2. Inclusión digital ciudadana para la equidad de acceso a los servicios públicos</t>
  </si>
  <si>
    <t>Auditorías</t>
  </si>
  <si>
    <t>1,2,1</t>
  </si>
  <si>
    <t>1,2,2</t>
  </si>
  <si>
    <t>1,2,3</t>
  </si>
  <si>
    <t>1,3,3</t>
  </si>
  <si>
    <t>1,3,1</t>
  </si>
  <si>
    <t>1,3,2</t>
  </si>
  <si>
    <t>1,3,4</t>
  </si>
  <si>
    <t>2,1,1</t>
  </si>
  <si>
    <t>2,1,2</t>
  </si>
  <si>
    <t>2,2,2</t>
  </si>
  <si>
    <t>2,2,3</t>
  </si>
  <si>
    <t>2,3,1</t>
  </si>
  <si>
    <t>2,3,2</t>
  </si>
  <si>
    <t>2,3,3</t>
  </si>
  <si>
    <t>3,1,2</t>
  </si>
  <si>
    <t>3,1,1</t>
  </si>
  <si>
    <t>3,1,3</t>
  </si>
  <si>
    <t>3,1,4</t>
  </si>
  <si>
    <t>3,1,5</t>
  </si>
  <si>
    <t>3,1,6</t>
  </si>
  <si>
    <t>3,1,7</t>
  </si>
  <si>
    <t>3,1,8</t>
  </si>
  <si>
    <t>3,1,10</t>
  </si>
  <si>
    <t>3,2,1</t>
  </si>
  <si>
    <t>3,4,1</t>
  </si>
  <si>
    <t>AIG
A01 SEM02</t>
  </si>
  <si>
    <t>AIG
A01 SEM01</t>
  </si>
  <si>
    <t>BID
A01 SEM02</t>
  </si>
  <si>
    <t>BID
A01 SEM01</t>
  </si>
  <si>
    <t>AIG
A02 SEM01</t>
  </si>
  <si>
    <t>BID
A02 SEM01</t>
  </si>
  <si>
    <t>AIG
A02 SEM02</t>
  </si>
  <si>
    <t>BID
A02 SEM02</t>
  </si>
  <si>
    <t>AIG
A03 SEM01</t>
  </si>
  <si>
    <t>BID
A03 SEM01</t>
  </si>
  <si>
    <t>AIG
A03 SEM02</t>
  </si>
  <si>
    <t>AIG
A04 SEM01</t>
  </si>
  <si>
    <t>BID
A04 SEM01</t>
  </si>
  <si>
    <t>AIG
A04 SEM02</t>
  </si>
  <si>
    <t>BID
A04 SEM02</t>
  </si>
  <si>
    <t>2,2,1</t>
  </si>
  <si>
    <t>SUBTOTAL Componentes</t>
  </si>
  <si>
    <t>SUBTOTAL</t>
  </si>
  <si>
    <t>ACTIVIDADES</t>
  </si>
  <si>
    <t>BID
A03 SEM02</t>
  </si>
  <si>
    <t>CONSULTORÍAS FIRMAS</t>
  </si>
  <si>
    <t>Año</t>
  </si>
  <si>
    <t>Número de Adquisición:</t>
  </si>
  <si>
    <t>Número de Item Presupuesto:</t>
  </si>
  <si>
    <t>Componente Asociado :</t>
  </si>
  <si>
    <t>Unidad Ejecutora:</t>
  </si>
  <si>
    <t>Actividad:</t>
  </si>
  <si>
    <t>Descripción adicional:</t>
  </si>
  <si>
    <t xml:space="preserve">Monto Estimado </t>
  </si>
  <si>
    <t>Fechas</t>
  </si>
  <si>
    <t>Comentarios</t>
  </si>
  <si>
    <t>Monto Estimado, en u$s :</t>
  </si>
  <si>
    <t>Monto Estimado % BID:</t>
  </si>
  <si>
    <t>Monto Estimado % Contraparte:</t>
  </si>
  <si>
    <t>Aviso de Expresiones de Interés</t>
  </si>
  <si>
    <t>Firma del Contrato</t>
  </si>
  <si>
    <r>
      <t xml:space="preserve">Método de Adquisición
</t>
    </r>
    <r>
      <rPr>
        <i/>
        <sz val="9"/>
        <rFont val="Calibri"/>
        <family val="2"/>
      </rPr>
      <t>(Seleccionar una de las opciones)</t>
    </r>
    <r>
      <rPr>
        <sz val="9"/>
        <rFont val="Calibri"/>
        <family val="2"/>
      </rPr>
      <t>:</t>
    </r>
  </si>
  <si>
    <r>
      <t xml:space="preserve">Método de Revisión </t>
    </r>
    <r>
      <rPr>
        <i/>
        <sz val="9"/>
        <rFont val="Calibri"/>
        <family val="2"/>
      </rPr>
      <t>(Seleccionar una de las opciones)</t>
    </r>
    <r>
      <rPr>
        <sz val="9"/>
        <rFont val="Calibri"/>
        <family val="2"/>
      </rPr>
      <t>:</t>
    </r>
  </si>
  <si>
    <t>CONSULTORÍAS INDIVIDUOS</t>
  </si>
  <si>
    <t>No Objeción a los TdR de la Actividad</t>
  </si>
  <si>
    <t>Aviso Especial de Adquisiciones</t>
  </si>
  <si>
    <t>BIENES Y SERVICIOS</t>
  </si>
  <si>
    <t>3,1,9</t>
  </si>
  <si>
    <t>Total Programa</t>
  </si>
  <si>
    <t>1,4,1</t>
  </si>
  <si>
    <t>SUBTOTAL COMPONENTES</t>
  </si>
  <si>
    <t>SUBTOTAL ADMINISTRACIÓN</t>
  </si>
  <si>
    <t>UNIDAD EJECUTORA</t>
  </si>
  <si>
    <t>Contratación del Coordinador del programa</t>
  </si>
  <si>
    <t>Contratación del Especialista Financiero</t>
  </si>
  <si>
    <t>Reconocimiento de Gastos</t>
  </si>
  <si>
    <t>Financiamiento Retroactivo</t>
  </si>
  <si>
    <t>SCC</t>
  </si>
  <si>
    <t>Ex-ante</t>
  </si>
  <si>
    <t>SBCC</t>
  </si>
  <si>
    <t>CCIN</t>
  </si>
  <si>
    <t>CP</t>
  </si>
  <si>
    <t>LPI</t>
  </si>
  <si>
    <t>PLAN DE ADQUISICIONES PARA LOS PRIMEROS 18 MESES</t>
  </si>
  <si>
    <t>AL
A01 SEM01</t>
  </si>
  <si>
    <t>AL
A01 SEM02</t>
  </si>
  <si>
    <t>AL
A02 SEM01</t>
  </si>
  <si>
    <t>Componente 1. Mejora de la calidad de los SRI</t>
  </si>
  <si>
    <t>Componente 2. Mejora de la calidad de los SRI</t>
  </si>
  <si>
    <t>Componente 3. Modernización de los sistemas de gestión del RENIEC</t>
  </si>
  <si>
    <t>Revision y digitalización de actas registrales</t>
  </si>
  <si>
    <t>Nuevos puntos de atención y acondicionamiento de Centros de Servicio</t>
  </si>
  <si>
    <t xml:space="preserve">Desarrollo de nuevos servicios virtuales </t>
  </si>
  <si>
    <t>Descentralización de centros de impresión</t>
  </si>
  <si>
    <t>Delegación de servicios registrales en comunidades nativas</t>
  </si>
  <si>
    <t>Equipamiento y logística para unidades itinerantes</t>
  </si>
  <si>
    <t>Asistencia Técnica y capacitación a registradores de centros poblados y comunidades nativas</t>
  </si>
  <si>
    <t xml:space="preserve">Extensión del registro civil bilingüe </t>
  </si>
  <si>
    <t>Sistema de gestion de SRI</t>
  </si>
  <si>
    <t>Sistema de información gerencial</t>
  </si>
  <si>
    <t>Soporte a los sistemas (hardware y software)</t>
  </si>
  <si>
    <t>Plataforma tecnológica para gestión de la identidad digital</t>
  </si>
  <si>
    <t>Gestión del cambio y sensibilización</t>
  </si>
  <si>
    <t>1,1,1</t>
  </si>
  <si>
    <t>1,1,2</t>
  </si>
  <si>
    <t>Implementación del acta registral electrónica</t>
  </si>
  <si>
    <t>Implementación de sistema de captura en vivo</t>
  </si>
  <si>
    <t>Acondicionamiento térmico de los espacios</t>
  </si>
  <si>
    <t>Implementación de PVM</t>
  </si>
  <si>
    <t>1,5,1</t>
  </si>
  <si>
    <t>Equipamiento para implementación de sistema de captura en vivo</t>
  </si>
  <si>
    <t>1,7,1</t>
  </si>
  <si>
    <t>Especificaciones técnicas</t>
  </si>
  <si>
    <t>1,9,1</t>
  </si>
  <si>
    <t>Consultoría para especificaciones técnicas</t>
  </si>
  <si>
    <t>Implementación de ventanillas sin uso en centros de servicio</t>
  </si>
  <si>
    <t>Redistribución de espacios en centros de servicios e implementación de nuevas ventanillas</t>
  </si>
  <si>
    <t>Diseño de estrategia de difusión</t>
  </si>
  <si>
    <t>1,7,2</t>
  </si>
  <si>
    <t>Sensibilización</t>
  </si>
  <si>
    <t>Equipamiento para acta registral electronica en ventanillas de centros de servicio RENIEC</t>
  </si>
  <si>
    <t>Equipamiento para acta registral electronica en OREC distritales y provinciales afiliadas</t>
  </si>
  <si>
    <t>Mobiliario</t>
  </si>
  <si>
    <t>Servicios</t>
  </si>
  <si>
    <t>Supervisión</t>
  </si>
  <si>
    <t>Materiales</t>
  </si>
  <si>
    <t>Especificaciones tecnicas para PKI</t>
  </si>
  <si>
    <t>Hardware PKI</t>
  </si>
  <si>
    <t>Infraestructura y mantenimiento</t>
  </si>
  <si>
    <t>Servicio PKI appliance</t>
  </si>
  <si>
    <t>1,6,1</t>
  </si>
  <si>
    <t>1,6,2</t>
  </si>
  <si>
    <t>1,6,3</t>
  </si>
  <si>
    <t>1,6,4</t>
  </si>
  <si>
    <t>Adecuaciones de los centros</t>
  </si>
  <si>
    <t>Equipamiento (Impresoras+ equipos complementarios)</t>
  </si>
  <si>
    <t>1,6,5</t>
  </si>
  <si>
    <t>Expediente técnico equipamiento</t>
  </si>
  <si>
    <t>2,4,1</t>
  </si>
  <si>
    <t>2,4,2</t>
  </si>
  <si>
    <t>2,4,3</t>
  </si>
  <si>
    <t>2,4,4</t>
  </si>
  <si>
    <t>Personal para iniciar el trabajo en CN (Registrador+lingüista+traductor)</t>
  </si>
  <si>
    <t>Viajes para validaciones</t>
  </si>
  <si>
    <t>Especificaciones tecnicas material</t>
  </si>
  <si>
    <t>Diseño, diagramación e impresión de actas, material publicitario y formatos</t>
  </si>
  <si>
    <t>2,4,5</t>
  </si>
  <si>
    <t>2,4,6</t>
  </si>
  <si>
    <t>2,4,7</t>
  </si>
  <si>
    <t>Viajes de implementación</t>
  </si>
  <si>
    <t>Publicaciones</t>
  </si>
  <si>
    <t>2,4,8</t>
  </si>
  <si>
    <t>Monitoreo de resultados</t>
  </si>
  <si>
    <t>Campaña de sensibilización sobre uso de nuevas tecnologías de SRI</t>
  </si>
  <si>
    <t>Especificaciones técnicas de las adecuaciones</t>
  </si>
  <si>
    <t>2,2,4</t>
  </si>
  <si>
    <t>2,2,5</t>
  </si>
  <si>
    <t>Vehiculos (camioneta+deslizadores)</t>
  </si>
  <si>
    <t>Acondicionamiento de infraestructura</t>
  </si>
  <si>
    <t>2,2,6</t>
  </si>
  <si>
    <t>Equipamiento (tablets+proyectores)</t>
  </si>
  <si>
    <t>Sistema de monitoreo</t>
  </si>
  <si>
    <t>Diseño del modelo conceptual de gestión del registro civiles e identificación en comunidades</t>
  </si>
  <si>
    <t>Pasajes y viaticos</t>
  </si>
  <si>
    <t>Asistencia tecnica en la delegacion de servicios (evaluadores+geografo+ encargados de inventarios)</t>
  </si>
  <si>
    <t>2,1,3</t>
  </si>
  <si>
    <t>2,1,4</t>
  </si>
  <si>
    <t>2,1,5</t>
  </si>
  <si>
    <t>2,1,6</t>
  </si>
  <si>
    <t>Equipamiento (PCs, camaras fotograficas, GPS, impresoras, escaner, telefonos)</t>
  </si>
  <si>
    <t>Asistencia tecnica para fortalecimiento registros civiles</t>
  </si>
  <si>
    <t>2,1,7</t>
  </si>
  <si>
    <t>Materiales e insumos para las visitas</t>
  </si>
  <si>
    <t>Servicios de traslado y comunicación</t>
  </si>
  <si>
    <t>Implementacion del sistema</t>
  </si>
  <si>
    <t>3,3,1</t>
  </si>
  <si>
    <t>3,3,2</t>
  </si>
  <si>
    <t>3,3,3</t>
  </si>
  <si>
    <t>3,3,4</t>
  </si>
  <si>
    <t>Especificaciones tecnicas</t>
  </si>
  <si>
    <t>Coordinacion integral del SRI (Gerencia PMI+Jefe de proyecto+arquitecto BBDD+analistas)</t>
  </si>
  <si>
    <t>Analisis y Diseño TI del Modulo de Identificacion</t>
  </si>
  <si>
    <t>Analisis y Diseño TI del Modulo de Registros Civiles</t>
  </si>
  <si>
    <t>Analisis y Diseño TI del Modulo de Captura Biométrica</t>
  </si>
  <si>
    <t>Analisis y Diseño TI del Modulo de Fiscalizacion y control</t>
  </si>
  <si>
    <t>3,1,11</t>
  </si>
  <si>
    <t>Acondicionamiento del espacio (conectividad, cableado, interconexion)</t>
  </si>
  <si>
    <t>Software</t>
  </si>
  <si>
    <t>3,1,12</t>
  </si>
  <si>
    <t>Gobierno Corporativo de GTI (jefe de proyecto e implementadores)</t>
  </si>
  <si>
    <t>Análisis y diseño TI de los nuevos servicios virtuales</t>
  </si>
  <si>
    <t>Equipamiento (PCs, impresora de red, telefonos)</t>
  </si>
  <si>
    <t>Evaluacion de la calidad del software</t>
  </si>
  <si>
    <t>Servidores</t>
  </si>
  <si>
    <t>Soporte para nuevo dispositivo de captura en vivo</t>
  </si>
  <si>
    <t>Analisis y rediseño de procesos (incluye especificaciones tecnicas)</t>
  </si>
  <si>
    <t>3,3,5</t>
  </si>
  <si>
    <t>Licencia de software para servidor</t>
  </si>
  <si>
    <t>3,3,6</t>
  </si>
  <si>
    <t>Seguridad de networking (firewall, IPS, balanceador)</t>
  </si>
  <si>
    <t>Evaluacion Intermedia</t>
  </si>
  <si>
    <t>Contrapartida Local</t>
  </si>
  <si>
    <t>1,8,1</t>
  </si>
  <si>
    <t>1,8,2</t>
  </si>
  <si>
    <t>1,8,3</t>
  </si>
  <si>
    <t>1,8,4</t>
  </si>
  <si>
    <t>1,8,5</t>
  </si>
  <si>
    <t>1,8,6</t>
  </si>
  <si>
    <t>1,8,7</t>
  </si>
  <si>
    <t>Capacitaciones virtuales- Software</t>
  </si>
  <si>
    <t>Capacitaciones virtuales- Instalacion</t>
  </si>
  <si>
    <t>Capacitaciones virtuales- Equipamiento (camara, servidores, microfono, material de grabacion)</t>
  </si>
  <si>
    <t>1,8,8</t>
  </si>
  <si>
    <t>1,8,9</t>
  </si>
  <si>
    <t>1,8,10</t>
  </si>
  <si>
    <t>1,8,11</t>
  </si>
  <si>
    <t>Capacitaciones presenciales- Docentes (36 en primer año, 72 en tercero y 36 en cuarto)</t>
  </si>
  <si>
    <t>Capacitaciones presenciales- Equipos (laptops, impresoras, equipamiento para salas, sonido)</t>
  </si>
  <si>
    <t>Capacitaciones presenciales- Software</t>
  </si>
  <si>
    <t>Capacitaciones presenciales-Mobiliario</t>
  </si>
  <si>
    <t>Capacitaciones presenciales- Servicios (cableado, impresiones)</t>
  </si>
  <si>
    <t>1,2,4</t>
  </si>
  <si>
    <t>1,2,5</t>
  </si>
  <si>
    <t>1,2,6</t>
  </si>
  <si>
    <t>1,2,7</t>
  </si>
  <si>
    <t>1,2,8</t>
  </si>
  <si>
    <t>1,2,9</t>
  </si>
  <si>
    <t>Inventario y traslado de actas registrales-Materiales</t>
  </si>
  <si>
    <t>Inventario y traslado de actas registrales-Supervisión</t>
  </si>
  <si>
    <t>1,2,10</t>
  </si>
  <si>
    <t>1,2,11</t>
  </si>
  <si>
    <t>1,2,12</t>
  </si>
  <si>
    <t>1,2,13</t>
  </si>
  <si>
    <t>1,2,14</t>
  </si>
  <si>
    <t>Procesamiento de actas- Materiales</t>
  </si>
  <si>
    <t>Procesamiento de actas- Servicios (produccion de microformas, impresiones, matenimiento)</t>
  </si>
  <si>
    <t>Procesamiento de actas- Supervision</t>
  </si>
  <si>
    <t>1,2,15</t>
  </si>
  <si>
    <t>1,2,16</t>
  </si>
  <si>
    <t>1,2,17</t>
  </si>
  <si>
    <t>1,2,18</t>
  </si>
  <si>
    <t>Depuracion y rectificacion de actas- Asistencia Tecnica</t>
  </si>
  <si>
    <t>Depuracion y rectificacion de actas- Equipamiento</t>
  </si>
  <si>
    <t>Depuracion y rectificacion de actas- Mobiliario</t>
  </si>
  <si>
    <t>Depuracion y rectificacion de actas- Materiales</t>
  </si>
  <si>
    <t xml:space="preserve">Depuracion y rectificacion de actas- Servicios </t>
  </si>
  <si>
    <t>Monitoreo y AT OREC- Asistencia Tecnica</t>
  </si>
  <si>
    <t>Monitoreo y AT OREC- Equipamiento</t>
  </si>
  <si>
    <t>Monitoreo y AT OREC- Mobiliario</t>
  </si>
  <si>
    <t>Monitoreo y AT OREC- Materiales</t>
  </si>
  <si>
    <t>Inventario y traslado de actas registrales-Servicios (traslado de acervo documentario)</t>
  </si>
  <si>
    <t xml:space="preserve">Inventario y traslado de actas registrales- Asistencia Tecnica y especificaciones </t>
  </si>
  <si>
    <t>Procesamiento de actas- Asistencia Tecnica y especificaciones</t>
  </si>
  <si>
    <t xml:space="preserve">Monitoreo y AT OREC- Supervisión </t>
  </si>
  <si>
    <t>Unidad - Asesor Legal</t>
  </si>
  <si>
    <t>Unidad - Coordinadores de componentes</t>
  </si>
  <si>
    <t>Unidad - Especialista Contrataciones</t>
  </si>
  <si>
    <t>Unidad - Especialista Contable</t>
  </si>
  <si>
    <t>Unidad - Analista</t>
  </si>
  <si>
    <t>Unidad - Comunicador</t>
  </si>
  <si>
    <t>Unidad - Jefe de Administracion</t>
  </si>
  <si>
    <t>Unidad - Tesorero</t>
  </si>
  <si>
    <t>Unidad - Especialista Seguimiento y Evaluacion</t>
  </si>
  <si>
    <t>Unidad - Planificador y Presupuesto</t>
  </si>
  <si>
    <t>Gastos de la Unidad</t>
  </si>
  <si>
    <t>Unidad- Asistente Administrativo</t>
  </si>
  <si>
    <t xml:space="preserve">Capacitaciones virtuales- Docentes </t>
  </si>
  <si>
    <t xml:space="preserve">Capacitaciones virtuales- Diseñador </t>
  </si>
  <si>
    <t>Expediente Tecnico y Linea de Base</t>
  </si>
  <si>
    <t>Evaluacion Final y Evaluacion Impacto</t>
  </si>
  <si>
    <t xml:space="preserve">Mejora de procesos y capacitación a funcionarios </t>
  </si>
  <si>
    <t>1,8,12</t>
  </si>
  <si>
    <t>1,8,13</t>
  </si>
  <si>
    <t>1,8,14</t>
  </si>
  <si>
    <t>1,8,15</t>
  </si>
  <si>
    <t>1,8,16</t>
  </si>
  <si>
    <t>1,8,17</t>
  </si>
  <si>
    <t>1,8,18</t>
  </si>
  <si>
    <t>1,8,19</t>
  </si>
  <si>
    <t>1,8,20</t>
  </si>
  <si>
    <t>Analisis y rediseño de procesos en centros de servicio-Diagnostico y AT</t>
  </si>
  <si>
    <t xml:space="preserve">Analisis y rediseño de procesos en centros de servicio-Implementacion </t>
  </si>
  <si>
    <t>Analisis y rediseño de procesos en centros de servicio-Especificaciones Tecnicas</t>
  </si>
  <si>
    <t>Analisis y rediseño de procesos de OREC-Especificaciones Tecnicas</t>
  </si>
  <si>
    <t>Analisis y rediseño de procesos de OREC-Diagnostico y AT</t>
  </si>
  <si>
    <t xml:space="preserve">Analisis y rediseño de procesos de OREC-Implementacion </t>
  </si>
  <si>
    <t>Analisis y rediseño de procesos del RENIEC-Especificaciones Tecnicas</t>
  </si>
  <si>
    <t>Analisis y rediseño de procesos del RENIEC-Especificaciones TecnicasAnalisis</t>
  </si>
  <si>
    <t xml:space="preserve">Analisis y rediseño de procesos del RENIEC-Implementacion </t>
  </si>
  <si>
    <t>Subtotal</t>
  </si>
  <si>
    <t>1,1,3</t>
  </si>
  <si>
    <t>1,1,4</t>
  </si>
  <si>
    <t>Acta registral electronica en OREC-Asistencia Técnica</t>
  </si>
  <si>
    <t>Acta registral electronica en OREC-Materiales</t>
  </si>
  <si>
    <t>Capacitaciones presenciales-  Materiales</t>
  </si>
  <si>
    <t>Equipo de fortalecimiento</t>
  </si>
  <si>
    <t xml:space="preserve">Consultar posibilidad de realizar un proceso conjunto con el de procesamiento de actas </t>
  </si>
  <si>
    <t xml:space="preserve">Contratación de servicios de inventario y traslado de actas </t>
  </si>
  <si>
    <t xml:space="preserve">Contratación de servicios de procesamiento de actas registrales y digitalización </t>
  </si>
  <si>
    <t>Servicios de acondicionamiento, cableado y conectividad para el sistema de registro civil</t>
  </si>
  <si>
    <t xml:space="preserve">Contratacion de servicios para la supervision de delegacion a comunidades nativas </t>
  </si>
  <si>
    <t xml:space="preserve"> Servicios de comunicación para asistencia tecnica a comunidades nativas </t>
  </si>
  <si>
    <t>LPN</t>
  </si>
  <si>
    <t xml:space="preserve">Seguros, viaticospara asistencia tecnica en comunidades nativas </t>
  </si>
  <si>
    <t>Materiales e insumos para la delegacion de servicios</t>
  </si>
  <si>
    <t>Mobiliario para las OREC de comunidades nativas</t>
  </si>
  <si>
    <t xml:space="preserve">Adquisicion de equipamiento para delegacion de servicios en comunidades nativas </t>
  </si>
  <si>
    <t xml:space="preserve">Materiales para capacitaciones presenciales </t>
  </si>
  <si>
    <t xml:space="preserve">Adquisicion de mobiliario para capacitaciones presenciales </t>
  </si>
  <si>
    <t xml:space="preserve">Servicios (instalacion, cableado) para capacitaciones virtuales y presenciales </t>
  </si>
  <si>
    <t xml:space="preserve">Software para capacitaciones virtuales y presenciales </t>
  </si>
  <si>
    <t>1,8,8 y 1,8,4</t>
  </si>
  <si>
    <t xml:space="preserve">Equipamiento para capacitaciones virtuales y presenciales </t>
  </si>
  <si>
    <t>1,8,3 y 1,8,7</t>
  </si>
  <si>
    <t>Servicios de adecuación de los centros de impresión</t>
  </si>
  <si>
    <t>Equipamiento para sistema de captura en vivo</t>
  </si>
  <si>
    <t xml:space="preserve">Inlcuye el acondicionamiento termico </t>
  </si>
  <si>
    <t xml:space="preserve">Adquisicion de equipamiento para nuevas ventanillas RENIEC </t>
  </si>
  <si>
    <t>1,3,1, 1,3,2</t>
  </si>
  <si>
    <t>Adquisicion de equipamiento para PVMs</t>
  </si>
  <si>
    <t>Equipamiento para Monitoreo y AT a OREC</t>
  </si>
  <si>
    <t>Gastos de publicaciones oficiales</t>
  </si>
  <si>
    <t xml:space="preserve">Servicios complementarios a la depuracion y rectificacion </t>
  </si>
  <si>
    <t>Materiales para depuracion y rectificacion de actas y Monitoreo OREC</t>
  </si>
  <si>
    <t>Adquisicion de mobiliario para depuracion y rectificacion de actas y monitoreo OREC</t>
  </si>
  <si>
    <t>1,2,11 y 1,2,16</t>
  </si>
  <si>
    <t>Equipamiento para depuracion y rectificación de actas</t>
  </si>
  <si>
    <t xml:space="preserve">Contratacion de servicios para el procesamiento de actas </t>
  </si>
  <si>
    <t xml:space="preserve">Contratacion de servicios para la supervision del inventario y traslado de actas </t>
  </si>
  <si>
    <t>Incluye certificación del sistema de producción de microformas, mantenimiento de equipos, fedatacion informatica</t>
  </si>
  <si>
    <t>Servicios para procesamiento de actas</t>
  </si>
  <si>
    <t>Materiales para procesamiento de actas</t>
  </si>
  <si>
    <t>Servicios de traslado de acervo documentario</t>
  </si>
  <si>
    <t xml:space="preserve">Materiales para inventario y traslado de actas registrales </t>
  </si>
  <si>
    <t>Materiales para implementacion del Acta Registral Electrónica en OREC</t>
  </si>
  <si>
    <t>Incluye servicios de transporte</t>
  </si>
  <si>
    <t>Adquisición de equipamiento para implementación del Acta Registra Electrónica en ORECs</t>
  </si>
  <si>
    <t>Incluye el total de compra de equipamiento</t>
  </si>
  <si>
    <t xml:space="preserve">Adquisición de equipamiento para implementación del Acta Registra Electrónica en centros de servicio </t>
  </si>
  <si>
    <t>Contrato por dos años</t>
  </si>
  <si>
    <t>Contratación  Asistente Administrativo</t>
  </si>
  <si>
    <t>Contratación  Planificador y Presupuesto</t>
  </si>
  <si>
    <t>Contratación  Especialista Seguimiento y Evaluacion</t>
  </si>
  <si>
    <t>Contratación  Tesorero</t>
  </si>
  <si>
    <t>Contratación Jefe de Administracion</t>
  </si>
  <si>
    <t>Contratación Comunicador</t>
  </si>
  <si>
    <t>Cinco analistas. Contrato por dos años</t>
  </si>
  <si>
    <t>Contratación  Analista</t>
  </si>
  <si>
    <t>Contratación Especialista Contable</t>
  </si>
  <si>
    <t>Contratación  Especialista Contrataciones</t>
  </si>
  <si>
    <t>Tres coordinadores. Contrato por dos años</t>
  </si>
  <si>
    <t>Contratación de coordinadores de componente</t>
  </si>
  <si>
    <t>Contratación del Asesor Legal</t>
  </si>
  <si>
    <t>53 personas</t>
  </si>
  <si>
    <t xml:space="preserve">Contratación de equipo de fortalecimiento para unidades itinerantes </t>
  </si>
  <si>
    <t>3 personas</t>
  </si>
  <si>
    <t xml:space="preserve">Contratación de inventariadores para traslado de material de comunidades nativas </t>
  </si>
  <si>
    <t>1 persona</t>
  </si>
  <si>
    <t>Contratación de geográfo</t>
  </si>
  <si>
    <t>12 personas</t>
  </si>
  <si>
    <t>Contratación de personal itinerante evaluador</t>
  </si>
  <si>
    <t>Contratación de equipo para asistencia técnica en la delegación de servicios en comunidades nativas</t>
  </si>
  <si>
    <t xml:space="preserve">3 docentes </t>
  </si>
  <si>
    <t>Contratación de docentes para capacitaciones presenciales</t>
  </si>
  <si>
    <t>1 diseñador</t>
  </si>
  <si>
    <t>Contratación de diseñador para capacitaciones virtuales</t>
  </si>
  <si>
    <t>4 docentes</t>
  </si>
  <si>
    <t>Contratación de docentes para capacitaciones virtuales</t>
  </si>
  <si>
    <t xml:space="preserve">15 personas </t>
  </si>
  <si>
    <t>Contratación de calificadores de procesos para atencion de consultas de OREC</t>
  </si>
  <si>
    <t>2 personas</t>
  </si>
  <si>
    <t xml:space="preserve">Contratación de coordinadores regionales  para la depuracion y rectificación de actas </t>
  </si>
  <si>
    <t xml:space="preserve">Contratación de supervisores para la depuracion y rectificación de actas </t>
  </si>
  <si>
    <t xml:space="preserve">Contratación de asgnadores para la depuracion y rectificación de actas </t>
  </si>
  <si>
    <t xml:space="preserve">Contratación de asistentes legales para la depuracion y rectificación de actas </t>
  </si>
  <si>
    <t>18 personas</t>
  </si>
  <si>
    <t xml:space="preserve">Contratación de calificadores de titulos para la depuracion y rectificación de actas </t>
  </si>
  <si>
    <t>Consultoría para especificaciones técnicas PKI</t>
  </si>
  <si>
    <t>Consultoría para análisis y rediseño de procesos</t>
  </si>
  <si>
    <t>Consultoria para especificaciones técnicas de sistema de gestión y equipamiento</t>
  </si>
  <si>
    <t xml:space="preserve">3,1,1 y 3,3,1  </t>
  </si>
  <si>
    <t>Consultoría para especificaciones técnicas del equipamiento de unidades itinerantes</t>
  </si>
  <si>
    <t xml:space="preserve">2,2,1 </t>
  </si>
  <si>
    <t>Consultoría para especificaciones técnicas del equipamiento para la delegacion de servicios registrales</t>
  </si>
  <si>
    <t>Consultoria para diseño del modelo conceptual de gestión del registro civiles e identificación en comunidades</t>
  </si>
  <si>
    <t>Consultoría para especificaciones técnicas de adquisicion de equipamiento del componente 1</t>
  </si>
  <si>
    <t>Consultoría para especificaciones técnicas para mejora de procesos</t>
  </si>
  <si>
    <t>1,8,12 1,8,15 y 1,8,18</t>
  </si>
  <si>
    <t>Incluye las especificaciones de las adecuaciones y equipamiento</t>
  </si>
  <si>
    <t xml:space="preserve">Consultoría para descentralizacion de centros de impresion </t>
  </si>
  <si>
    <t>1,6,1 y 1,6,5</t>
  </si>
  <si>
    <t xml:space="preserve">Consultoría para especificaciones técnicas de revisión y digitalización de actas registrales </t>
  </si>
  <si>
    <t>1,2,1 y 1,2,5</t>
  </si>
  <si>
    <t>Consultoría para diseño de estrategia de difusión ID digital</t>
  </si>
  <si>
    <t>Consultoría para estrategia de implementacion de PVM</t>
  </si>
  <si>
    <t>PE-L1171</t>
  </si>
  <si>
    <t>Redistribución de espacios en centros de servicios e implementación de nuevas ventanillas (Incluye acondicionamiento termico)</t>
  </si>
  <si>
    <t xml:space="preserve">Equipo de fortalecimiento </t>
  </si>
  <si>
    <t>Total AL</t>
  </si>
  <si>
    <t>Total BID</t>
  </si>
  <si>
    <t>TOTAL POA 2017</t>
  </si>
  <si>
    <t>La UE contrará al personal clave con sus recursos. Al momento de la elegibilidad, se regirá por el pari pasu previsto (80% BID, 20% AL). El monto total del contrato es por dos años.</t>
  </si>
  <si>
    <t>1,1,5</t>
  </si>
  <si>
    <t xml:space="preserve">Evaluacion Final </t>
  </si>
  <si>
    <t>Total Monitoreo y Evaluación</t>
  </si>
  <si>
    <t>Cuadro de desembolsos</t>
  </si>
  <si>
    <t>Monto</t>
  </si>
  <si>
    <t>Predecessors</t>
  </si>
  <si>
    <t>1,2,4 (SS)</t>
  </si>
  <si>
    <t>1,2,8 (SS)</t>
  </si>
  <si>
    <t xml:space="preserve">1,2,1 </t>
  </si>
  <si>
    <t>3,1,1 y 3,1,2</t>
  </si>
  <si>
    <t>3.3 (SS)</t>
  </si>
  <si>
    <t>3.1 (SS) y 3.3 (SS)</t>
  </si>
  <si>
    <t>3.4 (SS)</t>
  </si>
  <si>
    <t>2,4,1 y 2,4,3</t>
  </si>
  <si>
    <t>1,8,9 , 1,8,5 y 1,8,3</t>
  </si>
  <si>
    <t>1.1 (SS), 1.5 (SS) y 3.1 (SS)</t>
  </si>
  <si>
    <t xml:space="preserve">3.1 (SS), 1.1, 1.2 (SS) </t>
  </si>
  <si>
    <t>1,6,2 y 1,6,5</t>
  </si>
  <si>
    <t>PE-L1171 POA</t>
  </si>
  <si>
    <t>1,4,2</t>
  </si>
  <si>
    <t>1,4,4</t>
  </si>
  <si>
    <t>1,4,3</t>
  </si>
  <si>
    <t>TOTAL</t>
  </si>
  <si>
    <t>Campañas de sensibilización sobre nuevas modalidades de servicios.</t>
  </si>
  <si>
    <t>3.5.1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</si>
</sst>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"/>
    <numFmt numFmtId="165" formatCode="#,##0.0"/>
    <numFmt numFmtId="166" formatCode="_(* #,##0_);_(* \(#,##0\);_(* &quot;-&quot;??_);_(@_)"/>
  </numFmts>
  <fonts count="23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rgb="FF00B050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Calibri"/>
      <family val="2"/>
    </font>
    <font>
      <sz val="9"/>
      <name val="Calibri"/>
      <family val="2"/>
    </font>
    <font>
      <i/>
      <sz val="9"/>
      <name val="Calibri"/>
      <family val="2"/>
    </font>
    <font>
      <sz val="9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scheme val="minor"/>
    </font>
    <font>
      <sz val="9"/>
      <color theme="1"/>
      <name val="Calibri"/>
      <scheme val="minor"/>
    </font>
    <font>
      <b/>
      <sz val="14"/>
      <color theme="1"/>
      <name val="Calibri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1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theme="0"/>
      </right>
      <top/>
      <bottom/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</borders>
  <cellStyleXfs count="6">
    <xf numFmtId="0" fontId="0" fillId="0" borderId="0"/>
    <xf numFmtId="0" fontId="6" fillId="0" borderId="0"/>
    <xf numFmtId="9" fontId="7" fillId="0" borderId="0" applyFont="0" applyFill="0" applyBorder="0" applyAlignment="0" applyProtection="0"/>
    <xf numFmtId="0" fontId="8" fillId="0" borderId="0"/>
    <xf numFmtId="0" fontId="7" fillId="0" borderId="0"/>
    <xf numFmtId="43" fontId="7" fillId="0" borderId="0" applyFont="0" applyFill="0" applyBorder="0" applyAlignment="0" applyProtection="0"/>
  </cellStyleXfs>
  <cellXfs count="254">
    <xf numFmtId="0" fontId="0" fillId="0" borderId="0" xfId="0"/>
    <xf numFmtId="3" fontId="2" fillId="0" borderId="2" xfId="0" applyNumberFormat="1" applyFont="1" applyBorder="1" applyAlignment="1">
      <alignment horizontal="right" vertical="top"/>
    </xf>
    <xf numFmtId="0" fontId="2" fillId="0" borderId="0" xfId="0" applyFont="1" applyAlignment="1">
      <alignment wrapText="1"/>
    </xf>
    <xf numFmtId="3" fontId="1" fillId="4" borderId="2" xfId="0" applyNumberFormat="1" applyFont="1" applyFill="1" applyBorder="1" applyAlignment="1">
      <alignment horizontal="left" vertical="top" wrapText="1"/>
    </xf>
    <xf numFmtId="3" fontId="2" fillId="0" borderId="0" xfId="0" applyNumberFormat="1" applyFont="1" applyBorder="1" applyAlignment="1">
      <alignment wrapText="1"/>
    </xf>
    <xf numFmtId="0" fontId="1" fillId="0" borderId="2" xfId="0" applyFont="1" applyBorder="1" applyAlignment="1">
      <alignment vertical="top"/>
    </xf>
    <xf numFmtId="3" fontId="2" fillId="3" borderId="2" xfId="0" applyNumberFormat="1" applyFont="1" applyFill="1" applyBorder="1" applyAlignment="1">
      <alignment vertical="top"/>
    </xf>
    <xf numFmtId="3" fontId="2" fillId="4" borderId="2" xfId="0" applyNumberFormat="1" applyFont="1" applyFill="1" applyBorder="1" applyAlignment="1">
      <alignment horizontal="right" vertical="top" wrapText="1"/>
    </xf>
    <xf numFmtId="3" fontId="1" fillId="4" borderId="2" xfId="0" applyNumberFormat="1" applyFont="1" applyFill="1" applyBorder="1" applyAlignment="1">
      <alignment horizontal="right" vertical="top"/>
    </xf>
    <xf numFmtId="3" fontId="1" fillId="4" borderId="2" xfId="0" applyNumberFormat="1" applyFont="1" applyFill="1" applyBorder="1" applyAlignment="1">
      <alignment vertical="top"/>
    </xf>
    <xf numFmtId="3" fontId="2" fillId="0" borderId="2" xfId="0" applyNumberFormat="1" applyFont="1" applyFill="1" applyBorder="1" applyAlignment="1">
      <alignment vertical="top"/>
    </xf>
    <xf numFmtId="0" fontId="2" fillId="0" borderId="0" xfId="0" applyFont="1" applyAlignment="1">
      <alignment vertical="top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wrapText="1"/>
    </xf>
    <xf numFmtId="3" fontId="1" fillId="0" borderId="2" xfId="0" applyNumberFormat="1" applyFont="1" applyBorder="1" applyAlignment="1">
      <alignment vertical="top"/>
    </xf>
    <xf numFmtId="0" fontId="2" fillId="0" borderId="0" xfId="0" applyFont="1" applyBorder="1" applyAlignment="1">
      <alignment vertical="top"/>
    </xf>
    <xf numFmtId="3" fontId="2" fillId="0" borderId="0" xfId="0" applyNumberFormat="1" applyFont="1" applyBorder="1" applyAlignment="1">
      <alignment vertical="top"/>
    </xf>
    <xf numFmtId="164" fontId="1" fillId="0" borderId="3" xfId="0" applyNumberFormat="1" applyFont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/>
    </xf>
    <xf numFmtId="0" fontId="4" fillId="2" borderId="0" xfId="0" applyFont="1" applyFill="1" applyAlignment="1">
      <alignment horizontal="center" vertical="top" wrapText="1"/>
    </xf>
    <xf numFmtId="3" fontId="2" fillId="0" borderId="0" xfId="0" applyNumberFormat="1" applyFont="1" applyBorder="1" applyAlignment="1">
      <alignment vertical="top" wrapText="1"/>
    </xf>
    <xf numFmtId="3" fontId="2" fillId="0" borderId="0" xfId="0" applyNumberFormat="1" applyFont="1"/>
    <xf numFmtId="0" fontId="4" fillId="2" borderId="4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 wrapText="1"/>
    </xf>
    <xf numFmtId="3" fontId="1" fillId="4" borderId="1" xfId="0" applyNumberFormat="1" applyFont="1" applyFill="1" applyBorder="1" applyAlignment="1">
      <alignment vertical="top"/>
    </xf>
    <xf numFmtId="0" fontId="10" fillId="7" borderId="2" xfId="4" applyNumberFormat="1" applyFont="1" applyFill="1" applyBorder="1" applyAlignment="1">
      <alignment horizontal="center" vertical="top" wrapText="1"/>
    </xf>
    <xf numFmtId="0" fontId="10" fillId="7" borderId="2" xfId="4" applyFont="1" applyFill="1" applyBorder="1" applyAlignment="1">
      <alignment horizontal="center" vertical="top" wrapText="1"/>
    </xf>
    <xf numFmtId="10" fontId="10" fillId="7" borderId="2" xfId="2" applyNumberFormat="1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3" fontId="2" fillId="0" borderId="2" xfId="0" applyNumberFormat="1" applyFont="1" applyBorder="1" applyAlignment="1">
      <alignment vertical="top" wrapText="1"/>
    </xf>
    <xf numFmtId="0" fontId="2" fillId="0" borderId="0" xfId="0" applyFont="1"/>
    <xf numFmtId="0" fontId="1" fillId="5" borderId="2" xfId="0" applyFont="1" applyFill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3" fontId="2" fillId="0" borderId="2" xfId="0" applyNumberFormat="1" applyFont="1" applyBorder="1" applyAlignment="1">
      <alignment vertical="top"/>
    </xf>
    <xf numFmtId="0" fontId="1" fillId="0" borderId="2" xfId="0" applyFont="1" applyBorder="1" applyAlignment="1">
      <alignment horizontal="right" vertical="top"/>
    </xf>
    <xf numFmtId="0" fontId="1" fillId="5" borderId="2" xfId="0" applyFont="1" applyFill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0" fontId="2" fillId="3" borderId="2" xfId="0" applyFont="1" applyFill="1" applyBorder="1" applyAlignment="1">
      <alignment horizontal="left" vertical="top" wrapText="1"/>
    </xf>
    <xf numFmtId="2" fontId="2" fillId="0" borderId="2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164" fontId="1" fillId="0" borderId="0" xfId="0" applyNumberFormat="1" applyFont="1" applyBorder="1" applyAlignment="1">
      <alignment horizontal="right" vertical="top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2" fillId="0" borderId="2" xfId="0" applyFont="1" applyBorder="1"/>
    <xf numFmtId="0" fontId="2" fillId="0" borderId="2" xfId="0" applyFont="1" applyFill="1" applyBorder="1" applyAlignment="1">
      <alignment horizontal="left" vertical="top" wrapText="1"/>
    </xf>
    <xf numFmtId="0" fontId="1" fillId="0" borderId="10" xfId="0" applyFont="1" applyBorder="1" applyAlignment="1">
      <alignment horizontal="right" vertical="top"/>
    </xf>
    <xf numFmtId="0" fontId="1" fillId="4" borderId="2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2" fontId="2" fillId="0" borderId="0" xfId="0" applyNumberFormat="1" applyFont="1" applyBorder="1" applyAlignment="1">
      <alignment vertical="top" wrapText="1"/>
    </xf>
    <xf numFmtId="0" fontId="10" fillId="0" borderId="10" xfId="4" applyFont="1" applyFill="1" applyBorder="1" applyAlignment="1">
      <alignment horizontal="center" vertical="top" wrapText="1"/>
    </xf>
    <xf numFmtId="0" fontId="10" fillId="0" borderId="2" xfId="4" applyNumberFormat="1" applyFont="1" applyFill="1" applyBorder="1" applyAlignment="1">
      <alignment horizontal="center" vertical="top" wrapText="1"/>
    </xf>
    <xf numFmtId="0" fontId="10" fillId="0" borderId="10" xfId="4" applyFont="1" applyFill="1" applyBorder="1" applyAlignment="1">
      <alignment horizontal="left" vertical="top" wrapText="1"/>
    </xf>
    <xf numFmtId="0" fontId="15" fillId="0" borderId="0" xfId="0" applyFont="1"/>
    <xf numFmtId="3" fontId="2" fillId="0" borderId="0" xfId="0" applyNumberFormat="1" applyFont="1" applyBorder="1" applyAlignment="1">
      <alignment horizontal="right" vertical="top" wrapText="1"/>
    </xf>
    <xf numFmtId="0" fontId="1" fillId="0" borderId="0" xfId="0" applyFont="1" applyFill="1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3" fontId="2" fillId="0" borderId="2" xfId="0" applyNumberFormat="1" applyFont="1" applyFill="1" applyBorder="1" applyAlignment="1">
      <alignment vertical="top" wrapText="1"/>
    </xf>
    <xf numFmtId="0" fontId="2" fillId="8" borderId="2" xfId="0" applyFont="1" applyFill="1" applyBorder="1" applyAlignment="1">
      <alignment vertical="top" wrapText="1"/>
    </xf>
    <xf numFmtId="0" fontId="1" fillId="0" borderId="3" xfId="0" applyFont="1" applyBorder="1" applyAlignment="1">
      <alignment horizontal="right" vertical="top"/>
    </xf>
    <xf numFmtId="0" fontId="2" fillId="0" borderId="7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5" fillId="0" borderId="0" xfId="0" applyFont="1" applyAlignment="1">
      <alignment horizontal="left"/>
    </xf>
    <xf numFmtId="0" fontId="4" fillId="2" borderId="8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left" vertical="top" wrapText="1"/>
    </xf>
    <xf numFmtId="3" fontId="2" fillId="0" borderId="2" xfId="0" applyNumberFormat="1" applyFont="1" applyFill="1" applyBorder="1" applyAlignment="1">
      <alignment horizontal="right" vertical="top" wrapText="1"/>
    </xf>
    <xf numFmtId="0" fontId="2" fillId="0" borderId="0" xfId="0" applyFont="1" applyFill="1"/>
    <xf numFmtId="0" fontId="1" fillId="0" borderId="2" xfId="0" applyFont="1" applyFill="1" applyBorder="1" applyAlignment="1">
      <alignment vertical="top" wrapText="1"/>
    </xf>
    <xf numFmtId="3" fontId="2" fillId="0" borderId="0" xfId="0" applyNumberFormat="1" applyFont="1" applyFill="1" applyBorder="1" applyAlignment="1">
      <alignment wrapText="1"/>
    </xf>
    <xf numFmtId="0" fontId="1" fillId="0" borderId="10" xfId="0" applyFont="1" applyFill="1" applyBorder="1" applyAlignment="1">
      <alignment vertical="top" wrapText="1"/>
    </xf>
    <xf numFmtId="0" fontId="2" fillId="0" borderId="0" xfId="0" applyFont="1" applyBorder="1"/>
    <xf numFmtId="3" fontId="2" fillId="3" borderId="12" xfId="0" applyNumberFormat="1" applyFont="1" applyFill="1" applyBorder="1" applyAlignment="1">
      <alignment vertical="top"/>
    </xf>
    <xf numFmtId="3" fontId="2" fillId="0" borderId="12" xfId="0" applyNumberFormat="1" applyFont="1" applyFill="1" applyBorder="1" applyAlignment="1">
      <alignment vertical="top"/>
    </xf>
    <xf numFmtId="0" fontId="16" fillId="0" borderId="2" xfId="0" applyFont="1" applyBorder="1" applyAlignment="1">
      <alignment vertical="top" wrapText="1"/>
    </xf>
    <xf numFmtId="0" fontId="2" fillId="0" borderId="2" xfId="0" applyFont="1" applyFill="1" applyBorder="1"/>
    <xf numFmtId="0" fontId="17" fillId="0" borderId="2" xfId="0" applyFont="1" applyBorder="1" applyAlignment="1">
      <alignment vertical="top" wrapText="1"/>
    </xf>
    <xf numFmtId="0" fontId="17" fillId="0" borderId="2" xfId="0" applyFont="1" applyFill="1" applyBorder="1" applyAlignment="1">
      <alignment vertical="top" wrapText="1"/>
    </xf>
    <xf numFmtId="3" fontId="1" fillId="4" borderId="10" xfId="0" applyNumberFormat="1" applyFont="1" applyFill="1" applyBorder="1" applyAlignment="1">
      <alignment vertical="top"/>
    </xf>
    <xf numFmtId="0" fontId="2" fillId="0" borderId="3" xfId="0" applyFont="1" applyBorder="1"/>
    <xf numFmtId="0" fontId="2" fillId="0" borderId="7" xfId="0" applyFont="1" applyBorder="1"/>
    <xf numFmtId="3" fontId="2" fillId="3" borderId="0" xfId="0" applyNumberFormat="1" applyFont="1" applyFill="1" applyBorder="1" applyAlignment="1">
      <alignment vertical="top"/>
    </xf>
    <xf numFmtId="0" fontId="2" fillId="3" borderId="0" xfId="0" applyFont="1" applyFill="1"/>
    <xf numFmtId="3" fontId="2" fillId="3" borderId="2" xfId="0" applyNumberFormat="1" applyFont="1" applyFill="1" applyBorder="1" applyAlignment="1">
      <alignment horizontal="right" vertical="top" wrapText="1"/>
    </xf>
    <xf numFmtId="0" fontId="2" fillId="3" borderId="0" xfId="0" applyFont="1" applyFill="1" applyAlignment="1">
      <alignment wrapText="1"/>
    </xf>
    <xf numFmtId="0" fontId="2" fillId="3" borderId="7" xfId="0" applyFont="1" applyFill="1" applyBorder="1" applyAlignment="1">
      <alignment horizontal="left" vertical="top" wrapText="1"/>
    </xf>
    <xf numFmtId="4" fontId="2" fillId="3" borderId="2" xfId="0" applyNumberFormat="1" applyFont="1" applyFill="1" applyBorder="1" applyAlignment="1">
      <alignment vertical="top"/>
    </xf>
    <xf numFmtId="0" fontId="2" fillId="3" borderId="2" xfId="0" applyFont="1" applyFill="1" applyBorder="1"/>
    <xf numFmtId="4" fontId="2" fillId="3" borderId="2" xfId="0" applyNumberFormat="1" applyFont="1" applyFill="1" applyBorder="1" applyAlignment="1">
      <alignment horizontal="right" vertical="top" wrapText="1"/>
    </xf>
    <xf numFmtId="165" fontId="2" fillId="3" borderId="2" xfId="0" applyNumberFormat="1" applyFont="1" applyFill="1" applyBorder="1" applyAlignment="1">
      <alignment vertical="top"/>
    </xf>
    <xf numFmtId="43" fontId="2" fillId="3" borderId="0" xfId="5" applyFont="1" applyFill="1"/>
    <xf numFmtId="3" fontId="12" fillId="0" borderId="2" xfId="0" applyNumberFormat="1" applyFont="1" applyBorder="1" applyAlignment="1">
      <alignment horizontal="right" vertical="top"/>
    </xf>
    <xf numFmtId="43" fontId="17" fillId="5" borderId="2" xfId="5" applyFont="1" applyFill="1" applyBorder="1" applyAlignment="1">
      <alignment vertical="top" wrapText="1"/>
    </xf>
    <xf numFmtId="43" fontId="5" fillId="0" borderId="2" xfId="5" applyFont="1" applyBorder="1" applyAlignment="1">
      <alignment horizontal="right" vertical="top"/>
    </xf>
    <xf numFmtId="43" fontId="2" fillId="0" borderId="2" xfId="5" applyFont="1" applyBorder="1" applyAlignment="1">
      <alignment vertical="top"/>
    </xf>
    <xf numFmtId="43" fontId="12" fillId="0" borderId="2" xfId="5" applyFont="1" applyBorder="1" applyAlignment="1">
      <alignment horizontal="right" vertical="top"/>
    </xf>
    <xf numFmtId="43" fontId="12" fillId="3" borderId="2" xfId="5" applyFont="1" applyFill="1" applyBorder="1" applyAlignment="1">
      <alignment vertical="top" wrapText="1"/>
    </xf>
    <xf numFmtId="43" fontId="12" fillId="3" borderId="0" xfId="5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vertical="top"/>
    </xf>
    <xf numFmtId="0" fontId="2" fillId="3" borderId="2" xfId="0" applyFont="1" applyFill="1" applyBorder="1" applyAlignment="1">
      <alignment vertical="top"/>
    </xf>
    <xf numFmtId="0" fontId="16" fillId="3" borderId="2" xfId="0" applyFont="1" applyFill="1" applyBorder="1" applyAlignment="1">
      <alignment vertical="top"/>
    </xf>
    <xf numFmtId="3" fontId="17" fillId="0" borderId="2" xfId="0" applyNumberFormat="1" applyFont="1" applyBorder="1" applyAlignment="1">
      <alignment vertical="top"/>
    </xf>
    <xf numFmtId="0" fontId="1" fillId="3" borderId="2" xfId="0" applyFont="1" applyFill="1" applyBorder="1" applyAlignment="1">
      <alignment horizontal="right" vertical="top"/>
    </xf>
    <xf numFmtId="0" fontId="2" fillId="3" borderId="2" xfId="0" applyFont="1" applyFill="1" applyBorder="1" applyAlignment="1">
      <alignment vertical="top" wrapText="1"/>
    </xf>
    <xf numFmtId="43" fontId="2" fillId="0" borderId="2" xfId="0" applyNumberFormat="1" applyFont="1" applyFill="1" applyBorder="1" applyAlignment="1">
      <alignment vertical="top"/>
    </xf>
    <xf numFmtId="43" fontId="2" fillId="0" borderId="2" xfId="5" applyNumberFormat="1" applyFont="1" applyFill="1" applyBorder="1"/>
    <xf numFmtId="43" fontId="2" fillId="0" borderId="0" xfId="5" applyFont="1" applyFill="1"/>
    <xf numFmtId="165" fontId="2" fillId="0" borderId="2" xfId="0" applyNumberFormat="1" applyFont="1" applyFill="1" applyBorder="1" applyAlignment="1">
      <alignment vertical="top"/>
    </xf>
    <xf numFmtId="165" fontId="2" fillId="0" borderId="0" xfId="0" applyNumberFormat="1" applyFont="1" applyFill="1"/>
    <xf numFmtId="3" fontId="2" fillId="0" borderId="5" xfId="0" applyNumberFormat="1" applyFont="1" applyFill="1" applyBorder="1" applyAlignment="1">
      <alignment vertical="top"/>
    </xf>
    <xf numFmtId="3" fontId="2" fillId="0" borderId="0" xfId="0" applyNumberFormat="1" applyFont="1" applyFill="1" applyAlignment="1">
      <alignment wrapText="1"/>
    </xf>
    <xf numFmtId="0" fontId="17" fillId="3" borderId="2" xfId="0" applyFont="1" applyFill="1" applyBorder="1" applyAlignment="1">
      <alignment vertical="top" wrapText="1"/>
    </xf>
    <xf numFmtId="0" fontId="2" fillId="0" borderId="2" xfId="0" applyFont="1" applyBorder="1" applyAlignment="1">
      <alignment wrapText="1"/>
    </xf>
    <xf numFmtId="43" fontId="2" fillId="0" borderId="2" xfId="5" applyFont="1" applyBorder="1"/>
    <xf numFmtId="0" fontId="2" fillId="0" borderId="2" xfId="0" applyFont="1" applyBorder="1" applyAlignment="1">
      <alignment horizontal="right"/>
    </xf>
    <xf numFmtId="3" fontId="2" fillId="0" borderId="2" xfId="0" applyNumberFormat="1" applyFont="1" applyBorder="1" applyAlignment="1">
      <alignment horizontal="right" vertical="top" wrapText="1"/>
    </xf>
    <xf numFmtId="0" fontId="10" fillId="0" borderId="2" xfId="4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right" vertical="top" wrapText="1"/>
    </xf>
    <xf numFmtId="3" fontId="2" fillId="0" borderId="10" xfId="0" applyNumberFormat="1" applyFont="1" applyFill="1" applyBorder="1" applyAlignment="1">
      <alignment vertical="top"/>
    </xf>
    <xf numFmtId="3" fontId="2" fillId="0" borderId="0" xfId="0" applyNumberFormat="1" applyFont="1" applyFill="1" applyBorder="1" applyAlignment="1">
      <alignment vertical="top"/>
    </xf>
    <xf numFmtId="0" fontId="2" fillId="3" borderId="0" xfId="0" applyFont="1" applyFill="1" applyBorder="1"/>
    <xf numFmtId="43" fontId="2" fillId="3" borderId="2" xfId="5" applyFont="1" applyFill="1" applyBorder="1" applyAlignment="1">
      <alignment vertical="top"/>
    </xf>
    <xf numFmtId="165" fontId="2" fillId="3" borderId="0" xfId="0" applyNumberFormat="1" applyFont="1" applyFill="1"/>
    <xf numFmtId="3" fontId="12" fillId="3" borderId="2" xfId="0" applyNumberFormat="1" applyFont="1" applyFill="1" applyBorder="1" applyAlignment="1">
      <alignment horizontal="right" vertical="top"/>
    </xf>
    <xf numFmtId="3" fontId="2" fillId="0" borderId="3" xfId="0" applyNumberFormat="1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43" fontId="17" fillId="3" borderId="0" xfId="5" applyFont="1" applyFill="1" applyBorder="1" applyAlignment="1">
      <alignment vertical="top" wrapText="1"/>
    </xf>
    <xf numFmtId="43" fontId="2" fillId="3" borderId="0" xfId="5" applyFont="1" applyFill="1" applyBorder="1" applyAlignment="1">
      <alignment vertical="top"/>
    </xf>
    <xf numFmtId="3" fontId="1" fillId="3" borderId="0" xfId="0" applyNumberFormat="1" applyFont="1" applyFill="1" applyBorder="1" applyAlignment="1">
      <alignment horizontal="right" vertical="top"/>
    </xf>
    <xf numFmtId="0" fontId="2" fillId="3" borderId="0" xfId="0" applyFont="1" applyFill="1" applyBorder="1" applyAlignment="1">
      <alignment horizontal="left" vertical="top" wrapText="1"/>
    </xf>
    <xf numFmtId="3" fontId="1" fillId="3" borderId="0" xfId="0" applyNumberFormat="1" applyFont="1" applyFill="1" applyBorder="1" applyAlignment="1">
      <alignment horizontal="left" vertical="top" wrapText="1"/>
    </xf>
    <xf numFmtId="3" fontId="12" fillId="3" borderId="0" xfId="0" applyNumberFormat="1" applyFont="1" applyFill="1" applyBorder="1" applyAlignment="1">
      <alignment horizontal="right" vertical="top"/>
    </xf>
    <xf numFmtId="3" fontId="1" fillId="3" borderId="0" xfId="0" applyNumberFormat="1" applyFont="1" applyFill="1" applyBorder="1" applyAlignment="1">
      <alignment vertical="top"/>
    </xf>
    <xf numFmtId="0" fontId="2" fillId="3" borderId="0" xfId="0" applyFont="1" applyFill="1" applyBorder="1" applyAlignment="1">
      <alignment vertical="top" wrapText="1"/>
    </xf>
    <xf numFmtId="3" fontId="17" fillId="3" borderId="0" xfId="0" applyNumberFormat="1" applyFont="1" applyFill="1" applyBorder="1" applyAlignment="1">
      <alignment vertical="top"/>
    </xf>
    <xf numFmtId="3" fontId="2" fillId="3" borderId="0" xfId="0" applyNumberFormat="1" applyFont="1" applyFill="1" applyBorder="1" applyAlignment="1">
      <alignment vertical="top" wrapText="1"/>
    </xf>
    <xf numFmtId="0" fontId="2" fillId="3" borderId="0" xfId="0" applyFont="1" applyFill="1" applyBorder="1" applyAlignment="1">
      <alignment vertical="top"/>
    </xf>
    <xf numFmtId="0" fontId="2" fillId="3" borderId="0" xfId="0" applyFont="1" applyFill="1" applyBorder="1" applyAlignment="1">
      <alignment wrapText="1"/>
    </xf>
    <xf numFmtId="0" fontId="4" fillId="2" borderId="13" xfId="0" applyFont="1" applyFill="1" applyBorder="1" applyAlignment="1">
      <alignment horizontal="center" vertical="top" wrapText="1"/>
    </xf>
    <xf numFmtId="3" fontId="2" fillId="0" borderId="13" xfId="0" applyNumberFormat="1" applyFont="1" applyBorder="1" applyAlignment="1">
      <alignment wrapText="1"/>
    </xf>
    <xf numFmtId="3" fontId="2" fillId="3" borderId="13" xfId="0" applyNumberFormat="1" applyFont="1" applyFill="1" applyBorder="1" applyAlignment="1">
      <alignment vertical="top"/>
    </xf>
    <xf numFmtId="0" fontId="2" fillId="3" borderId="13" xfId="0" applyFont="1" applyFill="1" applyBorder="1" applyAlignment="1">
      <alignment wrapText="1"/>
    </xf>
    <xf numFmtId="3" fontId="2" fillId="0" borderId="14" xfId="0" applyNumberFormat="1" applyFont="1" applyBorder="1" applyAlignment="1">
      <alignment vertical="top"/>
    </xf>
    <xf numFmtId="3" fontId="1" fillId="4" borderId="9" xfId="0" applyNumberFormat="1" applyFont="1" applyFill="1" applyBorder="1" applyAlignment="1">
      <alignment horizontal="right" vertical="top"/>
    </xf>
    <xf numFmtId="3" fontId="1" fillId="4" borderId="10" xfId="0" applyNumberFormat="1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vertical="top"/>
    </xf>
    <xf numFmtId="3" fontId="2" fillId="4" borderId="2" xfId="0" applyNumberFormat="1" applyFont="1" applyFill="1" applyBorder="1" applyAlignment="1">
      <alignment vertical="top"/>
    </xf>
    <xf numFmtId="4" fontId="2" fillId="4" borderId="2" xfId="0" applyNumberFormat="1" applyFont="1" applyFill="1" applyBorder="1" applyAlignment="1">
      <alignment horizontal="right" vertical="top" wrapText="1"/>
    </xf>
    <xf numFmtId="165" fontId="2" fillId="4" borderId="2" xfId="0" applyNumberFormat="1" applyFont="1" applyFill="1" applyBorder="1" applyAlignment="1">
      <alignment vertical="top"/>
    </xf>
    <xf numFmtId="43" fontId="2" fillId="4" borderId="0" xfId="5" applyFont="1" applyFill="1"/>
    <xf numFmtId="43" fontId="2" fillId="4" borderId="2" xfId="0" applyNumberFormat="1" applyFont="1" applyFill="1" applyBorder="1" applyAlignment="1">
      <alignment vertical="top"/>
    </xf>
    <xf numFmtId="43" fontId="2" fillId="4" borderId="2" xfId="5" applyNumberFormat="1" applyFont="1" applyFill="1" applyBorder="1"/>
    <xf numFmtId="3" fontId="2" fillId="0" borderId="12" xfId="0" applyNumberFormat="1" applyFont="1" applyBorder="1" applyAlignment="1">
      <alignment wrapText="1"/>
    </xf>
    <xf numFmtId="3" fontId="1" fillId="0" borderId="5" xfId="0" applyNumberFormat="1" applyFont="1" applyFill="1" applyBorder="1" applyAlignment="1">
      <alignment horizontal="left" vertical="top" wrapText="1"/>
    </xf>
    <xf numFmtId="43" fontId="12" fillId="3" borderId="2" xfId="5" applyFont="1" applyFill="1" applyBorder="1" applyAlignment="1">
      <alignment horizontal="right" vertical="top"/>
    </xf>
    <xf numFmtId="43" fontId="2" fillId="3" borderId="2" xfId="5" applyFont="1" applyFill="1" applyBorder="1"/>
    <xf numFmtId="43" fontId="2" fillId="0" borderId="2" xfId="5" applyFont="1" applyBorder="1" applyAlignment="1">
      <alignment vertical="top" wrapText="1"/>
    </xf>
    <xf numFmtId="3" fontId="2" fillId="4" borderId="10" xfId="0" applyNumberFormat="1" applyFont="1" applyFill="1" applyBorder="1" applyAlignment="1">
      <alignment vertical="top"/>
    </xf>
    <xf numFmtId="0" fontId="2" fillId="0" borderId="18" xfId="0" applyFont="1" applyBorder="1"/>
    <xf numFmtId="3" fontId="2" fillId="4" borderId="3" xfId="0" applyNumberFormat="1" applyFont="1" applyFill="1" applyBorder="1" applyAlignment="1">
      <alignment vertical="top"/>
    </xf>
    <xf numFmtId="0" fontId="16" fillId="0" borderId="2" xfId="0" applyFont="1" applyBorder="1"/>
    <xf numFmtId="3" fontId="16" fillId="9" borderId="2" xfId="0" applyNumberFormat="1" applyFont="1" applyFill="1" applyBorder="1"/>
    <xf numFmtId="3" fontId="16" fillId="9" borderId="2" xfId="0" applyNumberFormat="1" applyFont="1" applyFill="1" applyBorder="1" applyAlignment="1">
      <alignment wrapText="1"/>
    </xf>
    <xf numFmtId="3" fontId="16" fillId="9" borderId="2" xfId="0" applyNumberFormat="1" applyFont="1" applyFill="1" applyBorder="1" applyAlignment="1">
      <alignment vertical="top"/>
    </xf>
    <xf numFmtId="3" fontId="2" fillId="0" borderId="2" xfId="0" applyNumberFormat="1" applyFont="1" applyBorder="1"/>
    <xf numFmtId="0" fontId="16" fillId="10" borderId="2" xfId="0" applyFont="1" applyFill="1" applyBorder="1" applyAlignment="1">
      <alignment horizontal="center"/>
    </xf>
    <xf numFmtId="3" fontId="2" fillId="11" borderId="2" xfId="0" applyNumberFormat="1" applyFont="1" applyFill="1" applyBorder="1" applyAlignment="1">
      <alignment vertical="top"/>
    </xf>
    <xf numFmtId="3" fontId="2" fillId="12" borderId="2" xfId="0" applyNumberFormat="1" applyFont="1" applyFill="1" applyBorder="1" applyAlignment="1">
      <alignment vertical="top"/>
    </xf>
    <xf numFmtId="4" fontId="2" fillId="9" borderId="2" xfId="0" applyNumberFormat="1" applyFont="1" applyFill="1" applyBorder="1" applyAlignment="1">
      <alignment horizontal="right" vertical="top" wrapText="1"/>
    </xf>
    <xf numFmtId="0" fontId="2" fillId="0" borderId="12" xfId="0" applyFont="1" applyBorder="1"/>
    <xf numFmtId="4" fontId="2" fillId="9" borderId="2" xfId="0" applyNumberFormat="1" applyFont="1" applyFill="1" applyBorder="1" applyAlignment="1">
      <alignment vertical="top"/>
    </xf>
    <xf numFmtId="166" fontId="17" fillId="5" borderId="2" xfId="5" applyNumberFormat="1" applyFont="1" applyFill="1" applyBorder="1" applyAlignment="1">
      <alignment vertical="top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4" borderId="0" xfId="0" applyNumberFormat="1" applyFont="1" applyFill="1" applyBorder="1" applyAlignment="1">
      <alignment horizontal="right" vertical="top" wrapText="1"/>
    </xf>
    <xf numFmtId="0" fontId="2" fillId="8" borderId="2" xfId="0" applyFont="1" applyFill="1" applyBorder="1" applyAlignment="1">
      <alignment horizontal="right" vertical="top" wrapText="1"/>
    </xf>
    <xf numFmtId="0" fontId="2" fillId="8" borderId="2" xfId="0" applyFont="1" applyFill="1" applyBorder="1" applyAlignment="1">
      <alignment horizontal="left" vertical="top" wrapText="1"/>
    </xf>
    <xf numFmtId="0" fontId="2" fillId="8" borderId="2" xfId="0" applyFont="1" applyFill="1" applyBorder="1" applyAlignment="1">
      <alignment horizontal="center" vertical="top" wrapText="1"/>
    </xf>
    <xf numFmtId="3" fontId="2" fillId="8" borderId="2" xfId="0" applyNumberFormat="1" applyFont="1" applyFill="1" applyBorder="1" applyAlignment="1">
      <alignment vertical="top" wrapText="1"/>
    </xf>
    <xf numFmtId="2" fontId="2" fillId="8" borderId="2" xfId="0" applyNumberFormat="1" applyFont="1" applyFill="1" applyBorder="1" applyAlignment="1">
      <alignment vertical="top" wrapText="1"/>
    </xf>
    <xf numFmtId="0" fontId="2" fillId="8" borderId="2" xfId="0" applyFont="1" applyFill="1" applyBorder="1" applyAlignment="1">
      <alignment horizontal="center" vertical="center" wrapText="1"/>
    </xf>
    <xf numFmtId="3" fontId="2" fillId="3" borderId="0" xfId="0" applyNumberFormat="1" applyFont="1" applyFill="1" applyBorder="1" applyAlignment="1">
      <alignment wrapText="1"/>
    </xf>
    <xf numFmtId="0" fontId="16" fillId="3" borderId="2" xfId="0" applyFont="1" applyFill="1" applyBorder="1" applyAlignment="1">
      <alignment horizontal="center" wrapText="1"/>
    </xf>
    <xf numFmtId="0" fontId="17" fillId="3" borderId="2" xfId="0" applyFont="1" applyFill="1" applyBorder="1" applyAlignment="1">
      <alignment horizontal="right" vertical="top" wrapText="1"/>
    </xf>
    <xf numFmtId="3" fontId="17" fillId="3" borderId="2" xfId="0" applyNumberFormat="1" applyFont="1" applyFill="1" applyBorder="1" applyAlignment="1">
      <alignment horizontal="right" wrapText="1"/>
    </xf>
    <xf numFmtId="3" fontId="16" fillId="3" borderId="2" xfId="0" applyNumberFormat="1" applyFont="1" applyFill="1" applyBorder="1" applyAlignment="1">
      <alignment horizontal="right" wrapText="1"/>
    </xf>
    <xf numFmtId="3" fontId="2" fillId="3" borderId="2" xfId="0" applyNumberFormat="1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165" fontId="16" fillId="3" borderId="2" xfId="0" applyNumberFormat="1" applyFont="1" applyFill="1" applyBorder="1" applyAlignment="1">
      <alignment horizontal="center" wrapText="1"/>
    </xf>
    <xf numFmtId="3" fontId="2" fillId="3" borderId="2" xfId="0" applyNumberFormat="1" applyFont="1" applyFill="1" applyBorder="1" applyAlignment="1">
      <alignment horizontal="right" wrapText="1"/>
    </xf>
    <xf numFmtId="3" fontId="16" fillId="3" borderId="2" xfId="0" applyNumberFormat="1" applyFont="1" applyFill="1" applyBorder="1" applyAlignment="1">
      <alignment horizontal="center"/>
    </xf>
    <xf numFmtId="3" fontId="16" fillId="3" borderId="0" xfId="0" applyNumberFormat="1" applyFont="1" applyFill="1" applyBorder="1" applyAlignment="1">
      <alignment horizontal="center" wrapText="1"/>
    </xf>
    <xf numFmtId="3" fontId="2" fillId="3" borderId="0" xfId="0" applyNumberFormat="1" applyFont="1" applyFill="1" applyBorder="1" applyAlignment="1">
      <alignment horizontal="right" wrapText="1"/>
    </xf>
    <xf numFmtId="165" fontId="16" fillId="3" borderId="0" xfId="0" applyNumberFormat="1" applyFont="1" applyFill="1" applyBorder="1" applyAlignment="1">
      <alignment horizontal="center" wrapText="1"/>
    </xf>
    <xf numFmtId="3" fontId="1" fillId="3" borderId="0" xfId="0" applyNumberFormat="1" applyFont="1" applyFill="1" applyBorder="1" applyAlignment="1">
      <alignment horizontal="center" wrapText="1"/>
    </xf>
    <xf numFmtId="0" fontId="1" fillId="8" borderId="2" xfId="0" applyFont="1" applyFill="1" applyBorder="1" applyAlignment="1">
      <alignment horizontal="right" vertical="top"/>
    </xf>
    <xf numFmtId="0" fontId="17" fillId="8" borderId="2" xfId="0" applyFont="1" applyFill="1" applyBorder="1" applyAlignment="1">
      <alignment vertical="top" wrapText="1"/>
    </xf>
    <xf numFmtId="0" fontId="2" fillId="8" borderId="2" xfId="0" applyFont="1" applyFill="1" applyBorder="1" applyAlignment="1">
      <alignment vertical="top"/>
    </xf>
    <xf numFmtId="3" fontId="16" fillId="0" borderId="0" xfId="0" applyNumberFormat="1" applyFont="1" applyFill="1" applyBorder="1" applyAlignment="1">
      <alignment wrapText="1"/>
    </xf>
    <xf numFmtId="0" fontId="16" fillId="0" borderId="2" xfId="0" applyFont="1" applyFill="1" applyBorder="1" applyAlignment="1">
      <alignment horizontal="center" wrapText="1"/>
    </xf>
    <xf numFmtId="0" fontId="17" fillId="0" borderId="2" xfId="0" applyFont="1" applyFill="1" applyBorder="1" applyAlignment="1">
      <alignment horizontal="right" vertical="top" wrapText="1"/>
    </xf>
    <xf numFmtId="3" fontId="17" fillId="0" borderId="2" xfId="0" applyNumberFormat="1" applyFont="1" applyFill="1" applyBorder="1" applyAlignment="1">
      <alignment horizontal="right" wrapText="1"/>
    </xf>
    <xf numFmtId="0" fontId="17" fillId="0" borderId="2" xfId="0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right" vertical="top" wrapText="1"/>
    </xf>
    <xf numFmtId="3" fontId="16" fillId="0" borderId="2" xfId="0" applyNumberFormat="1" applyFont="1" applyFill="1" applyBorder="1" applyAlignment="1">
      <alignment horizontal="right" wrapText="1"/>
    </xf>
    <xf numFmtId="3" fontId="2" fillId="0" borderId="2" xfId="0" applyNumberFormat="1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3" fontId="17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wrapText="1"/>
    </xf>
    <xf numFmtId="165" fontId="16" fillId="0" borderId="2" xfId="0" applyNumberFormat="1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right" wrapText="1"/>
    </xf>
    <xf numFmtId="3" fontId="16" fillId="0" borderId="2" xfId="0" applyNumberFormat="1" applyFont="1" applyFill="1" applyBorder="1" applyAlignment="1">
      <alignment horizontal="center"/>
    </xf>
    <xf numFmtId="3" fontId="17" fillId="0" borderId="2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right" wrapText="1"/>
    </xf>
    <xf numFmtId="3" fontId="16" fillId="0" borderId="2" xfId="0" applyNumberFormat="1" applyFont="1" applyFill="1" applyBorder="1" applyAlignment="1">
      <alignment wrapText="1"/>
    </xf>
    <xf numFmtId="3" fontId="16" fillId="0" borderId="0" xfId="0" applyNumberFormat="1" applyFont="1" applyFill="1" applyBorder="1" applyAlignment="1">
      <alignment horizontal="center" wrapText="1"/>
    </xf>
    <xf numFmtId="3" fontId="2" fillId="0" borderId="0" xfId="0" applyNumberFormat="1" applyFont="1" applyFill="1" applyBorder="1" applyAlignment="1">
      <alignment horizontal="right" wrapText="1"/>
    </xf>
    <xf numFmtId="165" fontId="16" fillId="0" borderId="0" xfId="0" applyNumberFormat="1" applyFont="1" applyFill="1" applyBorder="1" applyAlignment="1">
      <alignment horizontal="center" wrapText="1"/>
    </xf>
    <xf numFmtId="3" fontId="1" fillId="0" borderId="2" xfId="0" applyNumberFormat="1" applyFont="1" applyFill="1" applyBorder="1" applyAlignment="1">
      <alignment horizontal="center" wrapText="1"/>
    </xf>
    <xf numFmtId="3" fontId="1" fillId="0" borderId="0" xfId="0" applyNumberFormat="1" applyFont="1" applyFill="1" applyBorder="1" applyAlignment="1">
      <alignment wrapText="1"/>
    </xf>
    <xf numFmtId="0" fontId="2" fillId="13" borderId="2" xfId="0" applyFont="1" applyFill="1" applyBorder="1" applyAlignment="1">
      <alignment vertical="top" wrapText="1"/>
    </xf>
    <xf numFmtId="0" fontId="1" fillId="4" borderId="2" xfId="0" applyFont="1" applyFill="1" applyBorder="1" applyAlignment="1">
      <alignment horizontal="left" vertical="top" wrapText="1"/>
    </xf>
    <xf numFmtId="0" fontId="10" fillId="7" borderId="9" xfId="4" applyFont="1" applyFill="1" applyBorder="1" applyAlignment="1">
      <alignment horizontal="center" vertical="top" wrapText="1"/>
    </xf>
    <xf numFmtId="0" fontId="10" fillId="7" borderId="10" xfId="4" applyFont="1" applyFill="1" applyBorder="1" applyAlignment="1">
      <alignment horizontal="center" vertical="top" wrapText="1"/>
    </xf>
    <xf numFmtId="0" fontId="10" fillId="7" borderId="3" xfId="4" applyFont="1" applyFill="1" applyBorder="1" applyAlignment="1">
      <alignment horizontal="center" vertical="top"/>
    </xf>
    <xf numFmtId="0" fontId="10" fillId="7" borderId="6" xfId="4" applyFont="1" applyFill="1" applyBorder="1" applyAlignment="1">
      <alignment horizontal="center" vertical="top"/>
    </xf>
    <xf numFmtId="0" fontId="10" fillId="7" borderId="7" xfId="4" applyFont="1" applyFill="1" applyBorder="1" applyAlignment="1">
      <alignment horizontal="center" vertical="top"/>
    </xf>
    <xf numFmtId="0" fontId="15" fillId="0" borderId="0" xfId="0" applyFont="1" applyAlignment="1">
      <alignment horizontal="left"/>
    </xf>
    <xf numFmtId="0" fontId="9" fillId="7" borderId="6" xfId="4" applyFont="1" applyFill="1" applyBorder="1" applyAlignment="1">
      <alignment horizontal="left" vertical="top" wrapText="1"/>
    </xf>
    <xf numFmtId="0" fontId="9" fillId="7" borderId="7" xfId="4" applyFont="1" applyFill="1" applyBorder="1" applyAlignment="1">
      <alignment horizontal="left" vertical="top" wrapText="1"/>
    </xf>
    <xf numFmtId="0" fontId="10" fillId="0" borderId="9" xfId="3" applyFont="1" applyBorder="1" applyAlignment="1">
      <alignment horizontal="center" vertical="top" wrapText="1"/>
    </xf>
    <xf numFmtId="0" fontId="10" fillId="0" borderId="10" xfId="3" applyFont="1" applyBorder="1" applyAlignment="1">
      <alignment horizontal="center" vertical="top" wrapText="1"/>
    </xf>
    <xf numFmtId="0" fontId="1" fillId="4" borderId="2" xfId="0" applyFont="1" applyFill="1" applyBorder="1" applyAlignment="1">
      <alignment horizontal="right" vertical="top" wrapText="1"/>
    </xf>
    <xf numFmtId="0" fontId="3" fillId="6" borderId="5" xfId="0" applyFont="1" applyFill="1" applyBorder="1" applyAlignment="1">
      <alignment horizontal="center" vertical="top" wrapText="1"/>
    </xf>
    <xf numFmtId="0" fontId="3" fillId="6" borderId="11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left" vertical="top" wrapText="1"/>
    </xf>
    <xf numFmtId="3" fontId="18" fillId="0" borderId="6" xfId="0" applyNumberFormat="1" applyFont="1" applyBorder="1" applyAlignment="1">
      <alignment horizontal="left" vertical="top" wrapText="1"/>
    </xf>
    <xf numFmtId="0" fontId="3" fillId="6" borderId="0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0" fontId="1" fillId="4" borderId="3" xfId="0" applyFont="1" applyFill="1" applyBorder="1" applyAlignment="1">
      <alignment horizontal="right" vertical="top" wrapText="1"/>
    </xf>
    <xf numFmtId="0" fontId="1" fillId="4" borderId="7" xfId="0" applyFont="1" applyFill="1" applyBorder="1" applyAlignment="1">
      <alignment horizontal="right" vertical="top" wrapText="1"/>
    </xf>
    <xf numFmtId="0" fontId="1" fillId="4" borderId="15" xfId="0" applyFont="1" applyFill="1" applyBorder="1" applyAlignment="1">
      <alignment horizontal="right" vertical="top" wrapText="1"/>
    </xf>
    <xf numFmtId="0" fontId="1" fillId="4" borderId="16" xfId="0" applyFont="1" applyFill="1" applyBorder="1" applyAlignment="1">
      <alignment horizontal="right" vertical="top" wrapText="1"/>
    </xf>
  </cellXfs>
  <cellStyles count="6">
    <cellStyle name="Comma" xfId="5" builtinId="3"/>
    <cellStyle name="Excel Built-in Normal" xfId="1" xr:uid="{00000000-0005-0000-0000-000001000000}"/>
    <cellStyle name="Normal" xfId="0" builtinId="0"/>
    <cellStyle name="Normal 2" xfId="4" xr:uid="{00000000-0005-0000-0000-000003000000}"/>
    <cellStyle name="Normal_Hoja1" xfId="3" xr:uid="{00000000-0005-0000-0000-000004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1"/>
  <sheetViews>
    <sheetView zoomScale="80" zoomScaleNormal="80" workbookViewId="0">
      <pane ySplit="3" topLeftCell="A46" activePane="bottomLeft" state="frozen"/>
      <selection pane="bottomLeft" activeCell="D56" sqref="D56"/>
    </sheetView>
  </sheetViews>
  <sheetFormatPr defaultColWidth="10.33203125" defaultRowHeight="12" x14ac:dyDescent="0.25"/>
  <cols>
    <col min="1" max="1" width="10.33203125" style="19"/>
    <col min="2" max="2" width="10.33203125" style="33" customWidth="1"/>
    <col min="3" max="3" width="10.33203125" style="33"/>
    <col min="4" max="4" width="11.6640625" style="33" customWidth="1"/>
    <col min="5" max="5" width="7.33203125" style="33" customWidth="1"/>
    <col min="6" max="6" width="9" style="33" customWidth="1"/>
    <col min="7" max="7" width="32.5546875" style="33" customWidth="1"/>
    <col min="8" max="8" width="13.5546875" style="33" customWidth="1"/>
    <col min="9" max="9" width="12.44140625" style="33" customWidth="1"/>
    <col min="10" max="11" width="10.33203125" style="33"/>
    <col min="12" max="12" width="20.6640625" style="33" customWidth="1"/>
    <col min="13" max="14" width="10.33203125" style="33"/>
    <col min="15" max="15" width="20.6640625" style="33" customWidth="1"/>
    <col min="16" max="16384" width="10.33203125" style="33"/>
  </cols>
  <sheetData>
    <row r="1" spans="1:15" ht="15.6" x14ac:dyDescent="0.3">
      <c r="A1" s="68" t="s">
        <v>410</v>
      </c>
      <c r="B1" s="56"/>
      <c r="C1" s="56"/>
      <c r="D1" s="56"/>
      <c r="E1" s="56"/>
      <c r="F1" s="56"/>
      <c r="G1" s="56"/>
    </row>
    <row r="2" spans="1:15" ht="15.6" x14ac:dyDescent="0.3">
      <c r="A2" s="233" t="s">
        <v>98</v>
      </c>
      <c r="B2" s="233"/>
      <c r="C2" s="233"/>
      <c r="D2" s="233"/>
      <c r="E2" s="233"/>
      <c r="F2" s="233"/>
      <c r="G2" s="233"/>
    </row>
    <row r="3" spans="1:15" ht="13.95" customHeight="1" x14ac:dyDescent="0.25">
      <c r="A3" s="33"/>
    </row>
    <row r="4" spans="1:15" ht="13.95" customHeight="1" x14ac:dyDescent="0.25">
      <c r="A4" s="29"/>
      <c r="B4" s="234" t="s">
        <v>60</v>
      </c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5"/>
    </row>
    <row r="5" spans="1:15" ht="13.95" customHeight="1" x14ac:dyDescent="0.25">
      <c r="A5" s="236" t="s">
        <v>61</v>
      </c>
      <c r="B5" s="228" t="s">
        <v>62</v>
      </c>
      <c r="C5" s="228" t="s">
        <v>63</v>
      </c>
      <c r="D5" s="228" t="s">
        <v>64</v>
      </c>
      <c r="E5" s="228" t="s">
        <v>65</v>
      </c>
      <c r="F5" s="228" t="s">
        <v>66</v>
      </c>
      <c r="G5" s="228" t="s">
        <v>67</v>
      </c>
      <c r="H5" s="228" t="s">
        <v>76</v>
      </c>
      <c r="I5" s="230" t="s">
        <v>68</v>
      </c>
      <c r="J5" s="231"/>
      <c r="K5" s="232"/>
      <c r="L5" s="228" t="s">
        <v>77</v>
      </c>
      <c r="M5" s="26" t="s">
        <v>69</v>
      </c>
      <c r="N5" s="26"/>
      <c r="O5" s="27" t="s">
        <v>70</v>
      </c>
    </row>
    <row r="6" spans="1:15" ht="35.4" customHeight="1" x14ac:dyDescent="0.25">
      <c r="A6" s="237"/>
      <c r="B6" s="229"/>
      <c r="C6" s="229"/>
      <c r="D6" s="229"/>
      <c r="E6" s="229"/>
      <c r="F6" s="229"/>
      <c r="G6" s="229"/>
      <c r="H6" s="229"/>
      <c r="I6" s="27" t="s">
        <v>71</v>
      </c>
      <c r="J6" s="28" t="s">
        <v>72</v>
      </c>
      <c r="K6" s="28" t="s">
        <v>73</v>
      </c>
      <c r="L6" s="229"/>
      <c r="M6" s="26" t="s">
        <v>74</v>
      </c>
      <c r="N6" s="26" t="s">
        <v>75</v>
      </c>
      <c r="O6" s="27"/>
    </row>
    <row r="7" spans="1:15" ht="42" customHeight="1" x14ac:dyDescent="0.25">
      <c r="A7" s="31">
        <v>2018</v>
      </c>
      <c r="B7" s="31"/>
      <c r="C7" s="30" t="s">
        <v>18</v>
      </c>
      <c r="D7" s="30">
        <v>1</v>
      </c>
      <c r="E7" s="31"/>
      <c r="F7" s="45"/>
      <c r="G7" s="31" t="s">
        <v>409</v>
      </c>
      <c r="H7" s="59" t="s">
        <v>92</v>
      </c>
      <c r="I7" s="32">
        <v>57143</v>
      </c>
      <c r="J7" s="41">
        <v>50</v>
      </c>
      <c r="K7" s="41">
        <v>50</v>
      </c>
      <c r="L7" s="60" t="s">
        <v>93</v>
      </c>
      <c r="M7" s="31"/>
      <c r="N7" s="31"/>
      <c r="O7" s="31"/>
    </row>
    <row r="8" spans="1:15" ht="33.6" customHeight="1" x14ac:dyDescent="0.25">
      <c r="A8" s="31">
        <v>2018</v>
      </c>
      <c r="B8" s="31"/>
      <c r="C8" s="30" t="s">
        <v>126</v>
      </c>
      <c r="D8" s="30">
        <v>1</v>
      </c>
      <c r="E8" s="31"/>
      <c r="F8" s="45"/>
      <c r="G8" s="31" t="s">
        <v>408</v>
      </c>
      <c r="H8" s="59" t="s">
        <v>92</v>
      </c>
      <c r="I8" s="32">
        <v>28751.43</v>
      </c>
      <c r="J8" s="41">
        <v>50</v>
      </c>
      <c r="K8" s="41">
        <v>50</v>
      </c>
      <c r="L8" s="60" t="s">
        <v>93</v>
      </c>
      <c r="M8" s="31"/>
      <c r="N8" s="31"/>
      <c r="O8" s="109"/>
    </row>
    <row r="9" spans="1:15" ht="40.950000000000003" customHeight="1" x14ac:dyDescent="0.25">
      <c r="A9" s="31">
        <v>2017</v>
      </c>
      <c r="B9" s="31"/>
      <c r="C9" s="30" t="s">
        <v>407</v>
      </c>
      <c r="D9" s="30">
        <v>1</v>
      </c>
      <c r="E9" s="30"/>
      <c r="F9" s="30"/>
      <c r="G9" s="35" t="s">
        <v>406</v>
      </c>
      <c r="H9" s="59" t="s">
        <v>92</v>
      </c>
      <c r="I9" s="32">
        <v>170522</v>
      </c>
      <c r="J9" s="41">
        <v>50</v>
      </c>
      <c r="K9" s="41">
        <v>50</v>
      </c>
      <c r="L9" s="60" t="s">
        <v>93</v>
      </c>
      <c r="M9" s="30"/>
      <c r="N9" s="30"/>
      <c r="O9" s="123"/>
    </row>
    <row r="10" spans="1:15" ht="52.2" customHeight="1" x14ac:dyDescent="0.25">
      <c r="A10" s="31">
        <v>2017</v>
      </c>
      <c r="B10" s="31"/>
      <c r="C10" s="30" t="s">
        <v>405</v>
      </c>
      <c r="D10" s="30">
        <v>1</v>
      </c>
      <c r="E10" s="31"/>
      <c r="F10" s="31"/>
      <c r="G10" s="35" t="s">
        <v>404</v>
      </c>
      <c r="H10" s="59" t="s">
        <v>92</v>
      </c>
      <c r="I10" s="32">
        <v>32274.69</v>
      </c>
      <c r="J10" s="41">
        <v>50</v>
      </c>
      <c r="K10" s="41">
        <v>50</v>
      </c>
      <c r="L10" s="60" t="s">
        <v>93</v>
      </c>
      <c r="M10" s="31"/>
      <c r="N10" s="31"/>
      <c r="O10" s="109" t="s">
        <v>403</v>
      </c>
    </row>
    <row r="11" spans="1:15" ht="42" customHeight="1" x14ac:dyDescent="0.25">
      <c r="A11" s="31">
        <v>2017</v>
      </c>
      <c r="B11" s="31"/>
      <c r="C11" s="30" t="s">
        <v>402</v>
      </c>
      <c r="D11" s="30">
        <v>1</v>
      </c>
      <c r="E11" s="31"/>
      <c r="F11" s="31"/>
      <c r="G11" s="35" t="s">
        <v>401</v>
      </c>
      <c r="H11" s="59" t="s">
        <v>94</v>
      </c>
      <c r="I11" s="32">
        <v>170691</v>
      </c>
      <c r="J11" s="41">
        <v>50</v>
      </c>
      <c r="K11" s="41">
        <v>50</v>
      </c>
      <c r="L11" s="60" t="s">
        <v>93</v>
      </c>
      <c r="M11" s="30"/>
      <c r="N11" s="30"/>
      <c r="O11" s="109"/>
    </row>
    <row r="12" spans="1:15" ht="35.4" customHeight="1" x14ac:dyDescent="0.25">
      <c r="A12" s="31">
        <v>2017</v>
      </c>
      <c r="B12" s="30"/>
      <c r="C12" s="30" t="s">
        <v>128</v>
      </c>
      <c r="D12" s="30">
        <v>1</v>
      </c>
      <c r="E12" s="30"/>
      <c r="F12" s="30"/>
      <c r="G12" s="35" t="s">
        <v>400</v>
      </c>
      <c r="H12" s="59" t="s">
        <v>94</v>
      </c>
      <c r="I12" s="32">
        <v>141799</v>
      </c>
      <c r="J12" s="41">
        <v>50</v>
      </c>
      <c r="K12" s="41">
        <v>50</v>
      </c>
      <c r="L12" s="60" t="s">
        <v>93</v>
      </c>
      <c r="M12" s="30"/>
      <c r="N12" s="30"/>
      <c r="O12" s="109"/>
    </row>
    <row r="13" spans="1:15" ht="41.25" customHeight="1" x14ac:dyDescent="0.25">
      <c r="A13" s="31">
        <v>2017</v>
      </c>
      <c r="B13" s="31"/>
      <c r="C13" s="30" t="s">
        <v>26</v>
      </c>
      <c r="D13" s="30">
        <v>2</v>
      </c>
      <c r="E13" s="31"/>
      <c r="F13" s="45"/>
      <c r="G13" s="31" t="s">
        <v>399</v>
      </c>
      <c r="H13" s="59" t="s">
        <v>92</v>
      </c>
      <c r="I13" s="32">
        <v>28751.43</v>
      </c>
      <c r="J13" s="41">
        <v>50</v>
      </c>
      <c r="K13" s="41">
        <v>50</v>
      </c>
      <c r="L13" s="60" t="s">
        <v>93</v>
      </c>
      <c r="M13" s="31"/>
      <c r="N13" s="30"/>
      <c r="O13" s="30"/>
    </row>
    <row r="14" spans="1:15" ht="41.25" customHeight="1" x14ac:dyDescent="0.25">
      <c r="A14" s="31">
        <v>2017</v>
      </c>
      <c r="B14" s="30"/>
      <c r="C14" s="30" t="s">
        <v>22</v>
      </c>
      <c r="D14" s="30">
        <v>2</v>
      </c>
      <c r="E14" s="30"/>
      <c r="F14" s="30"/>
      <c r="G14" s="35" t="s">
        <v>398</v>
      </c>
      <c r="H14" s="59" t="s">
        <v>92</v>
      </c>
      <c r="I14" s="32">
        <v>39056</v>
      </c>
      <c r="J14" s="41">
        <v>50</v>
      </c>
      <c r="K14" s="41">
        <v>50</v>
      </c>
      <c r="L14" s="60" t="s">
        <v>93</v>
      </c>
      <c r="M14" s="30"/>
      <c r="N14" s="30"/>
      <c r="O14" s="30"/>
    </row>
    <row r="15" spans="1:15" ht="42" customHeight="1" x14ac:dyDescent="0.25">
      <c r="A15" s="31">
        <v>2017</v>
      </c>
      <c r="B15" s="30"/>
      <c r="C15" s="30" t="s">
        <v>397</v>
      </c>
      <c r="D15" s="30">
        <v>2</v>
      </c>
      <c r="E15" s="30"/>
      <c r="F15" s="30"/>
      <c r="G15" s="35" t="s">
        <v>396</v>
      </c>
      <c r="H15" s="59" t="s">
        <v>92</v>
      </c>
      <c r="I15" s="32">
        <v>83433</v>
      </c>
      <c r="J15" s="41">
        <v>50</v>
      </c>
      <c r="K15" s="41">
        <v>50</v>
      </c>
      <c r="L15" s="60" t="s">
        <v>93</v>
      </c>
      <c r="M15" s="30"/>
      <c r="N15" s="30"/>
      <c r="O15" s="30"/>
    </row>
    <row r="16" spans="1:15" ht="42" customHeight="1" x14ac:dyDescent="0.25">
      <c r="A16" s="31">
        <v>2017</v>
      </c>
      <c r="B16" s="30"/>
      <c r="C16" s="30" t="s">
        <v>395</v>
      </c>
      <c r="D16" s="30"/>
      <c r="E16" s="30"/>
      <c r="F16" s="30"/>
      <c r="G16" s="35" t="s">
        <v>394</v>
      </c>
      <c r="H16" s="59" t="s">
        <v>94</v>
      </c>
      <c r="I16" s="32">
        <v>273640</v>
      </c>
      <c r="J16" s="41">
        <v>94</v>
      </c>
      <c r="K16" s="41">
        <v>6</v>
      </c>
      <c r="L16" s="60" t="s">
        <v>93</v>
      </c>
      <c r="M16" s="30"/>
      <c r="N16" s="30"/>
      <c r="O16" s="109"/>
    </row>
    <row r="17" spans="1:15" ht="42" customHeight="1" x14ac:dyDescent="0.25">
      <c r="A17" s="31">
        <v>2018</v>
      </c>
      <c r="B17" s="30"/>
      <c r="C17" s="30" t="s">
        <v>190</v>
      </c>
      <c r="D17" s="30"/>
      <c r="E17" s="30"/>
      <c r="F17" s="30"/>
      <c r="G17" s="35" t="s">
        <v>393</v>
      </c>
      <c r="H17" s="59" t="s">
        <v>94</v>
      </c>
      <c r="I17" s="32">
        <v>272571</v>
      </c>
      <c r="J17" s="41">
        <v>94</v>
      </c>
      <c r="K17" s="41">
        <v>6</v>
      </c>
      <c r="L17" s="60" t="s">
        <v>93</v>
      </c>
      <c r="M17" s="30"/>
      <c r="N17" s="30"/>
      <c r="O17" s="109"/>
    </row>
    <row r="18" spans="1:15" ht="42" customHeight="1" x14ac:dyDescent="0.25">
      <c r="A18" s="181">
        <v>2017</v>
      </c>
      <c r="B18" s="181"/>
      <c r="C18" s="181" t="s">
        <v>84</v>
      </c>
      <c r="D18" s="181"/>
      <c r="E18" s="181"/>
      <c r="F18" s="181"/>
      <c r="G18" s="182" t="s">
        <v>392</v>
      </c>
      <c r="H18" s="183" t="s">
        <v>92</v>
      </c>
      <c r="I18" s="184">
        <v>82857</v>
      </c>
      <c r="J18" s="185">
        <v>50</v>
      </c>
      <c r="K18" s="185">
        <v>50</v>
      </c>
      <c r="L18" s="186" t="s">
        <v>93</v>
      </c>
      <c r="M18" s="181"/>
      <c r="N18" s="181"/>
      <c r="O18" s="63"/>
    </row>
    <row r="19" spans="1:15" ht="42" customHeight="1" x14ac:dyDescent="0.25">
      <c r="A19" s="42"/>
      <c r="B19" s="42"/>
      <c r="C19" s="44"/>
      <c r="E19" s="42"/>
      <c r="G19" s="43"/>
      <c r="H19" s="42"/>
      <c r="I19" s="57"/>
      <c r="J19" s="42"/>
      <c r="K19" s="42"/>
      <c r="L19" s="42"/>
      <c r="M19" s="42"/>
      <c r="N19" s="42"/>
      <c r="O19" s="42"/>
    </row>
    <row r="20" spans="1:15" ht="13.95" customHeight="1" x14ac:dyDescent="0.25">
      <c r="A20" s="33"/>
    </row>
    <row r="21" spans="1:15" ht="13.95" customHeight="1" x14ac:dyDescent="0.25">
      <c r="A21" s="29"/>
      <c r="B21" s="234" t="s">
        <v>78</v>
      </c>
      <c r="C21" s="234"/>
      <c r="D21" s="234"/>
      <c r="E21" s="234"/>
      <c r="F21" s="234"/>
      <c r="G21" s="234"/>
      <c r="H21" s="234"/>
      <c r="I21" s="234"/>
      <c r="J21" s="234"/>
      <c r="K21" s="234"/>
      <c r="L21" s="234"/>
      <c r="M21" s="234"/>
      <c r="N21" s="234"/>
      <c r="O21" s="235"/>
    </row>
    <row r="22" spans="1:15" ht="13.95" customHeight="1" x14ac:dyDescent="0.25">
      <c r="A22" s="236" t="s">
        <v>61</v>
      </c>
      <c r="B22" s="228" t="s">
        <v>62</v>
      </c>
      <c r="C22" s="228" t="s">
        <v>63</v>
      </c>
      <c r="D22" s="228" t="s">
        <v>64</v>
      </c>
      <c r="E22" s="228" t="s">
        <v>65</v>
      </c>
      <c r="F22" s="228" t="s">
        <v>66</v>
      </c>
      <c r="G22" s="228" t="s">
        <v>67</v>
      </c>
      <c r="H22" s="228" t="s">
        <v>76</v>
      </c>
      <c r="I22" s="230" t="s">
        <v>68</v>
      </c>
      <c r="J22" s="231"/>
      <c r="K22" s="232"/>
      <c r="L22" s="228" t="s">
        <v>77</v>
      </c>
      <c r="M22" s="26" t="s">
        <v>69</v>
      </c>
      <c r="N22" s="26"/>
      <c r="O22" s="27" t="s">
        <v>70</v>
      </c>
    </row>
    <row r="23" spans="1:15" ht="42" customHeight="1" x14ac:dyDescent="0.25">
      <c r="A23" s="237"/>
      <c r="B23" s="229"/>
      <c r="C23" s="229"/>
      <c r="D23" s="229"/>
      <c r="E23" s="229"/>
      <c r="F23" s="229"/>
      <c r="G23" s="229"/>
      <c r="H23" s="229"/>
      <c r="I23" s="27" t="s">
        <v>71</v>
      </c>
      <c r="J23" s="28" t="s">
        <v>72</v>
      </c>
      <c r="K23" s="28" t="s">
        <v>73</v>
      </c>
      <c r="L23" s="229"/>
      <c r="M23" s="26" t="s">
        <v>79</v>
      </c>
      <c r="N23" s="26" t="s">
        <v>75</v>
      </c>
      <c r="O23" s="27"/>
    </row>
    <row r="24" spans="1:15" ht="42" customHeight="1" x14ac:dyDescent="0.25">
      <c r="A24" s="31">
        <v>2018</v>
      </c>
      <c r="B24" s="31"/>
      <c r="C24" s="30" t="s">
        <v>241</v>
      </c>
      <c r="D24" s="31">
        <v>1</v>
      </c>
      <c r="E24" s="31"/>
      <c r="F24" s="31"/>
      <c r="G24" s="35" t="s">
        <v>391</v>
      </c>
      <c r="H24" s="59" t="s">
        <v>95</v>
      </c>
      <c r="I24" s="32">
        <v>111085</v>
      </c>
      <c r="J24" s="41">
        <v>50</v>
      </c>
      <c r="K24" s="41">
        <v>50</v>
      </c>
      <c r="L24" s="60" t="s">
        <v>93</v>
      </c>
      <c r="M24" s="31"/>
      <c r="N24" s="31"/>
      <c r="O24" s="31" t="s">
        <v>390</v>
      </c>
    </row>
    <row r="25" spans="1:15" ht="42" customHeight="1" x14ac:dyDescent="0.25">
      <c r="A25" s="31">
        <v>2018</v>
      </c>
      <c r="B25" s="31"/>
      <c r="C25" s="30" t="s">
        <v>241</v>
      </c>
      <c r="D25" s="31">
        <v>1</v>
      </c>
      <c r="E25" s="31"/>
      <c r="F25" s="31"/>
      <c r="G25" s="35" t="s">
        <v>389</v>
      </c>
      <c r="H25" s="59" t="s">
        <v>95</v>
      </c>
      <c r="I25" s="32">
        <v>41143</v>
      </c>
      <c r="J25" s="41">
        <v>50</v>
      </c>
      <c r="K25" s="41">
        <v>50</v>
      </c>
      <c r="L25" s="60" t="s">
        <v>93</v>
      </c>
      <c r="M25" s="31"/>
      <c r="N25" s="31"/>
      <c r="O25" s="31" t="s">
        <v>370</v>
      </c>
    </row>
    <row r="26" spans="1:15" ht="42" customHeight="1" x14ac:dyDescent="0.25">
      <c r="A26" s="31">
        <v>2018</v>
      </c>
      <c r="B26" s="31"/>
      <c r="C26" s="30" t="s">
        <v>241</v>
      </c>
      <c r="D26" s="31">
        <v>1</v>
      </c>
      <c r="E26" s="31"/>
      <c r="F26" s="31"/>
      <c r="G26" s="35" t="s">
        <v>388</v>
      </c>
      <c r="H26" s="59" t="s">
        <v>95</v>
      </c>
      <c r="I26" s="32">
        <v>21600</v>
      </c>
      <c r="J26" s="41">
        <v>50</v>
      </c>
      <c r="K26" s="41">
        <v>50</v>
      </c>
      <c r="L26" s="60" t="s">
        <v>93</v>
      </c>
      <c r="M26" s="31"/>
      <c r="N26" s="31"/>
      <c r="O26" s="31" t="s">
        <v>370</v>
      </c>
    </row>
    <row r="27" spans="1:15" ht="42" customHeight="1" x14ac:dyDescent="0.25">
      <c r="A27" s="31">
        <v>2018</v>
      </c>
      <c r="B27" s="31"/>
      <c r="C27" s="30" t="s">
        <v>241</v>
      </c>
      <c r="D27" s="31">
        <v>1</v>
      </c>
      <c r="E27" s="31"/>
      <c r="F27" s="31"/>
      <c r="G27" s="35" t="s">
        <v>387</v>
      </c>
      <c r="H27" s="59" t="s">
        <v>95</v>
      </c>
      <c r="I27" s="32">
        <v>36000</v>
      </c>
      <c r="J27" s="41">
        <v>50</v>
      </c>
      <c r="K27" s="41">
        <v>50</v>
      </c>
      <c r="L27" s="60" t="s">
        <v>93</v>
      </c>
      <c r="M27" s="31"/>
      <c r="N27" s="31"/>
      <c r="O27" s="31" t="s">
        <v>370</v>
      </c>
    </row>
    <row r="28" spans="1:15" ht="42" customHeight="1" x14ac:dyDescent="0.25">
      <c r="A28" s="31">
        <v>2018</v>
      </c>
      <c r="B28" s="31"/>
      <c r="C28" s="30" t="s">
        <v>241</v>
      </c>
      <c r="D28" s="31">
        <v>1</v>
      </c>
      <c r="E28" s="31"/>
      <c r="F28" s="31"/>
      <c r="G28" s="35" t="s">
        <v>386</v>
      </c>
      <c r="H28" s="59" t="s">
        <v>95</v>
      </c>
      <c r="I28" s="32">
        <v>27428</v>
      </c>
      <c r="J28" s="41">
        <v>50</v>
      </c>
      <c r="K28" s="41">
        <v>50</v>
      </c>
      <c r="L28" s="60" t="s">
        <v>93</v>
      </c>
      <c r="M28" s="31"/>
      <c r="N28" s="31"/>
      <c r="O28" s="31" t="s">
        <v>385</v>
      </c>
    </row>
    <row r="29" spans="1:15" ht="51.75" customHeight="1" x14ac:dyDescent="0.25">
      <c r="A29" s="31">
        <v>2018</v>
      </c>
      <c r="B29" s="30"/>
      <c r="C29" s="30" t="s">
        <v>248</v>
      </c>
      <c r="D29" s="31">
        <v>1</v>
      </c>
      <c r="E29" s="30"/>
      <c r="F29" s="30"/>
      <c r="G29" s="48" t="s">
        <v>384</v>
      </c>
      <c r="H29" s="61" t="s">
        <v>95</v>
      </c>
      <c r="I29" s="62">
        <v>92571</v>
      </c>
      <c r="J29" s="41">
        <v>50</v>
      </c>
      <c r="K29" s="41">
        <v>50</v>
      </c>
      <c r="L29" s="60" t="s">
        <v>93</v>
      </c>
      <c r="M29" s="30"/>
      <c r="N29" s="30"/>
      <c r="O29" s="31" t="s">
        <v>383</v>
      </c>
    </row>
    <row r="30" spans="1:15" ht="51.75" customHeight="1" x14ac:dyDescent="0.25">
      <c r="A30" s="31">
        <v>2018</v>
      </c>
      <c r="B30" s="30"/>
      <c r="C30" s="30" t="s">
        <v>217</v>
      </c>
      <c r="D30" s="31">
        <v>1</v>
      </c>
      <c r="E30" s="30"/>
      <c r="F30" s="30"/>
      <c r="G30" s="48" t="s">
        <v>382</v>
      </c>
      <c r="H30" s="61" t="s">
        <v>95</v>
      </c>
      <c r="I30" s="62">
        <v>58857</v>
      </c>
      <c r="J30" s="41">
        <v>50</v>
      </c>
      <c r="K30" s="41">
        <v>50</v>
      </c>
      <c r="L30" s="60" t="s">
        <v>93</v>
      </c>
      <c r="M30" s="30"/>
      <c r="N30" s="30"/>
      <c r="O30" s="31" t="s">
        <v>381</v>
      </c>
    </row>
    <row r="31" spans="1:15" ht="51.75" customHeight="1" x14ac:dyDescent="0.25">
      <c r="A31" s="31">
        <v>2018</v>
      </c>
      <c r="B31" s="30"/>
      <c r="C31" s="30" t="s">
        <v>218</v>
      </c>
      <c r="D31" s="31">
        <v>1</v>
      </c>
      <c r="E31" s="30"/>
      <c r="F31" s="30"/>
      <c r="G31" s="48" t="s">
        <v>380</v>
      </c>
      <c r="H31" s="61" t="s">
        <v>95</v>
      </c>
      <c r="I31" s="62">
        <v>12000</v>
      </c>
      <c r="J31" s="41">
        <v>50</v>
      </c>
      <c r="K31" s="41">
        <v>50</v>
      </c>
      <c r="L31" s="60" t="s">
        <v>93</v>
      </c>
      <c r="M31" s="30"/>
      <c r="N31" s="30"/>
      <c r="O31" s="31" t="s">
        <v>379</v>
      </c>
    </row>
    <row r="32" spans="1:15" ht="51.75" customHeight="1" x14ac:dyDescent="0.25">
      <c r="A32" s="31">
        <v>2018</v>
      </c>
      <c r="B32" s="30"/>
      <c r="C32" s="30" t="s">
        <v>222</v>
      </c>
      <c r="D32" s="31">
        <v>1</v>
      </c>
      <c r="E32" s="30"/>
      <c r="F32" s="30"/>
      <c r="G32" s="48" t="s">
        <v>378</v>
      </c>
      <c r="H32" s="61" t="s">
        <v>95</v>
      </c>
      <c r="I32" s="62">
        <v>61714</v>
      </c>
      <c r="J32" s="41">
        <v>50</v>
      </c>
      <c r="K32" s="41">
        <v>50</v>
      </c>
      <c r="L32" s="60" t="s">
        <v>93</v>
      </c>
      <c r="M32" s="30"/>
      <c r="N32" s="30"/>
      <c r="O32" s="31" t="s">
        <v>377</v>
      </c>
    </row>
    <row r="33" spans="1:15" ht="51.75" customHeight="1" x14ac:dyDescent="0.25">
      <c r="A33" s="31">
        <v>2018</v>
      </c>
      <c r="B33" s="30"/>
      <c r="C33" s="30" t="s">
        <v>26</v>
      </c>
      <c r="D33" s="31">
        <v>2</v>
      </c>
      <c r="E33" s="30"/>
      <c r="F33" s="30"/>
      <c r="G33" s="48" t="s">
        <v>376</v>
      </c>
      <c r="H33" s="61" t="s">
        <v>95</v>
      </c>
      <c r="I33" s="62">
        <v>964114</v>
      </c>
      <c r="J33" s="41">
        <v>50</v>
      </c>
      <c r="K33" s="41">
        <v>50</v>
      </c>
      <c r="L33" s="60" t="s">
        <v>93</v>
      </c>
      <c r="M33" s="30"/>
      <c r="N33" s="30"/>
      <c r="O33" s="31" t="s">
        <v>370</v>
      </c>
    </row>
    <row r="34" spans="1:15" ht="51.75" customHeight="1" x14ac:dyDescent="0.25">
      <c r="A34" s="31">
        <v>2018</v>
      </c>
      <c r="B34" s="30"/>
      <c r="C34" s="30" t="s">
        <v>23</v>
      </c>
      <c r="D34" s="31">
        <v>2</v>
      </c>
      <c r="E34" s="30"/>
      <c r="F34" s="30"/>
      <c r="G34" s="48" t="s">
        <v>375</v>
      </c>
      <c r="H34" s="61" t="s">
        <v>95</v>
      </c>
      <c r="I34" s="62">
        <v>74057</v>
      </c>
      <c r="J34" s="41">
        <v>50</v>
      </c>
      <c r="K34" s="41">
        <v>50</v>
      </c>
      <c r="L34" s="60" t="s">
        <v>93</v>
      </c>
      <c r="M34" s="30"/>
      <c r="N34" s="30"/>
      <c r="O34" s="31" t="s">
        <v>374</v>
      </c>
    </row>
    <row r="35" spans="1:15" ht="51.75" customHeight="1" x14ac:dyDescent="0.25">
      <c r="A35" s="31">
        <v>2018</v>
      </c>
      <c r="B35" s="30"/>
      <c r="C35" s="30" t="s">
        <v>23</v>
      </c>
      <c r="D35" s="31">
        <v>2</v>
      </c>
      <c r="E35" s="30"/>
      <c r="F35" s="30"/>
      <c r="G35" s="48" t="s">
        <v>373</v>
      </c>
      <c r="H35" s="61" t="s">
        <v>95</v>
      </c>
      <c r="I35" s="62">
        <v>1000</v>
      </c>
      <c r="J35" s="41">
        <v>50</v>
      </c>
      <c r="K35" s="41">
        <v>50</v>
      </c>
      <c r="L35" s="60" t="s">
        <v>93</v>
      </c>
      <c r="M35" s="30"/>
      <c r="N35" s="30"/>
      <c r="O35" s="31" t="s">
        <v>372</v>
      </c>
    </row>
    <row r="36" spans="1:15" ht="51.75" customHeight="1" x14ac:dyDescent="0.25">
      <c r="A36" s="31">
        <v>2018</v>
      </c>
      <c r="B36" s="30"/>
      <c r="C36" s="30" t="s">
        <v>23</v>
      </c>
      <c r="D36" s="31">
        <v>2</v>
      </c>
      <c r="E36" s="30"/>
      <c r="F36" s="30"/>
      <c r="G36" s="48" t="s">
        <v>371</v>
      </c>
      <c r="H36" s="61" t="s">
        <v>95</v>
      </c>
      <c r="I36" s="62">
        <v>18514</v>
      </c>
      <c r="J36" s="41">
        <v>50</v>
      </c>
      <c r="K36" s="41">
        <v>50</v>
      </c>
      <c r="L36" s="60" t="s">
        <v>93</v>
      </c>
      <c r="M36" s="30"/>
      <c r="N36" s="30"/>
      <c r="O36" s="31" t="s">
        <v>370</v>
      </c>
    </row>
    <row r="37" spans="1:15" ht="51.75" customHeight="1" x14ac:dyDescent="0.25">
      <c r="A37" s="31">
        <v>2018</v>
      </c>
      <c r="B37" s="30"/>
      <c r="C37" s="30" t="s">
        <v>55</v>
      </c>
      <c r="D37" s="31">
        <v>2</v>
      </c>
      <c r="E37" s="30"/>
      <c r="F37" s="30"/>
      <c r="G37" s="48" t="s">
        <v>369</v>
      </c>
      <c r="H37" s="61" t="s">
        <v>95</v>
      </c>
      <c r="I37" s="62">
        <v>690514</v>
      </c>
      <c r="J37" s="41">
        <v>50</v>
      </c>
      <c r="K37" s="41">
        <v>50</v>
      </c>
      <c r="L37" s="60" t="s">
        <v>93</v>
      </c>
      <c r="M37" s="30"/>
      <c r="N37" s="30"/>
      <c r="O37" s="31" t="s">
        <v>368</v>
      </c>
    </row>
    <row r="38" spans="1:15" ht="36.75" customHeight="1" x14ac:dyDescent="0.25">
      <c r="A38" s="43"/>
      <c r="B38" s="43"/>
      <c r="C38" s="42"/>
      <c r="D38" s="43"/>
      <c r="E38" s="43"/>
      <c r="F38" s="43"/>
      <c r="G38" s="51"/>
      <c r="H38" s="43"/>
      <c r="I38" s="21"/>
      <c r="J38" s="52"/>
      <c r="K38" s="52"/>
      <c r="L38" s="43"/>
      <c r="M38" s="43"/>
      <c r="N38" s="43"/>
      <c r="O38" s="43"/>
    </row>
    <row r="39" spans="1:15" ht="34.5" customHeight="1" x14ac:dyDescent="0.25">
      <c r="A39" s="29"/>
      <c r="B39" s="234" t="s">
        <v>87</v>
      </c>
      <c r="C39" s="234"/>
      <c r="D39" s="234"/>
      <c r="E39" s="234"/>
      <c r="F39" s="234"/>
      <c r="G39" s="234"/>
      <c r="H39" s="234"/>
      <c r="I39" s="234"/>
      <c r="J39" s="234"/>
      <c r="K39" s="234"/>
      <c r="L39" s="234"/>
      <c r="M39" s="234"/>
      <c r="N39" s="234"/>
      <c r="O39" s="235"/>
    </row>
    <row r="40" spans="1:15" ht="42" customHeight="1" x14ac:dyDescent="0.25">
      <c r="A40" s="236" t="s">
        <v>61</v>
      </c>
      <c r="B40" s="228" t="s">
        <v>62</v>
      </c>
      <c r="C40" s="228" t="s">
        <v>63</v>
      </c>
      <c r="D40" s="228" t="s">
        <v>64</v>
      </c>
      <c r="E40" s="228" t="s">
        <v>65</v>
      </c>
      <c r="F40" s="228" t="s">
        <v>66</v>
      </c>
      <c r="G40" s="228" t="s">
        <v>67</v>
      </c>
      <c r="H40" s="228" t="s">
        <v>76</v>
      </c>
      <c r="I40" s="230" t="s">
        <v>68</v>
      </c>
      <c r="J40" s="231"/>
      <c r="K40" s="232"/>
      <c r="L40" s="228" t="s">
        <v>77</v>
      </c>
      <c r="M40" s="26" t="s">
        <v>69</v>
      </c>
      <c r="N40" s="26"/>
      <c r="O40" s="27" t="s">
        <v>70</v>
      </c>
    </row>
    <row r="41" spans="1:15" ht="42" customHeight="1" x14ac:dyDescent="0.25">
      <c r="A41" s="237"/>
      <c r="B41" s="229"/>
      <c r="C41" s="229"/>
      <c r="D41" s="229"/>
      <c r="E41" s="229"/>
      <c r="F41" s="229"/>
      <c r="G41" s="229"/>
      <c r="H41" s="229"/>
      <c r="I41" s="27" t="s">
        <v>71</v>
      </c>
      <c r="J41" s="28" t="s">
        <v>72</v>
      </c>
      <c r="K41" s="28" t="s">
        <v>73</v>
      </c>
      <c r="L41" s="229"/>
      <c r="M41" s="26" t="s">
        <v>79</v>
      </c>
      <c r="N41" s="26" t="s">
        <v>75</v>
      </c>
      <c r="O41" s="27"/>
    </row>
    <row r="42" spans="1:15" ht="81" customHeight="1" x14ac:dyDescent="0.25">
      <c r="A42" s="31">
        <v>2017</v>
      </c>
      <c r="B42" s="31"/>
      <c r="C42" s="30"/>
      <c r="D42" s="31" t="s">
        <v>0</v>
      </c>
      <c r="E42" s="31"/>
      <c r="F42" s="31"/>
      <c r="G42" s="31" t="s">
        <v>88</v>
      </c>
      <c r="H42" s="59" t="s">
        <v>95</v>
      </c>
      <c r="I42" s="32">
        <v>150857</v>
      </c>
      <c r="J42" s="41">
        <v>0</v>
      </c>
      <c r="K42" s="41">
        <v>100</v>
      </c>
      <c r="L42" s="60" t="s">
        <v>93</v>
      </c>
      <c r="M42" s="31"/>
      <c r="N42" s="31"/>
      <c r="O42" s="226" t="s">
        <v>416</v>
      </c>
    </row>
    <row r="43" spans="1:15" ht="42" customHeight="1" x14ac:dyDescent="0.25">
      <c r="A43" s="31">
        <v>2017</v>
      </c>
      <c r="B43" s="31"/>
      <c r="C43" s="30"/>
      <c r="D43" s="31" t="s">
        <v>0</v>
      </c>
      <c r="E43" s="31"/>
      <c r="F43" s="31"/>
      <c r="G43" s="31" t="s">
        <v>367</v>
      </c>
      <c r="H43" s="59" t="s">
        <v>95</v>
      </c>
      <c r="I43" s="32">
        <v>82286</v>
      </c>
      <c r="J43" s="41">
        <v>80</v>
      </c>
      <c r="K43" s="41">
        <v>20</v>
      </c>
      <c r="L43" s="60" t="s">
        <v>93</v>
      </c>
      <c r="M43" s="31"/>
      <c r="N43" s="31"/>
      <c r="O43" s="31" t="s">
        <v>354</v>
      </c>
    </row>
    <row r="44" spans="1:15" ht="42" customHeight="1" x14ac:dyDescent="0.25">
      <c r="A44" s="31">
        <v>2017</v>
      </c>
      <c r="B44" s="31"/>
      <c r="C44" s="30"/>
      <c r="D44" s="31" t="s">
        <v>0</v>
      </c>
      <c r="E44" s="31"/>
      <c r="F44" s="31"/>
      <c r="G44" s="31" t="s">
        <v>366</v>
      </c>
      <c r="H44" s="59" t="s">
        <v>95</v>
      </c>
      <c r="I44" s="32">
        <v>329143</v>
      </c>
      <c r="J44" s="41">
        <v>80</v>
      </c>
      <c r="K44" s="41">
        <v>20</v>
      </c>
      <c r="L44" s="60" t="s">
        <v>93</v>
      </c>
      <c r="M44" s="31"/>
      <c r="N44" s="31"/>
      <c r="O44" s="31" t="s">
        <v>365</v>
      </c>
    </row>
    <row r="45" spans="1:15" ht="48" customHeight="1" x14ac:dyDescent="0.25">
      <c r="A45" s="31">
        <v>2017</v>
      </c>
      <c r="B45" s="31"/>
      <c r="C45" s="30"/>
      <c r="D45" s="31" t="s">
        <v>0</v>
      </c>
      <c r="E45" s="31"/>
      <c r="F45" s="31"/>
      <c r="G45" s="31" t="s">
        <v>89</v>
      </c>
      <c r="H45" s="59" t="s">
        <v>95</v>
      </c>
      <c r="I45" s="32">
        <v>96000</v>
      </c>
      <c r="J45" s="41">
        <v>0</v>
      </c>
      <c r="K45" s="41">
        <v>100</v>
      </c>
      <c r="L45" s="60" t="s">
        <v>93</v>
      </c>
      <c r="M45" s="31"/>
      <c r="N45" s="31"/>
      <c r="O45" s="226" t="s">
        <v>416</v>
      </c>
    </row>
    <row r="46" spans="1:15" ht="42" customHeight="1" x14ac:dyDescent="0.25">
      <c r="A46" s="31">
        <v>2017</v>
      </c>
      <c r="B46" s="31"/>
      <c r="C46" s="30"/>
      <c r="D46" s="31" t="s">
        <v>0</v>
      </c>
      <c r="E46" s="31"/>
      <c r="F46" s="31"/>
      <c r="G46" s="105" t="s">
        <v>364</v>
      </c>
      <c r="H46" s="59" t="s">
        <v>95</v>
      </c>
      <c r="I46" s="32">
        <v>137143</v>
      </c>
      <c r="J46" s="41">
        <v>0</v>
      </c>
      <c r="K46" s="41">
        <v>100</v>
      </c>
      <c r="L46" s="60" t="s">
        <v>93</v>
      </c>
      <c r="M46" s="31"/>
      <c r="N46" s="31"/>
      <c r="O46" s="226" t="s">
        <v>416</v>
      </c>
    </row>
    <row r="47" spans="1:15" ht="50.4" customHeight="1" x14ac:dyDescent="0.25">
      <c r="A47" s="31">
        <v>2017</v>
      </c>
      <c r="B47" s="31"/>
      <c r="C47" s="30"/>
      <c r="D47" s="31" t="s">
        <v>0</v>
      </c>
      <c r="E47" s="31"/>
      <c r="F47" s="31"/>
      <c r="G47" s="105" t="s">
        <v>363</v>
      </c>
      <c r="H47" s="59" t="s">
        <v>95</v>
      </c>
      <c r="I47" s="32">
        <v>68751</v>
      </c>
      <c r="J47" s="41">
        <v>0</v>
      </c>
      <c r="K47" s="41">
        <v>100</v>
      </c>
      <c r="L47" s="60" t="s">
        <v>93</v>
      </c>
      <c r="M47" s="31"/>
      <c r="N47" s="31"/>
      <c r="O47" s="226" t="s">
        <v>416</v>
      </c>
    </row>
    <row r="48" spans="1:15" ht="42" customHeight="1" x14ac:dyDescent="0.25">
      <c r="A48" s="31">
        <v>2017</v>
      </c>
      <c r="B48" s="31"/>
      <c r="C48" s="30"/>
      <c r="D48" s="31" t="s">
        <v>0</v>
      </c>
      <c r="E48" s="31"/>
      <c r="F48" s="31"/>
      <c r="G48" s="105" t="s">
        <v>362</v>
      </c>
      <c r="H48" s="59" t="s">
        <v>95</v>
      </c>
      <c r="I48" s="32">
        <v>329143</v>
      </c>
      <c r="J48" s="41">
        <v>80</v>
      </c>
      <c r="K48" s="41">
        <v>20</v>
      </c>
      <c r="L48" s="60" t="s">
        <v>93</v>
      </c>
      <c r="M48" s="31"/>
      <c r="N48" s="31"/>
      <c r="O48" s="31" t="s">
        <v>361</v>
      </c>
    </row>
    <row r="49" spans="1:15" ht="42" customHeight="1" x14ac:dyDescent="0.25">
      <c r="A49" s="31">
        <v>2017</v>
      </c>
      <c r="B49" s="31"/>
      <c r="C49" s="30"/>
      <c r="D49" s="31" t="s">
        <v>0</v>
      </c>
      <c r="E49" s="31"/>
      <c r="F49" s="31"/>
      <c r="G49" s="105" t="s">
        <v>360</v>
      </c>
      <c r="H49" s="59" t="s">
        <v>95</v>
      </c>
      <c r="I49" s="32">
        <v>54857</v>
      </c>
      <c r="J49" s="41">
        <v>80</v>
      </c>
      <c r="K49" s="41">
        <v>20</v>
      </c>
      <c r="L49" s="60" t="s">
        <v>93</v>
      </c>
      <c r="M49" s="31"/>
      <c r="N49" s="31"/>
      <c r="O49" s="31" t="s">
        <v>354</v>
      </c>
    </row>
    <row r="50" spans="1:15" ht="42" customHeight="1" x14ac:dyDescent="0.25">
      <c r="A50" s="31">
        <v>2017</v>
      </c>
      <c r="B50" s="31"/>
      <c r="C50" s="30"/>
      <c r="D50" s="31" t="s">
        <v>0</v>
      </c>
      <c r="E50" s="31"/>
      <c r="F50" s="31"/>
      <c r="G50" s="105" t="s">
        <v>359</v>
      </c>
      <c r="H50" s="59" t="s">
        <v>95</v>
      </c>
      <c r="I50" s="32">
        <v>102857</v>
      </c>
      <c r="J50" s="41">
        <v>0</v>
      </c>
      <c r="K50" s="41">
        <v>100</v>
      </c>
      <c r="L50" s="60" t="s">
        <v>93</v>
      </c>
      <c r="M50" s="31"/>
      <c r="N50" s="31"/>
      <c r="O50" s="226" t="s">
        <v>416</v>
      </c>
    </row>
    <row r="51" spans="1:15" ht="42" customHeight="1" x14ac:dyDescent="0.25">
      <c r="A51" s="31">
        <v>2017</v>
      </c>
      <c r="B51" s="31"/>
      <c r="C51" s="30"/>
      <c r="D51" s="31" t="s">
        <v>0</v>
      </c>
      <c r="E51" s="31"/>
      <c r="F51" s="31"/>
      <c r="G51" s="105" t="s">
        <v>358</v>
      </c>
      <c r="H51" s="59" t="s">
        <v>95</v>
      </c>
      <c r="I51" s="32">
        <v>82286</v>
      </c>
      <c r="J51" s="41">
        <v>80</v>
      </c>
      <c r="K51" s="41">
        <v>20</v>
      </c>
      <c r="L51" s="60" t="s">
        <v>93</v>
      </c>
      <c r="M51" s="31"/>
      <c r="N51" s="31"/>
      <c r="O51" s="31" t="s">
        <v>354</v>
      </c>
    </row>
    <row r="52" spans="1:15" ht="42" customHeight="1" x14ac:dyDescent="0.25">
      <c r="A52" s="31">
        <v>2017</v>
      </c>
      <c r="B52" s="31"/>
      <c r="C52" s="30"/>
      <c r="D52" s="31" t="s">
        <v>0</v>
      </c>
      <c r="E52" s="31"/>
      <c r="F52" s="31"/>
      <c r="G52" s="109" t="s">
        <v>357</v>
      </c>
      <c r="H52" s="59" t="s">
        <v>95</v>
      </c>
      <c r="I52" s="32">
        <v>82286</v>
      </c>
      <c r="J52" s="41">
        <v>80</v>
      </c>
      <c r="K52" s="41">
        <v>20</v>
      </c>
      <c r="L52" s="60" t="s">
        <v>93</v>
      </c>
      <c r="M52" s="31"/>
      <c r="N52" s="31"/>
      <c r="O52" s="31" t="s">
        <v>354</v>
      </c>
    </row>
    <row r="53" spans="1:15" ht="40.5" customHeight="1" x14ac:dyDescent="0.25">
      <c r="A53" s="31">
        <v>2017</v>
      </c>
      <c r="B53" s="31"/>
      <c r="C53" s="30"/>
      <c r="D53" s="31" t="s">
        <v>0</v>
      </c>
      <c r="E53" s="31"/>
      <c r="F53" s="31"/>
      <c r="G53" s="105" t="s">
        <v>356</v>
      </c>
      <c r="H53" s="59" t="s">
        <v>95</v>
      </c>
      <c r="I53" s="32">
        <v>82286</v>
      </c>
      <c r="J53" s="41">
        <v>80</v>
      </c>
      <c r="K53" s="41">
        <v>20</v>
      </c>
      <c r="L53" s="60" t="s">
        <v>93</v>
      </c>
      <c r="M53" s="31"/>
      <c r="N53" s="31"/>
      <c r="O53" s="31" t="s">
        <v>354</v>
      </c>
    </row>
    <row r="54" spans="1:15" ht="40.5" customHeight="1" x14ac:dyDescent="0.25">
      <c r="A54" s="31">
        <v>2017</v>
      </c>
      <c r="B54" s="31"/>
      <c r="C54" s="30"/>
      <c r="D54" s="31" t="s">
        <v>0</v>
      </c>
      <c r="E54" s="31"/>
      <c r="F54" s="31"/>
      <c r="G54" s="105" t="s">
        <v>355</v>
      </c>
      <c r="H54" s="59" t="s">
        <v>95</v>
      </c>
      <c r="I54" s="32">
        <v>27429</v>
      </c>
      <c r="J54" s="41">
        <v>80</v>
      </c>
      <c r="K54" s="41">
        <v>20</v>
      </c>
      <c r="L54" s="60" t="s">
        <v>93</v>
      </c>
      <c r="M54" s="31"/>
      <c r="N54" s="31"/>
      <c r="O54" s="31" t="s">
        <v>354</v>
      </c>
    </row>
    <row r="55" spans="1:15" ht="43.2" customHeight="1" x14ac:dyDescent="0.25">
      <c r="A55" s="31">
        <v>2017</v>
      </c>
      <c r="B55" s="31"/>
      <c r="C55" s="31"/>
      <c r="D55" s="31" t="s">
        <v>0</v>
      </c>
      <c r="E55" s="31"/>
      <c r="F55" s="31"/>
      <c r="G55" s="31" t="s">
        <v>14</v>
      </c>
      <c r="H55" s="31"/>
      <c r="I55" s="163">
        <v>70000</v>
      </c>
      <c r="J55" s="41">
        <v>100</v>
      </c>
      <c r="K55" s="41">
        <v>0</v>
      </c>
      <c r="L55" s="60" t="s">
        <v>93</v>
      </c>
      <c r="M55" s="31"/>
      <c r="N55" s="31"/>
      <c r="O55" s="109"/>
    </row>
    <row r="56" spans="1:15" ht="42" customHeight="1" x14ac:dyDescent="0.25">
      <c r="A56" s="33"/>
    </row>
    <row r="57" spans="1:15" ht="43.5" customHeight="1" x14ac:dyDescent="0.25">
      <c r="A57" s="29"/>
      <c r="B57" s="234" t="s">
        <v>81</v>
      </c>
      <c r="C57" s="234"/>
      <c r="D57" s="234"/>
      <c r="E57" s="234"/>
      <c r="F57" s="234"/>
      <c r="G57" s="234"/>
      <c r="H57" s="234"/>
      <c r="I57" s="234"/>
      <c r="J57" s="234"/>
      <c r="K57" s="234"/>
      <c r="L57" s="234"/>
      <c r="M57" s="234"/>
      <c r="N57" s="234"/>
      <c r="O57" s="235"/>
    </row>
    <row r="58" spans="1:15" ht="43.5" customHeight="1" x14ac:dyDescent="0.25">
      <c r="A58" s="236" t="s">
        <v>61</v>
      </c>
      <c r="B58" s="228" t="s">
        <v>62</v>
      </c>
      <c r="C58" s="228" t="s">
        <v>63</v>
      </c>
      <c r="D58" s="228" t="s">
        <v>64</v>
      </c>
      <c r="E58" s="228" t="s">
        <v>65</v>
      </c>
      <c r="F58" s="228" t="s">
        <v>66</v>
      </c>
      <c r="G58" s="228" t="s">
        <v>67</v>
      </c>
      <c r="H58" s="228" t="s">
        <v>76</v>
      </c>
      <c r="I58" s="230" t="s">
        <v>68</v>
      </c>
      <c r="J58" s="231"/>
      <c r="K58" s="232"/>
      <c r="L58" s="228" t="s">
        <v>77</v>
      </c>
      <c r="M58" s="26" t="s">
        <v>69</v>
      </c>
      <c r="N58" s="26"/>
      <c r="O58" s="27" t="s">
        <v>70</v>
      </c>
    </row>
    <row r="59" spans="1:15" ht="42" customHeight="1" x14ac:dyDescent="0.25">
      <c r="A59" s="237"/>
      <c r="B59" s="229"/>
      <c r="C59" s="229"/>
      <c r="D59" s="229"/>
      <c r="E59" s="229"/>
      <c r="F59" s="229"/>
      <c r="G59" s="229"/>
      <c r="H59" s="229"/>
      <c r="I59" s="27" t="s">
        <v>71</v>
      </c>
      <c r="J59" s="28" t="s">
        <v>72</v>
      </c>
      <c r="K59" s="28" t="s">
        <v>73</v>
      </c>
      <c r="L59" s="229"/>
      <c r="M59" s="26" t="s">
        <v>80</v>
      </c>
      <c r="N59" s="26" t="s">
        <v>75</v>
      </c>
      <c r="O59" s="27"/>
    </row>
    <row r="60" spans="1:15" ht="29.25" customHeight="1" x14ac:dyDescent="0.25">
      <c r="A60" s="31">
        <v>2017</v>
      </c>
      <c r="B60" s="53"/>
      <c r="C60" s="30" t="s">
        <v>118</v>
      </c>
      <c r="D60" s="30">
        <v>1</v>
      </c>
      <c r="E60" s="53"/>
      <c r="F60" s="53"/>
      <c r="G60" s="55" t="s">
        <v>353</v>
      </c>
      <c r="H60" s="53" t="s">
        <v>317</v>
      </c>
      <c r="I60" s="32">
        <v>32897.14</v>
      </c>
      <c r="J60" s="41">
        <v>50</v>
      </c>
      <c r="K60" s="41">
        <v>50</v>
      </c>
      <c r="L60" s="60" t="s">
        <v>93</v>
      </c>
      <c r="M60" s="54"/>
      <c r="N60" s="54"/>
      <c r="O60" s="122" t="s">
        <v>352</v>
      </c>
    </row>
    <row r="61" spans="1:15" ht="42" customHeight="1" x14ac:dyDescent="0.25">
      <c r="A61" s="31">
        <v>2017</v>
      </c>
      <c r="B61" s="31"/>
      <c r="C61" s="30" t="s">
        <v>119</v>
      </c>
      <c r="D61" s="30">
        <v>1</v>
      </c>
      <c r="E61" s="31"/>
      <c r="F61" s="31"/>
      <c r="G61" s="55" t="s">
        <v>351</v>
      </c>
      <c r="H61" s="53" t="s">
        <v>97</v>
      </c>
      <c r="I61" s="32">
        <v>205302.86</v>
      </c>
      <c r="J61" s="41">
        <v>50</v>
      </c>
      <c r="K61" s="41">
        <v>50</v>
      </c>
      <c r="L61" s="60" t="s">
        <v>93</v>
      </c>
      <c r="M61" s="31"/>
      <c r="N61" s="31"/>
      <c r="O61" s="31" t="s">
        <v>350</v>
      </c>
    </row>
    <row r="62" spans="1:15" ht="42" customHeight="1" x14ac:dyDescent="0.25">
      <c r="A62" s="31">
        <v>2017</v>
      </c>
      <c r="B62" s="31"/>
      <c r="C62" s="30" t="s">
        <v>306</v>
      </c>
      <c r="D62" s="30">
        <v>1</v>
      </c>
      <c r="E62" s="31"/>
      <c r="F62" s="31"/>
      <c r="G62" s="35" t="s">
        <v>349</v>
      </c>
      <c r="H62" s="59" t="s">
        <v>96</v>
      </c>
      <c r="I62" s="32">
        <v>41123.71</v>
      </c>
      <c r="J62" s="41">
        <v>50</v>
      </c>
      <c r="K62" s="41">
        <v>50</v>
      </c>
      <c r="L62" s="60" t="s">
        <v>93</v>
      </c>
      <c r="M62" s="31"/>
      <c r="N62" s="31"/>
      <c r="O62" s="46"/>
    </row>
    <row r="63" spans="1:15" ht="42" customHeight="1" x14ac:dyDescent="0.25">
      <c r="A63" s="31">
        <v>2018</v>
      </c>
      <c r="B63" s="30"/>
      <c r="C63" s="30" t="s">
        <v>16</v>
      </c>
      <c r="D63" s="30">
        <v>1</v>
      </c>
      <c r="E63" s="30"/>
      <c r="F63" s="30"/>
      <c r="G63" s="35" t="s">
        <v>348</v>
      </c>
      <c r="H63" s="59" t="s">
        <v>96</v>
      </c>
      <c r="I63" s="32">
        <v>70886.91</v>
      </c>
      <c r="J63" s="41">
        <v>50</v>
      </c>
      <c r="K63" s="41">
        <v>50</v>
      </c>
      <c r="L63" s="60" t="s">
        <v>93</v>
      </c>
      <c r="M63" s="30"/>
      <c r="N63" s="30"/>
      <c r="O63" s="46"/>
    </row>
    <row r="64" spans="1:15" ht="42" customHeight="1" x14ac:dyDescent="0.25">
      <c r="A64" s="31">
        <v>2018</v>
      </c>
      <c r="B64" s="30"/>
      <c r="C64" s="30" t="s">
        <v>17</v>
      </c>
      <c r="D64" s="30">
        <v>1</v>
      </c>
      <c r="E64" s="30"/>
      <c r="F64" s="30"/>
      <c r="G64" s="40" t="s">
        <v>347</v>
      </c>
      <c r="H64" s="53" t="s">
        <v>317</v>
      </c>
      <c r="I64" s="32">
        <v>226972.53</v>
      </c>
      <c r="J64" s="41">
        <v>50</v>
      </c>
      <c r="K64" s="41">
        <v>50</v>
      </c>
      <c r="L64" s="60" t="s">
        <v>93</v>
      </c>
      <c r="M64" s="30"/>
      <c r="N64" s="30"/>
      <c r="O64" s="109"/>
    </row>
    <row r="65" spans="1:15" ht="42" customHeight="1" x14ac:dyDescent="0.25">
      <c r="A65" s="31">
        <v>2018</v>
      </c>
      <c r="B65" s="30"/>
      <c r="C65" s="30" t="s">
        <v>237</v>
      </c>
      <c r="D65" s="30">
        <v>1</v>
      </c>
      <c r="E65" s="30"/>
      <c r="F65" s="30"/>
      <c r="G65" s="40" t="s">
        <v>346</v>
      </c>
      <c r="H65" s="53" t="s">
        <v>317</v>
      </c>
      <c r="I65" s="32">
        <v>139768</v>
      </c>
      <c r="J65" s="41">
        <v>50</v>
      </c>
      <c r="K65" s="41">
        <v>50</v>
      </c>
      <c r="L65" s="60" t="s">
        <v>93</v>
      </c>
      <c r="M65" s="30"/>
      <c r="N65" s="30"/>
      <c r="O65" s="109"/>
    </row>
    <row r="66" spans="1:15" ht="42" customHeight="1" x14ac:dyDescent="0.25">
      <c r="A66" s="31">
        <v>2018</v>
      </c>
      <c r="B66" s="30"/>
      <c r="C66" s="30" t="s">
        <v>238</v>
      </c>
      <c r="D66" s="30">
        <v>1</v>
      </c>
      <c r="E66" s="30"/>
      <c r="F66" s="30"/>
      <c r="G66" s="40" t="s">
        <v>345</v>
      </c>
      <c r="H66" s="53" t="s">
        <v>317</v>
      </c>
      <c r="I66" s="32">
        <v>332225</v>
      </c>
      <c r="J66" s="41">
        <v>50</v>
      </c>
      <c r="K66" s="41">
        <v>50</v>
      </c>
      <c r="L66" s="60" t="s">
        <v>93</v>
      </c>
      <c r="M66" s="30"/>
      <c r="N66" s="30"/>
      <c r="O66" s="109" t="s">
        <v>344</v>
      </c>
    </row>
    <row r="67" spans="1:15" ht="42" customHeight="1" x14ac:dyDescent="0.25">
      <c r="A67" s="31">
        <v>2018</v>
      </c>
      <c r="B67" s="30"/>
      <c r="C67" s="30" t="s">
        <v>236</v>
      </c>
      <c r="D67" s="30">
        <v>1</v>
      </c>
      <c r="E67" s="30"/>
      <c r="F67" s="30"/>
      <c r="G67" s="40" t="s">
        <v>343</v>
      </c>
      <c r="H67" s="59" t="s">
        <v>97</v>
      </c>
      <c r="I67" s="32">
        <v>497517</v>
      </c>
      <c r="J67" s="41">
        <v>50</v>
      </c>
      <c r="K67" s="41">
        <v>50</v>
      </c>
      <c r="L67" s="60" t="s">
        <v>93</v>
      </c>
      <c r="M67" s="30"/>
      <c r="N67" s="30"/>
      <c r="O67" s="109"/>
    </row>
    <row r="68" spans="1:15" ht="42" customHeight="1" x14ac:dyDescent="0.25">
      <c r="A68" s="31">
        <v>2018</v>
      </c>
      <c r="B68" s="30"/>
      <c r="C68" s="30" t="s">
        <v>240</v>
      </c>
      <c r="D68" s="30">
        <v>1</v>
      </c>
      <c r="E68" s="30"/>
      <c r="F68" s="30"/>
      <c r="G68" s="40" t="s">
        <v>342</v>
      </c>
      <c r="H68" s="59" t="s">
        <v>97</v>
      </c>
      <c r="I68" s="32">
        <v>516948</v>
      </c>
      <c r="J68" s="41">
        <v>50</v>
      </c>
      <c r="K68" s="41">
        <v>50</v>
      </c>
      <c r="L68" s="60" t="s">
        <v>93</v>
      </c>
      <c r="M68" s="30"/>
      <c r="N68" s="30"/>
      <c r="O68" s="109"/>
    </row>
    <row r="69" spans="1:15" ht="42" customHeight="1" x14ac:dyDescent="0.25">
      <c r="A69" s="31">
        <v>2018</v>
      </c>
      <c r="B69" s="30"/>
      <c r="C69" s="30" t="s">
        <v>244</v>
      </c>
      <c r="D69" s="30">
        <v>1</v>
      </c>
      <c r="E69" s="30"/>
      <c r="F69" s="30"/>
      <c r="G69" s="40" t="s">
        <v>341</v>
      </c>
      <c r="H69" s="59" t="s">
        <v>96</v>
      </c>
      <c r="I69" s="32">
        <v>33736</v>
      </c>
      <c r="J69" s="41">
        <v>50</v>
      </c>
      <c r="K69" s="41">
        <v>50</v>
      </c>
      <c r="L69" s="60" t="s">
        <v>93</v>
      </c>
      <c r="M69" s="30"/>
      <c r="N69" s="30"/>
      <c r="O69" s="109"/>
    </row>
    <row r="70" spans="1:15" ht="42" customHeight="1" x14ac:dyDescent="0.25">
      <c r="A70" s="31">
        <v>2018</v>
      </c>
      <c r="B70" s="30"/>
      <c r="C70" s="30" t="s">
        <v>340</v>
      </c>
      <c r="D70" s="30">
        <v>1</v>
      </c>
      <c r="E70" s="30"/>
      <c r="F70" s="30"/>
      <c r="G70" s="40" t="s">
        <v>339</v>
      </c>
      <c r="H70" s="59" t="s">
        <v>96</v>
      </c>
      <c r="I70" s="32">
        <v>10943</v>
      </c>
      <c r="J70" s="41">
        <v>50</v>
      </c>
      <c r="K70" s="41">
        <v>50</v>
      </c>
      <c r="L70" s="60" t="s">
        <v>93</v>
      </c>
      <c r="M70" s="30"/>
      <c r="N70" s="30"/>
      <c r="O70" s="109"/>
    </row>
    <row r="71" spans="1:15" ht="42" customHeight="1" x14ac:dyDescent="0.25">
      <c r="A71" s="31">
        <v>2018</v>
      </c>
      <c r="B71" s="30"/>
      <c r="C71" s="30" t="s">
        <v>246</v>
      </c>
      <c r="D71" s="30">
        <v>1</v>
      </c>
      <c r="E71" s="30"/>
      <c r="F71" s="30"/>
      <c r="G71" s="40" t="s">
        <v>338</v>
      </c>
      <c r="H71" s="59" t="s">
        <v>96</v>
      </c>
      <c r="I71" s="32">
        <v>24999</v>
      </c>
      <c r="J71" s="41">
        <v>50</v>
      </c>
      <c r="K71" s="41">
        <v>50</v>
      </c>
      <c r="L71" s="60" t="s">
        <v>93</v>
      </c>
      <c r="M71" s="30"/>
      <c r="N71" s="30"/>
      <c r="O71" s="109"/>
    </row>
    <row r="72" spans="1:15" ht="42" customHeight="1" x14ac:dyDescent="0.25">
      <c r="A72" s="31">
        <v>2018</v>
      </c>
      <c r="B72" s="30"/>
      <c r="C72" s="30" t="s">
        <v>247</v>
      </c>
      <c r="D72" s="30">
        <v>1</v>
      </c>
      <c r="E72" s="30"/>
      <c r="F72" s="30"/>
      <c r="G72" s="40" t="s">
        <v>337</v>
      </c>
      <c r="H72" s="59" t="s">
        <v>96</v>
      </c>
      <c r="I72" s="32">
        <v>22857</v>
      </c>
      <c r="J72" s="41">
        <v>50</v>
      </c>
      <c r="K72" s="41">
        <v>50</v>
      </c>
      <c r="L72" s="60" t="s">
        <v>93</v>
      </c>
      <c r="M72" s="30"/>
      <c r="N72" s="30"/>
      <c r="O72" s="109" t="s">
        <v>336</v>
      </c>
    </row>
    <row r="73" spans="1:15" ht="42" customHeight="1" x14ac:dyDescent="0.25">
      <c r="A73" s="31">
        <v>2018</v>
      </c>
      <c r="B73" s="30"/>
      <c r="C73" s="30" t="s">
        <v>252</v>
      </c>
      <c r="D73" s="30">
        <v>1</v>
      </c>
      <c r="E73" s="30"/>
      <c r="F73" s="30"/>
      <c r="G73" s="40" t="s">
        <v>335</v>
      </c>
      <c r="H73" s="59" t="s">
        <v>96</v>
      </c>
      <c r="I73" s="32">
        <v>37000</v>
      </c>
      <c r="J73" s="41">
        <v>50</v>
      </c>
      <c r="K73" s="41">
        <v>50</v>
      </c>
      <c r="L73" s="60" t="s">
        <v>93</v>
      </c>
      <c r="M73" s="30"/>
      <c r="N73" s="30"/>
      <c r="O73" s="109"/>
    </row>
    <row r="74" spans="1:15" ht="57" customHeight="1" x14ac:dyDescent="0.25">
      <c r="A74" s="31">
        <v>2018</v>
      </c>
      <c r="B74" s="30"/>
      <c r="C74" s="30" t="s">
        <v>18</v>
      </c>
      <c r="D74" s="30">
        <v>1</v>
      </c>
      <c r="E74" s="30"/>
      <c r="F74" s="30"/>
      <c r="G74" s="40" t="s">
        <v>334</v>
      </c>
      <c r="H74" s="59" t="s">
        <v>97</v>
      </c>
      <c r="I74" s="32">
        <v>1671485</v>
      </c>
      <c r="J74" s="41">
        <v>50</v>
      </c>
      <c r="K74" s="41">
        <v>50</v>
      </c>
      <c r="L74" s="60" t="s">
        <v>93</v>
      </c>
      <c r="M74" s="30"/>
      <c r="N74" s="30"/>
      <c r="O74" s="109"/>
    </row>
    <row r="75" spans="1:15" ht="31.2" customHeight="1" x14ac:dyDescent="0.25">
      <c r="A75" s="31">
        <v>2017</v>
      </c>
      <c r="B75" s="30"/>
      <c r="C75" s="30" t="s">
        <v>333</v>
      </c>
      <c r="D75" s="30">
        <v>1</v>
      </c>
      <c r="E75" s="30"/>
      <c r="F75" s="30"/>
      <c r="G75" s="40" t="s">
        <v>332</v>
      </c>
      <c r="H75" s="59" t="s">
        <v>97</v>
      </c>
      <c r="I75" s="32">
        <v>366220</v>
      </c>
      <c r="J75" s="41">
        <v>50</v>
      </c>
      <c r="K75" s="41">
        <v>50</v>
      </c>
      <c r="L75" s="60" t="s">
        <v>93</v>
      </c>
      <c r="M75" s="30"/>
      <c r="N75" s="30"/>
      <c r="O75" s="109" t="s">
        <v>331</v>
      </c>
    </row>
    <row r="76" spans="1:15" ht="24" x14ac:dyDescent="0.25">
      <c r="A76" s="31">
        <v>2018</v>
      </c>
      <c r="B76" s="30"/>
      <c r="C76" s="121" t="s">
        <v>124</v>
      </c>
      <c r="D76" s="30">
        <v>1</v>
      </c>
      <c r="E76" s="30"/>
      <c r="F76" s="30"/>
      <c r="G76" s="35" t="s">
        <v>330</v>
      </c>
      <c r="H76" s="59" t="s">
        <v>97</v>
      </c>
      <c r="I76" s="32">
        <v>1294634.29</v>
      </c>
      <c r="J76" s="41">
        <v>80</v>
      </c>
      <c r="K76" s="41">
        <v>20</v>
      </c>
      <c r="L76" s="60" t="s">
        <v>93</v>
      </c>
      <c r="M76" s="30"/>
      <c r="N76" s="30"/>
      <c r="O76" s="109"/>
    </row>
    <row r="77" spans="1:15" ht="24" x14ac:dyDescent="0.25">
      <c r="A77" s="31">
        <v>2017</v>
      </c>
      <c r="B77" s="30"/>
      <c r="C77" s="30" t="s">
        <v>146</v>
      </c>
      <c r="D77" s="30">
        <v>1</v>
      </c>
      <c r="E77" s="30"/>
      <c r="F77" s="30"/>
      <c r="G77" s="35" t="s">
        <v>329</v>
      </c>
      <c r="H77" s="59" t="s">
        <v>317</v>
      </c>
      <c r="I77" s="32">
        <v>86231.43</v>
      </c>
      <c r="J77" s="41">
        <v>50</v>
      </c>
      <c r="K77" s="41">
        <v>50</v>
      </c>
      <c r="L77" s="60" t="s">
        <v>93</v>
      </c>
      <c r="M77" s="30"/>
      <c r="N77" s="30"/>
      <c r="O77" s="109"/>
    </row>
    <row r="78" spans="1:15" ht="30" customHeight="1" x14ac:dyDescent="0.25">
      <c r="A78" s="31">
        <v>2018</v>
      </c>
      <c r="B78" s="30"/>
      <c r="C78" s="30" t="s">
        <v>328</v>
      </c>
      <c r="D78" s="30">
        <v>1</v>
      </c>
      <c r="E78" s="30"/>
      <c r="F78" s="30"/>
      <c r="G78" s="35" t="s">
        <v>327</v>
      </c>
      <c r="H78" s="59" t="s">
        <v>96</v>
      </c>
      <c r="I78" s="32">
        <v>34114.29</v>
      </c>
      <c r="J78" s="41">
        <v>50</v>
      </c>
      <c r="K78" s="41">
        <v>50</v>
      </c>
      <c r="L78" s="60" t="s">
        <v>93</v>
      </c>
      <c r="M78" s="30"/>
      <c r="N78" s="30"/>
      <c r="O78" s="109"/>
    </row>
    <row r="79" spans="1:15" ht="24" x14ac:dyDescent="0.25">
      <c r="A79" s="31">
        <v>2018</v>
      </c>
      <c r="B79" s="30"/>
      <c r="C79" s="30" t="s">
        <v>326</v>
      </c>
      <c r="D79" s="30">
        <v>1</v>
      </c>
      <c r="E79" s="30"/>
      <c r="F79" s="30"/>
      <c r="G79" s="35" t="s">
        <v>325</v>
      </c>
      <c r="H79" s="59" t="s">
        <v>96</v>
      </c>
      <c r="I79" s="32">
        <v>70000</v>
      </c>
      <c r="J79" s="41">
        <v>50</v>
      </c>
      <c r="K79" s="41">
        <v>50</v>
      </c>
      <c r="L79" s="60" t="s">
        <v>93</v>
      </c>
      <c r="M79" s="30"/>
      <c r="N79" s="30"/>
      <c r="O79" s="109"/>
    </row>
    <row r="80" spans="1:15" ht="28.2" customHeight="1" x14ac:dyDescent="0.25">
      <c r="A80" s="31">
        <v>2018</v>
      </c>
      <c r="B80" s="30"/>
      <c r="C80" s="30" t="s">
        <v>230</v>
      </c>
      <c r="D80" s="30">
        <v>1</v>
      </c>
      <c r="E80" s="30"/>
      <c r="F80" s="30"/>
      <c r="G80" s="35" t="s">
        <v>324</v>
      </c>
      <c r="H80" s="59" t="s">
        <v>317</v>
      </c>
      <c r="I80" s="32">
        <v>123451</v>
      </c>
      <c r="J80" s="41">
        <v>50</v>
      </c>
      <c r="K80" s="41">
        <v>50</v>
      </c>
      <c r="L80" s="60" t="s">
        <v>93</v>
      </c>
      <c r="M80" s="30"/>
      <c r="N80" s="30"/>
      <c r="O80" s="109"/>
    </row>
    <row r="81" spans="1:15" ht="24" x14ac:dyDescent="0.25">
      <c r="A81" s="31">
        <v>2018</v>
      </c>
      <c r="B81" s="30"/>
      <c r="C81" s="30" t="s">
        <v>228</v>
      </c>
      <c r="D81" s="30">
        <v>1</v>
      </c>
      <c r="E81" s="30"/>
      <c r="F81" s="30"/>
      <c r="G81" s="35" t="s">
        <v>323</v>
      </c>
      <c r="H81" s="59" t="s">
        <v>317</v>
      </c>
      <c r="I81" s="32">
        <v>274112</v>
      </c>
      <c r="J81" s="41">
        <v>50</v>
      </c>
      <c r="K81" s="41">
        <v>50</v>
      </c>
      <c r="L81" s="60" t="s">
        <v>93</v>
      </c>
      <c r="M81" s="30"/>
      <c r="N81" s="30"/>
      <c r="O81" s="109"/>
    </row>
    <row r="82" spans="1:15" x14ac:dyDescent="0.25">
      <c r="A82" s="31">
        <v>2017</v>
      </c>
      <c r="B82" s="30"/>
      <c r="C82" s="30" t="s">
        <v>229</v>
      </c>
      <c r="D82" s="30">
        <v>1</v>
      </c>
      <c r="E82" s="30"/>
      <c r="F82" s="30"/>
      <c r="G82" s="35" t="s">
        <v>322</v>
      </c>
      <c r="H82" s="59" t="s">
        <v>96</v>
      </c>
      <c r="I82" s="32">
        <v>7428</v>
      </c>
      <c r="J82" s="41">
        <v>50</v>
      </c>
      <c r="K82" s="41">
        <v>50</v>
      </c>
      <c r="L82" s="60" t="s">
        <v>93</v>
      </c>
      <c r="M82" s="30"/>
      <c r="N82" s="30"/>
      <c r="O82" s="109"/>
    </row>
    <row r="83" spans="1:15" ht="36" x14ac:dyDescent="0.25">
      <c r="A83" s="31">
        <v>2017</v>
      </c>
      <c r="B83" s="30"/>
      <c r="C83" s="30" t="s">
        <v>180</v>
      </c>
      <c r="D83" s="30">
        <v>2</v>
      </c>
      <c r="E83" s="30"/>
      <c r="F83" s="30"/>
      <c r="G83" s="35" t="s">
        <v>321</v>
      </c>
      <c r="H83" s="59" t="s">
        <v>96</v>
      </c>
      <c r="I83" s="32">
        <v>15428.57</v>
      </c>
      <c r="J83" s="41">
        <v>50</v>
      </c>
      <c r="K83" s="41">
        <v>50</v>
      </c>
      <c r="L83" s="60" t="s">
        <v>93</v>
      </c>
      <c r="M83" s="30"/>
      <c r="N83" s="30"/>
      <c r="O83" s="109"/>
    </row>
    <row r="84" spans="1:15" ht="35.4" customHeight="1" x14ac:dyDescent="0.25">
      <c r="A84" s="31">
        <v>2017</v>
      </c>
      <c r="B84" s="30"/>
      <c r="C84" s="30" t="s">
        <v>181</v>
      </c>
      <c r="D84" s="30">
        <v>2</v>
      </c>
      <c r="E84" s="30"/>
      <c r="F84" s="30"/>
      <c r="G84" s="35" t="s">
        <v>320</v>
      </c>
      <c r="H84" s="59" t="s">
        <v>96</v>
      </c>
      <c r="I84" s="32">
        <v>2271.4299999999998</v>
      </c>
      <c r="J84" s="41">
        <v>50</v>
      </c>
      <c r="K84" s="41">
        <v>50</v>
      </c>
      <c r="L84" s="60" t="s">
        <v>93</v>
      </c>
      <c r="M84" s="30"/>
      <c r="N84" s="30"/>
      <c r="O84" s="109"/>
    </row>
    <row r="85" spans="1:15" ht="24" x14ac:dyDescent="0.25">
      <c r="A85" s="31">
        <v>2017</v>
      </c>
      <c r="B85" s="30"/>
      <c r="C85" s="30" t="s">
        <v>182</v>
      </c>
      <c r="D85" s="30">
        <v>2</v>
      </c>
      <c r="E85" s="30"/>
      <c r="F85" s="30"/>
      <c r="G85" s="35" t="s">
        <v>319</v>
      </c>
      <c r="H85" s="59" t="s">
        <v>96</v>
      </c>
      <c r="I85" s="32">
        <v>18307.61</v>
      </c>
      <c r="J85" s="41">
        <v>50</v>
      </c>
      <c r="K85" s="41">
        <v>50</v>
      </c>
      <c r="L85" s="60" t="s">
        <v>93</v>
      </c>
      <c r="M85" s="30"/>
      <c r="N85" s="30"/>
      <c r="O85" s="109"/>
    </row>
    <row r="86" spans="1:15" ht="24" x14ac:dyDescent="0.25">
      <c r="A86" s="31">
        <v>2017</v>
      </c>
      <c r="B86" s="30"/>
      <c r="C86" s="30" t="s">
        <v>183</v>
      </c>
      <c r="D86" s="30">
        <v>2</v>
      </c>
      <c r="E86" s="30"/>
      <c r="F86" s="30"/>
      <c r="G86" s="35" t="s">
        <v>318</v>
      </c>
      <c r="H86" s="59" t="s">
        <v>317</v>
      </c>
      <c r="I86" s="32">
        <v>253023</v>
      </c>
      <c r="J86" s="41">
        <v>50</v>
      </c>
      <c r="K86" s="41">
        <v>50</v>
      </c>
      <c r="L86" s="60" t="s">
        <v>93</v>
      </c>
      <c r="M86" s="30"/>
      <c r="N86" s="30"/>
      <c r="O86" s="109"/>
    </row>
    <row r="87" spans="1:15" ht="24" x14ac:dyDescent="0.25">
      <c r="A87" s="31">
        <v>2017</v>
      </c>
      <c r="B87" s="30"/>
      <c r="C87" s="30" t="s">
        <v>183</v>
      </c>
      <c r="D87" s="30">
        <v>2</v>
      </c>
      <c r="E87" s="30"/>
      <c r="F87" s="30"/>
      <c r="G87" s="35" t="s">
        <v>316</v>
      </c>
      <c r="H87" s="59" t="s">
        <v>96</v>
      </c>
      <c r="I87" s="32">
        <v>8228</v>
      </c>
      <c r="J87" s="41">
        <v>50</v>
      </c>
      <c r="K87" s="41">
        <v>50</v>
      </c>
      <c r="L87" s="60" t="s">
        <v>93</v>
      </c>
      <c r="M87" s="30"/>
      <c r="N87" s="30"/>
      <c r="O87" s="109"/>
    </row>
    <row r="88" spans="1:15" ht="24" x14ac:dyDescent="0.25">
      <c r="A88" s="31">
        <v>2017</v>
      </c>
      <c r="B88" s="30"/>
      <c r="C88" s="30" t="s">
        <v>186</v>
      </c>
      <c r="D88" s="30">
        <v>2</v>
      </c>
      <c r="E88" s="30"/>
      <c r="F88" s="30"/>
      <c r="G88" s="35" t="s">
        <v>315</v>
      </c>
      <c r="H88" s="59" t="s">
        <v>96</v>
      </c>
      <c r="I88" s="32">
        <v>44914</v>
      </c>
      <c r="J88" s="41">
        <v>50</v>
      </c>
      <c r="K88" s="41">
        <v>50</v>
      </c>
      <c r="L88" s="60" t="s">
        <v>93</v>
      </c>
      <c r="M88" s="30"/>
      <c r="N88" s="30"/>
      <c r="O88" s="109"/>
    </row>
    <row r="89" spans="1:15" ht="24" x14ac:dyDescent="0.25">
      <c r="A89" s="31">
        <v>2017</v>
      </c>
      <c r="B89" s="30"/>
      <c r="C89" s="30" t="s">
        <v>35</v>
      </c>
      <c r="D89" s="30">
        <v>3</v>
      </c>
      <c r="E89" s="30"/>
      <c r="F89" s="30"/>
      <c r="G89" s="35" t="s">
        <v>314</v>
      </c>
      <c r="H89" s="59" t="s">
        <v>97</v>
      </c>
      <c r="I89" s="32">
        <v>709882</v>
      </c>
      <c r="J89" s="41">
        <v>94</v>
      </c>
      <c r="K89" s="41">
        <v>6</v>
      </c>
      <c r="L89" s="60" t="s">
        <v>93</v>
      </c>
      <c r="M89" s="30"/>
      <c r="N89" s="30"/>
      <c r="O89" s="109"/>
    </row>
    <row r="90" spans="1:15" ht="33.6" customHeight="1" x14ac:dyDescent="0.25">
      <c r="A90" s="120">
        <v>2018</v>
      </c>
      <c r="B90" s="47"/>
      <c r="C90" s="47" t="s">
        <v>237</v>
      </c>
      <c r="D90" s="47">
        <v>1</v>
      </c>
      <c r="E90" s="47"/>
      <c r="F90" s="47"/>
      <c r="G90" s="35" t="s">
        <v>313</v>
      </c>
      <c r="H90" s="59" t="s">
        <v>97</v>
      </c>
      <c r="I90" s="119">
        <v>3378000</v>
      </c>
      <c r="J90" s="41">
        <v>50</v>
      </c>
      <c r="K90" s="41">
        <v>50</v>
      </c>
      <c r="L90" s="60" t="s">
        <v>93</v>
      </c>
      <c r="M90" s="47"/>
      <c r="N90" s="47"/>
      <c r="O90" s="47"/>
    </row>
    <row r="91" spans="1:15" ht="48" x14ac:dyDescent="0.25">
      <c r="A91" s="120">
        <v>2018</v>
      </c>
      <c r="B91" s="47"/>
      <c r="C91" s="47" t="s">
        <v>15</v>
      </c>
      <c r="D91" s="47">
        <v>1</v>
      </c>
      <c r="E91" s="47"/>
      <c r="F91" s="47"/>
      <c r="G91" s="118" t="s">
        <v>312</v>
      </c>
      <c r="H91" s="59" t="s">
        <v>97</v>
      </c>
      <c r="I91" s="119">
        <v>481443</v>
      </c>
      <c r="J91" s="41">
        <v>50</v>
      </c>
      <c r="K91" s="41">
        <v>50</v>
      </c>
      <c r="L91" s="60" t="s">
        <v>93</v>
      </c>
      <c r="M91" s="47"/>
      <c r="N91" s="47"/>
      <c r="O91" s="118" t="s">
        <v>311</v>
      </c>
    </row>
  </sheetData>
  <mergeCells count="45">
    <mergeCell ref="F58:F59"/>
    <mergeCell ref="G58:G59"/>
    <mergeCell ref="H58:H59"/>
    <mergeCell ref="I58:K58"/>
    <mergeCell ref="L58:L59"/>
    <mergeCell ref="A40:A41"/>
    <mergeCell ref="B40:B41"/>
    <mergeCell ref="C40:C41"/>
    <mergeCell ref="D40:D41"/>
    <mergeCell ref="B57:O57"/>
    <mergeCell ref="A58:A59"/>
    <mergeCell ref="B58:B59"/>
    <mergeCell ref="C58:C59"/>
    <mergeCell ref="D58:D59"/>
    <mergeCell ref="E58:E59"/>
    <mergeCell ref="H22:H23"/>
    <mergeCell ref="I22:K22"/>
    <mergeCell ref="E40:E41"/>
    <mergeCell ref="F40:F41"/>
    <mergeCell ref="G40:G41"/>
    <mergeCell ref="H40:H41"/>
    <mergeCell ref="I40:K40"/>
    <mergeCell ref="B39:O39"/>
    <mergeCell ref="C22:C23"/>
    <mergeCell ref="D22:D23"/>
    <mergeCell ref="E22:E23"/>
    <mergeCell ref="F22:F23"/>
    <mergeCell ref="G22:G23"/>
    <mergeCell ref="L40:L41"/>
    <mergeCell ref="H5:H6"/>
    <mergeCell ref="I5:K5"/>
    <mergeCell ref="L5:L6"/>
    <mergeCell ref="L22:L23"/>
    <mergeCell ref="A2:G2"/>
    <mergeCell ref="B4:O4"/>
    <mergeCell ref="A5:A6"/>
    <mergeCell ref="B5:B6"/>
    <mergeCell ref="C5:C6"/>
    <mergeCell ref="D5:D6"/>
    <mergeCell ref="E5:E6"/>
    <mergeCell ref="F5:F6"/>
    <mergeCell ref="G5:G6"/>
    <mergeCell ref="B21:O21"/>
    <mergeCell ref="A22:A23"/>
    <mergeCell ref="B22:B23"/>
  </mergeCells>
  <pageMargins left="0.25" right="0.25" top="0.75" bottom="0.75" header="0.3" footer="0.3"/>
  <pageSetup scale="67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73"/>
  <sheetViews>
    <sheetView zoomScaleNormal="100" workbookViewId="0">
      <pane ySplit="1" topLeftCell="A125" activePane="bottomLeft" state="frozen"/>
      <selection pane="bottomLeft" activeCell="B144" sqref="B144"/>
    </sheetView>
  </sheetViews>
  <sheetFormatPr defaultColWidth="9.109375" defaultRowHeight="12" x14ac:dyDescent="0.25"/>
  <cols>
    <col min="1" max="1" width="6.44140625" style="19" customWidth="1"/>
    <col min="2" max="2" width="65.33203125" style="33" customWidth="1"/>
    <col min="3" max="3" width="18.109375" style="214" customWidth="1"/>
    <col min="4" max="6" width="10.33203125" style="2" customWidth="1"/>
    <col min="7" max="7" width="14.44140625" style="2" customWidth="1"/>
    <col min="8" max="13" width="10.33203125" style="33" customWidth="1"/>
    <col min="14" max="16384" width="9.109375" style="33"/>
  </cols>
  <sheetData>
    <row r="1" spans="1:13" ht="42.75" customHeight="1" x14ac:dyDescent="0.25">
      <c r="A1" s="243" t="s">
        <v>58</v>
      </c>
      <c r="B1" s="244"/>
      <c r="C1" s="20" t="s">
        <v>422</v>
      </c>
      <c r="D1" s="20" t="s">
        <v>413</v>
      </c>
      <c r="E1" s="20" t="s">
        <v>414</v>
      </c>
      <c r="F1" s="20" t="s">
        <v>415</v>
      </c>
      <c r="G1" s="20" t="s">
        <v>90</v>
      </c>
      <c r="H1" s="20" t="s">
        <v>99</v>
      </c>
      <c r="I1" s="20" t="s">
        <v>43</v>
      </c>
      <c r="J1" s="20" t="s">
        <v>100</v>
      </c>
      <c r="K1" s="20" t="s">
        <v>42</v>
      </c>
      <c r="L1" s="20" t="s">
        <v>101</v>
      </c>
      <c r="M1" s="20" t="s">
        <v>45</v>
      </c>
    </row>
    <row r="2" spans="1:13" ht="31.2" customHeight="1" x14ac:dyDescent="0.25">
      <c r="A2" s="242" t="s">
        <v>435</v>
      </c>
      <c r="B2" s="242"/>
      <c r="C2" s="74"/>
      <c r="D2" s="159"/>
      <c r="E2" s="159"/>
      <c r="F2" s="159"/>
      <c r="G2" s="159"/>
      <c r="H2" s="77"/>
      <c r="I2" s="77"/>
      <c r="J2" s="77"/>
      <c r="K2" s="77"/>
      <c r="L2" s="77"/>
      <c r="M2" s="77"/>
    </row>
    <row r="3" spans="1:13" ht="28.2" customHeight="1" x14ac:dyDescent="0.25">
      <c r="A3" s="245" t="s">
        <v>102</v>
      </c>
      <c r="B3" s="245"/>
      <c r="C3" s="204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ht="13.95" customHeight="1" x14ac:dyDescent="0.25">
      <c r="A4" s="34">
        <v>1.1000000000000001</v>
      </c>
      <c r="B4" s="34" t="s">
        <v>120</v>
      </c>
      <c r="C4" s="205" t="s">
        <v>427</v>
      </c>
      <c r="D4" s="124"/>
      <c r="E4" s="124"/>
      <c r="F4" s="124"/>
      <c r="G4" s="124"/>
      <c r="H4" s="124"/>
      <c r="I4" s="124"/>
      <c r="J4" s="124"/>
      <c r="K4" s="124"/>
      <c r="L4" s="124"/>
      <c r="M4" s="124"/>
    </row>
    <row r="5" spans="1:13" ht="13.95" customHeight="1" x14ac:dyDescent="0.25">
      <c r="A5" s="79" t="s">
        <v>118</v>
      </c>
      <c r="B5" s="31" t="s">
        <v>135</v>
      </c>
      <c r="C5" s="206" t="s">
        <v>417</v>
      </c>
      <c r="D5" s="10"/>
      <c r="E5" s="10"/>
      <c r="F5" s="10"/>
      <c r="G5" s="10"/>
      <c r="H5" s="10"/>
      <c r="I5" s="10"/>
      <c r="J5" s="10"/>
      <c r="K5" s="10"/>
      <c r="L5" s="152">
        <f>(57570/4)/3.5</f>
        <v>4112.1428571428569</v>
      </c>
      <c r="M5" s="152">
        <f t="shared" ref="M5" si="0">(57570/4)/3.5</f>
        <v>4112.1428571428569</v>
      </c>
    </row>
    <row r="6" spans="1:13" ht="13.95" customHeight="1" x14ac:dyDescent="0.25">
      <c r="A6" s="79" t="s">
        <v>119</v>
      </c>
      <c r="B6" s="31" t="s">
        <v>136</v>
      </c>
      <c r="C6" s="206" t="s">
        <v>417</v>
      </c>
      <c r="D6" s="10"/>
      <c r="E6" s="10"/>
      <c r="F6" s="10"/>
      <c r="G6" s="10"/>
      <c r="H6" s="10"/>
      <c r="I6" s="10"/>
      <c r="J6" s="10"/>
      <c r="K6" s="10"/>
      <c r="L6" s="152">
        <f>(297440/2)/3.5+60160</f>
        <v>102651.42857142858</v>
      </c>
      <c r="M6" s="152">
        <f>(297440/2)/3.5+60160</f>
        <v>102651.42857142858</v>
      </c>
    </row>
    <row r="7" spans="1:13" ht="13.95" customHeight="1" x14ac:dyDescent="0.25">
      <c r="A7" s="79" t="s">
        <v>305</v>
      </c>
      <c r="B7" s="109" t="s">
        <v>307</v>
      </c>
      <c r="C7" s="206" t="s">
        <v>118</v>
      </c>
      <c r="D7" s="10"/>
      <c r="E7" s="10"/>
      <c r="F7" s="10"/>
      <c r="G7" s="10"/>
      <c r="H7" s="10"/>
      <c r="I7" s="10"/>
      <c r="J7" s="10"/>
      <c r="K7" s="10"/>
      <c r="L7" s="80"/>
      <c r="M7" s="72"/>
    </row>
    <row r="8" spans="1:13" ht="13.95" customHeight="1" x14ac:dyDescent="0.25">
      <c r="A8" s="79" t="s">
        <v>306</v>
      </c>
      <c r="B8" s="31" t="s">
        <v>308</v>
      </c>
      <c r="C8" s="206" t="s">
        <v>305</v>
      </c>
      <c r="D8" s="10"/>
      <c r="E8" s="10"/>
      <c r="F8" s="10"/>
      <c r="G8" s="10"/>
      <c r="H8" s="10"/>
      <c r="I8" s="10"/>
      <c r="J8" s="10"/>
      <c r="K8" s="10"/>
      <c r="L8" s="152">
        <f>(143933/2)/3.5</f>
        <v>20561.857142857141</v>
      </c>
      <c r="M8" s="152">
        <f>(143933/2)/3.5</f>
        <v>20561.857142857141</v>
      </c>
    </row>
    <row r="9" spans="1:13" ht="13.95" customHeight="1" x14ac:dyDescent="0.25">
      <c r="A9" s="79" t="s">
        <v>417</v>
      </c>
      <c r="B9" s="40" t="s">
        <v>129</v>
      </c>
      <c r="C9" s="207"/>
      <c r="D9" s="10">
        <f>+H9</f>
        <v>70899.71428571429</v>
      </c>
      <c r="E9" s="10">
        <f>+I9</f>
        <v>70899.71428571429</v>
      </c>
      <c r="F9" s="10">
        <f t="shared" ref="F9" si="1">SUM(D9:E9)</f>
        <v>141799.42857142858</v>
      </c>
      <c r="G9" s="10"/>
      <c r="H9" s="154">
        <f>(496298/2)/3.5</f>
        <v>70899.71428571429</v>
      </c>
      <c r="I9" s="154">
        <f>(496298/2)/3.5</f>
        <v>70899.71428571429</v>
      </c>
      <c r="J9" s="10"/>
      <c r="K9" s="10"/>
      <c r="L9" s="152"/>
      <c r="M9" s="152"/>
    </row>
    <row r="10" spans="1:13" ht="13.95" customHeight="1" x14ac:dyDescent="0.25">
      <c r="A10" s="31"/>
      <c r="B10" s="31"/>
      <c r="C10" s="207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 ht="13.95" customHeight="1" x14ac:dyDescent="0.25">
      <c r="A11" s="38">
        <v>1.2</v>
      </c>
      <c r="B11" s="34" t="s">
        <v>105</v>
      </c>
      <c r="C11" s="208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spans="1:13" ht="13.95" customHeight="1" x14ac:dyDescent="0.25">
      <c r="A12" s="37" t="s">
        <v>15</v>
      </c>
      <c r="B12" s="117" t="s">
        <v>266</v>
      </c>
      <c r="C12" s="207"/>
      <c r="D12" s="10">
        <f>+G12</f>
        <v>14835.571428571429</v>
      </c>
      <c r="E12" s="10">
        <f>+I12</f>
        <v>14835.571428571429</v>
      </c>
      <c r="F12" s="10">
        <f>SUM(D12:E12)</f>
        <v>29671.142857142859</v>
      </c>
      <c r="G12" s="7">
        <f>(103849/2)/3.5</f>
        <v>14835.571428571429</v>
      </c>
      <c r="I12" s="7">
        <f>(103849/2)/3.5</f>
        <v>14835.571428571429</v>
      </c>
      <c r="J12" s="10"/>
      <c r="K12" s="10"/>
      <c r="L12" s="152">
        <f>(1685050/4)/3.5</f>
        <v>120360.71428571429</v>
      </c>
      <c r="M12" s="152">
        <f t="shared" ref="M12" si="2">(1685050/4)/3.5</f>
        <v>120360.71428571429</v>
      </c>
    </row>
    <row r="13" spans="1:13" ht="13.95" customHeight="1" x14ac:dyDescent="0.25">
      <c r="A13" s="37" t="s">
        <v>16</v>
      </c>
      <c r="B13" s="81" t="s">
        <v>242</v>
      </c>
      <c r="C13" s="206"/>
      <c r="D13" s="10"/>
      <c r="E13" s="10"/>
      <c r="F13" s="10"/>
      <c r="G13" s="10"/>
      <c r="H13" s="71"/>
      <c r="I13" s="71"/>
      <c r="J13" s="10"/>
      <c r="K13" s="10"/>
      <c r="L13" s="152">
        <f>(248104.17/4)/3.5</f>
        <v>17721.72642857143</v>
      </c>
      <c r="M13" s="152">
        <f t="shared" ref="M13" si="3">(248104.17/4)/3.5</f>
        <v>17721.72642857143</v>
      </c>
    </row>
    <row r="14" spans="1:13" ht="13.95" customHeight="1" x14ac:dyDescent="0.25">
      <c r="A14" s="37" t="s">
        <v>17</v>
      </c>
      <c r="B14" s="81" t="s">
        <v>265</v>
      </c>
      <c r="C14" s="209"/>
      <c r="D14" s="10"/>
      <c r="E14" s="10"/>
      <c r="F14" s="10"/>
      <c r="G14" s="10"/>
      <c r="H14" s="71"/>
      <c r="I14" s="71"/>
      <c r="J14" s="10"/>
      <c r="K14" s="10"/>
      <c r="L14" s="152">
        <f>(794403.86/4)/3.5</f>
        <v>56743.132857142853</v>
      </c>
      <c r="M14" s="152">
        <f t="shared" ref="M14" si="4">(794403.86/4)/3.5</f>
        <v>56743.132857142853</v>
      </c>
    </row>
    <row r="15" spans="1:13" ht="13.95" customHeight="1" x14ac:dyDescent="0.25">
      <c r="A15" s="37" t="s">
        <v>236</v>
      </c>
      <c r="B15" s="117" t="s">
        <v>243</v>
      </c>
      <c r="C15" s="209"/>
      <c r="D15" s="10"/>
      <c r="E15" s="10"/>
      <c r="F15" s="10"/>
      <c r="G15" s="10"/>
      <c r="H15" s="71"/>
      <c r="I15" s="71"/>
      <c r="J15" s="10"/>
      <c r="K15" s="10"/>
      <c r="L15" s="153">
        <f>(1741307.84/4)/3.5</f>
        <v>124379.13142857143</v>
      </c>
      <c r="M15" s="153">
        <f t="shared" ref="M15" si="5">(1741307.84/4)/3.5</f>
        <v>124379.13142857143</v>
      </c>
    </row>
    <row r="16" spans="1:13" ht="13.95" customHeight="1" x14ac:dyDescent="0.25">
      <c r="A16" s="37" t="s">
        <v>237</v>
      </c>
      <c r="B16" s="202" t="s">
        <v>267</v>
      </c>
      <c r="C16" s="207" t="s">
        <v>423</v>
      </c>
      <c r="D16" s="10">
        <f>+H16</f>
        <v>68851.757142857139</v>
      </c>
      <c r="E16" s="10">
        <f>+I16</f>
        <v>68851.757142857139</v>
      </c>
      <c r="F16" s="10">
        <f t="shared" ref="F16:F76" si="6">SUM(D16:E16)</f>
        <v>137703.51428571428</v>
      </c>
      <c r="G16" s="10"/>
      <c r="H16" s="7">
        <f>(481962.3/2)/3.5</f>
        <v>68851.757142857139</v>
      </c>
      <c r="I16" s="7">
        <f>(481962.3/2)/3.5</f>
        <v>68851.757142857139</v>
      </c>
      <c r="J16" s="10"/>
      <c r="K16" s="10"/>
      <c r="L16" s="153">
        <f>(16441230/4)/3.5</f>
        <v>1174373.5714285714</v>
      </c>
      <c r="M16" s="153">
        <f>(16441230/4)/3.5</f>
        <v>1174373.5714285714</v>
      </c>
    </row>
    <row r="17" spans="1:13" ht="13.95" customHeight="1" x14ac:dyDescent="0.25">
      <c r="A17" s="37" t="s">
        <v>238</v>
      </c>
      <c r="B17" s="81" t="s">
        <v>249</v>
      </c>
      <c r="C17" s="207"/>
      <c r="D17" s="10"/>
      <c r="E17" s="10"/>
      <c r="F17" s="10"/>
      <c r="G17" s="10"/>
      <c r="H17" s="71"/>
      <c r="I17" s="71"/>
      <c r="J17" s="10"/>
      <c r="K17" s="10"/>
      <c r="L17" s="153">
        <f>(489186.95/4)/3.5</f>
        <v>34941.925000000003</v>
      </c>
      <c r="M17" s="153">
        <f t="shared" ref="M17" si="7">(489186.95/4)/3.5</f>
        <v>34941.925000000003</v>
      </c>
    </row>
    <row r="18" spans="1:13" ht="13.95" customHeight="1" x14ac:dyDescent="0.25">
      <c r="A18" s="37" t="s">
        <v>239</v>
      </c>
      <c r="B18" s="81" t="s">
        <v>250</v>
      </c>
      <c r="C18" s="207"/>
      <c r="D18" s="10"/>
      <c r="E18" s="10"/>
      <c r="F18" s="10"/>
      <c r="G18" s="10"/>
      <c r="H18" s="71"/>
      <c r="I18" s="71"/>
      <c r="J18" s="10"/>
      <c r="K18" s="10"/>
      <c r="L18" s="153">
        <f>(1162788.35/4)/3.5</f>
        <v>83056.310714285719</v>
      </c>
      <c r="M18" s="153">
        <f t="shared" ref="M18" si="8">(1162788.35/4)/3.5</f>
        <v>83056.310714285719</v>
      </c>
    </row>
    <row r="19" spans="1:13" ht="13.95" customHeight="1" x14ac:dyDescent="0.25">
      <c r="A19" s="37" t="s">
        <v>240</v>
      </c>
      <c r="B19" s="117" t="s">
        <v>251</v>
      </c>
      <c r="C19" s="207"/>
      <c r="D19" s="10"/>
      <c r="E19" s="10"/>
      <c r="F19" s="10"/>
      <c r="G19" s="10"/>
      <c r="H19" s="71"/>
      <c r="I19" s="71"/>
      <c r="J19" s="10"/>
      <c r="K19" s="10"/>
      <c r="L19" s="153">
        <f>(7201095.71/4)/3.5</f>
        <v>514363.97928571427</v>
      </c>
      <c r="M19" s="153">
        <f t="shared" ref="M19" si="9">(7201095.71/4)/3.5</f>
        <v>514363.97928571427</v>
      </c>
    </row>
    <row r="20" spans="1:13" ht="13.95" customHeight="1" x14ac:dyDescent="0.25">
      <c r="A20" s="37" t="s">
        <v>241</v>
      </c>
      <c r="B20" s="117" t="s">
        <v>256</v>
      </c>
      <c r="C20" s="207" t="s">
        <v>424</v>
      </c>
      <c r="D20" s="10"/>
      <c r="E20" s="10"/>
      <c r="F20" s="10"/>
      <c r="G20" s="10"/>
      <c r="H20" s="71"/>
      <c r="I20" s="71"/>
      <c r="J20" s="10"/>
      <c r="K20" s="10"/>
      <c r="L20" s="153">
        <f>(830400/4)/3.5</f>
        <v>59314.285714285717</v>
      </c>
      <c r="M20" s="153">
        <f t="shared" ref="M20" si="10">(830400/4)/3.5</f>
        <v>59314.285714285717</v>
      </c>
    </row>
    <row r="21" spans="1:13" ht="13.95" customHeight="1" x14ac:dyDescent="0.25">
      <c r="A21" s="37" t="s">
        <v>244</v>
      </c>
      <c r="B21" s="117" t="s">
        <v>257</v>
      </c>
      <c r="C21" s="210"/>
      <c r="D21" s="10"/>
      <c r="E21" s="10"/>
      <c r="F21" s="10"/>
      <c r="G21" s="10"/>
      <c r="H21" s="71"/>
      <c r="I21" s="71"/>
      <c r="J21" s="10"/>
      <c r="K21" s="10"/>
      <c r="L21" s="7">
        <f>(118076/2)/3.5</f>
        <v>16868</v>
      </c>
      <c r="M21" s="7">
        <f>(118076/2)/3.5</f>
        <v>16868</v>
      </c>
    </row>
    <row r="22" spans="1:13" ht="13.95" customHeight="1" x14ac:dyDescent="0.25">
      <c r="A22" s="37" t="s">
        <v>245</v>
      </c>
      <c r="B22" s="81" t="s">
        <v>258</v>
      </c>
      <c r="C22" s="210"/>
      <c r="D22" s="10"/>
      <c r="E22" s="10"/>
      <c r="F22" s="10"/>
      <c r="G22" s="10"/>
      <c r="H22" s="71"/>
      <c r="I22" s="71"/>
      <c r="J22" s="10"/>
      <c r="K22" s="10"/>
      <c r="L22" s="7">
        <f>(22550/2)/3.5</f>
        <v>3221.4285714285716</v>
      </c>
      <c r="M22" s="7">
        <f>(22550/2)/3.5</f>
        <v>3221.4285714285716</v>
      </c>
    </row>
    <row r="23" spans="1:13" ht="13.95" customHeight="1" x14ac:dyDescent="0.25">
      <c r="A23" s="37" t="s">
        <v>246</v>
      </c>
      <c r="B23" s="81" t="s">
        <v>259</v>
      </c>
      <c r="C23" s="210"/>
      <c r="D23" s="10"/>
      <c r="E23" s="10"/>
      <c r="F23" s="10"/>
      <c r="G23" s="10"/>
      <c r="H23" s="71"/>
      <c r="I23" s="71"/>
      <c r="J23" s="10"/>
      <c r="K23" s="10"/>
      <c r="L23" s="7">
        <f>(55607.15/4)/3.5</f>
        <v>3971.9392857142857</v>
      </c>
      <c r="M23" s="7">
        <f t="shared" ref="M23" si="11">(55607.15/4)/3.5</f>
        <v>3971.9392857142857</v>
      </c>
    </row>
    <row r="24" spans="1:13" ht="13.95" customHeight="1" x14ac:dyDescent="0.25">
      <c r="A24" s="37" t="s">
        <v>247</v>
      </c>
      <c r="B24" s="81" t="s">
        <v>260</v>
      </c>
      <c r="C24" s="210"/>
      <c r="D24" s="10"/>
      <c r="E24" s="10"/>
      <c r="F24" s="10"/>
      <c r="G24" s="10"/>
      <c r="H24" s="71"/>
      <c r="I24" s="71"/>
      <c r="J24" s="10"/>
      <c r="K24" s="10"/>
      <c r="L24" s="153">
        <f>(80000/4)/3.5</f>
        <v>5714.2857142857147</v>
      </c>
      <c r="M24" s="153">
        <f t="shared" ref="M24" si="12">(80000/4)/3.5</f>
        <v>5714.2857142857147</v>
      </c>
    </row>
    <row r="25" spans="1:13" ht="13.95" customHeight="1" x14ac:dyDescent="0.25">
      <c r="A25" s="37" t="s">
        <v>248</v>
      </c>
      <c r="B25" s="117" t="s">
        <v>261</v>
      </c>
      <c r="C25" s="207" t="s">
        <v>425</v>
      </c>
      <c r="D25" s="10">
        <f>+H25</f>
        <v>1573.5714285714287</v>
      </c>
      <c r="E25" s="10">
        <f>+I25</f>
        <v>1573.5714285714287</v>
      </c>
      <c r="F25" s="10">
        <f t="shared" si="6"/>
        <v>3147.1428571428573</v>
      </c>
      <c r="G25" s="10"/>
      <c r="H25" s="7">
        <f>(11015/2)/3.5</f>
        <v>1573.5714285714287</v>
      </c>
      <c r="I25" s="7">
        <f>(11015/2)/3.5</f>
        <v>1573.5714285714287</v>
      </c>
      <c r="J25" s="10"/>
      <c r="K25" s="10"/>
      <c r="L25" s="153">
        <f>(324000/4)/3.5</f>
        <v>23142.857142857141</v>
      </c>
      <c r="M25" s="153">
        <f t="shared" ref="M25" si="13">(324000/4)/3.5</f>
        <v>23142.857142857141</v>
      </c>
    </row>
    <row r="26" spans="1:13" ht="13.95" customHeight="1" x14ac:dyDescent="0.25">
      <c r="A26" s="37" t="s">
        <v>252</v>
      </c>
      <c r="B26" s="117" t="s">
        <v>262</v>
      </c>
      <c r="C26" s="210"/>
      <c r="D26" s="10"/>
      <c r="E26" s="10"/>
      <c r="F26" s="10"/>
      <c r="G26" s="10"/>
      <c r="H26" s="71"/>
      <c r="I26" s="71"/>
      <c r="J26" s="10"/>
      <c r="K26" s="10"/>
      <c r="L26" s="153">
        <f>(129500/2)/3.5</f>
        <v>18500</v>
      </c>
      <c r="M26" s="153">
        <f>(129500/2)/3.5</f>
        <v>18500</v>
      </c>
    </row>
    <row r="27" spans="1:13" ht="13.95" customHeight="1" x14ac:dyDescent="0.25">
      <c r="A27" s="37" t="s">
        <v>253</v>
      </c>
      <c r="B27" s="81" t="s">
        <v>263</v>
      </c>
      <c r="C27" s="210"/>
      <c r="D27" s="10"/>
      <c r="E27" s="10"/>
      <c r="F27" s="10"/>
      <c r="G27" s="10"/>
      <c r="H27" s="71"/>
      <c r="I27" s="71"/>
      <c r="J27" s="10"/>
      <c r="K27" s="10"/>
      <c r="L27" s="153">
        <f>(15750/2)/3.5</f>
        <v>2250</v>
      </c>
      <c r="M27" s="153">
        <f>(15750/2)/3.5</f>
        <v>2250</v>
      </c>
    </row>
    <row r="28" spans="1:13" ht="13.95" customHeight="1" x14ac:dyDescent="0.25">
      <c r="A28" s="37" t="s">
        <v>254</v>
      </c>
      <c r="B28" s="81" t="s">
        <v>264</v>
      </c>
      <c r="C28" s="210"/>
      <c r="D28" s="10"/>
      <c r="E28" s="10"/>
      <c r="F28" s="10"/>
      <c r="G28" s="10"/>
      <c r="H28" s="71"/>
      <c r="I28" s="71"/>
      <c r="J28" s="10"/>
      <c r="K28" s="10"/>
      <c r="L28" s="153">
        <f>(31887/4)/3.5</f>
        <v>2277.6428571428573</v>
      </c>
      <c r="M28" s="153">
        <f t="shared" ref="M28" si="14">(31887/4)/3.5</f>
        <v>2277.6428571428573</v>
      </c>
    </row>
    <row r="29" spans="1:13" ht="13.95" customHeight="1" x14ac:dyDescent="0.25">
      <c r="A29" s="37" t="s">
        <v>255</v>
      </c>
      <c r="B29" s="117" t="s">
        <v>268</v>
      </c>
      <c r="C29" s="210"/>
      <c r="D29" s="71"/>
      <c r="E29" s="10"/>
      <c r="F29" s="10"/>
      <c r="G29" s="10"/>
      <c r="H29" s="10"/>
      <c r="I29" s="10"/>
      <c r="J29" s="10"/>
      <c r="K29" s="10"/>
      <c r="L29" s="153">
        <f>(236742.27/4)/3.5</f>
        <v>16910.162142857142</v>
      </c>
      <c r="M29" s="153">
        <f t="shared" ref="M29" si="15">(236742.27/4)/3.5</f>
        <v>16910.162142857142</v>
      </c>
    </row>
    <row r="30" spans="1:13" ht="13.95" customHeight="1" x14ac:dyDescent="0.25">
      <c r="A30" s="37"/>
      <c r="B30" s="40"/>
      <c r="C30" s="211"/>
      <c r="D30" s="10"/>
      <c r="E30" s="10"/>
      <c r="F30" s="10"/>
      <c r="G30" s="10"/>
      <c r="H30" s="10"/>
      <c r="I30" s="10"/>
      <c r="J30" s="10"/>
      <c r="K30" s="10"/>
      <c r="L30" s="10"/>
      <c r="M30" s="10"/>
    </row>
    <row r="31" spans="1:13" ht="13.95" customHeight="1" x14ac:dyDescent="0.25">
      <c r="A31" s="34">
        <v>1.3</v>
      </c>
      <c r="B31" s="34" t="s">
        <v>106</v>
      </c>
      <c r="C31" s="212"/>
      <c r="D31" s="10"/>
      <c r="E31" s="10"/>
      <c r="F31" s="10"/>
      <c r="G31" s="10"/>
      <c r="H31" s="10"/>
      <c r="I31" s="10"/>
      <c r="J31" s="10"/>
      <c r="K31" s="10"/>
      <c r="L31" s="10"/>
      <c r="M31" s="10"/>
    </row>
    <row r="32" spans="1:13" ht="13.95" customHeight="1" x14ac:dyDescent="0.25">
      <c r="A32" s="37" t="s">
        <v>19</v>
      </c>
      <c r="B32" s="35" t="s">
        <v>131</v>
      </c>
      <c r="C32" s="210"/>
      <c r="D32" s="10"/>
      <c r="E32" s="10"/>
      <c r="F32" s="10"/>
      <c r="G32" s="10"/>
      <c r="H32" s="71"/>
      <c r="I32" s="71"/>
      <c r="J32" s="10"/>
      <c r="K32" s="10"/>
      <c r="L32" s="157">
        <f>(158390/4)/3.5</f>
        <v>11313.571428571429</v>
      </c>
      <c r="M32" s="157">
        <f t="shared" ref="M32" si="16">(158390/4)/3.5</f>
        <v>11313.571428571429</v>
      </c>
    </row>
    <row r="33" spans="1:13" ht="13.95" customHeight="1" x14ac:dyDescent="0.25">
      <c r="A33" s="37" t="s">
        <v>20</v>
      </c>
      <c r="B33" s="35" t="s">
        <v>130</v>
      </c>
      <c r="C33" s="207"/>
      <c r="D33" s="10">
        <f>+H33+J33</f>
        <v>26957.142857142859</v>
      </c>
      <c r="E33" s="10">
        <f>+I33+K33</f>
        <v>26957.142857142859</v>
      </c>
      <c r="F33" s="10">
        <f t="shared" si="6"/>
        <v>53914.285714285717</v>
      </c>
      <c r="G33" s="10"/>
      <c r="H33" s="152">
        <f>(188700/4)/3.5</f>
        <v>13478.571428571429</v>
      </c>
      <c r="I33" s="152">
        <f t="shared" ref="I33:K33" si="17">(188700/4)/3.5</f>
        <v>13478.571428571429</v>
      </c>
      <c r="J33" s="152">
        <f t="shared" si="17"/>
        <v>13478.571428571429</v>
      </c>
      <c r="K33" s="152">
        <f t="shared" si="17"/>
        <v>13478.571428571429</v>
      </c>
      <c r="L33" s="158">
        <f>(132090/4)/3.5</f>
        <v>9435</v>
      </c>
      <c r="M33" s="158">
        <f t="shared" ref="M33" si="18">(132090/4)/3.5</f>
        <v>9435</v>
      </c>
    </row>
    <row r="34" spans="1:13" ht="13.95" customHeight="1" x14ac:dyDescent="0.25">
      <c r="A34" s="37" t="s">
        <v>18</v>
      </c>
      <c r="B34" s="35" t="s">
        <v>123</v>
      </c>
      <c r="C34" s="207"/>
      <c r="D34" s="10"/>
      <c r="E34" s="10"/>
      <c r="F34" s="10"/>
      <c r="G34" s="10"/>
      <c r="H34" s="71"/>
      <c r="I34" s="71"/>
      <c r="J34" s="80"/>
      <c r="K34" s="71"/>
      <c r="L34" s="154">
        <f>(6050200/4)/3.5</f>
        <v>432157.14285714284</v>
      </c>
      <c r="M34" s="154">
        <f t="shared" ref="M34" si="19">(6050200/4)/3.5</f>
        <v>432157.14285714284</v>
      </c>
    </row>
    <row r="35" spans="1:13" ht="13.95" customHeight="1" x14ac:dyDescent="0.25">
      <c r="A35" s="37" t="s">
        <v>21</v>
      </c>
      <c r="B35" s="35" t="s">
        <v>122</v>
      </c>
      <c r="C35" s="207"/>
      <c r="D35" s="10"/>
      <c r="E35" s="10"/>
      <c r="F35" s="10"/>
      <c r="G35" s="10"/>
      <c r="H35" s="10"/>
      <c r="I35" s="10"/>
      <c r="J35" s="71"/>
      <c r="K35" s="71"/>
      <c r="L35" s="154">
        <f>(802590/2)/3.5</f>
        <v>114655.71428571429</v>
      </c>
      <c r="M35" s="154">
        <f>(802590/2)/3.5</f>
        <v>114655.71428571429</v>
      </c>
    </row>
    <row r="36" spans="1:13" ht="13.95" customHeight="1" x14ac:dyDescent="0.25">
      <c r="A36" s="37"/>
      <c r="B36" s="35"/>
      <c r="C36" s="213"/>
      <c r="D36" s="10"/>
      <c r="E36" s="10"/>
      <c r="F36" s="10"/>
      <c r="G36" s="10"/>
      <c r="H36" s="125"/>
      <c r="I36" s="125"/>
      <c r="J36" s="179"/>
      <c r="K36" s="179"/>
      <c r="L36" s="180"/>
      <c r="M36" s="180"/>
    </row>
    <row r="37" spans="1:13" ht="13.95" customHeight="1" x14ac:dyDescent="0.25">
      <c r="A37" s="34">
        <v>1.4</v>
      </c>
      <c r="B37" s="34" t="s">
        <v>116</v>
      </c>
      <c r="C37" s="74"/>
      <c r="D37" s="10"/>
      <c r="E37" s="10"/>
      <c r="F37" s="10"/>
      <c r="G37" s="10"/>
    </row>
    <row r="38" spans="1:13" ht="13.95" customHeight="1" x14ac:dyDescent="0.25">
      <c r="A38" s="201" t="s">
        <v>84</v>
      </c>
      <c r="B38" s="182" t="s">
        <v>141</v>
      </c>
      <c r="C38" s="74"/>
      <c r="D38" s="10">
        <f>+H38</f>
        <v>0</v>
      </c>
      <c r="E38" s="10">
        <f>+I38</f>
        <v>0</v>
      </c>
      <c r="F38" s="10">
        <f>SUM(D38:E38)</f>
        <v>0</v>
      </c>
      <c r="G38" s="10"/>
      <c r="H38" s="10"/>
      <c r="I38" s="10"/>
      <c r="J38" s="10"/>
      <c r="K38" s="10"/>
      <c r="L38" s="80"/>
      <c r="M38" s="80"/>
    </row>
    <row r="39" spans="1:13" ht="13.95" customHeight="1" x14ac:dyDescent="0.25">
      <c r="A39" s="201" t="s">
        <v>436</v>
      </c>
      <c r="B39" s="182" t="s">
        <v>142</v>
      </c>
      <c r="C39" s="74" t="s">
        <v>39</v>
      </c>
      <c r="D39" s="10"/>
      <c r="E39" s="10"/>
      <c r="F39" s="10"/>
      <c r="G39" s="10"/>
      <c r="H39" s="153">
        <f>((290000/2))/3.5</f>
        <v>41428.571428571428</v>
      </c>
      <c r="I39" s="153">
        <f>((290000/2))/3.5</f>
        <v>41428.571428571428</v>
      </c>
      <c r="J39" s="10"/>
      <c r="K39" s="10"/>
      <c r="L39" s="80"/>
      <c r="M39" s="80"/>
    </row>
    <row r="40" spans="1:13" ht="13.95" customHeight="1" x14ac:dyDescent="0.25">
      <c r="A40" s="201" t="s">
        <v>438</v>
      </c>
      <c r="B40" s="182" t="s">
        <v>143</v>
      </c>
      <c r="C40" s="74"/>
      <c r="D40" s="10"/>
      <c r="E40" s="10"/>
      <c r="F40" s="10"/>
      <c r="G40" s="10"/>
      <c r="H40" s="10"/>
      <c r="I40" s="10"/>
      <c r="J40" s="10"/>
      <c r="K40" s="10"/>
      <c r="L40" s="80"/>
      <c r="M40" s="80"/>
    </row>
    <row r="41" spans="1:13" ht="13.95" customHeight="1" x14ac:dyDescent="0.25">
      <c r="A41" s="201" t="s">
        <v>437</v>
      </c>
      <c r="B41" s="182" t="s">
        <v>144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</row>
    <row r="42" spans="1:13" ht="13.95" customHeight="1" x14ac:dyDescent="0.25">
      <c r="A42" s="37"/>
      <c r="B42" s="35"/>
      <c r="C42" s="2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13" ht="13.95" customHeight="1" x14ac:dyDescent="0.25">
      <c r="A43" s="37"/>
      <c r="B43" s="40"/>
      <c r="C43" s="211"/>
      <c r="D43" s="10"/>
      <c r="E43" s="10"/>
      <c r="F43" s="10"/>
      <c r="G43" s="10"/>
      <c r="H43" s="71"/>
      <c r="I43" s="71"/>
      <c r="J43" s="10"/>
      <c r="K43" s="10"/>
      <c r="L43" s="10"/>
      <c r="M43" s="10"/>
    </row>
    <row r="44" spans="1:13" ht="13.95" customHeight="1" x14ac:dyDescent="0.25">
      <c r="A44" s="34">
        <v>1.5</v>
      </c>
      <c r="B44" s="34" t="s">
        <v>121</v>
      </c>
      <c r="C44" s="215" t="s">
        <v>427</v>
      </c>
      <c r="D44" s="10"/>
      <c r="E44" s="10"/>
      <c r="F44" s="10"/>
      <c r="G44" s="10"/>
      <c r="H44" s="71"/>
      <c r="I44" s="71"/>
      <c r="J44" s="10"/>
      <c r="K44" s="10"/>
      <c r="L44" s="10"/>
      <c r="M44" s="10"/>
    </row>
    <row r="45" spans="1:13" ht="13.95" customHeight="1" x14ac:dyDescent="0.25">
      <c r="A45" s="37" t="s">
        <v>124</v>
      </c>
      <c r="B45" s="40" t="s">
        <v>125</v>
      </c>
      <c r="C45" s="212"/>
      <c r="D45" s="10"/>
      <c r="E45" s="10"/>
      <c r="F45" s="10"/>
      <c r="G45" s="10"/>
      <c r="H45" s="71"/>
      <c r="I45" s="71"/>
      <c r="J45" s="10"/>
      <c r="K45" s="10"/>
      <c r="L45" s="152" t="e">
        <f>(4531220/2)/#REF!</f>
        <v>#REF!</v>
      </c>
      <c r="M45" s="152" t="e">
        <f>(4531220/2)/#REF!</f>
        <v>#REF!</v>
      </c>
    </row>
    <row r="46" spans="1:13" ht="13.95" customHeight="1" x14ac:dyDescent="0.25">
      <c r="A46" s="37"/>
      <c r="B46" s="40"/>
      <c r="C46" s="211"/>
      <c r="D46" s="10"/>
      <c r="E46" s="10"/>
      <c r="F46" s="10"/>
      <c r="G46" s="10"/>
      <c r="H46" s="71"/>
      <c r="I46" s="71"/>
      <c r="J46" s="10"/>
      <c r="K46" s="10"/>
      <c r="L46" s="10"/>
      <c r="M46" s="10"/>
    </row>
    <row r="47" spans="1:13" ht="13.95" customHeight="1" x14ac:dyDescent="0.25">
      <c r="A47" s="34">
        <v>1.6</v>
      </c>
      <c r="B47" s="34" t="s">
        <v>108</v>
      </c>
      <c r="C47" s="211"/>
      <c r="D47" s="10"/>
      <c r="E47" s="10"/>
      <c r="F47" s="10"/>
      <c r="G47" s="10"/>
      <c r="H47" s="71"/>
      <c r="I47" s="71"/>
      <c r="J47" s="10"/>
      <c r="K47" s="10"/>
      <c r="L47" s="10"/>
      <c r="M47" s="10"/>
    </row>
    <row r="48" spans="1:13" s="72" customFormat="1" ht="13.95" customHeight="1" x14ac:dyDescent="0.25">
      <c r="A48" s="73" t="s">
        <v>145</v>
      </c>
      <c r="B48" s="117" t="s">
        <v>169</v>
      </c>
      <c r="C48" s="216"/>
      <c r="D48" s="10">
        <f>+H48</f>
        <v>3321.7057142857143</v>
      </c>
      <c r="E48" s="10">
        <f>+I48</f>
        <v>3321.7057142857143</v>
      </c>
      <c r="F48" s="10">
        <f t="shared" si="6"/>
        <v>6643.4114285714286</v>
      </c>
      <c r="G48" s="10"/>
      <c r="H48" s="154">
        <f>+(23251.94/2)/3.5</f>
        <v>3321.7057142857143</v>
      </c>
      <c r="I48" s="154">
        <f>+(23251.94/2)/3.5</f>
        <v>3321.7057142857143</v>
      </c>
      <c r="J48" s="10"/>
      <c r="K48" s="10"/>
      <c r="L48" s="154">
        <f>+(23251.94/2)/3.5</f>
        <v>3321.7057142857143</v>
      </c>
      <c r="M48" s="154">
        <f>+(23251.94/2)/3.5</f>
        <v>3321.7057142857143</v>
      </c>
    </row>
    <row r="49" spans="1:13" s="72" customFormat="1" ht="13.95" customHeight="1" x14ac:dyDescent="0.25">
      <c r="A49" s="73" t="s">
        <v>146</v>
      </c>
      <c r="B49" s="82" t="s">
        <v>149</v>
      </c>
      <c r="C49" s="216" t="s">
        <v>145</v>
      </c>
      <c r="D49" s="10"/>
      <c r="E49" s="10"/>
      <c r="F49" s="10"/>
      <c r="G49" s="10"/>
      <c r="H49" s="71"/>
      <c r="I49" s="71"/>
      <c r="J49" s="10"/>
      <c r="K49" s="10"/>
      <c r="L49" s="152">
        <f>(301810/4)/3.5</f>
        <v>21557.857142857141</v>
      </c>
      <c r="M49" s="152">
        <f t="shared" ref="M49" si="20">(301810/4)/3.5</f>
        <v>21557.857142857141</v>
      </c>
    </row>
    <row r="50" spans="1:13" s="72" customFormat="1" ht="13.95" customHeight="1" x14ac:dyDescent="0.25">
      <c r="A50" s="73" t="s">
        <v>147</v>
      </c>
      <c r="B50" s="82" t="s">
        <v>139</v>
      </c>
      <c r="C50" s="216"/>
      <c r="D50" s="10"/>
      <c r="E50" s="10"/>
      <c r="F50" s="10"/>
      <c r="G50" s="10"/>
      <c r="H50" s="71"/>
      <c r="I50" s="71"/>
      <c r="J50" s="10"/>
      <c r="K50" s="10"/>
      <c r="L50" s="153">
        <f>(23251.94/4)/3.5</f>
        <v>1660.8528571428571</v>
      </c>
      <c r="M50" s="153">
        <f t="shared" ref="M50" si="21">(23251.94/4)/3.5</f>
        <v>1660.8528571428571</v>
      </c>
    </row>
    <row r="51" spans="1:13" s="72" customFormat="1" ht="13.95" customHeight="1" x14ac:dyDescent="0.25">
      <c r="A51" s="73" t="s">
        <v>148</v>
      </c>
      <c r="B51" s="117" t="s">
        <v>150</v>
      </c>
      <c r="C51" s="216" t="s">
        <v>434</v>
      </c>
      <c r="D51" s="10"/>
      <c r="E51" s="10"/>
      <c r="F51" s="10"/>
      <c r="G51" s="10"/>
      <c r="H51" s="71"/>
      <c r="I51" s="71"/>
      <c r="J51" s="80"/>
      <c r="K51" s="80"/>
      <c r="L51" s="104"/>
      <c r="M51" s="104"/>
    </row>
    <row r="52" spans="1:13" s="72" customFormat="1" ht="13.95" customHeight="1" x14ac:dyDescent="0.25">
      <c r="A52" s="73" t="s">
        <v>151</v>
      </c>
      <c r="B52" s="117" t="s">
        <v>152</v>
      </c>
      <c r="C52" s="211"/>
      <c r="D52" s="10">
        <f>+H52</f>
        <v>12815.635714285714</v>
      </c>
      <c r="E52" s="10">
        <f>+I52</f>
        <v>12815.635714285714</v>
      </c>
      <c r="F52" s="10">
        <f t="shared" si="6"/>
        <v>25631.271428571428</v>
      </c>
      <c r="G52" s="10"/>
      <c r="H52" s="154">
        <f>+(89709.45/2)/3.5</f>
        <v>12815.635714285714</v>
      </c>
      <c r="I52" s="154">
        <f>+(89709.45/2)/3.5</f>
        <v>12815.635714285714</v>
      </c>
      <c r="J52" s="10"/>
      <c r="K52" s="10"/>
      <c r="L52" s="154">
        <f>(44854/2)/3.5</f>
        <v>6407.7142857142853</v>
      </c>
      <c r="M52" s="154">
        <f>(44854/2)/3.5</f>
        <v>6407.7142857142853</v>
      </c>
    </row>
    <row r="53" spans="1:13" s="72" customFormat="1" ht="13.95" customHeight="1" x14ac:dyDescent="0.25">
      <c r="A53" s="73"/>
      <c r="B53" s="73"/>
      <c r="C53" s="211"/>
      <c r="D53" s="10"/>
      <c r="E53" s="10"/>
      <c r="F53" s="10"/>
      <c r="G53" s="10"/>
      <c r="H53" s="71"/>
      <c r="I53" s="71"/>
      <c r="J53" s="10"/>
      <c r="K53" s="10"/>
      <c r="L53" s="10"/>
      <c r="M53" s="10"/>
    </row>
    <row r="54" spans="1:13" s="72" customFormat="1" ht="13.95" customHeight="1" x14ac:dyDescent="0.25">
      <c r="A54" s="34">
        <v>1.7</v>
      </c>
      <c r="B54" s="34" t="s">
        <v>440</v>
      </c>
      <c r="C54" s="215" t="s">
        <v>429</v>
      </c>
      <c r="D54" s="10"/>
      <c r="E54" s="10"/>
      <c r="F54" s="10"/>
      <c r="G54" s="10"/>
      <c r="H54" s="71"/>
      <c r="I54" s="71"/>
      <c r="J54" s="10"/>
      <c r="K54" s="10"/>
      <c r="L54" s="10"/>
      <c r="M54" s="10"/>
    </row>
    <row r="55" spans="1:13" ht="13.95" customHeight="1" x14ac:dyDescent="0.25">
      <c r="A55" s="37" t="s">
        <v>126</v>
      </c>
      <c r="B55" s="40" t="s">
        <v>132</v>
      </c>
      <c r="D55" s="10"/>
      <c r="E55" s="10"/>
      <c r="F55" s="10"/>
      <c r="G55" s="10"/>
      <c r="H55" s="71"/>
      <c r="I55" s="71"/>
      <c r="J55" s="10"/>
      <c r="K55" s="10"/>
      <c r="L55" s="156">
        <f>50000/3.5</f>
        <v>14285.714285714286</v>
      </c>
      <c r="M55" s="156">
        <f>50000/3.5</f>
        <v>14285.714285714286</v>
      </c>
    </row>
    <row r="56" spans="1:13" ht="13.95" customHeight="1" x14ac:dyDescent="0.25">
      <c r="A56" s="37" t="s">
        <v>133</v>
      </c>
      <c r="B56" s="40" t="s">
        <v>134</v>
      </c>
      <c r="C56" s="207" t="s">
        <v>126</v>
      </c>
      <c r="D56" s="10"/>
      <c r="E56" s="10"/>
      <c r="F56" s="10"/>
      <c r="G56" s="10"/>
      <c r="H56" s="71"/>
      <c r="I56" s="71"/>
      <c r="J56" s="10"/>
      <c r="K56" s="10"/>
      <c r="L56" s="153">
        <f>+(400000/4)/3.5</f>
        <v>28571.428571428572</v>
      </c>
      <c r="M56" s="153">
        <f t="shared" ref="M56" si="22">+(400000/4)/3.5</f>
        <v>28571.428571428572</v>
      </c>
    </row>
    <row r="57" spans="1:13" ht="13.95" customHeight="1" x14ac:dyDescent="0.25">
      <c r="A57" s="37"/>
      <c r="B57" s="40"/>
      <c r="C57" s="211"/>
      <c r="D57" s="10"/>
      <c r="E57" s="10"/>
      <c r="F57" s="10"/>
      <c r="G57" s="10"/>
      <c r="H57" s="71"/>
      <c r="I57" s="71"/>
      <c r="J57" s="10"/>
      <c r="K57" s="10"/>
      <c r="L57" s="10"/>
      <c r="M57" s="10"/>
    </row>
    <row r="58" spans="1:13" ht="13.95" customHeight="1" x14ac:dyDescent="0.25">
      <c r="A58" s="34">
        <v>1.8</v>
      </c>
      <c r="B58" s="34" t="s">
        <v>285</v>
      </c>
      <c r="C58" s="217" t="s">
        <v>432</v>
      </c>
      <c r="D58" s="10"/>
      <c r="E58" s="10"/>
      <c r="F58" s="10"/>
      <c r="G58" s="10"/>
      <c r="H58" s="71"/>
      <c r="I58" s="71"/>
      <c r="J58" s="10"/>
      <c r="K58" s="10"/>
      <c r="L58" s="10"/>
      <c r="M58" s="10"/>
    </row>
    <row r="59" spans="1:13" ht="13.95" customHeight="1" x14ac:dyDescent="0.25">
      <c r="A59" s="37" t="s">
        <v>217</v>
      </c>
      <c r="B59" s="40" t="s">
        <v>281</v>
      </c>
      <c r="C59" s="211"/>
      <c r="D59" s="10"/>
      <c r="E59" s="10"/>
      <c r="F59" s="10"/>
      <c r="G59" s="10"/>
      <c r="I59" s="154">
        <f>+(202800/2)/3.5</f>
        <v>28971.428571428572</v>
      </c>
      <c r="J59" s="104"/>
      <c r="K59" s="104"/>
      <c r="L59" s="152">
        <f>+(192000/4)/3.5</f>
        <v>13714.285714285714</v>
      </c>
      <c r="M59" s="152">
        <f t="shared" ref="M59" si="23">+(192000/4)/3.5</f>
        <v>13714.285714285714</v>
      </c>
    </row>
    <row r="60" spans="1:13" ht="13.95" customHeight="1" x14ac:dyDescent="0.25">
      <c r="A60" s="37" t="s">
        <v>218</v>
      </c>
      <c r="B60" s="40" t="s">
        <v>282</v>
      </c>
      <c r="C60" s="216" t="s">
        <v>217</v>
      </c>
      <c r="D60" s="10"/>
      <c r="E60" s="10"/>
      <c r="F60" s="10"/>
      <c r="G60" s="10"/>
      <c r="H60" s="103"/>
      <c r="I60" s="103"/>
      <c r="J60" s="104"/>
      <c r="K60" s="104"/>
      <c r="L60" s="152">
        <f>+(42000/4)/3.5</f>
        <v>3000</v>
      </c>
      <c r="M60" s="152">
        <f t="shared" ref="M60" si="24">+(42000/4)/3.5</f>
        <v>3000</v>
      </c>
    </row>
    <row r="61" spans="1:13" ht="13.95" customHeight="1" x14ac:dyDescent="0.25">
      <c r="A61" s="37" t="s">
        <v>219</v>
      </c>
      <c r="B61" s="40" t="s">
        <v>226</v>
      </c>
      <c r="C61" s="216" t="s">
        <v>218</v>
      </c>
      <c r="D61" s="10"/>
      <c r="E61" s="10"/>
      <c r="F61" s="10"/>
      <c r="G61" s="10"/>
      <c r="H61" s="103"/>
      <c r="I61" s="103"/>
      <c r="J61" s="104"/>
      <c r="K61" s="104"/>
      <c r="L61" s="152">
        <f>+(41400/2)/3.5</f>
        <v>5914.2857142857147</v>
      </c>
      <c r="M61" s="152">
        <f>+(41400/2)/3.5</f>
        <v>5914.2857142857147</v>
      </c>
    </row>
    <row r="62" spans="1:13" ht="13.95" customHeight="1" x14ac:dyDescent="0.25">
      <c r="A62" s="37" t="s">
        <v>220</v>
      </c>
      <c r="B62" s="40" t="s">
        <v>224</v>
      </c>
      <c r="C62" s="216"/>
      <c r="D62" s="10"/>
      <c r="E62" s="10"/>
      <c r="F62" s="10"/>
      <c r="G62" s="10"/>
      <c r="H62" s="154">
        <f>+(156850/2)/3.5</f>
        <v>22407.142857142859</v>
      </c>
      <c r="I62" s="154">
        <f>+(156850/2)/3.5</f>
        <v>22407.142857142859</v>
      </c>
      <c r="J62" s="10"/>
      <c r="K62" s="10"/>
      <c r="L62" s="152">
        <f>+(100000/2)/3.5</f>
        <v>14285.714285714286</v>
      </c>
      <c r="M62" s="152">
        <f>+(100000/2)/3.5</f>
        <v>14285.714285714286</v>
      </c>
    </row>
    <row r="63" spans="1:13" ht="13.95" customHeight="1" x14ac:dyDescent="0.25">
      <c r="A63" s="37" t="s">
        <v>221</v>
      </c>
      <c r="B63" s="40" t="s">
        <v>225</v>
      </c>
      <c r="C63" s="216" t="s">
        <v>220</v>
      </c>
      <c r="D63" s="10"/>
      <c r="E63" s="10"/>
      <c r="F63" s="10"/>
      <c r="G63" s="10"/>
      <c r="H63" s="71"/>
      <c r="I63" s="71"/>
      <c r="J63" s="10"/>
      <c r="K63" s="10"/>
      <c r="L63" s="72"/>
      <c r="M63" s="72"/>
    </row>
    <row r="64" spans="1:13" ht="13.95" customHeight="1" x14ac:dyDescent="0.25">
      <c r="A64" s="37" t="s">
        <v>222</v>
      </c>
      <c r="B64" s="40" t="s">
        <v>231</v>
      </c>
      <c r="C64" s="216" t="s">
        <v>221</v>
      </c>
      <c r="D64" s="10"/>
      <c r="E64" s="10"/>
      <c r="F64" s="10"/>
      <c r="G64" s="10"/>
      <c r="H64" s="71"/>
      <c r="I64" s="71"/>
      <c r="J64" s="10"/>
      <c r="K64" s="10"/>
      <c r="L64" s="152">
        <f>+(216000/4)/3.5</f>
        <v>15428.571428571429</v>
      </c>
      <c r="M64" s="152">
        <f t="shared" ref="M64" si="25">+(216000/4)/3.5</f>
        <v>15428.571428571429</v>
      </c>
    </row>
    <row r="65" spans="1:13" ht="13.95" customHeight="1" x14ac:dyDescent="0.25">
      <c r="A65" s="37" t="s">
        <v>223</v>
      </c>
      <c r="B65" s="40" t="s">
        <v>232</v>
      </c>
      <c r="C65" s="216"/>
      <c r="D65" s="10"/>
      <c r="E65" s="10"/>
      <c r="F65" s="10"/>
      <c r="G65" s="10"/>
      <c r="H65" s="154">
        <v>33968</v>
      </c>
      <c r="I65" s="154">
        <f>+(237770/2)/3.5</f>
        <v>33967.142857142855</v>
      </c>
      <c r="J65" s="10"/>
      <c r="K65" s="10"/>
      <c r="L65" s="152">
        <f>+(78000/2)/3.5</f>
        <v>11142.857142857143</v>
      </c>
      <c r="M65" s="152">
        <f>+(78000/2)/3.5</f>
        <v>11142.857142857143</v>
      </c>
    </row>
    <row r="66" spans="1:13" ht="13.95" customHeight="1" x14ac:dyDescent="0.25">
      <c r="A66" s="37" t="s">
        <v>227</v>
      </c>
      <c r="B66" s="40" t="s">
        <v>233</v>
      </c>
      <c r="C66" s="216" t="s">
        <v>223</v>
      </c>
      <c r="D66" s="10"/>
      <c r="E66" s="10"/>
      <c r="F66" s="10"/>
      <c r="G66" s="10"/>
      <c r="H66" s="71"/>
      <c r="I66" s="71"/>
      <c r="J66" s="10"/>
      <c r="K66" s="10"/>
      <c r="L66" s="152">
        <f>+(145000/2)/3.5</f>
        <v>20714.285714285714</v>
      </c>
      <c r="M66" s="152">
        <f>+(145000/2)/3.5</f>
        <v>20714.285714285714</v>
      </c>
    </row>
    <row r="67" spans="1:13" ht="13.95" customHeight="1" x14ac:dyDescent="0.25">
      <c r="A67" s="37" t="s">
        <v>228</v>
      </c>
      <c r="B67" s="40" t="s">
        <v>234</v>
      </c>
      <c r="C67" s="216" t="s">
        <v>227</v>
      </c>
      <c r="D67" s="10"/>
      <c r="E67" s="10"/>
      <c r="F67" s="10"/>
      <c r="G67" s="10"/>
      <c r="H67" s="71"/>
      <c r="I67" s="71"/>
      <c r="J67" s="10"/>
      <c r="K67" s="10"/>
      <c r="L67" s="152">
        <f>+(959395/2)/3.5</f>
        <v>137056.42857142858</v>
      </c>
      <c r="M67" s="152">
        <f>+(959395/2)/3.5</f>
        <v>137056.42857142858</v>
      </c>
    </row>
    <row r="68" spans="1:13" ht="13.95" customHeight="1" x14ac:dyDescent="0.25">
      <c r="A68" s="37" t="s">
        <v>229</v>
      </c>
      <c r="B68" s="40" t="s">
        <v>309</v>
      </c>
      <c r="C68" s="212" t="s">
        <v>431</v>
      </c>
      <c r="D68" s="10"/>
      <c r="E68" s="10"/>
      <c r="F68" s="10"/>
      <c r="G68" s="10"/>
      <c r="H68" s="71"/>
      <c r="I68" s="71"/>
      <c r="J68" s="10"/>
      <c r="K68" s="10"/>
      <c r="L68" s="152">
        <f>+(25998/4)/3.5</f>
        <v>1857</v>
      </c>
      <c r="M68" s="152">
        <f t="shared" ref="M68" si="26">+(25998/4)/3.5</f>
        <v>1857</v>
      </c>
    </row>
    <row r="69" spans="1:13" ht="13.95" customHeight="1" x14ac:dyDescent="0.25">
      <c r="A69" s="37" t="s">
        <v>230</v>
      </c>
      <c r="B69" s="40" t="s">
        <v>235</v>
      </c>
      <c r="C69" s="212" t="s">
        <v>431</v>
      </c>
      <c r="D69" s="10"/>
      <c r="E69" s="10"/>
      <c r="F69" s="10"/>
      <c r="G69" s="10"/>
      <c r="H69" s="71"/>
      <c r="I69" s="71"/>
      <c r="J69" s="10"/>
      <c r="K69" s="10"/>
      <c r="L69" s="152">
        <f>+(432080/4)/3.5</f>
        <v>30862.857142857141</v>
      </c>
      <c r="M69" s="152">
        <f t="shared" ref="M69" si="27">+(432080/4)/3.5</f>
        <v>30862.857142857141</v>
      </c>
    </row>
    <row r="70" spans="1:13" ht="13.95" customHeight="1" x14ac:dyDescent="0.25">
      <c r="A70" s="37" t="s">
        <v>286</v>
      </c>
      <c r="B70" s="40" t="s">
        <v>297</v>
      </c>
      <c r="C70" s="212" t="s">
        <v>431</v>
      </c>
      <c r="D70" s="10">
        <f>+G70</f>
        <v>28971.428571428572</v>
      </c>
      <c r="E70" s="10">
        <f>+I70</f>
        <v>0</v>
      </c>
      <c r="F70" s="10">
        <f t="shared" si="6"/>
        <v>28971.428571428572</v>
      </c>
      <c r="G70" s="154">
        <f>+(202800/2)/3.5</f>
        <v>28971.428571428572</v>
      </c>
      <c r="H70" s="71"/>
      <c r="I70" s="71"/>
      <c r="J70" s="10"/>
      <c r="K70" s="10"/>
      <c r="L70" s="47"/>
      <c r="M70" s="47"/>
    </row>
    <row r="71" spans="1:13" ht="13.95" customHeight="1" x14ac:dyDescent="0.25">
      <c r="A71" s="37" t="s">
        <v>287</v>
      </c>
      <c r="B71" s="40" t="s">
        <v>295</v>
      </c>
      <c r="C71" s="212" t="s">
        <v>431</v>
      </c>
      <c r="D71" s="10"/>
      <c r="E71" s="10"/>
      <c r="F71" s="10"/>
      <c r="G71" s="10"/>
      <c r="H71" s="71"/>
      <c r="I71" s="71"/>
      <c r="J71" s="10"/>
      <c r="K71" s="10"/>
      <c r="L71" s="47"/>
      <c r="M71" s="47"/>
    </row>
    <row r="72" spans="1:13" ht="13.95" customHeight="1" x14ac:dyDescent="0.25">
      <c r="A72" s="37" t="s">
        <v>288</v>
      </c>
      <c r="B72" s="40" t="s">
        <v>296</v>
      </c>
      <c r="C72" s="211"/>
      <c r="D72" s="10"/>
      <c r="E72" s="10"/>
      <c r="F72" s="10"/>
      <c r="G72" s="10"/>
      <c r="H72" s="71"/>
      <c r="I72" s="71"/>
      <c r="J72" s="10"/>
      <c r="K72" s="10"/>
      <c r="L72" s="47"/>
      <c r="M72" s="47"/>
    </row>
    <row r="73" spans="1:13" ht="13.95" customHeight="1" x14ac:dyDescent="0.25">
      <c r="A73" s="37" t="s">
        <v>289</v>
      </c>
      <c r="B73" s="40" t="s">
        <v>298</v>
      </c>
      <c r="C73" s="211" t="s">
        <v>288</v>
      </c>
      <c r="D73" s="10">
        <f>+H73</f>
        <v>0</v>
      </c>
      <c r="E73" s="10">
        <f>+I73</f>
        <v>0</v>
      </c>
      <c r="F73" s="10">
        <f t="shared" si="6"/>
        <v>0</v>
      </c>
      <c r="G73" s="10"/>
      <c r="H73" s="71"/>
      <c r="I73" s="71"/>
      <c r="J73" s="10"/>
      <c r="K73" s="10"/>
      <c r="L73" s="47"/>
      <c r="M73" s="47"/>
    </row>
    <row r="74" spans="1:13" ht="13.95" customHeight="1" x14ac:dyDescent="0.25">
      <c r="A74" s="37" t="s">
        <v>290</v>
      </c>
      <c r="B74" s="40" t="s">
        <v>299</v>
      </c>
      <c r="C74" s="211"/>
      <c r="D74" s="10"/>
      <c r="E74" s="10"/>
      <c r="F74" s="10"/>
      <c r="G74" s="10"/>
      <c r="H74" s="71"/>
      <c r="I74" s="71"/>
      <c r="J74" s="10"/>
      <c r="K74" s="10"/>
      <c r="L74" s="47"/>
      <c r="M74" s="47"/>
    </row>
    <row r="75" spans="1:13" ht="13.95" customHeight="1" x14ac:dyDescent="0.25">
      <c r="A75" s="37" t="s">
        <v>291</v>
      </c>
      <c r="B75" s="40" t="s">
        <v>300</v>
      </c>
      <c r="C75" s="211"/>
      <c r="D75" s="10"/>
      <c r="E75" s="10"/>
      <c r="F75" s="10"/>
      <c r="G75" s="10"/>
      <c r="H75" s="71"/>
      <c r="I75" s="71"/>
      <c r="J75" s="10"/>
      <c r="K75" s="10"/>
      <c r="L75" s="47"/>
      <c r="M75" s="47"/>
    </row>
    <row r="76" spans="1:13" ht="13.95" customHeight="1" x14ac:dyDescent="0.25">
      <c r="A76" s="37" t="s">
        <v>292</v>
      </c>
      <c r="B76" s="40" t="s">
        <v>301</v>
      </c>
      <c r="C76" s="211"/>
      <c r="D76" s="10">
        <f>+H76</f>
        <v>0</v>
      </c>
      <c r="E76" s="10">
        <f>+I76</f>
        <v>0</v>
      </c>
      <c r="F76" s="10">
        <f t="shared" si="6"/>
        <v>0</v>
      </c>
      <c r="G76" s="10"/>
      <c r="H76" s="71"/>
      <c r="I76" s="71"/>
      <c r="J76" s="10"/>
      <c r="K76" s="10"/>
      <c r="L76" s="47"/>
      <c r="M76" s="47"/>
    </row>
    <row r="77" spans="1:13" ht="13.95" customHeight="1" x14ac:dyDescent="0.25">
      <c r="A77" s="37" t="s">
        <v>293</v>
      </c>
      <c r="B77" s="40" t="s">
        <v>302</v>
      </c>
      <c r="C77" s="211"/>
      <c r="D77" s="10"/>
      <c r="E77" s="10"/>
      <c r="F77" s="10"/>
      <c r="G77" s="10"/>
      <c r="H77" s="71"/>
      <c r="I77" s="71"/>
      <c r="J77" s="10"/>
      <c r="K77" s="10"/>
      <c r="L77" s="47"/>
      <c r="M77" s="47"/>
    </row>
    <row r="78" spans="1:13" ht="13.95" customHeight="1" x14ac:dyDescent="0.25">
      <c r="A78" s="37" t="s">
        <v>294</v>
      </c>
      <c r="B78" s="40" t="s">
        <v>303</v>
      </c>
      <c r="C78" s="211"/>
      <c r="D78" s="10"/>
      <c r="E78" s="10"/>
      <c r="F78" s="10"/>
      <c r="G78" s="10"/>
      <c r="H78" s="71"/>
      <c r="I78" s="71"/>
      <c r="J78" s="10"/>
      <c r="K78" s="10"/>
      <c r="L78" s="47"/>
      <c r="M78" s="47"/>
    </row>
    <row r="79" spans="1:13" ht="13.95" customHeight="1" x14ac:dyDescent="0.25">
      <c r="A79" s="37"/>
      <c r="B79" s="40"/>
      <c r="D79" s="10"/>
      <c r="E79" s="10"/>
      <c r="F79" s="10"/>
      <c r="G79" s="10"/>
      <c r="H79" s="10"/>
      <c r="I79" s="10"/>
      <c r="J79" s="10"/>
      <c r="K79" s="10"/>
      <c r="L79" s="10"/>
      <c r="M79" s="10"/>
    </row>
    <row r="80" spans="1:13" ht="28.2" customHeight="1" x14ac:dyDescent="0.25">
      <c r="A80" s="241" t="s">
        <v>103</v>
      </c>
      <c r="B80" s="241"/>
      <c r="C80" s="218"/>
      <c r="D80" s="74"/>
      <c r="E80" s="74"/>
      <c r="F80" s="10"/>
      <c r="G80" s="125"/>
    </row>
    <row r="81" spans="1:13" ht="13.95" customHeight="1" x14ac:dyDescent="0.25">
      <c r="A81" s="34">
        <v>2.1</v>
      </c>
      <c r="B81" s="34" t="s">
        <v>109</v>
      </c>
      <c r="C81" s="218"/>
      <c r="D81" s="10"/>
      <c r="E81" s="10"/>
      <c r="F81" s="10"/>
      <c r="G81" s="10"/>
      <c r="H81" s="47"/>
      <c r="I81" s="47"/>
      <c r="J81" s="47"/>
      <c r="K81" s="47"/>
      <c r="L81" s="47"/>
      <c r="M81" s="47"/>
    </row>
    <row r="82" spans="1:13" ht="12.6" customHeight="1" x14ac:dyDescent="0.25">
      <c r="A82" s="37" t="s">
        <v>22</v>
      </c>
      <c r="B82" s="40" t="s">
        <v>127</v>
      </c>
      <c r="C82" s="207"/>
      <c r="D82" s="10">
        <f>+H82</f>
        <v>19528.007142857143</v>
      </c>
      <c r="E82" s="10">
        <f>+I82</f>
        <v>19528.007142857143</v>
      </c>
      <c r="F82" s="10">
        <f t="shared" ref="F82:F132" si="28">SUM(D82:E82)</f>
        <v>39056.014285714286</v>
      </c>
      <c r="G82" s="10"/>
      <c r="H82" s="152">
        <f>+(136696.05/2)/3.5</f>
        <v>19528.007142857143</v>
      </c>
      <c r="I82" s="152">
        <f>+(136696.05/2)/3.5</f>
        <v>19528.007142857143</v>
      </c>
      <c r="J82" s="10"/>
      <c r="K82" s="10"/>
      <c r="L82" s="10"/>
      <c r="M82" s="10"/>
    </row>
    <row r="83" spans="1:13" ht="24" customHeight="1" x14ac:dyDescent="0.25">
      <c r="A83" s="37" t="s">
        <v>23</v>
      </c>
      <c r="B83" s="40" t="s">
        <v>179</v>
      </c>
      <c r="C83" s="207" t="s">
        <v>22</v>
      </c>
      <c r="D83" s="10"/>
      <c r="E83" s="10"/>
      <c r="F83" s="10"/>
      <c r="G83" s="10"/>
      <c r="H83" s="10"/>
      <c r="I83" s="10"/>
      <c r="J83" s="10"/>
      <c r="K83" s="10"/>
      <c r="L83" s="152">
        <f>(327500/4)/3.5</f>
        <v>23392.857142857141</v>
      </c>
      <c r="M83" s="152">
        <f t="shared" ref="M83" si="29">(327500/4)/3.5</f>
        <v>23392.857142857141</v>
      </c>
    </row>
    <row r="84" spans="1:13" ht="13.95" customHeight="1" x14ac:dyDescent="0.25">
      <c r="A84" s="37" t="s">
        <v>180</v>
      </c>
      <c r="B84" s="35" t="s">
        <v>184</v>
      </c>
      <c r="C84" s="218"/>
      <c r="D84" s="10"/>
      <c r="E84" s="10"/>
      <c r="F84" s="10"/>
      <c r="G84" s="10"/>
      <c r="H84" s="10"/>
      <c r="I84" s="10"/>
      <c r="J84" s="10"/>
      <c r="K84" s="10"/>
      <c r="L84" s="152">
        <f>(54000/2)/3.5</f>
        <v>7714.2857142857147</v>
      </c>
      <c r="M84" s="152">
        <f>(54000/2)/3.5</f>
        <v>7714.2857142857147</v>
      </c>
    </row>
    <row r="85" spans="1:13" ht="13.95" customHeight="1" x14ac:dyDescent="0.25">
      <c r="A85" s="37" t="s">
        <v>181</v>
      </c>
      <c r="B85" s="35" t="s">
        <v>137</v>
      </c>
      <c r="C85" s="218"/>
      <c r="D85" s="10"/>
      <c r="E85" s="10"/>
      <c r="F85" s="10"/>
      <c r="G85" s="10"/>
      <c r="H85" s="10"/>
      <c r="I85" s="10"/>
      <c r="J85" s="10"/>
      <c r="K85" s="10"/>
      <c r="L85" s="152">
        <f>(7950/2)/3.5</f>
        <v>1135.7142857142858</v>
      </c>
      <c r="M85" s="152">
        <f>(7950/2)/3.5</f>
        <v>1135.7142857142858</v>
      </c>
    </row>
    <row r="86" spans="1:13" ht="13.95" customHeight="1" x14ac:dyDescent="0.25">
      <c r="A86" s="37" t="s">
        <v>182</v>
      </c>
      <c r="B86" s="35" t="s">
        <v>187</v>
      </c>
      <c r="D86" s="10"/>
      <c r="E86" s="10"/>
      <c r="F86" s="10"/>
      <c r="G86" s="10"/>
      <c r="H86" s="10"/>
      <c r="I86" s="10"/>
      <c r="J86" s="10"/>
      <c r="K86" s="10"/>
      <c r="L86" s="152">
        <f>(63131.62/4)/3.5</f>
        <v>4509.4014285714284</v>
      </c>
      <c r="M86" s="152">
        <f t="shared" ref="M86" si="30">(63131.62/4)/3.5</f>
        <v>4509.4014285714284</v>
      </c>
    </row>
    <row r="87" spans="1:13" ht="13.95" customHeight="1" x14ac:dyDescent="0.25">
      <c r="A87" s="37" t="s">
        <v>183</v>
      </c>
      <c r="B87" s="35" t="s">
        <v>188</v>
      </c>
      <c r="C87" s="218"/>
      <c r="D87" s="10"/>
      <c r="E87" s="10"/>
      <c r="F87" s="10"/>
      <c r="G87" s="10"/>
      <c r="H87" s="10"/>
      <c r="I87" s="10"/>
      <c r="J87" s="10"/>
      <c r="K87" s="10"/>
      <c r="L87" s="152">
        <f>(914378.91/4)/3.5</f>
        <v>65312.779285714285</v>
      </c>
      <c r="M87" s="152">
        <f t="shared" ref="M87" si="31">(914378.91/4)/3.5</f>
        <v>65312.779285714285</v>
      </c>
    </row>
    <row r="88" spans="1:13" ht="21.6" customHeight="1" x14ac:dyDescent="0.25">
      <c r="A88" s="37" t="s">
        <v>186</v>
      </c>
      <c r="B88" s="40" t="s">
        <v>139</v>
      </c>
      <c r="C88" s="207" t="s">
        <v>22</v>
      </c>
      <c r="D88" s="10"/>
      <c r="E88" s="10"/>
      <c r="F88" s="10"/>
      <c r="G88" s="10"/>
      <c r="H88" s="10"/>
      <c r="I88" s="10"/>
      <c r="J88" s="10"/>
      <c r="K88" s="10"/>
      <c r="L88" s="152">
        <f>(830701.91/4)/3.5</f>
        <v>59335.85071428572</v>
      </c>
      <c r="M88" s="152">
        <f t="shared" ref="M88" si="32">(830701.91/4)/3.5</f>
        <v>59335.85071428572</v>
      </c>
    </row>
    <row r="89" spans="1:13" ht="13.95" customHeight="1" x14ac:dyDescent="0.25">
      <c r="A89" s="37"/>
      <c r="B89" s="35"/>
      <c r="C89" s="211"/>
      <c r="D89" s="10"/>
      <c r="E89" s="10"/>
      <c r="F89" s="10"/>
      <c r="G89" s="10"/>
      <c r="H89" s="10"/>
      <c r="I89" s="10"/>
      <c r="J89" s="10"/>
      <c r="K89" s="10"/>
      <c r="L89" s="10"/>
      <c r="M89" s="10"/>
    </row>
    <row r="90" spans="1:13" ht="13.95" customHeight="1" x14ac:dyDescent="0.25">
      <c r="A90" s="38">
        <v>2.2000000000000002</v>
      </c>
      <c r="B90" s="34" t="s">
        <v>110</v>
      </c>
      <c r="C90" s="211"/>
      <c r="D90" s="10"/>
      <c r="E90" s="10"/>
      <c r="F90" s="10"/>
      <c r="G90" s="10"/>
      <c r="H90" s="47"/>
      <c r="I90" s="47"/>
      <c r="J90" s="47"/>
      <c r="K90" s="47"/>
      <c r="L90" s="47"/>
      <c r="M90" s="47"/>
    </row>
    <row r="91" spans="1:13" ht="13.95" customHeight="1" x14ac:dyDescent="0.25">
      <c r="A91" s="37" t="s">
        <v>55</v>
      </c>
      <c r="B91" s="40" t="s">
        <v>127</v>
      </c>
      <c r="D91" s="10">
        <f>+H91</f>
        <v>41716.642857142855</v>
      </c>
      <c r="E91" s="10">
        <f>+I91</f>
        <v>41716.642857142855</v>
      </c>
      <c r="F91" s="10">
        <f t="shared" si="28"/>
        <v>83433.28571428571</v>
      </c>
      <c r="G91" s="10"/>
      <c r="H91" s="153">
        <f>+(292016.5/2)/3.5</f>
        <v>41716.642857142855</v>
      </c>
      <c r="I91" s="153">
        <f>+(292016.5/2)/3.5</f>
        <v>41716.642857142855</v>
      </c>
      <c r="J91" s="10"/>
      <c r="K91" s="10"/>
      <c r="L91" s="10"/>
      <c r="M91" s="10"/>
    </row>
    <row r="92" spans="1:13" ht="13.95" customHeight="1" x14ac:dyDescent="0.25">
      <c r="A92" s="37" t="s">
        <v>24</v>
      </c>
      <c r="B92" s="40" t="s">
        <v>310</v>
      </c>
      <c r="C92" s="216" t="s">
        <v>55</v>
      </c>
      <c r="D92" s="10"/>
      <c r="E92" s="10"/>
      <c r="F92" s="10"/>
      <c r="G92" s="10"/>
      <c r="H92" s="10"/>
      <c r="I92" s="10"/>
      <c r="J92" s="10"/>
      <c r="K92" s="10"/>
      <c r="L92" s="153">
        <f t="shared" ref="L92:M92" si="33">+(2865360/4)/3.5</f>
        <v>204668.57142857142</v>
      </c>
      <c r="M92" s="153">
        <f t="shared" si="33"/>
        <v>204668.57142857142</v>
      </c>
    </row>
    <row r="93" spans="1:13" ht="13.95" customHeight="1" x14ac:dyDescent="0.25">
      <c r="A93" s="37" t="s">
        <v>25</v>
      </c>
      <c r="B93" s="35" t="s">
        <v>172</v>
      </c>
      <c r="C93" s="216" t="s">
        <v>55</v>
      </c>
      <c r="D93" s="10"/>
      <c r="E93" s="10"/>
      <c r="F93" s="10"/>
      <c r="G93" s="10"/>
      <c r="H93" s="10"/>
      <c r="I93" s="10"/>
      <c r="J93" s="10"/>
      <c r="K93" s="10"/>
      <c r="L93" s="80"/>
      <c r="M93" s="80"/>
    </row>
    <row r="94" spans="1:13" ht="13.95" customHeight="1" x14ac:dyDescent="0.25">
      <c r="A94" s="37" t="s">
        <v>170</v>
      </c>
      <c r="B94" s="35" t="s">
        <v>173</v>
      </c>
      <c r="C94" s="216" t="s">
        <v>55</v>
      </c>
      <c r="D94" s="10"/>
      <c r="E94" s="10"/>
      <c r="F94" s="10"/>
      <c r="G94" s="10"/>
      <c r="H94" s="10"/>
      <c r="I94" s="10"/>
      <c r="J94" s="10"/>
      <c r="K94" s="10"/>
      <c r="L94" s="80"/>
      <c r="M94" s="80"/>
    </row>
    <row r="95" spans="1:13" ht="13.95" customHeight="1" x14ac:dyDescent="0.25">
      <c r="A95" s="37" t="s">
        <v>171</v>
      </c>
      <c r="B95" s="35" t="s">
        <v>175</v>
      </c>
      <c r="C95" s="211"/>
      <c r="D95" s="10"/>
      <c r="E95" s="10"/>
      <c r="F95" s="10"/>
      <c r="G95" s="10"/>
      <c r="H95" s="10"/>
      <c r="I95" s="10"/>
      <c r="J95" s="10"/>
      <c r="K95" s="10"/>
      <c r="L95" s="80"/>
      <c r="M95" s="80"/>
    </row>
    <row r="96" spans="1:13" ht="13.95" customHeight="1" x14ac:dyDescent="0.25">
      <c r="A96" s="37" t="s">
        <v>174</v>
      </c>
      <c r="B96" s="35" t="s">
        <v>176</v>
      </c>
      <c r="C96" s="211"/>
      <c r="D96" s="10"/>
      <c r="E96" s="10"/>
      <c r="F96" s="10"/>
      <c r="G96" s="10"/>
      <c r="H96" s="10"/>
      <c r="I96" s="10"/>
      <c r="J96" s="10"/>
      <c r="K96" s="10"/>
      <c r="L96" s="80"/>
      <c r="M96" s="80"/>
    </row>
    <row r="97" spans="1:13" ht="13.95" customHeight="1" x14ac:dyDescent="0.25">
      <c r="A97" s="37"/>
      <c r="B97" s="35"/>
      <c r="C97" s="211"/>
      <c r="D97" s="10"/>
      <c r="E97" s="10"/>
      <c r="F97" s="10"/>
      <c r="G97" s="10"/>
      <c r="H97" s="10"/>
      <c r="I97" s="10"/>
      <c r="J97" s="10"/>
      <c r="K97" s="10"/>
      <c r="L97" s="10"/>
      <c r="M97" s="10"/>
    </row>
    <row r="98" spans="1:13" ht="29.4" customHeight="1" x14ac:dyDescent="0.25">
      <c r="A98" s="34">
        <v>2.2999999999999998</v>
      </c>
      <c r="B98" s="34" t="s">
        <v>111</v>
      </c>
      <c r="D98" s="10"/>
      <c r="E98" s="10"/>
      <c r="F98" s="10"/>
      <c r="G98" s="10"/>
      <c r="H98" s="47"/>
      <c r="I98" s="47"/>
      <c r="J98" s="47"/>
      <c r="K98" s="47"/>
      <c r="L98" s="47"/>
      <c r="M98" s="47"/>
    </row>
    <row r="99" spans="1:13" ht="13.95" customHeight="1" x14ac:dyDescent="0.25">
      <c r="A99" s="37" t="s">
        <v>26</v>
      </c>
      <c r="B99" s="35" t="s">
        <v>177</v>
      </c>
      <c r="D99" s="10"/>
      <c r="E99" s="10"/>
      <c r="F99" s="10"/>
      <c r="G99" s="10"/>
      <c r="H99" s="10"/>
      <c r="I99" s="10"/>
      <c r="J99" s="10"/>
      <c r="K99" s="10"/>
      <c r="L99" s="71">
        <f>+(100000/2)/3.5</f>
        <v>14285.714285714286</v>
      </c>
      <c r="M99" s="71">
        <f>+(100000/2)/3.5</f>
        <v>14285.714285714286</v>
      </c>
    </row>
    <row r="100" spans="1:13" ht="13.95" customHeight="1" x14ac:dyDescent="0.25">
      <c r="A100" s="37" t="s">
        <v>27</v>
      </c>
      <c r="B100" s="40" t="s">
        <v>185</v>
      </c>
      <c r="C100" s="216" t="s">
        <v>26</v>
      </c>
      <c r="D100" s="10"/>
      <c r="E100" s="10"/>
      <c r="F100" s="10"/>
      <c r="G100" s="10"/>
      <c r="H100" s="10"/>
      <c r="I100" s="10"/>
      <c r="J100" s="10"/>
      <c r="K100" s="10"/>
      <c r="L100" s="153">
        <f>+(3374400/4)/3.5</f>
        <v>241028.57142857142</v>
      </c>
      <c r="M100" s="153">
        <f t="shared" ref="M100" si="34">+(3374400/4)/3.5</f>
        <v>241028.57142857142</v>
      </c>
    </row>
    <row r="101" spans="1:13" ht="13.95" customHeight="1" x14ac:dyDescent="0.25">
      <c r="A101" s="37" t="s">
        <v>28</v>
      </c>
      <c r="B101" s="40" t="s">
        <v>178</v>
      </c>
      <c r="C101" s="216"/>
      <c r="D101" s="10"/>
      <c r="E101" s="10"/>
      <c r="F101" s="10"/>
      <c r="G101" s="10"/>
      <c r="H101" s="10"/>
      <c r="I101" s="10"/>
      <c r="J101" s="10"/>
      <c r="K101" s="10"/>
      <c r="L101" s="153">
        <f>+(2370960/4)/3.5</f>
        <v>169354.28571428571</v>
      </c>
      <c r="M101" s="153">
        <f t="shared" ref="M101" si="35">+(2370960/4)/3.5</f>
        <v>169354.28571428571</v>
      </c>
    </row>
    <row r="102" spans="1:13" ht="13.95" customHeight="1" x14ac:dyDescent="0.25">
      <c r="A102" s="37"/>
      <c r="B102" s="35"/>
      <c r="C102" s="216"/>
      <c r="D102" s="10"/>
      <c r="E102" s="10"/>
      <c r="F102" s="10"/>
      <c r="G102" s="10"/>
      <c r="H102" s="10"/>
      <c r="I102" s="10"/>
      <c r="J102" s="10"/>
      <c r="K102" s="10"/>
      <c r="L102" s="10"/>
      <c r="M102" s="10"/>
    </row>
    <row r="103" spans="1:13" ht="13.95" customHeight="1" x14ac:dyDescent="0.25">
      <c r="A103" s="34">
        <v>2.4</v>
      </c>
      <c r="B103" s="34" t="s">
        <v>112</v>
      </c>
      <c r="C103" s="219"/>
      <c r="D103" s="10"/>
      <c r="E103" s="10"/>
      <c r="F103" s="10"/>
      <c r="G103" s="10"/>
      <c r="H103" s="72"/>
      <c r="I103" s="72"/>
      <c r="J103" s="72"/>
      <c r="K103" s="72"/>
      <c r="L103" s="72"/>
      <c r="M103" s="72"/>
    </row>
    <row r="104" spans="1:13" s="72" customFormat="1" ht="13.95" customHeight="1" x14ac:dyDescent="0.25">
      <c r="A104" s="73" t="s">
        <v>153</v>
      </c>
      <c r="B104" s="82" t="s">
        <v>157</v>
      </c>
      <c r="C104" s="214"/>
      <c r="D104" s="10"/>
      <c r="E104" s="10"/>
      <c r="F104" s="10"/>
      <c r="G104" s="10"/>
      <c r="H104" s="10"/>
      <c r="I104" s="10"/>
      <c r="J104" s="113"/>
      <c r="K104" s="113"/>
      <c r="L104" s="155">
        <f>(426000/2)/3.5</f>
        <v>60857.142857142855</v>
      </c>
      <c r="M104" s="113"/>
    </row>
    <row r="105" spans="1:13" s="72" customFormat="1" ht="13.95" customHeight="1" x14ac:dyDescent="0.25">
      <c r="A105" s="73" t="s">
        <v>154</v>
      </c>
      <c r="B105" s="82" t="s">
        <v>158</v>
      </c>
      <c r="C105" s="216" t="s">
        <v>153</v>
      </c>
      <c r="D105" s="10"/>
      <c r="E105" s="10"/>
      <c r="F105" s="10"/>
      <c r="G105" s="10"/>
      <c r="H105" s="10"/>
      <c r="I105" s="10"/>
      <c r="J105" s="113"/>
      <c r="K105" s="113"/>
      <c r="L105" s="155">
        <f>+(144000/2)/3.5</f>
        <v>20571.428571428572</v>
      </c>
      <c r="M105" s="113"/>
    </row>
    <row r="106" spans="1:13" s="72" customFormat="1" ht="13.95" customHeight="1" x14ac:dyDescent="0.25">
      <c r="A106" s="73" t="s">
        <v>155</v>
      </c>
      <c r="B106" s="82" t="s">
        <v>159</v>
      </c>
      <c r="C106" s="216"/>
      <c r="D106" s="10">
        <f>+J106</f>
        <v>4723.7114285714288</v>
      </c>
      <c r="E106" s="10"/>
      <c r="F106" s="10">
        <f t="shared" si="28"/>
        <v>4723.7114285714288</v>
      </c>
      <c r="G106" s="10"/>
      <c r="H106" s="10"/>
      <c r="I106" s="10"/>
      <c r="J106" s="155">
        <f>16532.99/3.5</f>
        <v>4723.7114285714288</v>
      </c>
      <c r="K106" s="113"/>
      <c r="L106" s="114"/>
      <c r="M106" s="113"/>
    </row>
    <row r="107" spans="1:13" s="72" customFormat="1" ht="13.95" customHeight="1" x14ac:dyDescent="0.25">
      <c r="A107" s="73" t="s">
        <v>156</v>
      </c>
      <c r="B107" s="82" t="s">
        <v>160</v>
      </c>
      <c r="C107" s="216" t="s">
        <v>430</v>
      </c>
      <c r="D107" s="10"/>
      <c r="E107" s="10"/>
      <c r="F107" s="10"/>
      <c r="G107" s="10"/>
      <c r="H107" s="10"/>
      <c r="I107" s="10"/>
      <c r="J107" s="113"/>
      <c r="K107" s="113"/>
      <c r="L107" s="113"/>
      <c r="M107" s="113"/>
    </row>
    <row r="108" spans="1:13" s="72" customFormat="1" ht="13.95" customHeight="1" x14ac:dyDescent="0.25">
      <c r="A108" s="73" t="s">
        <v>161</v>
      </c>
      <c r="B108" s="82" t="s">
        <v>164</v>
      </c>
      <c r="C108" s="216" t="s">
        <v>156</v>
      </c>
      <c r="D108" s="10"/>
      <c r="E108" s="10"/>
      <c r="F108" s="10"/>
      <c r="G108" s="10"/>
      <c r="H108" s="10"/>
      <c r="I108" s="10"/>
      <c r="J108" s="113"/>
      <c r="K108" s="113"/>
      <c r="L108" s="113"/>
      <c r="M108" s="113"/>
    </row>
    <row r="109" spans="1:13" s="72" customFormat="1" ht="13.95" customHeight="1" x14ac:dyDescent="0.25">
      <c r="A109" s="73" t="s">
        <v>162</v>
      </c>
      <c r="B109" s="82" t="s">
        <v>167</v>
      </c>
      <c r="C109" s="211"/>
      <c r="D109" s="10"/>
      <c r="E109" s="10"/>
      <c r="F109" s="10"/>
      <c r="G109" s="10"/>
      <c r="H109" s="10"/>
      <c r="I109" s="10"/>
      <c r="J109" s="113"/>
      <c r="K109" s="113"/>
      <c r="L109" s="113"/>
      <c r="M109" s="113"/>
    </row>
    <row r="110" spans="1:13" s="72" customFormat="1" ht="13.95" customHeight="1" x14ac:dyDescent="0.25">
      <c r="A110" s="73" t="s">
        <v>163</v>
      </c>
      <c r="B110" s="82" t="s">
        <v>165</v>
      </c>
      <c r="C110" s="211"/>
      <c r="D110" s="10">
        <f>+J110</f>
        <v>2142.85</v>
      </c>
      <c r="E110" s="10"/>
      <c r="F110" s="10">
        <f t="shared" si="28"/>
        <v>2142.85</v>
      </c>
      <c r="G110" s="10"/>
      <c r="H110" s="10"/>
      <c r="I110" s="10"/>
      <c r="J110" s="155">
        <v>2142.85</v>
      </c>
      <c r="K110" s="113"/>
      <c r="L110" s="113"/>
      <c r="M110" s="113"/>
    </row>
    <row r="111" spans="1:13" s="72" customFormat="1" ht="13.95" customHeight="1" x14ac:dyDescent="0.25">
      <c r="A111" s="73" t="s">
        <v>166</v>
      </c>
      <c r="B111" s="82" t="s">
        <v>140</v>
      </c>
      <c r="C111" s="220"/>
      <c r="D111" s="10"/>
      <c r="E111" s="10"/>
      <c r="F111" s="10"/>
      <c r="G111" s="10"/>
      <c r="H111" s="10"/>
      <c r="I111" s="10"/>
      <c r="J111" s="113"/>
      <c r="K111" s="113"/>
      <c r="L111" s="113"/>
      <c r="M111" s="113"/>
    </row>
    <row r="112" spans="1:13" ht="13.95" customHeight="1" x14ac:dyDescent="0.25">
      <c r="A112" s="37"/>
      <c r="B112" s="35"/>
      <c r="D112" s="10"/>
      <c r="E112" s="10"/>
      <c r="F112" s="10"/>
      <c r="G112" s="10"/>
      <c r="H112" s="10"/>
      <c r="I112" s="10"/>
      <c r="J112" s="10"/>
      <c r="K112" s="10"/>
      <c r="L112" s="10"/>
      <c r="M112" s="10"/>
    </row>
    <row r="113" spans="1:13" ht="28.2" customHeight="1" x14ac:dyDescent="0.25">
      <c r="A113" s="241" t="s">
        <v>104</v>
      </c>
      <c r="B113" s="241"/>
      <c r="C113" s="74"/>
      <c r="D113" s="74"/>
      <c r="E113" s="74"/>
      <c r="F113" s="10"/>
      <c r="G113" s="125"/>
    </row>
    <row r="114" spans="1:13" ht="13.95" customHeight="1" x14ac:dyDescent="0.25">
      <c r="A114" s="34">
        <v>3.1</v>
      </c>
      <c r="B114" s="34" t="s">
        <v>113</v>
      </c>
      <c r="C114" s="221" t="s">
        <v>427</v>
      </c>
      <c r="D114" s="10"/>
      <c r="E114" s="10"/>
      <c r="F114" s="10"/>
      <c r="G114" s="10"/>
    </row>
    <row r="115" spans="1:13" ht="13.95" customHeight="1" x14ac:dyDescent="0.25">
      <c r="A115" s="37" t="s">
        <v>30</v>
      </c>
      <c r="B115" s="40" t="s">
        <v>194</v>
      </c>
      <c r="C115" s="74"/>
      <c r="D115" s="10">
        <f>+G115</f>
        <v>14619.428571428571</v>
      </c>
      <c r="E115" s="10">
        <f>+I115</f>
        <v>229037.71428571429</v>
      </c>
      <c r="F115" s="10">
        <f t="shared" si="28"/>
        <v>243657.14285714287</v>
      </c>
      <c r="G115" s="152">
        <f>(852800*0.06)/3.5</f>
        <v>14619.428571428571</v>
      </c>
      <c r="H115" s="47"/>
      <c r="I115" s="152">
        <f>(852800*0.94)/3.5</f>
        <v>229037.71428571429</v>
      </c>
      <c r="J115" s="10"/>
      <c r="K115" s="71"/>
      <c r="L115" s="71"/>
      <c r="M115" s="71"/>
    </row>
    <row r="116" spans="1:13" ht="13.95" customHeight="1" x14ac:dyDescent="0.25">
      <c r="A116" s="37" t="s">
        <v>29</v>
      </c>
      <c r="B116" s="35" t="s">
        <v>195</v>
      </c>
      <c r="C116" s="74"/>
      <c r="D116" s="10"/>
      <c r="E116" s="10"/>
      <c r="F116" s="10"/>
      <c r="G116" s="10"/>
      <c r="H116" s="10"/>
      <c r="I116" s="71"/>
      <c r="J116" s="10"/>
      <c r="K116" s="71"/>
      <c r="L116" s="71"/>
      <c r="M116" s="71"/>
    </row>
    <row r="117" spans="1:13" ht="13.95" customHeight="1" x14ac:dyDescent="0.25">
      <c r="A117" s="37" t="s">
        <v>31</v>
      </c>
      <c r="B117" s="35" t="s">
        <v>197</v>
      </c>
      <c r="C117" s="222" t="s">
        <v>426</v>
      </c>
      <c r="D117" s="10"/>
      <c r="E117" s="10"/>
      <c r="F117" s="10"/>
      <c r="G117" s="10"/>
      <c r="H117" s="10"/>
      <c r="I117" s="71"/>
      <c r="J117" s="10"/>
      <c r="K117" s="71"/>
      <c r="L117" s="71"/>
      <c r="M117" s="71"/>
    </row>
    <row r="118" spans="1:13" ht="13.95" customHeight="1" x14ac:dyDescent="0.25">
      <c r="A118" s="37" t="s">
        <v>32</v>
      </c>
      <c r="B118" s="35" t="s">
        <v>196</v>
      </c>
      <c r="C118" s="222" t="s">
        <v>426</v>
      </c>
      <c r="D118" s="10"/>
      <c r="E118" s="10"/>
      <c r="F118" s="10"/>
      <c r="G118" s="10"/>
      <c r="H118" s="10"/>
      <c r="I118" s="71"/>
      <c r="J118" s="10"/>
      <c r="K118" s="71"/>
      <c r="L118" s="71"/>
      <c r="M118" s="71"/>
    </row>
    <row r="119" spans="1:13" ht="13.95" customHeight="1" x14ac:dyDescent="0.25">
      <c r="A119" s="37" t="s">
        <v>33</v>
      </c>
      <c r="B119" s="35" t="s">
        <v>198</v>
      </c>
      <c r="C119" s="222" t="s">
        <v>426</v>
      </c>
      <c r="D119" s="10"/>
      <c r="E119" s="10"/>
      <c r="F119" s="10"/>
      <c r="G119" s="10"/>
      <c r="H119" s="10"/>
      <c r="I119" s="71"/>
      <c r="J119" s="10"/>
      <c r="K119" s="71"/>
      <c r="L119" s="71"/>
      <c r="M119" s="71"/>
    </row>
    <row r="120" spans="1:13" ht="13.95" customHeight="1" x14ac:dyDescent="0.25">
      <c r="A120" s="37" t="s">
        <v>34</v>
      </c>
      <c r="B120" s="35" t="s">
        <v>199</v>
      </c>
      <c r="C120" s="222" t="s">
        <v>426</v>
      </c>
      <c r="D120" s="10"/>
      <c r="E120" s="10"/>
      <c r="F120" s="10"/>
      <c r="G120" s="10"/>
      <c r="H120" s="10"/>
      <c r="I120" s="71"/>
      <c r="J120" s="10"/>
      <c r="K120" s="71"/>
      <c r="L120" s="71"/>
      <c r="M120" s="71"/>
    </row>
    <row r="121" spans="1:13" ht="13.95" customHeight="1" x14ac:dyDescent="0.25">
      <c r="A121" s="37" t="s">
        <v>35</v>
      </c>
      <c r="B121" s="35" t="s">
        <v>201</v>
      </c>
      <c r="C121" s="74"/>
      <c r="D121" s="10"/>
      <c r="E121" s="10"/>
      <c r="F121" s="10"/>
      <c r="G121" s="10"/>
      <c r="H121" s="10"/>
      <c r="I121" s="71"/>
      <c r="J121" s="10"/>
      <c r="K121" s="71"/>
      <c r="L121" s="7">
        <f>((2484585.69*0.06)/2)/3.5</f>
        <v>21296.448771428571</v>
      </c>
      <c r="M121" s="7">
        <f>((2484585.69*0.94)/2)/3.5</f>
        <v>333644.36408571427</v>
      </c>
    </row>
    <row r="122" spans="1:13" ht="13.95" customHeight="1" x14ac:dyDescent="0.25">
      <c r="A122" s="37" t="s">
        <v>36</v>
      </c>
      <c r="B122" s="35" t="s">
        <v>206</v>
      </c>
      <c r="C122" s="74"/>
      <c r="D122" s="10"/>
      <c r="E122" s="10"/>
      <c r="F122" s="10"/>
      <c r="G122" s="10"/>
      <c r="H122" s="10"/>
      <c r="I122" s="71"/>
      <c r="J122" s="10"/>
      <c r="K122" s="71"/>
      <c r="L122" s="80"/>
      <c r="M122" s="80"/>
    </row>
    <row r="123" spans="1:13" ht="13.95" customHeight="1" x14ac:dyDescent="0.25">
      <c r="A123" s="37" t="s">
        <v>82</v>
      </c>
      <c r="B123" s="35" t="s">
        <v>137</v>
      </c>
      <c r="C123" s="74"/>
      <c r="D123" s="10"/>
      <c r="E123" s="10"/>
      <c r="F123" s="10"/>
      <c r="G123" s="10"/>
      <c r="H123" s="10"/>
      <c r="I123" s="71"/>
      <c r="J123" s="10"/>
      <c r="K123" s="71"/>
      <c r="L123" s="80"/>
      <c r="M123" s="80"/>
    </row>
    <row r="124" spans="1:13" ht="13.95" customHeight="1" x14ac:dyDescent="0.25">
      <c r="A124" s="37" t="s">
        <v>37</v>
      </c>
      <c r="B124" s="35" t="s">
        <v>138</v>
      </c>
      <c r="C124" s="74"/>
      <c r="D124" s="10"/>
      <c r="E124" s="10"/>
      <c r="F124" s="10"/>
      <c r="G124" s="10"/>
      <c r="H124" s="10"/>
      <c r="I124" s="71"/>
      <c r="J124" s="10"/>
      <c r="K124" s="71"/>
      <c r="L124" s="71"/>
      <c r="M124" s="71"/>
    </row>
    <row r="125" spans="1:13" ht="13.95" customHeight="1" x14ac:dyDescent="0.25">
      <c r="A125" s="37" t="s">
        <v>200</v>
      </c>
      <c r="B125" s="35" t="s">
        <v>202</v>
      </c>
      <c r="C125" s="74"/>
      <c r="D125" s="10"/>
      <c r="E125" s="10"/>
      <c r="F125" s="10"/>
      <c r="G125" s="10"/>
      <c r="H125" s="10"/>
      <c r="I125" s="71"/>
      <c r="J125" s="10"/>
      <c r="K125" s="71"/>
      <c r="L125" s="80"/>
      <c r="M125" s="80"/>
    </row>
    <row r="126" spans="1:13" ht="13.95" customHeight="1" x14ac:dyDescent="0.25">
      <c r="A126" s="37" t="s">
        <v>203</v>
      </c>
      <c r="B126" s="40" t="s">
        <v>204</v>
      </c>
      <c r="D126" s="10"/>
      <c r="E126" s="10"/>
      <c r="F126" s="10"/>
      <c r="G126" s="10"/>
      <c r="H126" s="10"/>
      <c r="I126" s="71"/>
      <c r="J126" s="10"/>
      <c r="K126" s="71"/>
      <c r="L126" s="7">
        <f>((3142066.63*0.06)/2)/3.5</f>
        <v>26931.999685714283</v>
      </c>
      <c r="M126" s="7">
        <f>((3142066.63*0.94)/2)/3.5</f>
        <v>421934.66174285713</v>
      </c>
    </row>
    <row r="127" spans="1:13" ht="13.95" customHeight="1" x14ac:dyDescent="0.25">
      <c r="A127" s="37"/>
      <c r="B127" s="31"/>
      <c r="C127" s="74"/>
      <c r="D127" s="10"/>
      <c r="E127" s="10"/>
      <c r="F127" s="10"/>
      <c r="G127" s="10"/>
      <c r="H127" s="10"/>
      <c r="I127" s="10"/>
      <c r="J127" s="10"/>
      <c r="K127" s="10"/>
      <c r="L127" s="10"/>
      <c r="M127" s="10"/>
    </row>
    <row r="128" spans="1:13" ht="13.95" customHeight="1" x14ac:dyDescent="0.25">
      <c r="A128" s="38">
        <v>3.2</v>
      </c>
      <c r="B128" s="34" t="s">
        <v>114</v>
      </c>
      <c r="C128" s="223" t="s">
        <v>428</v>
      </c>
      <c r="D128" s="10"/>
      <c r="E128" s="10"/>
      <c r="F128" s="10"/>
      <c r="G128" s="10"/>
      <c r="H128" s="10"/>
      <c r="I128" s="10"/>
      <c r="J128" s="10"/>
      <c r="K128" s="10"/>
      <c r="L128" s="10"/>
      <c r="M128" s="10"/>
    </row>
    <row r="129" spans="1:13" ht="13.95" customHeight="1" x14ac:dyDescent="0.25">
      <c r="A129" s="37" t="s">
        <v>38</v>
      </c>
      <c r="B129" s="35" t="s">
        <v>189</v>
      </c>
      <c r="D129" s="10"/>
      <c r="E129" s="10"/>
      <c r="F129" s="10"/>
      <c r="G129" s="10"/>
      <c r="L129" s="175">
        <f>(1000000/4)/3.5</f>
        <v>71428.571428571435</v>
      </c>
      <c r="M129" s="175">
        <f t="shared" ref="M129" si="36">(1000000/4)/3.5</f>
        <v>71428.571428571435</v>
      </c>
    </row>
    <row r="130" spans="1:13" ht="13.95" customHeight="1" x14ac:dyDescent="0.25">
      <c r="A130" s="37"/>
      <c r="B130" s="35"/>
      <c r="C130" s="74"/>
      <c r="D130" s="10"/>
      <c r="E130" s="10"/>
      <c r="F130" s="10"/>
      <c r="G130" s="10"/>
      <c r="H130" s="80"/>
      <c r="I130" s="80"/>
      <c r="J130" s="80"/>
      <c r="K130" s="80"/>
      <c r="L130" s="80"/>
      <c r="M130" s="80"/>
    </row>
    <row r="131" spans="1:13" ht="13.95" customHeight="1" x14ac:dyDescent="0.25">
      <c r="A131" s="34">
        <v>3.3</v>
      </c>
      <c r="B131" s="34" t="s">
        <v>115</v>
      </c>
      <c r="C131" s="223"/>
      <c r="D131" s="10"/>
      <c r="E131" s="71"/>
      <c r="F131" s="10"/>
      <c r="G131" s="10"/>
      <c r="H131" s="72"/>
      <c r="I131" s="72"/>
      <c r="J131" s="72"/>
      <c r="K131" s="72"/>
      <c r="L131" s="72"/>
      <c r="M131" s="72"/>
    </row>
    <row r="132" spans="1:13" s="72" customFormat="1" ht="13.95" customHeight="1" x14ac:dyDescent="0.25">
      <c r="A132" s="75" t="s">
        <v>190</v>
      </c>
      <c r="B132" s="117" t="s">
        <v>210</v>
      </c>
      <c r="C132" s="74"/>
      <c r="D132" s="10">
        <f>+H132</f>
        <v>1798.9714285714285</v>
      </c>
      <c r="E132" s="71">
        <f>+I132</f>
        <v>28183.885714285712</v>
      </c>
      <c r="F132" s="10">
        <f t="shared" si="28"/>
        <v>29982.857142857141</v>
      </c>
      <c r="G132" s="10"/>
      <c r="H132" s="177">
        <f>(104940*0.06)/3.5</f>
        <v>1798.9714285714285</v>
      </c>
      <c r="I132" s="177">
        <f>(104940*0.94)/3.5</f>
        <v>28183.885714285712</v>
      </c>
      <c r="J132" s="10"/>
      <c r="K132" s="10"/>
      <c r="L132" s="71"/>
      <c r="M132" s="71"/>
    </row>
    <row r="133" spans="1:13" s="72" customFormat="1" ht="13.95" customHeight="1" x14ac:dyDescent="0.25">
      <c r="A133" s="75" t="s">
        <v>191</v>
      </c>
      <c r="B133" s="82" t="s">
        <v>207</v>
      </c>
      <c r="C133" s="74"/>
      <c r="D133" s="10"/>
      <c r="E133" s="71"/>
      <c r="F133" s="10"/>
      <c r="G133" s="10"/>
      <c r="H133" s="10"/>
      <c r="I133" s="71"/>
      <c r="J133" s="10"/>
      <c r="K133" s="10"/>
      <c r="L133" s="80"/>
      <c r="M133" s="80"/>
    </row>
    <row r="134" spans="1:13" s="72" customFormat="1" ht="13.95" customHeight="1" x14ac:dyDescent="0.25">
      <c r="A134" s="75" t="s">
        <v>192</v>
      </c>
      <c r="B134" s="82" t="s">
        <v>208</v>
      </c>
      <c r="C134" s="74"/>
      <c r="D134" s="10"/>
      <c r="E134" s="71"/>
      <c r="F134" s="10"/>
      <c r="G134" s="10"/>
      <c r="H134" s="10"/>
      <c r="I134" s="71"/>
      <c r="J134" s="10"/>
      <c r="K134" s="10"/>
      <c r="L134" s="80"/>
      <c r="M134" s="80"/>
    </row>
    <row r="135" spans="1:13" s="72" customFormat="1" ht="13.95" customHeight="1" x14ac:dyDescent="0.25">
      <c r="A135" s="75" t="s">
        <v>193</v>
      </c>
      <c r="B135" s="82" t="s">
        <v>212</v>
      </c>
      <c r="C135" s="214"/>
      <c r="D135" s="10"/>
      <c r="E135" s="71"/>
      <c r="F135" s="10"/>
      <c r="G135" s="10"/>
      <c r="H135" s="10"/>
      <c r="I135" s="71"/>
      <c r="J135" s="10"/>
      <c r="K135" s="10"/>
      <c r="L135" s="80"/>
      <c r="M135" s="80"/>
    </row>
    <row r="136" spans="1:13" s="72" customFormat="1" ht="13.95" customHeight="1" x14ac:dyDescent="0.25">
      <c r="A136" s="75" t="s">
        <v>211</v>
      </c>
      <c r="B136" s="82" t="s">
        <v>214</v>
      </c>
      <c r="C136" s="74"/>
      <c r="D136" s="10"/>
      <c r="E136" s="71"/>
      <c r="F136" s="10"/>
      <c r="G136" s="10"/>
      <c r="H136" s="10"/>
      <c r="I136" s="71"/>
      <c r="J136" s="10"/>
      <c r="K136" s="10"/>
      <c r="L136" s="80"/>
      <c r="M136" s="80"/>
    </row>
    <row r="137" spans="1:13" s="72" customFormat="1" ht="13.95" customHeight="1" x14ac:dyDescent="0.25">
      <c r="A137" s="75" t="s">
        <v>213</v>
      </c>
      <c r="B137" s="82" t="s">
        <v>209</v>
      </c>
      <c r="C137" s="214"/>
      <c r="D137" s="10"/>
      <c r="E137" s="71"/>
      <c r="F137" s="10"/>
      <c r="G137" s="10"/>
      <c r="H137" s="10"/>
      <c r="I137" s="71"/>
      <c r="J137" s="10"/>
      <c r="K137" s="10"/>
      <c r="L137" s="80"/>
      <c r="M137" s="80"/>
    </row>
    <row r="138" spans="1:13" ht="13.95" customHeight="1" x14ac:dyDescent="0.25">
      <c r="A138" s="49"/>
      <c r="B138" s="47"/>
      <c r="C138" s="74"/>
      <c r="D138" s="10"/>
      <c r="E138" s="10"/>
      <c r="F138" s="10"/>
      <c r="G138" s="10"/>
      <c r="H138" s="176"/>
      <c r="I138" s="176"/>
      <c r="J138" s="78"/>
      <c r="K138" s="78"/>
      <c r="L138" s="78"/>
      <c r="M138" s="78"/>
    </row>
    <row r="139" spans="1:13" ht="13.95" customHeight="1" x14ac:dyDescent="0.25">
      <c r="A139" s="37"/>
      <c r="B139" s="48"/>
      <c r="D139" s="10"/>
      <c r="E139" s="10"/>
      <c r="F139" s="10"/>
      <c r="G139" s="10"/>
      <c r="H139" s="10"/>
      <c r="I139" s="10"/>
      <c r="J139" s="10"/>
      <c r="K139" s="10"/>
      <c r="L139" s="10"/>
      <c r="M139" s="10"/>
    </row>
    <row r="140" spans="1:13" ht="13.95" customHeight="1" x14ac:dyDescent="0.25">
      <c r="A140" s="38">
        <v>3.4</v>
      </c>
      <c r="B140" s="34" t="s">
        <v>107</v>
      </c>
      <c r="C140" s="224" t="s">
        <v>433</v>
      </c>
      <c r="D140" s="10"/>
      <c r="E140" s="10"/>
      <c r="F140" s="10"/>
      <c r="G140" s="10"/>
      <c r="H140" s="10"/>
      <c r="I140" s="10"/>
      <c r="J140" s="10"/>
      <c r="K140" s="10"/>
      <c r="L140" s="10"/>
      <c r="M140" s="10"/>
    </row>
    <row r="141" spans="1:13" ht="13.95" customHeight="1" x14ac:dyDescent="0.25">
      <c r="A141" s="37" t="s">
        <v>39</v>
      </c>
      <c r="B141" s="48" t="s">
        <v>205</v>
      </c>
      <c r="D141" s="10"/>
      <c r="E141" s="10"/>
      <c r="F141" s="10"/>
      <c r="G141" s="10"/>
      <c r="H141" s="10"/>
      <c r="I141" s="10"/>
      <c r="J141" s="71"/>
      <c r="K141" s="71"/>
      <c r="L141" s="71"/>
      <c r="M141" s="71"/>
    </row>
    <row r="142" spans="1:13" ht="13.95" customHeight="1" x14ac:dyDescent="0.25">
      <c r="A142" s="37"/>
      <c r="B142" s="35"/>
      <c r="C142" s="74"/>
      <c r="D142" s="10"/>
      <c r="E142" s="10"/>
      <c r="F142" s="10"/>
      <c r="G142" s="10"/>
      <c r="H142" s="10"/>
      <c r="I142" s="10"/>
      <c r="J142" s="10"/>
      <c r="K142" s="10"/>
      <c r="L142" s="10"/>
      <c r="M142" s="10"/>
    </row>
    <row r="143" spans="1:13" ht="13.95" customHeight="1" x14ac:dyDescent="0.25">
      <c r="A143" s="38">
        <v>3.5</v>
      </c>
      <c r="B143" s="34" t="s">
        <v>117</v>
      </c>
      <c r="C143" s="223">
        <v>3.1</v>
      </c>
      <c r="D143" s="10"/>
      <c r="E143" s="10"/>
      <c r="F143" s="10"/>
      <c r="G143" s="10"/>
      <c r="H143" s="10"/>
      <c r="I143" s="10"/>
      <c r="J143" s="10"/>
      <c r="K143" s="10"/>
      <c r="L143" s="10"/>
      <c r="M143" s="10"/>
    </row>
    <row r="144" spans="1:13" ht="13.95" customHeight="1" x14ac:dyDescent="0.25">
      <c r="A144" s="108" t="s">
        <v>441</v>
      </c>
      <c r="B144" s="35" t="s">
        <v>168</v>
      </c>
      <c r="C144" s="116"/>
      <c r="D144" s="10"/>
      <c r="E144" s="10"/>
      <c r="F144" s="10"/>
      <c r="G144" s="10"/>
      <c r="H144" s="10"/>
      <c r="I144" s="10"/>
      <c r="J144" s="10"/>
      <c r="K144" s="10"/>
      <c r="L144" s="10"/>
      <c r="M144" s="10"/>
    </row>
    <row r="145" spans="1:13" ht="13.95" customHeight="1" x14ac:dyDescent="0.25">
      <c r="A145" s="17"/>
      <c r="B145" s="76"/>
      <c r="D145" s="78"/>
      <c r="E145" s="78"/>
      <c r="F145" s="78"/>
      <c r="G145" s="78"/>
    </row>
    <row r="146" spans="1:13" ht="13.95" customHeight="1" x14ac:dyDescent="0.25">
      <c r="A146" s="18"/>
      <c r="B146" s="11"/>
      <c r="C146" s="116"/>
      <c r="D146" s="115"/>
      <c r="E146" s="115"/>
      <c r="F146" s="115"/>
      <c r="G146" s="115"/>
      <c r="H146" s="72"/>
      <c r="I146" s="72"/>
      <c r="J146" s="72"/>
      <c r="K146" s="72"/>
      <c r="L146" s="72"/>
      <c r="M146" s="72"/>
    </row>
    <row r="147" spans="1:13" ht="13.95" customHeight="1" x14ac:dyDescent="0.25">
      <c r="A147" s="238" t="s">
        <v>85</v>
      </c>
      <c r="B147" s="238" t="s">
        <v>56</v>
      </c>
      <c r="C147" s="225"/>
      <c r="D147" s="83">
        <f>SUM(D4:D145)</f>
        <v>312756.1385714286</v>
      </c>
      <c r="E147" s="83">
        <f>SUM(E4:E145)</f>
        <v>517721.34857142862</v>
      </c>
      <c r="F147" s="83">
        <f>SUM(F4:F145)</f>
        <v>830477.48714285716</v>
      </c>
      <c r="G147" s="83"/>
      <c r="H147" s="9">
        <f t="shared" ref="H147:M147" si="37">SUM(H4:H144)</f>
        <v>331788.29142857145</v>
      </c>
      <c r="I147" s="9">
        <f t="shared" si="37"/>
        <v>631017.06285714277</v>
      </c>
      <c r="J147" s="9">
        <f t="shared" si="37"/>
        <v>20345.132857142857</v>
      </c>
      <c r="K147" s="9">
        <f t="shared" si="37"/>
        <v>13478.571428571429</v>
      </c>
      <c r="L147" s="9" t="e">
        <f t="shared" si="37"/>
        <v>#REF!</v>
      </c>
      <c r="M147" s="9" t="e">
        <f t="shared" si="37"/>
        <v>#REF!</v>
      </c>
    </row>
    <row r="148" spans="1:13" ht="13.95" customHeight="1" x14ac:dyDescent="0.25">
      <c r="A148" s="18"/>
      <c r="B148" s="11"/>
      <c r="C148" s="204"/>
      <c r="D148" s="116"/>
      <c r="E148" s="116"/>
      <c r="F148" s="116"/>
      <c r="G148" s="116"/>
    </row>
    <row r="149" spans="1:13" ht="13.95" customHeight="1" x14ac:dyDescent="0.25">
      <c r="A149" s="18"/>
      <c r="B149" s="5" t="s">
        <v>0</v>
      </c>
      <c r="C149" s="74"/>
      <c r="D149" s="10"/>
      <c r="E149" s="10"/>
      <c r="F149" s="10"/>
      <c r="G149" s="10"/>
    </row>
    <row r="150" spans="1:13" ht="13.95" customHeight="1" x14ac:dyDescent="0.25">
      <c r="A150" s="18"/>
      <c r="B150" s="105" t="s">
        <v>1</v>
      </c>
      <c r="C150" s="74"/>
      <c r="D150" s="10">
        <f>G150</f>
        <v>75428.571428571435</v>
      </c>
      <c r="E150" s="10">
        <f>+G150+K150</f>
        <v>75428.571428571435</v>
      </c>
      <c r="F150" s="10">
        <f t="shared" ref="F150:F168" si="38">SUM(D150:E150)</f>
        <v>150857.14285714287</v>
      </c>
      <c r="G150" s="153">
        <f>(264000)/3.5</f>
        <v>75428.571428571435</v>
      </c>
      <c r="H150" s="165"/>
      <c r="J150" s="6"/>
      <c r="K150" s="6"/>
      <c r="L150" s="153">
        <v>7542.8571428571431</v>
      </c>
      <c r="M150" s="153">
        <v>30171.428571428572</v>
      </c>
    </row>
    <row r="151" spans="1:13" ht="13.95" customHeight="1" x14ac:dyDescent="0.25">
      <c r="A151" s="18"/>
      <c r="B151" s="105" t="s">
        <v>269</v>
      </c>
      <c r="C151" s="74"/>
      <c r="D151" s="10">
        <f>+H151+J151</f>
        <v>8228.5714285714294</v>
      </c>
      <c r="E151" s="10">
        <f t="shared" ref="E151:E168" si="39">+I151+K151</f>
        <v>32914.285714285717</v>
      </c>
      <c r="F151" s="10">
        <f t="shared" si="38"/>
        <v>41142.857142857145</v>
      </c>
      <c r="G151" s="10"/>
      <c r="H151" s="164">
        <v>4114.2857142857147</v>
      </c>
      <c r="I151" s="153">
        <v>16457.142857142859</v>
      </c>
      <c r="J151" s="153">
        <v>4114.2857142857147</v>
      </c>
      <c r="K151" s="153">
        <v>16457.142857142859</v>
      </c>
      <c r="L151" s="153">
        <v>4114.2857142857147</v>
      </c>
      <c r="M151" s="153">
        <v>16457.142857142859</v>
      </c>
    </row>
    <row r="152" spans="1:13" ht="13.95" customHeight="1" x14ac:dyDescent="0.25">
      <c r="A152" s="18"/>
      <c r="B152" s="105" t="s">
        <v>270</v>
      </c>
      <c r="C152" s="74"/>
      <c r="D152" s="10">
        <f>+H152+J152</f>
        <v>32914.285714285717</v>
      </c>
      <c r="E152" s="10">
        <f t="shared" si="39"/>
        <v>131657.14285714287</v>
      </c>
      <c r="F152" s="10">
        <f t="shared" si="38"/>
        <v>164571.42857142858</v>
      </c>
      <c r="G152" s="10"/>
      <c r="H152" s="153">
        <v>16457.142857142859</v>
      </c>
      <c r="I152" s="153">
        <v>65828.571428571435</v>
      </c>
      <c r="J152" s="153">
        <v>16457.142857142859</v>
      </c>
      <c r="K152" s="153">
        <v>65828.571428571435</v>
      </c>
      <c r="L152" s="153">
        <v>24685.714285714286</v>
      </c>
      <c r="M152" s="153">
        <v>98742.857142857145</v>
      </c>
    </row>
    <row r="153" spans="1:13" ht="13.95" customHeight="1" x14ac:dyDescent="0.25">
      <c r="A153" s="18"/>
      <c r="B153" s="105" t="s">
        <v>2</v>
      </c>
      <c r="C153" s="74"/>
      <c r="D153" s="10">
        <f>+G153+J153</f>
        <v>48000</v>
      </c>
      <c r="E153" s="10">
        <f t="shared" si="39"/>
        <v>0</v>
      </c>
      <c r="F153" s="10">
        <f t="shared" si="38"/>
        <v>48000</v>
      </c>
      <c r="G153" s="166">
        <f>(168000)/3.5</f>
        <v>48000</v>
      </c>
      <c r="I153" s="6"/>
      <c r="J153" s="6"/>
      <c r="K153" s="6"/>
      <c r="L153" s="153">
        <v>4800</v>
      </c>
      <c r="M153" s="153">
        <v>19200</v>
      </c>
    </row>
    <row r="154" spans="1:13" ht="13.95" customHeight="1" x14ac:dyDescent="0.25">
      <c r="A154" s="18"/>
      <c r="B154" s="105" t="s">
        <v>271</v>
      </c>
      <c r="C154" s="74"/>
      <c r="D154" s="10">
        <f>+G154+J154</f>
        <v>68571.428571428565</v>
      </c>
      <c r="E154" s="10">
        <f t="shared" si="39"/>
        <v>0</v>
      </c>
      <c r="F154" s="10">
        <f t="shared" si="38"/>
        <v>68571.428571428565</v>
      </c>
      <c r="G154" s="166">
        <f>240000/3.5</f>
        <v>68571.428571428565</v>
      </c>
      <c r="H154" s="6"/>
      <c r="I154" s="6"/>
      <c r="J154" s="6"/>
      <c r="K154" s="6"/>
      <c r="L154" s="153">
        <v>6857.1428571428569</v>
      </c>
      <c r="M154" s="153">
        <v>27428.571428571428</v>
      </c>
    </row>
    <row r="155" spans="1:13" ht="13.95" customHeight="1" x14ac:dyDescent="0.25">
      <c r="A155" s="18"/>
      <c r="B155" s="105" t="s">
        <v>272</v>
      </c>
      <c r="C155" s="74"/>
      <c r="D155" s="10">
        <f>+G155+J155</f>
        <v>34285.714285714283</v>
      </c>
      <c r="E155" s="10">
        <f t="shared" si="39"/>
        <v>0</v>
      </c>
      <c r="F155" s="10">
        <f t="shared" si="38"/>
        <v>34285.714285714283</v>
      </c>
      <c r="G155" s="166">
        <f>(120000)/3.5</f>
        <v>34285.714285714283</v>
      </c>
      <c r="H155" s="6"/>
      <c r="I155" s="6"/>
      <c r="J155" s="6"/>
      <c r="K155" s="6"/>
      <c r="L155" s="153">
        <v>3428.5714285714284</v>
      </c>
      <c r="M155" s="153">
        <v>13714.285714285714</v>
      </c>
    </row>
    <row r="156" spans="1:13" ht="13.95" customHeight="1" x14ac:dyDescent="0.25">
      <c r="A156" s="18"/>
      <c r="B156" s="105" t="s">
        <v>273</v>
      </c>
      <c r="C156" s="74"/>
      <c r="D156" s="10">
        <f t="shared" ref="D156:D168" si="40">+H156+J156</f>
        <v>32914.285714285717</v>
      </c>
      <c r="E156" s="10">
        <f t="shared" si="39"/>
        <v>131657.14285714287</v>
      </c>
      <c r="F156" s="10">
        <f t="shared" si="38"/>
        <v>164571.42857142858</v>
      </c>
      <c r="G156" s="10"/>
      <c r="H156" s="153">
        <v>16457.142857142859</v>
      </c>
      <c r="I156" s="153">
        <v>65828.571428571435</v>
      </c>
      <c r="J156" s="153">
        <v>16457.142857142859</v>
      </c>
      <c r="K156" s="153">
        <v>65828.571428571435</v>
      </c>
      <c r="L156" s="153">
        <v>16457.142857142859</v>
      </c>
      <c r="M156" s="153">
        <v>65828.571428571435</v>
      </c>
    </row>
    <row r="157" spans="1:13" ht="13.95" customHeight="1" x14ac:dyDescent="0.25">
      <c r="A157" s="18"/>
      <c r="B157" s="203" t="s">
        <v>274</v>
      </c>
      <c r="C157" s="74"/>
      <c r="D157" s="10">
        <f t="shared" si="40"/>
        <v>5485.7142857142853</v>
      </c>
      <c r="E157" s="10">
        <f t="shared" si="39"/>
        <v>21942.857142857141</v>
      </c>
      <c r="F157" s="10">
        <f t="shared" si="38"/>
        <v>27428.571428571428</v>
      </c>
      <c r="G157" s="10"/>
      <c r="H157" s="153">
        <v>2742.8571428571427</v>
      </c>
      <c r="I157" s="153">
        <v>10971.428571428571</v>
      </c>
      <c r="J157" s="153">
        <v>2742.8571428571427</v>
      </c>
      <c r="K157" s="153">
        <v>10971.428571428571</v>
      </c>
      <c r="L157" s="153">
        <v>2742.8571428571427</v>
      </c>
      <c r="M157" s="153">
        <v>10971.428571428571</v>
      </c>
    </row>
    <row r="158" spans="1:13" ht="13.95" customHeight="1" x14ac:dyDescent="0.25">
      <c r="A158" s="18"/>
      <c r="B158" s="105" t="s">
        <v>275</v>
      </c>
      <c r="C158" s="74"/>
      <c r="D158" s="10">
        <f t="shared" si="40"/>
        <v>10285.714285714286</v>
      </c>
      <c r="E158" s="10">
        <f t="shared" si="39"/>
        <v>41142.857142857145</v>
      </c>
      <c r="F158" s="10">
        <f t="shared" si="38"/>
        <v>51428.571428571435</v>
      </c>
      <c r="G158" s="10"/>
      <c r="H158" s="153">
        <v>5142.8571428571431</v>
      </c>
      <c r="I158" s="153">
        <v>20571.428571428572</v>
      </c>
      <c r="J158" s="153">
        <v>5142.8571428571431</v>
      </c>
      <c r="K158" s="153">
        <v>20571.428571428572</v>
      </c>
      <c r="L158" s="153">
        <v>5142.8571428571431</v>
      </c>
      <c r="M158" s="153">
        <v>20571.428571428572</v>
      </c>
    </row>
    <row r="159" spans="1:13" ht="13.95" customHeight="1" x14ac:dyDescent="0.25">
      <c r="A159" s="18"/>
      <c r="B159" s="105" t="s">
        <v>276</v>
      </c>
      <c r="C159" s="74"/>
      <c r="D159" s="10">
        <f t="shared" si="40"/>
        <v>8228.5714285714294</v>
      </c>
      <c r="E159" s="10">
        <f t="shared" si="39"/>
        <v>32914.285714285717</v>
      </c>
      <c r="F159" s="10">
        <f t="shared" si="38"/>
        <v>41142.857142857145</v>
      </c>
      <c r="G159" s="10"/>
      <c r="H159" s="153">
        <v>4114.2857142857147</v>
      </c>
      <c r="I159" s="153">
        <v>16457.142857142859</v>
      </c>
      <c r="J159" s="153">
        <v>4114.2857142857147</v>
      </c>
      <c r="K159" s="153">
        <v>16457.142857142859</v>
      </c>
      <c r="L159" s="153">
        <v>4114.2857142857147</v>
      </c>
      <c r="M159" s="153">
        <v>16457.142857142859</v>
      </c>
    </row>
    <row r="160" spans="1:13" ht="13.95" customHeight="1" x14ac:dyDescent="0.25">
      <c r="A160" s="18"/>
      <c r="B160" s="105" t="s">
        <v>277</v>
      </c>
      <c r="C160" s="74"/>
      <c r="D160" s="10">
        <f t="shared" si="40"/>
        <v>8228.5714285714294</v>
      </c>
      <c r="E160" s="10">
        <f t="shared" si="39"/>
        <v>32914.285714285717</v>
      </c>
      <c r="F160" s="10">
        <f t="shared" si="38"/>
        <v>41142.857142857145</v>
      </c>
      <c r="G160" s="10"/>
      <c r="H160" s="173">
        <v>4114.2857142857147</v>
      </c>
      <c r="I160" s="173">
        <v>16457.142857142859</v>
      </c>
      <c r="J160" s="173">
        <v>4114.2857142857147</v>
      </c>
      <c r="K160" s="173">
        <v>16457.142857142859</v>
      </c>
      <c r="L160" s="173">
        <v>4114.2857142857147</v>
      </c>
      <c r="M160" s="173">
        <v>16457.142857142859</v>
      </c>
    </row>
    <row r="161" spans="1:13" ht="13.95" customHeight="1" x14ac:dyDescent="0.25">
      <c r="A161" s="18"/>
      <c r="B161" s="105" t="s">
        <v>278</v>
      </c>
      <c r="C161" s="74"/>
      <c r="D161" s="10">
        <f>+G161+J161</f>
        <v>41142.857142857145</v>
      </c>
      <c r="E161" s="10">
        <f t="shared" si="39"/>
        <v>0</v>
      </c>
      <c r="F161" s="10">
        <f t="shared" si="38"/>
        <v>41142.857142857145</v>
      </c>
      <c r="G161" s="153">
        <f>144000/3.5</f>
        <v>41142.857142857145</v>
      </c>
      <c r="H161" s="6"/>
      <c r="I161" s="6"/>
      <c r="J161" s="6"/>
      <c r="K161" s="6"/>
      <c r="L161" s="153">
        <v>4114.2857142857147</v>
      </c>
      <c r="M161" s="153">
        <v>16457.142857142859</v>
      </c>
    </row>
    <row r="162" spans="1:13" ht="13.95" customHeight="1" x14ac:dyDescent="0.25">
      <c r="A162" s="18"/>
      <c r="B162" s="105" t="s">
        <v>280</v>
      </c>
      <c r="C162" s="74"/>
      <c r="D162" s="10">
        <f t="shared" si="40"/>
        <v>2742.8571428571427</v>
      </c>
      <c r="E162" s="10">
        <f>+I162+K162</f>
        <v>10971.428571428571</v>
      </c>
      <c r="F162" s="10">
        <f t="shared" si="38"/>
        <v>13714.285714285714</v>
      </c>
      <c r="G162" s="10"/>
      <c r="H162" s="153">
        <v>1371.4285714285713</v>
      </c>
      <c r="I162" s="153">
        <v>5485.7142857142853</v>
      </c>
      <c r="J162" s="153">
        <v>1371.4285714285713</v>
      </c>
      <c r="K162" s="153">
        <v>5485.7142857142853</v>
      </c>
      <c r="L162" s="153">
        <v>1371.4285714285713</v>
      </c>
      <c r="M162" s="153">
        <v>5485.7142857142853</v>
      </c>
    </row>
    <row r="163" spans="1:13" ht="21" customHeight="1" x14ac:dyDescent="0.25">
      <c r="A163" s="18"/>
      <c r="B163" s="105" t="s">
        <v>279</v>
      </c>
      <c r="C163" s="204"/>
      <c r="D163" s="10">
        <f t="shared" si="40"/>
        <v>9600</v>
      </c>
      <c r="E163" s="10">
        <f t="shared" si="39"/>
        <v>38400</v>
      </c>
      <c r="F163" s="10">
        <f t="shared" si="38"/>
        <v>48000</v>
      </c>
      <c r="G163" s="10"/>
      <c r="H163" s="153">
        <v>4800</v>
      </c>
      <c r="I163" s="153">
        <v>19200</v>
      </c>
      <c r="J163" s="153">
        <v>4800</v>
      </c>
      <c r="K163" s="153">
        <v>19200</v>
      </c>
      <c r="L163" s="153">
        <v>4800</v>
      </c>
      <c r="M163" s="153">
        <v>19200</v>
      </c>
    </row>
    <row r="164" spans="1:13" ht="13.95" customHeight="1" x14ac:dyDescent="0.25">
      <c r="A164" s="18"/>
      <c r="B164" s="105" t="s">
        <v>283</v>
      </c>
      <c r="C164" s="204"/>
      <c r="D164" s="10">
        <f t="shared" si="40"/>
        <v>0</v>
      </c>
      <c r="E164" s="10">
        <f t="shared" si="39"/>
        <v>0</v>
      </c>
      <c r="F164" s="10">
        <f t="shared" si="38"/>
        <v>0</v>
      </c>
      <c r="G164" s="10"/>
      <c r="H164" s="6"/>
      <c r="I164" s="6"/>
      <c r="J164" s="6"/>
      <c r="K164" s="6"/>
      <c r="L164" s="6"/>
      <c r="M164" s="6"/>
    </row>
    <row r="165" spans="1:13" ht="13.95" customHeight="1" x14ac:dyDescent="0.25">
      <c r="A165" s="18"/>
      <c r="B165" s="105" t="s">
        <v>14</v>
      </c>
      <c r="C165" s="74"/>
      <c r="D165" s="10">
        <f t="shared" si="40"/>
        <v>0</v>
      </c>
      <c r="E165" s="10">
        <f t="shared" si="39"/>
        <v>70000</v>
      </c>
      <c r="F165" s="10">
        <f t="shared" si="38"/>
        <v>70000</v>
      </c>
      <c r="G165" s="10"/>
      <c r="H165" s="6"/>
      <c r="I165" s="6"/>
      <c r="J165" s="6"/>
      <c r="K165" s="174">
        <v>70000</v>
      </c>
      <c r="L165" s="10"/>
      <c r="M165" s="10"/>
    </row>
    <row r="166" spans="1:13" ht="13.95" customHeight="1" x14ac:dyDescent="0.25">
      <c r="A166" s="18"/>
      <c r="B166" s="105" t="s">
        <v>215</v>
      </c>
      <c r="C166" s="74"/>
      <c r="D166" s="10">
        <f t="shared" si="40"/>
        <v>0</v>
      </c>
      <c r="E166" s="10">
        <f t="shared" si="39"/>
        <v>0</v>
      </c>
      <c r="F166" s="10">
        <f t="shared" si="38"/>
        <v>0</v>
      </c>
      <c r="G166" s="10"/>
      <c r="H166" s="10"/>
      <c r="I166" s="10"/>
      <c r="J166" s="10"/>
      <c r="K166" s="10"/>
      <c r="L166" s="10"/>
      <c r="M166" s="10"/>
    </row>
    <row r="167" spans="1:13" ht="13.95" customHeight="1" x14ac:dyDescent="0.25">
      <c r="A167" s="18"/>
      <c r="B167" s="105" t="s">
        <v>284</v>
      </c>
      <c r="C167" s="74"/>
      <c r="D167" s="10">
        <f t="shared" si="40"/>
        <v>0</v>
      </c>
      <c r="E167" s="10">
        <f t="shared" si="39"/>
        <v>0</v>
      </c>
      <c r="F167" s="10">
        <f t="shared" si="38"/>
        <v>0</v>
      </c>
      <c r="G167" s="10"/>
      <c r="H167" s="10"/>
      <c r="I167" s="10"/>
      <c r="J167" s="10"/>
      <c r="K167" s="10"/>
      <c r="L167" s="10"/>
      <c r="M167" s="10"/>
    </row>
    <row r="168" spans="1:13" ht="13.95" customHeight="1" x14ac:dyDescent="0.25">
      <c r="A168" s="18"/>
      <c r="B168" s="105" t="s">
        <v>11</v>
      </c>
      <c r="C168" s="74"/>
      <c r="D168" s="10">
        <f t="shared" si="40"/>
        <v>0</v>
      </c>
      <c r="E168" s="10">
        <f t="shared" si="39"/>
        <v>0</v>
      </c>
      <c r="F168" s="10">
        <f t="shared" si="38"/>
        <v>0</v>
      </c>
      <c r="G168" s="10"/>
      <c r="H168" s="10"/>
      <c r="I168" s="10"/>
      <c r="J168" s="10"/>
      <c r="K168" s="10"/>
      <c r="L168" s="10"/>
      <c r="M168" s="10"/>
    </row>
    <row r="169" spans="1:13" ht="13.95" customHeight="1" x14ac:dyDescent="0.25">
      <c r="A169" s="18"/>
      <c r="B169" s="15"/>
      <c r="C169" s="74"/>
      <c r="D169" s="4"/>
      <c r="E169" s="4"/>
      <c r="F169" s="4"/>
      <c r="G169" s="4"/>
    </row>
    <row r="170" spans="1:13" ht="13.95" customHeight="1" x14ac:dyDescent="0.25">
      <c r="A170" s="238" t="s">
        <v>86</v>
      </c>
      <c r="B170" s="238" t="s">
        <v>56</v>
      </c>
      <c r="C170" s="74"/>
      <c r="D170" s="9">
        <f t="shared" ref="D170:G170" si="41">SUM(D150:D168)</f>
        <v>386057.14285714284</v>
      </c>
      <c r="E170" s="9">
        <f t="shared" si="41"/>
        <v>619942.85714285728</v>
      </c>
      <c r="F170" s="9">
        <f t="shared" si="41"/>
        <v>1006000.0000000001</v>
      </c>
      <c r="G170" s="9">
        <f t="shared" si="41"/>
        <v>267428.57142857142</v>
      </c>
      <c r="H170" s="9">
        <f t="shared" ref="H170:M170" si="42">SUM(H150:H168)</f>
        <v>59314.285714285732</v>
      </c>
      <c r="I170" s="9">
        <f t="shared" si="42"/>
        <v>237257.14285714293</v>
      </c>
      <c r="J170" s="9">
        <f t="shared" si="42"/>
        <v>59314.285714285732</v>
      </c>
      <c r="K170" s="9">
        <f t="shared" si="42"/>
        <v>307257.14285714296</v>
      </c>
      <c r="L170" s="9">
        <f t="shared" si="42"/>
        <v>94285.714285714275</v>
      </c>
      <c r="M170" s="9">
        <f t="shared" si="42"/>
        <v>377142.8571428571</v>
      </c>
    </row>
    <row r="171" spans="1:13" ht="13.95" customHeight="1" x14ac:dyDescent="0.25">
      <c r="A171" s="18"/>
      <c r="B171" s="15"/>
      <c r="C171" s="74"/>
      <c r="D171" s="4"/>
      <c r="E171" s="4"/>
      <c r="F171" s="4"/>
      <c r="G171" s="4"/>
      <c r="H171" s="2"/>
      <c r="I171" s="2"/>
      <c r="J171" s="2"/>
      <c r="K171" s="2"/>
      <c r="L171" s="2"/>
      <c r="M171" s="2"/>
    </row>
    <row r="172" spans="1:13" ht="13.95" customHeight="1" x14ac:dyDescent="0.25">
      <c r="A172" s="238" t="s">
        <v>57</v>
      </c>
      <c r="B172" s="238" t="s">
        <v>56</v>
      </c>
      <c r="D172" s="9">
        <f t="shared" ref="D172:G172" si="43">SUM(D147+D170)</f>
        <v>698813.28142857144</v>
      </c>
      <c r="E172" s="9">
        <f t="shared" si="43"/>
        <v>1137664.2057142858</v>
      </c>
      <c r="F172" s="9">
        <f t="shared" si="43"/>
        <v>1836477.4871428572</v>
      </c>
      <c r="G172" s="9">
        <f t="shared" si="43"/>
        <v>267428.57142857142</v>
      </c>
      <c r="H172" s="9">
        <f t="shared" ref="H172:M172" si="44">SUM(H147+H170)</f>
        <v>391102.57714285719</v>
      </c>
      <c r="I172" s="9">
        <f t="shared" si="44"/>
        <v>868274.20571428572</v>
      </c>
      <c r="J172" s="9">
        <f t="shared" si="44"/>
        <v>79659.418571428585</v>
      </c>
      <c r="K172" s="9">
        <f t="shared" si="44"/>
        <v>320735.71428571438</v>
      </c>
      <c r="L172" s="9" t="e">
        <f t="shared" si="44"/>
        <v>#REF!</v>
      </c>
      <c r="M172" s="9" t="e">
        <f t="shared" si="44"/>
        <v>#REF!</v>
      </c>
    </row>
    <row r="173" spans="1:13" ht="13.95" customHeight="1" x14ac:dyDescent="0.25">
      <c r="A173" s="18"/>
      <c r="B173" s="15"/>
      <c r="D173" s="4"/>
      <c r="E173" s="4"/>
      <c r="F173" s="4"/>
      <c r="G173" s="4"/>
    </row>
  </sheetData>
  <mergeCells count="8">
    <mergeCell ref="A172:B172"/>
    <mergeCell ref="A2:B2"/>
    <mergeCell ref="A1:B1"/>
    <mergeCell ref="A3:B3"/>
    <mergeCell ref="A80:B80"/>
    <mergeCell ref="A113:B113"/>
    <mergeCell ref="A147:B147"/>
    <mergeCell ref="A170:B170"/>
  </mergeCells>
  <pageMargins left="0.25" right="0.25" top="0.75" bottom="0.75" header="0.3" footer="0.3"/>
  <pageSetup scale="75" fitToWidth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83"/>
  <sheetViews>
    <sheetView tabSelected="1" zoomScale="80" zoomScaleNormal="80" workbookViewId="0">
      <pane ySplit="1" topLeftCell="A168" activePane="bottomLeft" state="frozen"/>
      <selection pane="bottomLeft" activeCell="G145" sqref="G145"/>
    </sheetView>
  </sheetViews>
  <sheetFormatPr defaultColWidth="9.109375" defaultRowHeight="12" x14ac:dyDescent="0.25"/>
  <cols>
    <col min="1" max="1" width="4.33203125" style="19" customWidth="1"/>
    <col min="2" max="2" width="76" style="33" customWidth="1"/>
    <col min="3" max="3" width="14.6640625" style="33" customWidth="1"/>
    <col min="4" max="5" width="13.88671875" style="33" customWidth="1"/>
    <col min="6" max="6" width="17.44140625" style="126" customWidth="1"/>
    <col min="7" max="8" width="10.33203125" style="2" customWidth="1"/>
    <col min="9" max="10" width="10.33203125" style="33" customWidth="1"/>
    <col min="11" max="24" width="12" style="33" customWidth="1"/>
    <col min="25" max="25" width="13.88671875" style="33" customWidth="1"/>
    <col min="26" max="26" width="11.109375" style="33" customWidth="1"/>
    <col min="27" max="16384" width="9.109375" style="33"/>
  </cols>
  <sheetData>
    <row r="1" spans="1:24" ht="54" customHeight="1" x14ac:dyDescent="0.25">
      <c r="A1" s="239" t="s">
        <v>4</v>
      </c>
      <c r="B1" s="240"/>
      <c r="C1" s="24" t="s">
        <v>216</v>
      </c>
      <c r="D1" s="23" t="s">
        <v>5</v>
      </c>
      <c r="E1" s="69" t="s">
        <v>9</v>
      </c>
      <c r="F1" s="69" t="s">
        <v>422</v>
      </c>
      <c r="G1" s="144" t="s">
        <v>90</v>
      </c>
      <c r="H1" s="20" t="s">
        <v>91</v>
      </c>
      <c r="I1" s="20" t="s">
        <v>41</v>
      </c>
      <c r="J1" s="20" t="s">
        <v>43</v>
      </c>
      <c r="K1" s="20" t="s">
        <v>40</v>
      </c>
      <c r="L1" s="20" t="s">
        <v>42</v>
      </c>
      <c r="M1" s="20" t="s">
        <v>44</v>
      </c>
      <c r="N1" s="20" t="s">
        <v>45</v>
      </c>
      <c r="O1" s="20" t="s">
        <v>46</v>
      </c>
      <c r="P1" s="20" t="s">
        <v>47</v>
      </c>
      <c r="Q1" s="20" t="s">
        <v>48</v>
      </c>
      <c r="R1" s="20" t="s">
        <v>49</v>
      </c>
      <c r="S1" s="20" t="s">
        <v>50</v>
      </c>
      <c r="T1" s="20" t="s">
        <v>59</v>
      </c>
      <c r="U1" s="20" t="s">
        <v>51</v>
      </c>
      <c r="V1" s="20" t="s">
        <v>52</v>
      </c>
      <c r="W1" s="20" t="s">
        <v>53</v>
      </c>
      <c r="X1" s="20" t="s">
        <v>54</v>
      </c>
    </row>
    <row r="2" spans="1:24" ht="13.95" customHeight="1" x14ac:dyDescent="0.25">
      <c r="A2" s="36"/>
      <c r="B2" s="36"/>
      <c r="C2" s="36"/>
      <c r="D2" s="36"/>
      <c r="E2" s="130"/>
      <c r="F2" s="86"/>
      <c r="G2" s="145"/>
      <c r="H2" s="4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4" ht="28.2" customHeight="1" x14ac:dyDescent="0.25">
      <c r="A3" s="241" t="s">
        <v>12</v>
      </c>
      <c r="B3" s="241"/>
      <c r="C3" s="50"/>
      <c r="D3" s="50"/>
      <c r="E3" s="70"/>
      <c r="F3" s="227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ht="13.95" customHeight="1" x14ac:dyDescent="0.25">
      <c r="A4" s="34">
        <v>1.1000000000000001</v>
      </c>
      <c r="B4" s="34" t="s">
        <v>120</v>
      </c>
      <c r="C4" s="178">
        <f>+SUM(C5:C9)</f>
        <v>426698.85714285716</v>
      </c>
      <c r="D4" s="178">
        <f>+SUM(D5:D9)</f>
        <v>426698.85714285716</v>
      </c>
      <c r="E4" s="178">
        <f>+SUM(E5:E9)</f>
        <v>853397.71428571432</v>
      </c>
      <c r="F4" s="188" t="s">
        <v>427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71"/>
      <c r="U4" s="10"/>
      <c r="V4" s="10"/>
      <c r="W4" s="10"/>
      <c r="X4" s="10"/>
    </row>
    <row r="5" spans="1:24" ht="13.95" customHeight="1" x14ac:dyDescent="0.25">
      <c r="A5" s="79" t="s">
        <v>118</v>
      </c>
      <c r="B5" s="31" t="s">
        <v>135</v>
      </c>
      <c r="C5" s="100">
        <f>+I5+K5+M5+O5+Q5+S5+U5+W5</f>
        <v>16448.571428571428</v>
      </c>
      <c r="D5" s="100">
        <f>+J5+L5+N5+P5+R5+T5+V5+X5</f>
        <v>16448.571428571428</v>
      </c>
      <c r="E5" s="99">
        <f>+SUM(C5:D5)</f>
        <v>32897.142857142855</v>
      </c>
      <c r="F5" s="189" t="s">
        <v>417</v>
      </c>
      <c r="G5" s="10"/>
      <c r="H5" s="10"/>
      <c r="I5" s="10"/>
      <c r="J5" s="10"/>
      <c r="K5" s="10"/>
      <c r="L5" s="10"/>
      <c r="M5" s="104">
        <f>(57570/4)/3.5</f>
        <v>4112.1428571428569</v>
      </c>
      <c r="N5" s="104">
        <f t="shared" ref="N5:P5" si="0">(57570/4)/3.5</f>
        <v>4112.1428571428569</v>
      </c>
      <c r="O5" s="104">
        <f t="shared" si="0"/>
        <v>4112.1428571428569</v>
      </c>
      <c r="P5" s="104">
        <f t="shared" si="0"/>
        <v>4112.1428571428569</v>
      </c>
      <c r="Q5" s="104">
        <f>(34200/4)/3.5</f>
        <v>2442.8571428571427</v>
      </c>
      <c r="R5" s="104">
        <f t="shared" ref="R5:T5" si="1">(34200/4)/3.5</f>
        <v>2442.8571428571427</v>
      </c>
      <c r="S5" s="104">
        <f t="shared" si="1"/>
        <v>2442.8571428571427</v>
      </c>
      <c r="T5" s="104">
        <f t="shared" si="1"/>
        <v>2442.8571428571427</v>
      </c>
      <c r="U5" s="104">
        <f>(23370/4)/3.5</f>
        <v>1669.2857142857142</v>
      </c>
      <c r="V5" s="104">
        <f t="shared" ref="V5:X5" si="2">(23370/4)/3.5</f>
        <v>1669.2857142857142</v>
      </c>
      <c r="W5" s="104">
        <f t="shared" si="2"/>
        <v>1669.2857142857142</v>
      </c>
      <c r="X5" s="104">
        <f t="shared" si="2"/>
        <v>1669.2857142857142</v>
      </c>
    </row>
    <row r="6" spans="1:24" ht="13.95" customHeight="1" x14ac:dyDescent="0.25">
      <c r="A6" s="79" t="s">
        <v>119</v>
      </c>
      <c r="B6" s="31" t="s">
        <v>136</v>
      </c>
      <c r="C6" s="100">
        <f>+I6+K6+M6+O6+Q6+S6+U6+W6</f>
        <v>102651.42857142858</v>
      </c>
      <c r="D6" s="100">
        <f>+J6+L6+N6+P6+R6+T6+V6+X6</f>
        <v>102651.42857142858</v>
      </c>
      <c r="E6" s="99">
        <f>+SUM(C6:D6)</f>
        <v>205302.85714285716</v>
      </c>
      <c r="F6" s="189" t="s">
        <v>417</v>
      </c>
      <c r="G6" s="10"/>
      <c r="H6" s="10"/>
      <c r="I6" s="10"/>
      <c r="J6" s="10"/>
      <c r="K6" s="10"/>
      <c r="L6" s="10"/>
      <c r="M6" s="104">
        <f>(297440/2)/3.5+60160</f>
        <v>102651.42857142858</v>
      </c>
      <c r="N6" s="104">
        <f>(297440/2)/3.5+60160</f>
        <v>102651.42857142858</v>
      </c>
      <c r="O6" s="104"/>
      <c r="P6" s="104"/>
      <c r="Q6" s="104"/>
      <c r="R6" s="104"/>
      <c r="S6" s="104"/>
      <c r="T6" s="104"/>
      <c r="U6" s="104"/>
      <c r="V6" s="104"/>
      <c r="W6" s="104"/>
      <c r="X6" s="104"/>
    </row>
    <row r="7" spans="1:24" ht="13.95" customHeight="1" x14ac:dyDescent="0.25">
      <c r="A7" s="79" t="s">
        <v>305</v>
      </c>
      <c r="B7" s="109" t="s">
        <v>307</v>
      </c>
      <c r="C7" s="100">
        <f>+I7+K7+M7+O7+Q7+S7+U7+W7</f>
        <v>216137.28571428571</v>
      </c>
      <c r="D7" s="100">
        <f t="shared" ref="D7:D9" si="3">+J7+L7+N7+P7+R7+T7+V7+X7</f>
        <v>216137.28571428571</v>
      </c>
      <c r="E7" s="99">
        <f>+SUM(C7:D7)</f>
        <v>432274.57142857142</v>
      </c>
      <c r="F7" s="189" t="s">
        <v>118</v>
      </c>
      <c r="G7" s="10"/>
      <c r="H7" s="10"/>
      <c r="I7" s="10"/>
      <c r="J7" s="10"/>
      <c r="K7" s="10"/>
      <c r="L7" s="10"/>
      <c r="M7" s="47"/>
      <c r="N7" s="72"/>
      <c r="O7" s="104">
        <f>(1512961/2)/3.5</f>
        <v>216137.28571428571</v>
      </c>
      <c r="P7" s="104">
        <f>(1512961/2)/3.5</f>
        <v>216137.28571428571</v>
      </c>
      <c r="Q7" s="104"/>
      <c r="R7" s="104"/>
      <c r="S7" s="104"/>
      <c r="T7" s="104"/>
      <c r="U7" s="104"/>
      <c r="V7" s="104"/>
      <c r="W7" s="104"/>
      <c r="X7" s="104"/>
    </row>
    <row r="8" spans="1:24" ht="13.95" customHeight="1" x14ac:dyDescent="0.25">
      <c r="A8" s="79" t="s">
        <v>306</v>
      </c>
      <c r="B8" s="31" t="s">
        <v>308</v>
      </c>
      <c r="C8" s="100">
        <f>+I8+K8+M8+O8+Q8+S8+U8+W8</f>
        <v>20561.857142857141</v>
      </c>
      <c r="D8" s="100">
        <f t="shared" si="3"/>
        <v>20561.857142857141</v>
      </c>
      <c r="E8" s="99">
        <f>+SUM(C8:D8)</f>
        <v>41123.714285714283</v>
      </c>
      <c r="F8" s="189" t="s">
        <v>305</v>
      </c>
      <c r="G8" s="10"/>
      <c r="H8" s="10"/>
      <c r="I8" s="10"/>
      <c r="J8" s="10"/>
      <c r="K8" s="10"/>
      <c r="L8" s="10"/>
      <c r="M8" s="104">
        <f>(143933/2)/3.5</f>
        <v>20561.857142857141</v>
      </c>
      <c r="N8" s="104">
        <f>(143933/2)/3.5</f>
        <v>20561.857142857141</v>
      </c>
      <c r="O8" s="104"/>
      <c r="P8" s="104"/>
      <c r="Q8" s="104"/>
      <c r="R8" s="104"/>
      <c r="S8" s="104"/>
      <c r="T8" s="104"/>
      <c r="U8" s="104"/>
      <c r="V8" s="104"/>
      <c r="W8" s="104"/>
      <c r="X8" s="104"/>
    </row>
    <row r="9" spans="1:24" ht="13.95" customHeight="1" x14ac:dyDescent="0.25">
      <c r="A9" s="79" t="s">
        <v>417</v>
      </c>
      <c r="B9" s="40" t="s">
        <v>129</v>
      </c>
      <c r="C9" s="100">
        <f>+I9+K9+M9+O9+Q9+S9+U9+W9</f>
        <v>70899.71428571429</v>
      </c>
      <c r="D9" s="100">
        <f t="shared" si="3"/>
        <v>70899.71428571429</v>
      </c>
      <c r="E9" s="99">
        <f>+SUM(C9:D9)</f>
        <v>141799.42857142858</v>
      </c>
      <c r="F9" s="133"/>
      <c r="G9" s="10"/>
      <c r="H9" s="10"/>
      <c r="I9" s="103">
        <f>(496298/2)/3.5</f>
        <v>70899.71428571429</v>
      </c>
      <c r="J9" s="103">
        <f>(496298/2)/3.5</f>
        <v>70899.71428571429</v>
      </c>
      <c r="K9" s="10"/>
      <c r="L9" s="10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</row>
    <row r="10" spans="1:24" ht="13.95" customHeight="1" x14ac:dyDescent="0.25">
      <c r="A10" s="37"/>
      <c r="B10" s="31"/>
      <c r="C10" s="98"/>
      <c r="D10" s="98"/>
      <c r="E10" s="99"/>
      <c r="F10" s="133"/>
      <c r="G10" s="10"/>
      <c r="H10" s="10"/>
      <c r="I10" s="103"/>
      <c r="J10" s="103"/>
      <c r="K10" s="10"/>
      <c r="L10" s="10"/>
      <c r="M10" s="10"/>
      <c r="N10" s="10"/>
      <c r="O10" s="10"/>
      <c r="P10" s="10"/>
      <c r="Q10" s="10"/>
      <c r="R10" s="80"/>
      <c r="S10" s="10"/>
      <c r="T10" s="80"/>
      <c r="U10" s="10"/>
      <c r="V10" s="10"/>
      <c r="W10" s="10"/>
      <c r="X10" s="10"/>
    </row>
    <row r="11" spans="1:24" ht="13.95" customHeight="1" x14ac:dyDescent="0.25">
      <c r="A11" s="38">
        <v>1.2</v>
      </c>
      <c r="B11" s="34" t="s">
        <v>105</v>
      </c>
      <c r="C11" s="178">
        <f>+SUM(C12:C29)</f>
        <v>12659506.914285714</v>
      </c>
      <c r="D11" s="178">
        <f>+SUM(D12:D29)</f>
        <v>12659506.914285721</v>
      </c>
      <c r="E11" s="178">
        <f t="shared" ref="E11" si="4">+SUM(E12:E29)</f>
        <v>25319013.828571435</v>
      </c>
      <c r="F11" s="132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</row>
    <row r="12" spans="1:24" s="87" customFormat="1" ht="13.95" customHeight="1" x14ac:dyDescent="0.25">
      <c r="A12" s="37" t="s">
        <v>15</v>
      </c>
      <c r="B12" s="81" t="s">
        <v>266</v>
      </c>
      <c r="C12" s="96">
        <f>+G12+K12+M12+O12+Q12+S12+U12+W12</f>
        <v>509357.00000000012</v>
      </c>
      <c r="D12" s="96">
        <f t="shared" ref="D12:D29" si="5">+J12+L12+N12+P12+R12+T12+V12+X12</f>
        <v>509357.00000000012</v>
      </c>
      <c r="E12" s="36">
        <f t="shared" ref="E12:E29" si="6">+SUM(C12:D12)</f>
        <v>1018714.0000000002</v>
      </c>
      <c r="F12" s="86"/>
      <c r="G12" s="71">
        <v>14835.571428571429</v>
      </c>
      <c r="H12" s="10"/>
      <c r="J12" s="71">
        <v>14835.571428571429</v>
      </c>
      <c r="K12" s="10"/>
      <c r="L12" s="10"/>
      <c r="M12" s="104">
        <v>120360.71428571429</v>
      </c>
      <c r="N12" s="104">
        <v>120360.71428571429</v>
      </c>
      <c r="O12" s="104">
        <v>120360.71428571429</v>
      </c>
      <c r="P12" s="104">
        <v>120360.71428571429</v>
      </c>
      <c r="Q12" s="104">
        <v>100285.71428571429</v>
      </c>
      <c r="R12" s="104">
        <v>100285.71428571429</v>
      </c>
      <c r="S12" s="104">
        <v>100285.71428571429</v>
      </c>
      <c r="T12" s="104">
        <v>100285.71428571429</v>
      </c>
      <c r="U12" s="104">
        <v>26614.285714285714</v>
      </c>
      <c r="V12" s="104">
        <v>26614.285714285714</v>
      </c>
      <c r="W12" s="104">
        <v>26614.285714285714</v>
      </c>
      <c r="X12" s="104">
        <v>26614.285714285714</v>
      </c>
    </row>
    <row r="13" spans="1:24" s="87" customFormat="1" ht="13.95" customHeight="1" x14ac:dyDescent="0.25">
      <c r="A13" s="37" t="s">
        <v>16</v>
      </c>
      <c r="B13" s="81" t="s">
        <v>242</v>
      </c>
      <c r="C13" s="96">
        <f t="shared" ref="C13:C29" si="7">+I13+K13+M13+O13+Q13+S13+U13+W13</f>
        <v>78146.005714285726</v>
      </c>
      <c r="D13" s="96">
        <f t="shared" si="5"/>
        <v>78146.005714285726</v>
      </c>
      <c r="E13" s="36">
        <f t="shared" si="6"/>
        <v>156292.01142857145</v>
      </c>
      <c r="F13" s="86"/>
      <c r="G13" s="10"/>
      <c r="H13" s="10"/>
      <c r="I13" s="71"/>
      <c r="J13" s="71"/>
      <c r="K13" s="10"/>
      <c r="L13" s="10"/>
      <c r="M13" s="104">
        <v>17721.72642857143</v>
      </c>
      <c r="N13" s="104">
        <v>17721.72642857143</v>
      </c>
      <c r="O13" s="104">
        <v>17721.72642857143</v>
      </c>
      <c r="P13" s="104">
        <v>17721.72642857143</v>
      </c>
      <c r="Q13" s="104">
        <v>16574.204999999998</v>
      </c>
      <c r="R13" s="104">
        <v>16574.204999999998</v>
      </c>
      <c r="S13" s="104">
        <v>16574.204999999998</v>
      </c>
      <c r="T13" s="104">
        <v>16574.204999999998</v>
      </c>
      <c r="U13" s="104">
        <v>4777.0714285714284</v>
      </c>
      <c r="V13" s="104">
        <v>4777.0714285714284</v>
      </c>
      <c r="W13" s="104">
        <v>4777.0714285714284</v>
      </c>
      <c r="X13" s="104">
        <v>4777.0714285714284</v>
      </c>
    </row>
    <row r="14" spans="1:24" s="87" customFormat="1" ht="13.95" customHeight="1" x14ac:dyDescent="0.25">
      <c r="A14" s="37" t="s">
        <v>17</v>
      </c>
      <c r="B14" s="81" t="s">
        <v>265</v>
      </c>
      <c r="C14" s="96">
        <f t="shared" si="7"/>
        <v>278680.52999999997</v>
      </c>
      <c r="D14" s="96">
        <f t="shared" si="5"/>
        <v>278680.52999999997</v>
      </c>
      <c r="E14" s="36">
        <f t="shared" si="6"/>
        <v>557361.05999999994</v>
      </c>
      <c r="F14" s="86"/>
      <c r="G14" s="10"/>
      <c r="H14" s="10"/>
      <c r="I14" s="71"/>
      <c r="J14" s="71"/>
      <c r="K14" s="10"/>
      <c r="L14" s="10"/>
      <c r="M14" s="104">
        <v>56743.132857142853</v>
      </c>
      <c r="N14" s="104">
        <v>56743.132857142853</v>
      </c>
      <c r="O14" s="104">
        <v>56743.132857142853</v>
      </c>
      <c r="P14" s="104">
        <v>56743.132857142853</v>
      </c>
      <c r="Q14" s="104">
        <v>65561.018571428576</v>
      </c>
      <c r="R14" s="104">
        <v>65561.018571428576</v>
      </c>
      <c r="S14" s="104">
        <v>65561.018571428576</v>
      </c>
      <c r="T14" s="104">
        <v>65561.018571428576</v>
      </c>
      <c r="U14" s="104">
        <v>17036.11357142857</v>
      </c>
      <c r="V14" s="104">
        <v>17036.11357142857</v>
      </c>
      <c r="W14" s="104">
        <v>17036.11357142857</v>
      </c>
      <c r="X14" s="104">
        <v>17036.11357142857</v>
      </c>
    </row>
    <row r="15" spans="1:24" s="87" customFormat="1" ht="13.95" customHeight="1" x14ac:dyDescent="0.25">
      <c r="A15" s="37" t="s">
        <v>236</v>
      </c>
      <c r="B15" s="81" t="s">
        <v>243</v>
      </c>
      <c r="C15" s="96">
        <f t="shared" si="7"/>
        <v>547207.73857142858</v>
      </c>
      <c r="D15" s="96">
        <f t="shared" si="5"/>
        <v>547207.73857142858</v>
      </c>
      <c r="E15" s="36">
        <f t="shared" si="6"/>
        <v>1094415.4771428572</v>
      </c>
      <c r="F15" s="86"/>
      <c r="G15" s="10"/>
      <c r="H15" s="10"/>
      <c r="I15" s="71"/>
      <c r="J15" s="71"/>
      <c r="K15" s="10"/>
      <c r="L15" s="10"/>
      <c r="M15" s="10">
        <v>124379.13142857143</v>
      </c>
      <c r="N15" s="10">
        <v>124379.13142857143</v>
      </c>
      <c r="O15" s="10">
        <v>124379.13142857143</v>
      </c>
      <c r="P15" s="10">
        <v>124379.13142857143</v>
      </c>
      <c r="Q15" s="10">
        <v>118267.36785714285</v>
      </c>
      <c r="R15" s="10">
        <v>118267.36785714285</v>
      </c>
      <c r="S15" s="10">
        <v>118267.36785714285</v>
      </c>
      <c r="T15" s="10">
        <v>118267.36785714285</v>
      </c>
      <c r="U15" s="10">
        <v>30957.37</v>
      </c>
      <c r="V15" s="10">
        <v>30957.37</v>
      </c>
      <c r="W15" s="10">
        <v>30957.37</v>
      </c>
      <c r="X15" s="10">
        <v>30957.37</v>
      </c>
    </row>
    <row r="16" spans="1:24" s="87" customFormat="1" ht="13.95" customHeight="1" x14ac:dyDescent="0.25">
      <c r="A16" s="37" t="s">
        <v>237</v>
      </c>
      <c r="B16" s="202" t="s">
        <v>267</v>
      </c>
      <c r="C16" s="96">
        <f t="shared" si="7"/>
        <v>6954027.4714285713</v>
      </c>
      <c r="D16" s="96">
        <f t="shared" si="5"/>
        <v>6954027.4714285769</v>
      </c>
      <c r="E16" s="36">
        <f t="shared" si="6"/>
        <v>13908054.942857148</v>
      </c>
      <c r="F16" s="190" t="s">
        <v>423</v>
      </c>
      <c r="G16" s="10"/>
      <c r="H16" s="10"/>
      <c r="I16" s="71">
        <v>68851.757142857139</v>
      </c>
      <c r="J16" s="71">
        <v>68851.757142857139</v>
      </c>
      <c r="K16" s="10"/>
      <c r="L16" s="10"/>
      <c r="M16" s="10">
        <v>1174373.5714285714</v>
      </c>
      <c r="N16" s="10">
        <f>1174373.57142857</f>
        <v>1174373.57142857</v>
      </c>
      <c r="O16" s="10">
        <v>1174373.5714285714</v>
      </c>
      <c r="P16" s="10">
        <f>1174373.57142857</f>
        <v>1174373.57142857</v>
      </c>
      <c r="Q16" s="10">
        <v>1158100</v>
      </c>
      <c r="R16" s="10">
        <f>1158100</f>
        <v>1158100</v>
      </c>
      <c r="S16" s="10">
        <v>1158100</v>
      </c>
      <c r="T16" s="10">
        <f>1158100</f>
        <v>1158100</v>
      </c>
      <c r="U16" s="10">
        <v>1110114.2857142857</v>
      </c>
      <c r="V16" s="10">
        <f>1110114.28571429</f>
        <v>1110114.2857142901</v>
      </c>
      <c r="W16" s="10">
        <v>1110114.2857142857</v>
      </c>
      <c r="X16" s="10">
        <f>1110114.28571429</f>
        <v>1110114.2857142901</v>
      </c>
    </row>
    <row r="17" spans="1:24" s="87" customFormat="1" ht="13.95" customHeight="1" x14ac:dyDescent="0.25">
      <c r="A17" s="37" t="s">
        <v>238</v>
      </c>
      <c r="B17" s="81" t="s">
        <v>249</v>
      </c>
      <c r="C17" s="96">
        <f t="shared" si="7"/>
        <v>254958.10714285713</v>
      </c>
      <c r="D17" s="96">
        <f t="shared" si="5"/>
        <v>254958.10714285713</v>
      </c>
      <c r="E17" s="36">
        <f t="shared" si="6"/>
        <v>509916.21428571426</v>
      </c>
      <c r="F17" s="190"/>
      <c r="G17" s="10"/>
      <c r="H17" s="10"/>
      <c r="I17" s="71"/>
      <c r="J17" s="71"/>
      <c r="K17" s="10"/>
      <c r="L17" s="10"/>
      <c r="M17" s="10">
        <v>34941.925000000003</v>
      </c>
      <c r="N17" s="10">
        <v>34941.925000000003</v>
      </c>
      <c r="O17" s="10">
        <v>34941.925000000003</v>
      </c>
      <c r="P17" s="10">
        <v>34941.925000000003</v>
      </c>
      <c r="Q17" s="10">
        <v>47828.375714285714</v>
      </c>
      <c r="R17" s="10">
        <v>47828.375714285714</v>
      </c>
      <c r="S17" s="10">
        <v>47828.375714285714</v>
      </c>
      <c r="T17" s="10">
        <v>47828.375714285714</v>
      </c>
      <c r="U17" s="10">
        <v>44708.752857142863</v>
      </c>
      <c r="V17" s="10">
        <v>44708.752857142863</v>
      </c>
      <c r="W17" s="10">
        <v>44708.752857142863</v>
      </c>
      <c r="X17" s="10">
        <v>44708.752857142863</v>
      </c>
    </row>
    <row r="18" spans="1:24" s="87" customFormat="1" ht="13.95" customHeight="1" x14ac:dyDescent="0.25">
      <c r="A18" s="37" t="s">
        <v>239</v>
      </c>
      <c r="B18" s="81" t="s">
        <v>250</v>
      </c>
      <c r="C18" s="96">
        <f t="shared" si="7"/>
        <v>298965.77571428573</v>
      </c>
      <c r="D18" s="96">
        <f t="shared" si="5"/>
        <v>298965.77571428573</v>
      </c>
      <c r="E18" s="36">
        <f t="shared" si="6"/>
        <v>597931.55142857146</v>
      </c>
      <c r="F18" s="190"/>
      <c r="G18" s="10"/>
      <c r="H18" s="10"/>
      <c r="I18" s="71"/>
      <c r="J18" s="71"/>
      <c r="K18" s="10"/>
      <c r="L18" s="10"/>
      <c r="M18" s="10">
        <v>83056.310714285719</v>
      </c>
      <c r="N18" s="10">
        <v>83056.310714285719</v>
      </c>
      <c r="O18" s="10">
        <v>83056.310714285719</v>
      </c>
      <c r="P18" s="10">
        <v>83056.310714285719</v>
      </c>
      <c r="Q18" s="10">
        <v>48459.343571428573</v>
      </c>
      <c r="R18" s="10">
        <v>48459.343571428573</v>
      </c>
      <c r="S18" s="10">
        <v>48459.343571428573</v>
      </c>
      <c r="T18" s="10">
        <v>48459.343571428573</v>
      </c>
      <c r="U18" s="10">
        <v>17967.233571428569</v>
      </c>
      <c r="V18" s="10">
        <v>17967.233571428569</v>
      </c>
      <c r="W18" s="10">
        <v>17967.233571428569</v>
      </c>
      <c r="X18" s="10">
        <v>17967.233571428569</v>
      </c>
    </row>
    <row r="19" spans="1:24" s="87" customFormat="1" ht="13.95" customHeight="1" x14ac:dyDescent="0.25">
      <c r="A19" s="37" t="s">
        <v>240</v>
      </c>
      <c r="B19" s="81" t="s">
        <v>251</v>
      </c>
      <c r="C19" s="96">
        <f t="shared" si="7"/>
        <v>3035523.1485714288</v>
      </c>
      <c r="D19" s="96">
        <f t="shared" si="5"/>
        <v>3035523.1485714288</v>
      </c>
      <c r="E19" s="36">
        <f t="shared" si="6"/>
        <v>6071046.2971428577</v>
      </c>
      <c r="F19" s="190"/>
      <c r="G19" s="10"/>
      <c r="H19" s="10"/>
      <c r="I19" s="71"/>
      <c r="J19" s="71"/>
      <c r="K19" s="10"/>
      <c r="L19" s="10"/>
      <c r="M19" s="10">
        <v>514363.97928571427</v>
      </c>
      <c r="N19" s="10">
        <v>514363.97928571427</v>
      </c>
      <c r="O19" s="10">
        <v>514363.97928571427</v>
      </c>
      <c r="P19" s="10">
        <v>514363.97928571427</v>
      </c>
      <c r="Q19" s="10">
        <v>536627.06642857136</v>
      </c>
      <c r="R19" s="10">
        <v>536627.06642857136</v>
      </c>
      <c r="S19" s="10">
        <v>536627.06642857136</v>
      </c>
      <c r="T19" s="10">
        <v>536627.06642857136</v>
      </c>
      <c r="U19" s="10">
        <v>466770.52857142861</v>
      </c>
      <c r="V19" s="10">
        <v>466770.52857142861</v>
      </c>
      <c r="W19" s="10">
        <v>466770.52857142861</v>
      </c>
      <c r="X19" s="10">
        <v>466770.52857142861</v>
      </c>
    </row>
    <row r="20" spans="1:24" s="87" customFormat="1" ht="13.95" customHeight="1" x14ac:dyDescent="0.25">
      <c r="A20" s="37" t="s">
        <v>241</v>
      </c>
      <c r="B20" s="81" t="s">
        <v>256</v>
      </c>
      <c r="C20" s="96">
        <f t="shared" si="7"/>
        <v>355885.71428571432</v>
      </c>
      <c r="D20" s="96">
        <f t="shared" si="5"/>
        <v>355885.71428571432</v>
      </c>
      <c r="E20" s="36">
        <f t="shared" si="6"/>
        <v>711771.42857142864</v>
      </c>
      <c r="F20" s="190" t="s">
        <v>424</v>
      </c>
      <c r="G20" s="10"/>
      <c r="H20" s="10"/>
      <c r="I20" s="71"/>
      <c r="J20" s="71"/>
      <c r="K20" s="10"/>
      <c r="L20" s="10"/>
      <c r="M20" s="10">
        <v>59314.285714285717</v>
      </c>
      <c r="N20" s="10">
        <v>59314.285714285717</v>
      </c>
      <c r="O20" s="10">
        <v>59314.285714285717</v>
      </c>
      <c r="P20" s="10">
        <v>59314.285714285717</v>
      </c>
      <c r="Q20" s="10">
        <v>59314.285714285717</v>
      </c>
      <c r="R20" s="10">
        <v>59314.285714285717</v>
      </c>
      <c r="S20" s="10">
        <v>59314.285714285717</v>
      </c>
      <c r="T20" s="10">
        <v>59314.285714285717</v>
      </c>
      <c r="U20" s="10">
        <v>59314.285714285717</v>
      </c>
      <c r="V20" s="10">
        <v>59314.285714285717</v>
      </c>
      <c r="W20" s="10">
        <v>59314.285714285717</v>
      </c>
      <c r="X20" s="10">
        <v>59314.285714285717</v>
      </c>
    </row>
    <row r="21" spans="1:24" s="87" customFormat="1" ht="13.95" customHeight="1" x14ac:dyDescent="0.25">
      <c r="A21" s="37" t="s">
        <v>244</v>
      </c>
      <c r="B21" s="117" t="s">
        <v>257</v>
      </c>
      <c r="C21" s="129">
        <f t="shared" si="7"/>
        <v>16868</v>
      </c>
      <c r="D21" s="129">
        <f t="shared" si="5"/>
        <v>16868</v>
      </c>
      <c r="E21" s="6">
        <f t="shared" si="6"/>
        <v>33736</v>
      </c>
      <c r="F21" s="191"/>
      <c r="G21" s="10"/>
      <c r="H21" s="10"/>
      <c r="I21" s="71"/>
      <c r="J21" s="71"/>
      <c r="K21" s="10"/>
      <c r="L21" s="10"/>
      <c r="M21" s="71">
        <v>16868</v>
      </c>
      <c r="N21" s="71">
        <v>16868</v>
      </c>
      <c r="O21" s="10"/>
      <c r="P21" s="10"/>
      <c r="Q21" s="10"/>
      <c r="R21" s="10"/>
      <c r="S21" s="10"/>
      <c r="T21" s="10"/>
      <c r="U21" s="10"/>
      <c r="V21" s="10"/>
      <c r="W21" s="10"/>
      <c r="X21" s="10"/>
    </row>
    <row r="22" spans="1:24" s="87" customFormat="1" ht="13.95" customHeight="1" x14ac:dyDescent="0.25">
      <c r="A22" s="37" t="s">
        <v>245</v>
      </c>
      <c r="B22" s="81" t="s">
        <v>258</v>
      </c>
      <c r="C22" s="96">
        <f t="shared" si="7"/>
        <v>3221.4285714285716</v>
      </c>
      <c r="D22" s="96">
        <f t="shared" si="5"/>
        <v>3221.4285714285716</v>
      </c>
      <c r="E22" s="36">
        <f t="shared" si="6"/>
        <v>6442.8571428571431</v>
      </c>
      <c r="F22" s="191"/>
      <c r="G22" s="10"/>
      <c r="H22" s="10"/>
      <c r="I22" s="71"/>
      <c r="J22" s="71"/>
      <c r="K22" s="10"/>
      <c r="L22" s="10"/>
      <c r="M22" s="71">
        <v>3221.4285714285716</v>
      </c>
      <c r="N22" s="71">
        <v>3221.4285714285716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4" s="87" customFormat="1" ht="13.95" customHeight="1" x14ac:dyDescent="0.25">
      <c r="A23" s="37" t="s">
        <v>246</v>
      </c>
      <c r="B23" s="81" t="s">
        <v>259</v>
      </c>
      <c r="C23" s="96">
        <f t="shared" si="7"/>
        <v>23831.635714285712</v>
      </c>
      <c r="D23" s="96">
        <f t="shared" si="5"/>
        <v>23831.635714285712</v>
      </c>
      <c r="E23" s="36">
        <f t="shared" si="6"/>
        <v>47663.271428571425</v>
      </c>
      <c r="F23" s="191"/>
      <c r="G23" s="10"/>
      <c r="H23" s="10"/>
      <c r="I23" s="71"/>
      <c r="J23" s="71"/>
      <c r="K23" s="10"/>
      <c r="L23" s="10"/>
      <c r="M23" s="71">
        <v>3971.9392857142857</v>
      </c>
      <c r="N23" s="71">
        <v>3971.9392857142857</v>
      </c>
      <c r="O23" s="71">
        <v>3971.9392857142857</v>
      </c>
      <c r="P23" s="71">
        <v>3971.9392857142857</v>
      </c>
      <c r="Q23" s="71">
        <v>3971.9392857142857</v>
      </c>
      <c r="R23" s="71">
        <v>3971.9392857142857</v>
      </c>
      <c r="S23" s="71">
        <v>3971.9392857142857</v>
      </c>
      <c r="T23" s="71">
        <v>3971.9392857142857</v>
      </c>
      <c r="U23" s="71">
        <v>3971.9392857142857</v>
      </c>
      <c r="V23" s="71">
        <v>3971.9392857142857</v>
      </c>
      <c r="W23" s="71">
        <v>3971.9392857142857</v>
      </c>
      <c r="X23" s="71">
        <v>3971.9392857142857</v>
      </c>
    </row>
    <row r="24" spans="1:24" s="87" customFormat="1" ht="13.95" customHeight="1" x14ac:dyDescent="0.25">
      <c r="A24" s="37" t="s">
        <v>247</v>
      </c>
      <c r="B24" s="81" t="s">
        <v>260</v>
      </c>
      <c r="C24" s="96">
        <f t="shared" si="7"/>
        <v>34285.71428571429</v>
      </c>
      <c r="D24" s="96">
        <f t="shared" si="5"/>
        <v>34285.71428571429</v>
      </c>
      <c r="E24" s="36">
        <f t="shared" si="6"/>
        <v>68571.42857142858</v>
      </c>
      <c r="F24" s="191"/>
      <c r="G24" s="10"/>
      <c r="H24" s="10"/>
      <c r="I24" s="71"/>
      <c r="J24" s="71"/>
      <c r="K24" s="10"/>
      <c r="L24" s="10"/>
      <c r="M24" s="10">
        <v>5714.2857142857147</v>
      </c>
      <c r="N24" s="10">
        <v>5714.2857142857147</v>
      </c>
      <c r="O24" s="10">
        <v>5714.2857142857147</v>
      </c>
      <c r="P24" s="10">
        <v>5714.2857142857147</v>
      </c>
      <c r="Q24" s="10">
        <v>5714.2857142857147</v>
      </c>
      <c r="R24" s="10">
        <v>5714.2857142857147</v>
      </c>
      <c r="S24" s="10">
        <v>5714.2857142857147</v>
      </c>
      <c r="T24" s="10">
        <v>5714.2857142857147</v>
      </c>
      <c r="U24" s="10">
        <v>5714.2857142857147</v>
      </c>
      <c r="V24" s="10">
        <v>5714.2857142857147</v>
      </c>
      <c r="W24" s="10">
        <v>5714.2857142857147</v>
      </c>
      <c r="X24" s="10">
        <v>5714.2857142857147</v>
      </c>
    </row>
    <row r="25" spans="1:24" s="87" customFormat="1" ht="13.95" customHeight="1" x14ac:dyDescent="0.25">
      <c r="A25" s="37" t="s">
        <v>248</v>
      </c>
      <c r="B25" s="81" t="s">
        <v>261</v>
      </c>
      <c r="C25" s="96">
        <f t="shared" si="7"/>
        <v>140430.71428571429</v>
      </c>
      <c r="D25" s="96">
        <f t="shared" si="5"/>
        <v>140430.71428571429</v>
      </c>
      <c r="E25" s="36">
        <f t="shared" si="6"/>
        <v>280861.42857142858</v>
      </c>
      <c r="F25" s="190" t="s">
        <v>425</v>
      </c>
      <c r="G25" s="10"/>
      <c r="H25" s="10"/>
      <c r="I25" s="71">
        <v>1573.5714285714287</v>
      </c>
      <c r="J25" s="71">
        <v>1573.5714285714287</v>
      </c>
      <c r="K25" s="10"/>
      <c r="L25" s="10"/>
      <c r="M25" s="10">
        <v>23142.857142857141</v>
      </c>
      <c r="N25" s="10">
        <v>23142.857142857141</v>
      </c>
      <c r="O25" s="10">
        <v>23142.857142857141</v>
      </c>
      <c r="P25" s="10">
        <v>23142.857142857141</v>
      </c>
      <c r="Q25" s="10">
        <v>23142.857142857141</v>
      </c>
      <c r="R25" s="10">
        <v>23142.857142857141</v>
      </c>
      <c r="S25" s="10">
        <v>23142.857142857141</v>
      </c>
      <c r="T25" s="10">
        <v>23142.857142857141</v>
      </c>
      <c r="U25" s="10">
        <v>23142.857142857141</v>
      </c>
      <c r="V25" s="10">
        <v>23142.857142857141</v>
      </c>
      <c r="W25" s="10">
        <v>23142.857142857141</v>
      </c>
      <c r="X25" s="10">
        <v>23142.857142857141</v>
      </c>
    </row>
    <row r="26" spans="1:24" s="87" customFormat="1" ht="13.95" customHeight="1" x14ac:dyDescent="0.25">
      <c r="A26" s="37" t="s">
        <v>252</v>
      </c>
      <c r="B26" s="117" t="s">
        <v>262</v>
      </c>
      <c r="C26" s="129">
        <f t="shared" si="7"/>
        <v>18500</v>
      </c>
      <c r="D26" s="129">
        <f t="shared" si="5"/>
        <v>18500</v>
      </c>
      <c r="E26" s="6">
        <f t="shared" si="6"/>
        <v>37000</v>
      </c>
      <c r="F26" s="191"/>
      <c r="G26" s="10"/>
      <c r="H26" s="10"/>
      <c r="I26" s="71"/>
      <c r="J26" s="71"/>
      <c r="K26" s="10"/>
      <c r="L26" s="10"/>
      <c r="M26" s="10">
        <v>18500</v>
      </c>
      <c r="N26" s="10">
        <v>18500</v>
      </c>
      <c r="O26" s="10"/>
      <c r="P26" s="10"/>
      <c r="Q26" s="10"/>
      <c r="R26" s="10"/>
      <c r="S26" s="10"/>
      <c r="T26" s="10"/>
      <c r="U26" s="10"/>
      <c r="V26" s="10"/>
      <c r="W26" s="10"/>
      <c r="X26" s="10"/>
    </row>
    <row r="27" spans="1:24" s="87" customFormat="1" ht="13.95" customHeight="1" x14ac:dyDescent="0.25">
      <c r="A27" s="37" t="s">
        <v>253</v>
      </c>
      <c r="B27" s="81" t="s">
        <v>263</v>
      </c>
      <c r="C27" s="96">
        <f t="shared" si="7"/>
        <v>2250</v>
      </c>
      <c r="D27" s="96">
        <f t="shared" si="5"/>
        <v>2250</v>
      </c>
      <c r="E27" s="36">
        <f t="shared" si="6"/>
        <v>4500</v>
      </c>
      <c r="F27" s="191"/>
      <c r="G27" s="10"/>
      <c r="H27" s="10"/>
      <c r="I27" s="71"/>
      <c r="J27" s="71"/>
      <c r="K27" s="10"/>
      <c r="L27" s="10"/>
      <c r="M27" s="10">
        <v>2250</v>
      </c>
      <c r="N27" s="10">
        <v>2250</v>
      </c>
      <c r="O27" s="10"/>
      <c r="P27" s="10"/>
      <c r="Q27" s="10"/>
      <c r="R27" s="10"/>
      <c r="S27" s="10"/>
      <c r="T27" s="10"/>
      <c r="U27" s="10"/>
      <c r="V27" s="10"/>
      <c r="W27" s="10"/>
      <c r="X27" s="10"/>
    </row>
    <row r="28" spans="1:24" s="87" customFormat="1" ht="13.95" customHeight="1" x14ac:dyDescent="0.25">
      <c r="A28" s="37" t="s">
        <v>254</v>
      </c>
      <c r="B28" s="81" t="s">
        <v>264</v>
      </c>
      <c r="C28" s="96">
        <f t="shared" si="7"/>
        <v>13665.857142857143</v>
      </c>
      <c r="D28" s="96">
        <f t="shared" si="5"/>
        <v>13665.857142857143</v>
      </c>
      <c r="E28" s="36">
        <f t="shared" si="6"/>
        <v>27331.714285714286</v>
      </c>
      <c r="F28" s="191"/>
      <c r="G28" s="10"/>
      <c r="H28" s="10"/>
      <c r="I28" s="71"/>
      <c r="J28" s="71"/>
      <c r="K28" s="10"/>
      <c r="L28" s="10"/>
      <c r="M28" s="10">
        <v>2277.6428571428573</v>
      </c>
      <c r="N28" s="10">
        <v>2277.6428571428573</v>
      </c>
      <c r="O28" s="10">
        <v>2277.6428571428573</v>
      </c>
      <c r="P28" s="10">
        <v>2277.6428571428573</v>
      </c>
      <c r="Q28" s="10">
        <v>2277.6428571428573</v>
      </c>
      <c r="R28" s="10">
        <v>2277.6428571428573</v>
      </c>
      <c r="S28" s="10">
        <v>2277.6428571428573</v>
      </c>
      <c r="T28" s="10">
        <v>2277.6428571428573</v>
      </c>
      <c r="U28" s="10">
        <v>2277.6428571428573</v>
      </c>
      <c r="V28" s="10">
        <v>2277.6428571428573</v>
      </c>
      <c r="W28" s="10">
        <v>2277.6428571428573</v>
      </c>
      <c r="X28" s="10">
        <v>2277.6428571428573</v>
      </c>
    </row>
    <row r="29" spans="1:24" ht="13.95" customHeight="1" x14ac:dyDescent="0.25">
      <c r="A29" s="37" t="s">
        <v>255</v>
      </c>
      <c r="B29" s="81" t="s">
        <v>268</v>
      </c>
      <c r="C29" s="96">
        <f t="shared" si="7"/>
        <v>93702.072857142863</v>
      </c>
      <c r="D29" s="96">
        <f t="shared" si="5"/>
        <v>93702.072857142863</v>
      </c>
      <c r="E29" s="36">
        <f t="shared" si="6"/>
        <v>187404.14571428573</v>
      </c>
      <c r="F29" s="191"/>
      <c r="G29" s="71"/>
      <c r="H29" s="10"/>
      <c r="I29" s="10"/>
      <c r="J29" s="10"/>
      <c r="K29" s="10"/>
      <c r="L29" s="10"/>
      <c r="M29" s="10">
        <v>16910.162142857142</v>
      </c>
      <c r="N29" s="10">
        <v>16910.162142857142</v>
      </c>
      <c r="O29" s="10">
        <v>16910.162142857142</v>
      </c>
      <c r="P29" s="10">
        <v>16910.162142857142</v>
      </c>
      <c r="Q29" s="10">
        <v>14970.437142857143</v>
      </c>
      <c r="R29" s="10">
        <v>14970.437142857143</v>
      </c>
      <c r="S29" s="10">
        <v>14970.437142857143</v>
      </c>
      <c r="T29" s="10">
        <v>14970.437142857143</v>
      </c>
      <c r="U29" s="10">
        <v>14970.437142857143</v>
      </c>
      <c r="V29" s="10">
        <v>14970.437142857143</v>
      </c>
      <c r="W29" s="10">
        <v>14970.437142857143</v>
      </c>
      <c r="X29" s="10">
        <v>14970.437142857143</v>
      </c>
    </row>
    <row r="30" spans="1:24" ht="13.95" customHeight="1" x14ac:dyDescent="0.25">
      <c r="A30" s="37"/>
      <c r="B30" s="40"/>
      <c r="C30" s="39"/>
      <c r="D30" s="39"/>
      <c r="E30" s="36"/>
      <c r="F30" s="86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72"/>
      <c r="S30" s="10"/>
      <c r="T30" s="10"/>
      <c r="U30" s="10"/>
      <c r="V30" s="10"/>
      <c r="W30" s="10"/>
      <c r="X30" s="10"/>
    </row>
    <row r="31" spans="1:24" ht="13.95" customHeight="1" x14ac:dyDescent="0.25">
      <c r="A31" s="34">
        <v>1.3</v>
      </c>
      <c r="B31" s="34" t="s">
        <v>106</v>
      </c>
      <c r="C31" s="178">
        <f>+SUM(C32:C34)</f>
        <v>2265484.2857142854</v>
      </c>
      <c r="D31" s="178">
        <f>+SUM(D32:D34)</f>
        <v>2265484.2857142854</v>
      </c>
      <c r="E31" s="178">
        <f>+SUM(E32:E34)</f>
        <v>4530968.5714285709</v>
      </c>
      <c r="F31" s="132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</row>
    <row r="32" spans="1:24" ht="27" customHeight="1" x14ac:dyDescent="0.25">
      <c r="A32" s="37" t="s">
        <v>19</v>
      </c>
      <c r="B32" s="35" t="s">
        <v>411</v>
      </c>
      <c r="C32" s="100">
        <f t="shared" ref="C32:D34" si="8">+I32+K32+M32+O32+Q32+S32+U32+W32</f>
        <v>303121.42857142852</v>
      </c>
      <c r="D32" s="100">
        <f t="shared" si="8"/>
        <v>303121.42857142852</v>
      </c>
      <c r="E32" s="99">
        <f>+SUM(C32:D32)</f>
        <v>606242.85714285704</v>
      </c>
      <c r="F32" s="133"/>
      <c r="G32" s="10"/>
      <c r="H32" s="10"/>
      <c r="I32" s="71"/>
      <c r="J32" s="71"/>
      <c r="K32" s="10"/>
      <c r="L32" s="10"/>
      <c r="M32" s="110">
        <f>(960980/4)/3.5</f>
        <v>68641.428571428565</v>
      </c>
      <c r="N32" s="110">
        <f t="shared" ref="N32:P32" si="9">(960980/4)/3.5</f>
        <v>68641.428571428565</v>
      </c>
      <c r="O32" s="110">
        <f t="shared" si="9"/>
        <v>68641.428571428565</v>
      </c>
      <c r="P32" s="110">
        <f t="shared" si="9"/>
        <v>68641.428571428565</v>
      </c>
      <c r="Q32" s="10">
        <f>+(1160870/4)/3.5</f>
        <v>82919.28571428571</v>
      </c>
      <c r="R32" s="10">
        <f t="shared" ref="R32:T32" si="10">+(1160870/4)/3.5</f>
        <v>82919.28571428571</v>
      </c>
      <c r="S32" s="10">
        <f t="shared" si="10"/>
        <v>82919.28571428571</v>
      </c>
      <c r="T32" s="10">
        <f t="shared" si="10"/>
        <v>82919.28571428571</v>
      </c>
      <c r="U32" s="10"/>
      <c r="V32" s="10"/>
      <c r="W32" s="10"/>
      <c r="X32" s="10"/>
    </row>
    <row r="33" spans="1:25" ht="13.95" customHeight="1" x14ac:dyDescent="0.25">
      <c r="A33" s="37" t="s">
        <v>20</v>
      </c>
      <c r="B33" s="35" t="s">
        <v>130</v>
      </c>
      <c r="C33" s="100">
        <f t="shared" si="8"/>
        <v>45827.142857142855</v>
      </c>
      <c r="D33" s="100">
        <f t="shared" si="8"/>
        <v>45827.142857142855</v>
      </c>
      <c r="E33" s="99">
        <f>+SUM(C33:D33)</f>
        <v>91654.28571428571</v>
      </c>
      <c r="F33" s="133"/>
      <c r="G33" s="10"/>
      <c r="H33" s="10"/>
      <c r="I33" s="104">
        <f>(188700/4)/3.5</f>
        <v>13478.571428571429</v>
      </c>
      <c r="J33" s="104">
        <f t="shared" ref="J33:L33" si="11">(188700/4)/3.5</f>
        <v>13478.571428571429</v>
      </c>
      <c r="K33" s="104">
        <f t="shared" si="11"/>
        <v>13478.571428571429</v>
      </c>
      <c r="L33" s="104">
        <f t="shared" si="11"/>
        <v>13478.571428571429</v>
      </c>
      <c r="M33" s="111">
        <f>(132090/4)/3.5</f>
        <v>9435</v>
      </c>
      <c r="N33" s="111">
        <f t="shared" ref="N33:P33" si="12">(132090/4)/3.5</f>
        <v>9435</v>
      </c>
      <c r="O33" s="111">
        <f t="shared" si="12"/>
        <v>9435</v>
      </c>
      <c r="P33" s="111">
        <f t="shared" si="12"/>
        <v>9435</v>
      </c>
      <c r="Q33" s="10"/>
      <c r="R33" s="10"/>
      <c r="S33" s="10"/>
      <c r="T33" s="10"/>
      <c r="U33" s="10"/>
      <c r="V33" s="10"/>
      <c r="W33" s="10"/>
      <c r="X33" s="10"/>
    </row>
    <row r="34" spans="1:25" ht="13.95" customHeight="1" x14ac:dyDescent="0.25">
      <c r="A34" s="37" t="s">
        <v>18</v>
      </c>
      <c r="B34" s="35" t="s">
        <v>123</v>
      </c>
      <c r="C34" s="100">
        <f t="shared" si="8"/>
        <v>1916535.7142857141</v>
      </c>
      <c r="D34" s="100">
        <f t="shared" si="8"/>
        <v>1916535.7142857141</v>
      </c>
      <c r="E34" s="99">
        <f>+SUM(C34:D34)</f>
        <v>3833071.4285714282</v>
      </c>
      <c r="F34" s="133"/>
      <c r="G34" s="10"/>
      <c r="H34" s="10"/>
      <c r="I34" s="71"/>
      <c r="J34" s="71"/>
      <c r="K34" s="80"/>
      <c r="L34" s="71"/>
      <c r="M34" s="103">
        <f>(6050200/4)/3.5</f>
        <v>432157.14285714284</v>
      </c>
      <c r="N34" s="103">
        <f t="shared" ref="N34:P34" si="13">(6050200/4)/3.5</f>
        <v>432157.14285714284</v>
      </c>
      <c r="O34" s="103">
        <f t="shared" si="13"/>
        <v>432157.14285714284</v>
      </c>
      <c r="P34" s="103">
        <f t="shared" si="13"/>
        <v>432157.14285714284</v>
      </c>
      <c r="Q34" s="10">
        <f>(5582050/4)/3.5</f>
        <v>398717.85714285716</v>
      </c>
      <c r="R34" s="10">
        <f t="shared" ref="R34:T34" si="14">(5582050/4)/3.5</f>
        <v>398717.85714285716</v>
      </c>
      <c r="S34" s="10">
        <f t="shared" si="14"/>
        <v>398717.85714285716</v>
      </c>
      <c r="T34" s="10">
        <f t="shared" si="14"/>
        <v>398717.85714285716</v>
      </c>
      <c r="U34" s="10">
        <f>(1783500/4)/3.5</f>
        <v>127392.85714285714</v>
      </c>
      <c r="V34" s="10">
        <f t="shared" ref="V34:X34" si="15">(1783500/4)/3.5</f>
        <v>127392.85714285714</v>
      </c>
      <c r="W34" s="10">
        <f t="shared" si="15"/>
        <v>127392.85714285714</v>
      </c>
      <c r="X34" s="10">
        <f t="shared" si="15"/>
        <v>127392.85714285714</v>
      </c>
    </row>
    <row r="35" spans="1:25" ht="13.95" customHeight="1" x14ac:dyDescent="0.25">
      <c r="A35" s="37"/>
      <c r="B35" s="35"/>
      <c r="C35" s="100"/>
      <c r="D35" s="100"/>
      <c r="E35" s="99"/>
      <c r="F35" s="133"/>
      <c r="G35" s="10"/>
      <c r="H35" s="10"/>
      <c r="I35" s="71"/>
      <c r="J35" s="71"/>
      <c r="K35" s="80"/>
      <c r="L35" s="71"/>
      <c r="M35" s="103"/>
      <c r="N35" s="103"/>
      <c r="O35" s="103"/>
      <c r="P35" s="103"/>
      <c r="Q35" s="10"/>
      <c r="R35" s="10"/>
      <c r="S35" s="10"/>
      <c r="T35" s="10"/>
      <c r="U35" s="10"/>
      <c r="V35" s="10"/>
      <c r="W35" s="10"/>
      <c r="X35" s="10"/>
    </row>
    <row r="36" spans="1:25" ht="13.95" customHeight="1" x14ac:dyDescent="0.25">
      <c r="A36" s="34">
        <v>1.4</v>
      </c>
      <c r="B36" s="34" t="s">
        <v>116</v>
      </c>
      <c r="C36" s="178">
        <f>+SUM(C37:C40)</f>
        <v>870000</v>
      </c>
      <c r="D36" s="178">
        <f>+SUM(D37:D40)</f>
        <v>870000.00214285718</v>
      </c>
      <c r="E36" s="178">
        <f>+C36+D36</f>
        <v>1740000.0021428573</v>
      </c>
      <c r="F36" s="132"/>
      <c r="G36" s="6"/>
      <c r="H36" s="6"/>
      <c r="I36" s="6"/>
      <c r="J36" s="10"/>
      <c r="K36" s="10"/>
      <c r="L36" s="10"/>
      <c r="M36" s="10"/>
      <c r="N36" s="10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 spans="1:25" ht="13.95" customHeight="1" x14ac:dyDescent="0.25">
      <c r="A37" s="201" t="s">
        <v>84</v>
      </c>
      <c r="B37" s="182" t="s">
        <v>141</v>
      </c>
      <c r="C37" s="129">
        <f>+I37+K37+M37+O37+Q37+S37+U37+W37</f>
        <v>41428.571428571428</v>
      </c>
      <c r="D37" s="129">
        <f t="shared" ref="C37:D40" si="16">+J37+L37+N37+P37+R37+T37+V37+X37</f>
        <v>41428.571428571428</v>
      </c>
      <c r="E37" s="6">
        <f t="shared" ref="E37:E40" si="17">+C37+D37</f>
        <v>82857.142857142855</v>
      </c>
      <c r="F37" s="86"/>
      <c r="G37" s="118"/>
      <c r="H37" s="10"/>
      <c r="I37" s="10">
        <f>((290000/2))/3.5</f>
        <v>41428.571428571428</v>
      </c>
      <c r="J37" s="10">
        <f>((290000/2))/3.5</f>
        <v>41428.571428571428</v>
      </c>
      <c r="K37" s="10"/>
      <c r="L37" s="10"/>
      <c r="M37" s="10"/>
      <c r="N37" s="10"/>
      <c r="O37" s="6"/>
      <c r="P37" s="6"/>
      <c r="Q37" s="6"/>
      <c r="R37" s="6"/>
      <c r="S37" s="6"/>
      <c r="T37" s="88"/>
      <c r="U37" s="6"/>
      <c r="V37" s="6"/>
      <c r="W37" s="88"/>
      <c r="X37" s="88"/>
    </row>
    <row r="38" spans="1:25" ht="13.95" customHeight="1" x14ac:dyDescent="0.25">
      <c r="A38" s="201" t="s">
        <v>436</v>
      </c>
      <c r="B38" s="182" t="s">
        <v>142</v>
      </c>
      <c r="C38" s="129">
        <f t="shared" si="16"/>
        <v>535714.28571428568</v>
      </c>
      <c r="D38" s="129">
        <f t="shared" si="16"/>
        <v>535714.28571428568</v>
      </c>
      <c r="E38" s="6">
        <f t="shared" si="17"/>
        <v>1071428.5714285714</v>
      </c>
      <c r="F38" s="187" t="s">
        <v>84</v>
      </c>
      <c r="G38" s="10"/>
      <c r="H38" s="10"/>
      <c r="I38" s="10"/>
      <c r="J38" s="10"/>
      <c r="K38" s="10"/>
      <c r="L38" s="10"/>
      <c r="M38" s="80"/>
      <c r="N38" s="80"/>
      <c r="O38" s="91">
        <f>(3750000/2)/3.5</f>
        <v>535714.28571428568</v>
      </c>
      <c r="P38" s="91">
        <f>(3750000/2)/3.5</f>
        <v>535714.28571428568</v>
      </c>
      <c r="Q38" s="6"/>
      <c r="R38" s="6"/>
      <c r="S38" s="88"/>
      <c r="T38" s="88"/>
      <c r="U38" s="6"/>
      <c r="V38" s="6"/>
      <c r="W38" s="6"/>
      <c r="X38" s="6"/>
    </row>
    <row r="39" spans="1:25" ht="13.95" customHeight="1" x14ac:dyDescent="0.25">
      <c r="A39" s="201" t="s">
        <v>438</v>
      </c>
      <c r="B39" s="182" t="s">
        <v>143</v>
      </c>
      <c r="C39" s="129">
        <f t="shared" si="16"/>
        <v>42857.142857142855</v>
      </c>
      <c r="D39" s="129">
        <f t="shared" si="16"/>
        <v>42857.144999999997</v>
      </c>
      <c r="E39" s="6">
        <f t="shared" si="17"/>
        <v>85714.287857142859</v>
      </c>
      <c r="F39" s="86"/>
      <c r="G39" s="10"/>
      <c r="H39" s="10"/>
      <c r="I39" s="10"/>
      <c r="J39" s="10"/>
      <c r="K39" s="10"/>
      <c r="L39" s="10"/>
      <c r="M39" s="80"/>
      <c r="N39" s="80"/>
      <c r="O39" s="91">
        <f>(300000/2)/3.5</f>
        <v>42857.142857142855</v>
      </c>
      <c r="P39" s="91">
        <f>(85714.29/2)</f>
        <v>42857.144999999997</v>
      </c>
      <c r="Q39" s="88"/>
      <c r="R39" s="88"/>
      <c r="S39" s="88"/>
      <c r="T39" s="88"/>
      <c r="U39" s="88"/>
      <c r="V39" s="88"/>
      <c r="W39" s="88"/>
      <c r="X39" s="88"/>
    </row>
    <row r="40" spans="1:25" ht="13.95" customHeight="1" x14ac:dyDescent="0.25">
      <c r="A40" s="201" t="s">
        <v>437</v>
      </c>
      <c r="B40" s="182" t="s">
        <v>144</v>
      </c>
      <c r="C40" s="129">
        <f t="shared" si="16"/>
        <v>250000</v>
      </c>
      <c r="D40" s="129">
        <f t="shared" si="16"/>
        <v>250000</v>
      </c>
      <c r="E40" s="6">
        <f t="shared" si="17"/>
        <v>500000</v>
      </c>
      <c r="F40" s="86"/>
      <c r="G40" s="10"/>
      <c r="H40" s="10"/>
      <c r="I40" s="10"/>
      <c r="J40" s="10"/>
      <c r="K40" s="10"/>
      <c r="L40" s="10"/>
      <c r="M40" s="80"/>
      <c r="N40" s="80"/>
      <c r="O40" s="6">
        <f>(1750000/2)/3.5</f>
        <v>250000</v>
      </c>
      <c r="P40" s="6">
        <f>(500000/2)</f>
        <v>250000</v>
      </c>
      <c r="Q40" s="6"/>
      <c r="R40" s="6"/>
      <c r="S40" s="88"/>
      <c r="T40" s="88"/>
      <c r="U40" s="88"/>
      <c r="V40" s="88"/>
      <c r="W40" s="88"/>
      <c r="X40" s="88"/>
    </row>
    <row r="41" spans="1:25" ht="13.95" customHeight="1" x14ac:dyDescent="0.25">
      <c r="A41" s="37"/>
      <c r="B41" s="40"/>
      <c r="C41" s="39"/>
      <c r="D41" s="39"/>
      <c r="E41" s="36"/>
      <c r="F41" s="86"/>
      <c r="G41" s="10"/>
      <c r="H41" s="10"/>
      <c r="I41" s="71"/>
      <c r="J41" s="71"/>
      <c r="K41" s="10"/>
      <c r="L41" s="10"/>
      <c r="M41" s="10"/>
      <c r="N41" s="10"/>
      <c r="O41" s="10"/>
      <c r="P41" s="10"/>
      <c r="Q41" s="6"/>
      <c r="R41" s="6"/>
      <c r="S41" s="6"/>
      <c r="T41" s="6"/>
      <c r="U41" s="6"/>
      <c r="V41" s="6"/>
      <c r="W41" s="6"/>
      <c r="X41" s="6"/>
      <c r="Y41" s="22"/>
    </row>
    <row r="42" spans="1:25" ht="13.95" customHeight="1" x14ac:dyDescent="0.25">
      <c r="A42" s="34">
        <v>1.5</v>
      </c>
      <c r="B42" s="34" t="s">
        <v>121</v>
      </c>
      <c r="C42" s="178">
        <f>+C43</f>
        <v>1101948.5714285714</v>
      </c>
      <c r="D42" s="178">
        <f>+D43</f>
        <v>1101948.5714285714</v>
      </c>
      <c r="E42" s="178">
        <f>+C42+D42</f>
        <v>2203897.1428571427</v>
      </c>
      <c r="F42" s="194" t="s">
        <v>427</v>
      </c>
      <c r="G42" s="10"/>
      <c r="H42" s="10"/>
      <c r="I42" s="71"/>
      <c r="J42" s="71"/>
      <c r="K42" s="10"/>
      <c r="L42" s="10"/>
      <c r="M42" s="10"/>
      <c r="N42" s="10"/>
      <c r="O42" s="10"/>
      <c r="P42" s="10"/>
      <c r="Q42" s="6"/>
      <c r="R42" s="6"/>
      <c r="S42" s="6"/>
      <c r="T42" s="6"/>
      <c r="U42" s="6"/>
      <c r="V42" s="6"/>
      <c r="W42" s="6"/>
      <c r="X42" s="6"/>
      <c r="Y42" s="22"/>
    </row>
    <row r="43" spans="1:25" ht="13.95" customHeight="1" x14ac:dyDescent="0.25">
      <c r="A43" s="37" t="s">
        <v>124</v>
      </c>
      <c r="B43" s="40" t="s">
        <v>125</v>
      </c>
      <c r="C43" s="96">
        <f>+I43+K43+M43+O43+Q43+S43+U43+W43</f>
        <v>1101948.5714285714</v>
      </c>
      <c r="D43" s="96">
        <f>+J43+L43+N43+P43+R43+T43+V43+X43</f>
        <v>1101948.5714285714</v>
      </c>
      <c r="E43" s="36">
        <f>+SUM(C43:D43)</f>
        <v>2203897.1428571427</v>
      </c>
      <c r="F43" s="86"/>
      <c r="G43" s="10"/>
      <c r="H43" s="10"/>
      <c r="I43" s="71"/>
      <c r="J43" s="71"/>
      <c r="K43" s="10"/>
      <c r="L43" s="10"/>
      <c r="M43" s="104">
        <v>647317.14285714284</v>
      </c>
      <c r="N43" s="104">
        <v>647317.14285714284</v>
      </c>
      <c r="O43" s="91"/>
      <c r="P43" s="91"/>
      <c r="Q43" s="91">
        <v>285855.71428571426</v>
      </c>
      <c r="R43" s="91">
        <v>285855.71428571426</v>
      </c>
      <c r="S43" s="91"/>
      <c r="T43" s="91"/>
      <c r="U43" s="91">
        <v>168775.71428571429</v>
      </c>
      <c r="V43" s="91">
        <v>168775.71428571429</v>
      </c>
      <c r="W43" s="91"/>
      <c r="X43" s="91"/>
      <c r="Y43" s="22"/>
    </row>
    <row r="44" spans="1:25" ht="13.95" customHeight="1" x14ac:dyDescent="0.25">
      <c r="A44" s="37"/>
      <c r="B44" s="40"/>
      <c r="C44" s="39"/>
      <c r="D44" s="39"/>
      <c r="E44" s="36"/>
      <c r="F44" s="86"/>
      <c r="G44" s="10"/>
      <c r="H44" s="10"/>
      <c r="I44" s="71"/>
      <c r="J44" s="71"/>
      <c r="K44" s="10"/>
      <c r="L44" s="10"/>
      <c r="M44" s="10"/>
      <c r="N44" s="10"/>
      <c r="O44" s="6"/>
      <c r="P44" s="6"/>
      <c r="Q44" s="6"/>
      <c r="R44" s="6"/>
      <c r="S44" s="6"/>
      <c r="T44" s="6"/>
      <c r="U44" s="6"/>
      <c r="V44" s="6"/>
      <c r="W44" s="6"/>
      <c r="X44" s="6"/>
      <c r="Y44" s="22"/>
    </row>
    <row r="45" spans="1:25" ht="13.95" customHeight="1" x14ac:dyDescent="0.25">
      <c r="A45" s="34">
        <v>1.6</v>
      </c>
      <c r="B45" s="34" t="s">
        <v>108</v>
      </c>
      <c r="C45" s="178">
        <f>+SUM(C46:C50)</f>
        <v>785899.13642857142</v>
      </c>
      <c r="D45" s="178">
        <f>+SUM(D46:D50)</f>
        <v>785899.13642857142</v>
      </c>
      <c r="E45" s="178">
        <f>+C45+D45</f>
        <v>1571798.2728571428</v>
      </c>
      <c r="F45" s="192"/>
      <c r="G45" s="10"/>
      <c r="H45" s="10"/>
      <c r="I45" s="71"/>
      <c r="J45" s="71"/>
      <c r="K45" s="10"/>
      <c r="L45" s="10"/>
      <c r="M45" s="10"/>
      <c r="N45" s="10"/>
      <c r="O45" s="6"/>
      <c r="P45" s="6"/>
      <c r="Q45" s="6"/>
      <c r="R45" s="6"/>
      <c r="S45" s="6"/>
      <c r="T45" s="6"/>
      <c r="U45" s="6"/>
      <c r="V45" s="6"/>
      <c r="W45" s="6"/>
      <c r="X45" s="6"/>
      <c r="Y45" s="22"/>
    </row>
    <row r="46" spans="1:25" ht="13.95" customHeight="1" x14ac:dyDescent="0.25">
      <c r="A46" s="73" t="s">
        <v>145</v>
      </c>
      <c r="B46" s="82" t="s">
        <v>169</v>
      </c>
      <c r="C46" s="96">
        <f t="shared" ref="C46:D50" si="18">+I46+K46+M46+O46+Q46+S46+U46+W46</f>
        <v>8404.15</v>
      </c>
      <c r="D46" s="96">
        <f t="shared" si="18"/>
        <v>8404.15</v>
      </c>
      <c r="E46" s="36">
        <f>+SUM(C46:D46)</f>
        <v>16808.3</v>
      </c>
      <c r="F46" s="195"/>
      <c r="G46" s="10"/>
      <c r="H46" s="10"/>
      <c r="I46" s="103">
        <f>+(23251.94/2)/3.5</f>
        <v>3321.7057142857143</v>
      </c>
      <c r="J46" s="103">
        <f>+(23251.94/2)/3.5</f>
        <v>3321.7057142857143</v>
      </c>
      <c r="K46" s="10"/>
      <c r="L46" s="10"/>
      <c r="M46" s="103">
        <f>+(23251.94/2)/3.5</f>
        <v>3321.7057142857143</v>
      </c>
      <c r="N46" s="103">
        <f>+(23251.94/2)/3.5</f>
        <v>3321.7057142857143</v>
      </c>
      <c r="O46" s="6"/>
      <c r="P46" s="6"/>
      <c r="Q46" s="91">
        <f>+(12325.17/2)/3.5</f>
        <v>1760.7385714285715</v>
      </c>
      <c r="R46" s="91">
        <f>+(12325.17/2)/3.5</f>
        <v>1760.7385714285715</v>
      </c>
      <c r="S46" s="6"/>
      <c r="T46" s="6"/>
      <c r="U46" s="6"/>
      <c r="V46" s="6"/>
      <c r="W46" s="6"/>
      <c r="X46" s="6"/>
      <c r="Y46" s="22"/>
    </row>
    <row r="47" spans="1:25" ht="13.95" customHeight="1" x14ac:dyDescent="0.25">
      <c r="A47" s="73" t="s">
        <v>146</v>
      </c>
      <c r="B47" s="82" t="s">
        <v>149</v>
      </c>
      <c r="C47" s="96">
        <f t="shared" si="18"/>
        <v>109085.71428571428</v>
      </c>
      <c r="D47" s="96">
        <f t="shared" si="18"/>
        <v>109085.71428571428</v>
      </c>
      <c r="E47" s="36">
        <f>+SUM(C47:D47)</f>
        <v>218171.42857142855</v>
      </c>
      <c r="F47" s="195" t="s">
        <v>145</v>
      </c>
      <c r="G47" s="10"/>
      <c r="H47" s="10"/>
      <c r="I47" s="71"/>
      <c r="J47" s="71"/>
      <c r="K47" s="10"/>
      <c r="L47" s="10"/>
      <c r="M47" s="104">
        <f>(301810/4)/3.5</f>
        <v>21557.857142857141</v>
      </c>
      <c r="N47" s="104">
        <f t="shared" ref="N47:T47" si="19">(301810/4)/3.5</f>
        <v>21557.857142857141</v>
      </c>
      <c r="O47" s="91">
        <f t="shared" si="19"/>
        <v>21557.857142857141</v>
      </c>
      <c r="P47" s="91">
        <f t="shared" si="19"/>
        <v>21557.857142857141</v>
      </c>
      <c r="Q47" s="91">
        <f t="shared" si="19"/>
        <v>21557.857142857141</v>
      </c>
      <c r="R47" s="91">
        <f t="shared" si="19"/>
        <v>21557.857142857141</v>
      </c>
      <c r="S47" s="91">
        <f t="shared" si="19"/>
        <v>21557.857142857141</v>
      </c>
      <c r="T47" s="91">
        <f t="shared" si="19"/>
        <v>21557.857142857141</v>
      </c>
      <c r="U47" s="94">
        <f>(159980/4)/3.5</f>
        <v>11427.142857142857</v>
      </c>
      <c r="V47" s="94">
        <f t="shared" ref="V47:X47" si="20">(159980/4)/3.5</f>
        <v>11427.142857142857</v>
      </c>
      <c r="W47" s="94">
        <f t="shared" si="20"/>
        <v>11427.142857142857</v>
      </c>
      <c r="X47" s="94">
        <f t="shared" si="20"/>
        <v>11427.142857142857</v>
      </c>
      <c r="Y47" s="22"/>
    </row>
    <row r="48" spans="1:25" ht="13.95" customHeight="1" x14ac:dyDescent="0.25">
      <c r="A48" s="73" t="s">
        <v>147</v>
      </c>
      <c r="B48" s="82" t="s">
        <v>139</v>
      </c>
      <c r="C48" s="96">
        <f t="shared" si="18"/>
        <v>8404.1507142857154</v>
      </c>
      <c r="D48" s="96">
        <f t="shared" si="18"/>
        <v>8404.1507142857154</v>
      </c>
      <c r="E48" s="36">
        <f>+SUM(C48:D48)</f>
        <v>16808.301428571431</v>
      </c>
      <c r="F48" s="195"/>
      <c r="G48" s="10"/>
      <c r="H48" s="10"/>
      <c r="I48" s="71"/>
      <c r="J48" s="71"/>
      <c r="K48" s="10"/>
      <c r="L48" s="10"/>
      <c r="M48" s="10">
        <f>(23251.94/4)/3.5</f>
        <v>1660.8528571428571</v>
      </c>
      <c r="N48" s="10">
        <f t="shared" ref="N48:P48" si="21">(23251.94/4)/3.5</f>
        <v>1660.8528571428571</v>
      </c>
      <c r="O48" s="6">
        <f t="shared" si="21"/>
        <v>1660.8528571428571</v>
      </c>
      <c r="P48" s="6">
        <f t="shared" si="21"/>
        <v>1660.8528571428571</v>
      </c>
      <c r="Q48" s="6">
        <f>(6643.41/4)</f>
        <v>1660.8525</v>
      </c>
      <c r="R48" s="6">
        <f t="shared" ref="R48:T48" si="22">(6643.41/4)</f>
        <v>1660.8525</v>
      </c>
      <c r="S48" s="6">
        <f t="shared" si="22"/>
        <v>1660.8525</v>
      </c>
      <c r="T48" s="6">
        <f t="shared" si="22"/>
        <v>1660.8525</v>
      </c>
      <c r="U48" s="6">
        <f>(3521.48/4)</f>
        <v>880.37</v>
      </c>
      <c r="V48" s="6">
        <f t="shared" ref="V48:X48" si="23">(3521.48/4)</f>
        <v>880.37</v>
      </c>
      <c r="W48" s="6">
        <f t="shared" si="23"/>
        <v>880.37</v>
      </c>
      <c r="X48" s="6">
        <f t="shared" si="23"/>
        <v>880.37</v>
      </c>
      <c r="Y48" s="22"/>
    </row>
    <row r="49" spans="1:25" ht="13.95" customHeight="1" x14ac:dyDescent="0.25">
      <c r="A49" s="73" t="s">
        <v>148</v>
      </c>
      <c r="B49" s="117" t="s">
        <v>150</v>
      </c>
      <c r="C49" s="129">
        <f t="shared" si="18"/>
        <v>640781.77142857143</v>
      </c>
      <c r="D49" s="129">
        <f t="shared" si="18"/>
        <v>640781.77142857143</v>
      </c>
      <c r="E49" s="6">
        <f>+SUM(C49:D49)</f>
        <v>1281563.5428571429</v>
      </c>
      <c r="F49" s="195" t="s">
        <v>434</v>
      </c>
      <c r="G49" s="10"/>
      <c r="H49" s="10"/>
      <c r="I49" s="71"/>
      <c r="J49" s="71"/>
      <c r="K49" s="80"/>
      <c r="L49" s="80"/>
      <c r="M49" s="104"/>
      <c r="N49" s="104"/>
      <c r="O49" s="91">
        <f>(1794188.96/2)/3.5</f>
        <v>256312.70857142858</v>
      </c>
      <c r="P49" s="91">
        <f>(1794188.96/2)/3.5</f>
        <v>256312.70857142858</v>
      </c>
      <c r="Q49" s="91">
        <f>(1794188.96/2)/3.5</f>
        <v>256312.70857142858</v>
      </c>
      <c r="R49" s="91">
        <f>(1794188.96/2)/3.5</f>
        <v>256312.70857142858</v>
      </c>
      <c r="S49" s="6"/>
      <c r="T49" s="6"/>
      <c r="U49" s="91">
        <f>(897094.48/2)/3.5</f>
        <v>128156.35428571429</v>
      </c>
      <c r="V49" s="91">
        <f>(897094.48/2)/3.5</f>
        <v>128156.35428571429</v>
      </c>
      <c r="W49" s="6"/>
      <c r="X49" s="6"/>
      <c r="Y49" s="22"/>
    </row>
    <row r="50" spans="1:25" ht="13.95" customHeight="1" x14ac:dyDescent="0.25">
      <c r="A50" s="73" t="s">
        <v>151</v>
      </c>
      <c r="B50" s="117" t="s">
        <v>152</v>
      </c>
      <c r="C50" s="129">
        <f t="shared" si="18"/>
        <v>19223.349999999999</v>
      </c>
      <c r="D50" s="129">
        <f t="shared" si="18"/>
        <v>19223.349999999999</v>
      </c>
      <c r="E50" s="6">
        <f>+SUM(C50:D50)</f>
        <v>38446.699999999997</v>
      </c>
      <c r="F50" s="192"/>
      <c r="G50" s="10"/>
      <c r="H50" s="10"/>
      <c r="I50" s="93">
        <f>+(89709.45/2)/3.5</f>
        <v>12815.635714285714</v>
      </c>
      <c r="J50" s="93">
        <f>+(89709.45/2)/3.5</f>
        <v>12815.635714285714</v>
      </c>
      <c r="K50" s="10"/>
      <c r="L50" s="10"/>
      <c r="M50" s="103">
        <f>(44854/2)/3.5</f>
        <v>6407.7142857142853</v>
      </c>
      <c r="N50" s="103">
        <f>(44854/2)/3.5</f>
        <v>6407.7142857142853</v>
      </c>
      <c r="O50" s="6"/>
      <c r="P50" s="6"/>
      <c r="Q50" s="6"/>
      <c r="R50" s="6"/>
      <c r="S50" s="6"/>
      <c r="T50" s="6"/>
      <c r="U50" s="6"/>
      <c r="V50" s="6"/>
      <c r="W50" s="6"/>
      <c r="X50" s="6"/>
      <c r="Y50" s="22"/>
    </row>
    <row r="51" spans="1:25" ht="13.95" customHeight="1" x14ac:dyDescent="0.25">
      <c r="A51" s="73"/>
      <c r="B51" s="73"/>
      <c r="C51" s="39"/>
      <c r="D51" s="39"/>
      <c r="E51" s="36"/>
      <c r="F51" s="86"/>
      <c r="G51" s="10"/>
      <c r="H51" s="10"/>
      <c r="I51" s="71"/>
      <c r="J51" s="71"/>
      <c r="K51" s="10"/>
      <c r="L51" s="10"/>
      <c r="M51" s="10"/>
      <c r="N51" s="10"/>
      <c r="O51" s="6"/>
      <c r="P51" s="6"/>
      <c r="Q51" s="6"/>
      <c r="R51" s="6"/>
      <c r="S51" s="6"/>
      <c r="T51" s="6"/>
      <c r="U51" s="6"/>
      <c r="V51" s="6"/>
      <c r="W51" s="6"/>
      <c r="X51" s="6"/>
      <c r="Y51" s="22"/>
    </row>
    <row r="52" spans="1:25" ht="13.95" customHeight="1" x14ac:dyDescent="0.25">
      <c r="A52" s="34">
        <v>1.7</v>
      </c>
      <c r="B52" s="34" t="s">
        <v>440</v>
      </c>
      <c r="C52" s="178">
        <f>+SUM(C53:C54)</f>
        <v>92856.862857142871</v>
      </c>
      <c r="D52" s="178">
        <f>+SUM(D53:D54)</f>
        <v>92857.422857142868</v>
      </c>
      <c r="E52" s="178">
        <f>+C52+D52</f>
        <v>185714.28571428574</v>
      </c>
      <c r="F52" s="194" t="s">
        <v>429</v>
      </c>
      <c r="G52" s="10"/>
      <c r="H52" s="10"/>
      <c r="I52" s="71"/>
      <c r="J52" s="71"/>
      <c r="K52" s="10"/>
      <c r="L52" s="10"/>
      <c r="M52" s="10"/>
      <c r="N52" s="10"/>
      <c r="O52" s="6"/>
      <c r="P52" s="6"/>
      <c r="Q52" s="6"/>
      <c r="R52" s="6"/>
      <c r="S52" s="6"/>
      <c r="T52" s="6"/>
      <c r="U52" s="6"/>
      <c r="V52" s="6"/>
      <c r="W52" s="6"/>
      <c r="X52" s="6"/>
    </row>
    <row r="53" spans="1:25" ht="13.95" customHeight="1" x14ac:dyDescent="0.25">
      <c r="A53" s="37" t="s">
        <v>126</v>
      </c>
      <c r="B53" s="40" t="s">
        <v>132</v>
      </c>
      <c r="C53" s="96">
        <f>+I53+K53+M53+O53+Q53+S53+U53+W53</f>
        <v>14285.714285714286</v>
      </c>
      <c r="D53" s="96">
        <f>+J53+L53+N53+P53+R53+T53+V53+X53</f>
        <v>14285.714285714286</v>
      </c>
      <c r="E53" s="36">
        <f>+SUM(C53:D53)</f>
        <v>28571.428571428572</v>
      </c>
      <c r="F53" s="86"/>
      <c r="G53" s="10"/>
      <c r="H53" s="10"/>
      <c r="I53" s="71"/>
      <c r="J53" s="71"/>
      <c r="K53" s="10"/>
      <c r="L53" s="10"/>
      <c r="M53" s="112">
        <f>50000/3.5</f>
        <v>14285.714285714286</v>
      </c>
      <c r="N53" s="112">
        <f>50000/3.5</f>
        <v>14285.714285714286</v>
      </c>
      <c r="O53" s="162"/>
      <c r="P53" s="95"/>
      <c r="Q53" s="6"/>
      <c r="R53" s="6"/>
      <c r="S53" s="6"/>
      <c r="T53" s="6"/>
      <c r="U53" s="6"/>
      <c r="V53" s="6"/>
      <c r="W53" s="6"/>
      <c r="X53" s="6"/>
    </row>
    <row r="54" spans="1:25" ht="13.95" customHeight="1" x14ac:dyDescent="0.25">
      <c r="A54" s="37" t="s">
        <v>133</v>
      </c>
      <c r="B54" s="40" t="s">
        <v>134</v>
      </c>
      <c r="C54" s="96">
        <f>+I54+K54+M54+O54+Q54+S54+U54+W54</f>
        <v>78571.148571428581</v>
      </c>
      <c r="D54" s="96">
        <f>+J54+L54+N54+P54+R54+T54+V54+X54</f>
        <v>78571.708571428579</v>
      </c>
      <c r="E54" s="36">
        <f>+SUM(C54:D54)</f>
        <v>157142.85714285716</v>
      </c>
      <c r="F54" s="190" t="s">
        <v>126</v>
      </c>
      <c r="G54" s="10"/>
      <c r="H54" s="10"/>
      <c r="I54" s="71"/>
      <c r="J54" s="71"/>
      <c r="K54" s="10"/>
      <c r="L54" s="10"/>
      <c r="M54" s="10">
        <f>+(400000/4)/3.5+7142.86*2+3571*2+28572</f>
        <v>78571.148571428581</v>
      </c>
      <c r="N54" s="10">
        <f>+(400000/4)/3.5+7142.86*2+3571*2+28572.56</f>
        <v>78571.708571428579</v>
      </c>
      <c r="O54" s="6"/>
      <c r="P54" s="6"/>
      <c r="Q54" s="91"/>
      <c r="R54" s="91"/>
      <c r="S54" s="91"/>
      <c r="T54" s="91"/>
      <c r="U54" s="6"/>
      <c r="V54" s="6"/>
      <c r="W54" s="6"/>
      <c r="X54" s="6"/>
      <c r="Y54" s="22"/>
    </row>
    <row r="55" spans="1:25" ht="13.95" customHeight="1" x14ac:dyDescent="0.25">
      <c r="A55" s="64"/>
      <c r="B55" s="90"/>
      <c r="C55" s="39"/>
      <c r="D55" s="39"/>
      <c r="E55" s="36"/>
      <c r="F55" s="86"/>
      <c r="G55" s="10"/>
      <c r="H55" s="10"/>
      <c r="I55" s="71"/>
      <c r="J55" s="71"/>
      <c r="K55" s="10"/>
      <c r="L55" s="10"/>
      <c r="M55" s="10"/>
      <c r="N55" s="10"/>
      <c r="O55" s="6"/>
      <c r="P55" s="6"/>
      <c r="Q55" s="6"/>
      <c r="R55" s="6"/>
      <c r="S55" s="6"/>
      <c r="T55" s="6"/>
      <c r="U55" s="6"/>
      <c r="V55" s="6"/>
      <c r="W55" s="6"/>
      <c r="X55" s="6"/>
    </row>
    <row r="56" spans="1:25" ht="13.95" customHeight="1" x14ac:dyDescent="0.25">
      <c r="A56" s="34">
        <v>1.8</v>
      </c>
      <c r="B56" s="34" t="s">
        <v>285</v>
      </c>
      <c r="C56" s="178">
        <f>+SUM(C57:C76)</f>
        <v>1771497.5714285716</v>
      </c>
      <c r="D56" s="178">
        <f>+SUM(D57:D76)</f>
        <v>1771496.7142857146</v>
      </c>
      <c r="E56" s="178">
        <f>+C56+D56</f>
        <v>3542994.2857142864</v>
      </c>
      <c r="F56" s="196" t="s">
        <v>432</v>
      </c>
      <c r="G56" s="10"/>
      <c r="H56" s="10"/>
      <c r="I56" s="71"/>
      <c r="J56" s="71"/>
      <c r="K56" s="10"/>
      <c r="L56" s="10"/>
      <c r="M56" s="10"/>
      <c r="N56" s="10"/>
      <c r="O56" s="6"/>
      <c r="P56" s="6"/>
      <c r="Q56" s="6"/>
      <c r="R56" s="6"/>
      <c r="S56" s="6"/>
      <c r="T56" s="6"/>
      <c r="U56" s="6"/>
      <c r="V56" s="6"/>
      <c r="W56" s="6"/>
      <c r="X56" s="6"/>
    </row>
    <row r="57" spans="1:25" ht="13.95" customHeight="1" x14ac:dyDescent="0.25">
      <c r="A57" s="37" t="s">
        <v>217</v>
      </c>
      <c r="B57" s="40" t="s">
        <v>281</v>
      </c>
      <c r="C57" s="96">
        <f t="shared" ref="C57:C66" si="24">+I57+K57+M57+O57+Q57+S57+U57+W57</f>
        <v>61714.28571428571</v>
      </c>
      <c r="D57" s="96">
        <f t="shared" ref="D57:D66" si="25">+J57+L57+N57+P57+R57+T57+V57+X57</f>
        <v>61714.28571428571</v>
      </c>
      <c r="E57" s="36">
        <f t="shared" ref="E57:E74" si="26">+SUM(C57:D57)</f>
        <v>123428.57142857142</v>
      </c>
      <c r="F57" s="192"/>
      <c r="G57" s="10"/>
      <c r="H57" s="10"/>
      <c r="I57" s="71"/>
      <c r="J57" s="71"/>
      <c r="K57" s="10"/>
      <c r="L57" s="10"/>
      <c r="M57" s="104">
        <f>+(192000/4)/3.5</f>
        <v>13714.285714285714</v>
      </c>
      <c r="N57" s="104">
        <f t="shared" ref="N57:P57" si="27">+(192000/4)/3.5</f>
        <v>13714.285714285714</v>
      </c>
      <c r="O57" s="91">
        <f t="shared" si="27"/>
        <v>13714.285714285714</v>
      </c>
      <c r="P57" s="91">
        <f t="shared" si="27"/>
        <v>13714.285714285714</v>
      </c>
      <c r="Q57" s="91">
        <f>+(144000/4)/3.5</f>
        <v>10285.714285714286</v>
      </c>
      <c r="R57" s="91">
        <f t="shared" ref="R57:T57" si="28">+(144000/4)/3.5</f>
        <v>10285.714285714286</v>
      </c>
      <c r="S57" s="91">
        <f t="shared" si="28"/>
        <v>10285.714285714286</v>
      </c>
      <c r="T57" s="91">
        <f t="shared" si="28"/>
        <v>10285.714285714286</v>
      </c>
      <c r="U57" s="91">
        <f>+(96000/4)/3.5</f>
        <v>6857.1428571428569</v>
      </c>
      <c r="V57" s="91">
        <f t="shared" ref="V57:X57" si="29">+(96000/4)/3.5</f>
        <v>6857.1428571428569</v>
      </c>
      <c r="W57" s="91">
        <f t="shared" si="29"/>
        <v>6857.1428571428569</v>
      </c>
      <c r="X57" s="91">
        <f t="shared" si="29"/>
        <v>6857.1428571428569</v>
      </c>
    </row>
    <row r="58" spans="1:25" ht="13.95" customHeight="1" x14ac:dyDescent="0.25">
      <c r="A58" s="37" t="s">
        <v>218</v>
      </c>
      <c r="B58" s="40" t="s">
        <v>282</v>
      </c>
      <c r="C58" s="96">
        <f t="shared" si="24"/>
        <v>12000</v>
      </c>
      <c r="D58" s="96">
        <f t="shared" si="25"/>
        <v>12000</v>
      </c>
      <c r="E58" s="36">
        <f t="shared" si="26"/>
        <v>24000</v>
      </c>
      <c r="F58" s="195" t="s">
        <v>217</v>
      </c>
      <c r="G58" s="10"/>
      <c r="H58" s="10"/>
      <c r="I58" s="71"/>
      <c r="J58" s="71"/>
      <c r="K58" s="10"/>
      <c r="L58" s="10"/>
      <c r="M58" s="104">
        <f>+(42000/4)/3.5</f>
        <v>3000</v>
      </c>
      <c r="N58" s="104">
        <f t="shared" ref="N58:T58" si="30">+(42000/4)/3.5</f>
        <v>3000</v>
      </c>
      <c r="O58" s="91">
        <f t="shared" si="30"/>
        <v>3000</v>
      </c>
      <c r="P58" s="91">
        <f t="shared" si="30"/>
        <v>3000</v>
      </c>
      <c r="Q58" s="91">
        <f t="shared" si="30"/>
        <v>3000</v>
      </c>
      <c r="R58" s="91">
        <f t="shared" si="30"/>
        <v>3000</v>
      </c>
      <c r="S58" s="91">
        <f t="shared" si="30"/>
        <v>3000</v>
      </c>
      <c r="T58" s="91">
        <f t="shared" si="30"/>
        <v>3000</v>
      </c>
      <c r="U58" s="91"/>
      <c r="V58" s="91"/>
      <c r="W58" s="91"/>
      <c r="X58" s="91"/>
    </row>
    <row r="59" spans="1:25" ht="13.95" customHeight="1" x14ac:dyDescent="0.25">
      <c r="A59" s="37" t="s">
        <v>219</v>
      </c>
      <c r="B59" s="40" t="s">
        <v>226</v>
      </c>
      <c r="C59" s="96">
        <f t="shared" si="24"/>
        <v>5914.2857142857147</v>
      </c>
      <c r="D59" s="96">
        <f t="shared" si="25"/>
        <v>5914.2857142857147</v>
      </c>
      <c r="E59" s="36">
        <f t="shared" si="26"/>
        <v>11828.571428571429</v>
      </c>
      <c r="F59" s="195" t="s">
        <v>218</v>
      </c>
      <c r="G59" s="10"/>
      <c r="H59" s="10"/>
      <c r="I59" s="71"/>
      <c r="J59" s="71"/>
      <c r="K59" s="10"/>
      <c r="L59" s="10"/>
      <c r="M59" s="104">
        <f>+(41400/2)/3.5</f>
        <v>5914.2857142857147</v>
      </c>
      <c r="N59" s="104">
        <f>+(41400/2)/3.5</f>
        <v>5914.2857142857147</v>
      </c>
      <c r="O59" s="6"/>
      <c r="P59" s="6"/>
      <c r="Q59" s="6"/>
      <c r="R59" s="6"/>
      <c r="S59" s="6"/>
      <c r="T59" s="6"/>
      <c r="U59" s="6"/>
      <c r="V59" s="6"/>
      <c r="W59" s="6"/>
      <c r="X59" s="6"/>
    </row>
    <row r="60" spans="1:25" ht="13.95" customHeight="1" x14ac:dyDescent="0.25">
      <c r="A60" s="37" t="s">
        <v>220</v>
      </c>
      <c r="B60" s="40" t="s">
        <v>224</v>
      </c>
      <c r="C60" s="96">
        <f t="shared" si="24"/>
        <v>14285.714285714286</v>
      </c>
      <c r="D60" s="96">
        <f t="shared" si="25"/>
        <v>14285.714285714286</v>
      </c>
      <c r="E60" s="36">
        <f t="shared" si="26"/>
        <v>28571.428571428572</v>
      </c>
      <c r="F60" s="195"/>
      <c r="G60" s="10"/>
      <c r="H60" s="10"/>
      <c r="I60" s="71"/>
      <c r="J60" s="71"/>
      <c r="K60" s="10"/>
      <c r="L60" s="10"/>
      <c r="M60" s="104">
        <f>+(100000/2)/3.5</f>
        <v>14285.714285714286</v>
      </c>
      <c r="N60" s="104">
        <f>+(100000/2)/3.5</f>
        <v>14285.714285714286</v>
      </c>
      <c r="O60" s="6"/>
      <c r="P60" s="6"/>
      <c r="Q60" s="6"/>
      <c r="R60" s="6"/>
      <c r="S60" s="6"/>
      <c r="T60" s="6"/>
      <c r="U60" s="6"/>
      <c r="V60" s="6"/>
      <c r="W60" s="6"/>
      <c r="X60" s="6"/>
    </row>
    <row r="61" spans="1:25" ht="13.95" customHeight="1" x14ac:dyDescent="0.25">
      <c r="A61" s="37" t="s">
        <v>221</v>
      </c>
      <c r="B61" s="40" t="s">
        <v>225</v>
      </c>
      <c r="C61" s="96">
        <f t="shared" si="24"/>
        <v>2142.8571428571427</v>
      </c>
      <c r="D61" s="96">
        <f t="shared" si="25"/>
        <v>2142.8571428571427</v>
      </c>
      <c r="E61" s="36">
        <f t="shared" si="26"/>
        <v>4285.7142857142853</v>
      </c>
      <c r="F61" s="195" t="s">
        <v>220</v>
      </c>
      <c r="G61" s="10"/>
      <c r="H61" s="10"/>
      <c r="I61" s="71"/>
      <c r="J61" s="71"/>
      <c r="K61" s="10"/>
      <c r="L61" s="10"/>
      <c r="M61" s="72"/>
      <c r="N61" s="72"/>
      <c r="O61" s="91">
        <f>+(15000/2)/3.5</f>
        <v>2142.8571428571427</v>
      </c>
      <c r="P61" s="91">
        <f>+(15000/2)/3.5</f>
        <v>2142.8571428571427</v>
      </c>
      <c r="Q61" s="6"/>
      <c r="R61" s="6"/>
      <c r="S61" s="6"/>
      <c r="T61" s="6"/>
      <c r="U61" s="6"/>
      <c r="V61" s="6"/>
      <c r="W61" s="6"/>
      <c r="X61" s="6"/>
    </row>
    <row r="62" spans="1:25" ht="13.95" customHeight="1" x14ac:dyDescent="0.25">
      <c r="A62" s="37" t="s">
        <v>222</v>
      </c>
      <c r="B62" s="40" t="s">
        <v>231</v>
      </c>
      <c r="C62" s="96">
        <f t="shared" si="24"/>
        <v>123428.57142857145</v>
      </c>
      <c r="D62" s="96">
        <f t="shared" si="25"/>
        <v>123428.57142857145</v>
      </c>
      <c r="E62" s="36">
        <f t="shared" si="26"/>
        <v>246857.1428571429</v>
      </c>
      <c r="F62" s="195" t="s">
        <v>221</v>
      </c>
      <c r="G62" s="10"/>
      <c r="H62" s="10"/>
      <c r="I62" s="71"/>
      <c r="J62" s="71"/>
      <c r="K62" s="10"/>
      <c r="L62" s="10"/>
      <c r="M62" s="104">
        <f>+(216000/4)/3.5</f>
        <v>15428.571428571429</v>
      </c>
      <c r="N62" s="104">
        <f t="shared" ref="N62:P62" si="31">+(216000/4)/3.5</f>
        <v>15428.571428571429</v>
      </c>
      <c r="O62" s="91">
        <f t="shared" si="31"/>
        <v>15428.571428571429</v>
      </c>
      <c r="P62" s="91">
        <f t="shared" si="31"/>
        <v>15428.571428571429</v>
      </c>
      <c r="Q62" s="91">
        <f>+(432000/4)/3.5</f>
        <v>30857.142857142859</v>
      </c>
      <c r="R62" s="91">
        <f t="shared" ref="R62:T62" si="32">+(432000/4)/3.5</f>
        <v>30857.142857142859</v>
      </c>
      <c r="S62" s="91">
        <f t="shared" si="32"/>
        <v>30857.142857142859</v>
      </c>
      <c r="T62" s="91">
        <f t="shared" si="32"/>
        <v>30857.142857142859</v>
      </c>
      <c r="U62" s="91">
        <f>+(216000/4)/3.5</f>
        <v>15428.571428571429</v>
      </c>
      <c r="V62" s="91">
        <f t="shared" ref="V62:X62" si="33">+(216000/4)/3.5</f>
        <v>15428.571428571429</v>
      </c>
      <c r="W62" s="91">
        <f t="shared" si="33"/>
        <v>15428.571428571429</v>
      </c>
      <c r="X62" s="91">
        <f t="shared" si="33"/>
        <v>15428.571428571429</v>
      </c>
    </row>
    <row r="63" spans="1:25" ht="13.95" customHeight="1" x14ac:dyDescent="0.25">
      <c r="A63" s="37" t="s">
        <v>223</v>
      </c>
      <c r="B63" s="40" t="s">
        <v>232</v>
      </c>
      <c r="C63" s="96">
        <f t="shared" si="24"/>
        <v>11142.857142857143</v>
      </c>
      <c r="D63" s="96">
        <f t="shared" si="25"/>
        <v>11142.857142857143</v>
      </c>
      <c r="E63" s="36">
        <f t="shared" si="26"/>
        <v>22285.714285714286</v>
      </c>
      <c r="F63" s="195"/>
      <c r="G63" s="10"/>
      <c r="H63" s="10"/>
      <c r="I63" s="71"/>
      <c r="J63" s="71"/>
      <c r="K63" s="10"/>
      <c r="L63" s="10"/>
      <c r="M63" s="104">
        <f>+(78000/2)/3.5</f>
        <v>11142.857142857143</v>
      </c>
      <c r="N63" s="104">
        <f>+(78000/2)/3.5</f>
        <v>11142.857142857143</v>
      </c>
      <c r="O63" s="6"/>
      <c r="P63" s="6"/>
      <c r="Q63" s="6"/>
      <c r="R63" s="6"/>
      <c r="S63" s="6"/>
      <c r="T63" s="6"/>
      <c r="U63" s="6"/>
      <c r="V63" s="6"/>
      <c r="W63" s="6"/>
      <c r="X63" s="6"/>
    </row>
    <row r="64" spans="1:25" ht="13.95" customHeight="1" x14ac:dyDescent="0.25">
      <c r="A64" s="37" t="s">
        <v>227</v>
      </c>
      <c r="B64" s="40" t="s">
        <v>233</v>
      </c>
      <c r="C64" s="96">
        <f t="shared" si="24"/>
        <v>55000</v>
      </c>
      <c r="D64" s="96">
        <f t="shared" si="25"/>
        <v>55000</v>
      </c>
      <c r="E64" s="36">
        <f t="shared" si="26"/>
        <v>110000</v>
      </c>
      <c r="F64" s="195" t="s">
        <v>223</v>
      </c>
      <c r="G64" s="10"/>
      <c r="H64" s="10"/>
      <c r="I64" s="71"/>
      <c r="J64" s="71"/>
      <c r="K64" s="10"/>
      <c r="L64" s="10"/>
      <c r="M64" s="104">
        <f>+(145000/2)/3.5</f>
        <v>20714.285714285714</v>
      </c>
      <c r="N64" s="104">
        <f>+(145000/2)/3.5</f>
        <v>20714.285714285714</v>
      </c>
      <c r="O64" s="6"/>
      <c r="P64" s="6"/>
      <c r="Q64" s="91">
        <f>+(120000/2)/3.5</f>
        <v>17142.857142857141</v>
      </c>
      <c r="R64" s="91">
        <f>+(120000/2)/3.5</f>
        <v>17142.857142857141</v>
      </c>
      <c r="S64" s="6"/>
      <c r="T64" s="6"/>
      <c r="U64" s="91">
        <f>+(120000/2)/3.5</f>
        <v>17142.857142857141</v>
      </c>
      <c r="V64" s="91">
        <f>+(120000/2)/3.5</f>
        <v>17142.857142857141</v>
      </c>
      <c r="W64" s="6"/>
      <c r="X64" s="6"/>
    </row>
    <row r="65" spans="1:25" ht="13.95" customHeight="1" x14ac:dyDescent="0.25">
      <c r="A65" s="37" t="s">
        <v>228</v>
      </c>
      <c r="B65" s="40" t="s">
        <v>234</v>
      </c>
      <c r="C65" s="96">
        <f t="shared" si="24"/>
        <v>137056.42857142858</v>
      </c>
      <c r="D65" s="96">
        <f t="shared" si="25"/>
        <v>137056.42857142858</v>
      </c>
      <c r="E65" s="36">
        <f t="shared" si="26"/>
        <v>274112.85714285716</v>
      </c>
      <c r="F65" s="195" t="s">
        <v>227</v>
      </c>
      <c r="G65" s="10"/>
      <c r="H65" s="10"/>
      <c r="I65" s="71"/>
      <c r="J65" s="71"/>
      <c r="K65" s="10"/>
      <c r="L65" s="10"/>
      <c r="M65" s="104">
        <f>+(959395/2)/3.5</f>
        <v>137056.42857142858</v>
      </c>
      <c r="N65" s="104">
        <f>+(959395/2)/3.5</f>
        <v>137056.42857142858</v>
      </c>
      <c r="O65" s="6"/>
      <c r="P65" s="6"/>
      <c r="Q65" s="6"/>
      <c r="R65" s="6"/>
      <c r="S65" s="6"/>
      <c r="T65" s="6"/>
      <c r="U65" s="91"/>
      <c r="V65" s="91"/>
      <c r="W65" s="6"/>
      <c r="X65" s="6"/>
    </row>
    <row r="66" spans="1:25" ht="13.95" customHeight="1" x14ac:dyDescent="0.25">
      <c r="A66" s="37" t="s">
        <v>229</v>
      </c>
      <c r="B66" s="40" t="s">
        <v>309</v>
      </c>
      <c r="C66" s="96">
        <f t="shared" si="24"/>
        <v>11142</v>
      </c>
      <c r="D66" s="96">
        <f t="shared" si="25"/>
        <v>11142</v>
      </c>
      <c r="E66" s="36">
        <f t="shared" si="26"/>
        <v>22284</v>
      </c>
      <c r="F66" s="193" t="s">
        <v>431</v>
      </c>
      <c r="G66" s="10"/>
      <c r="H66" s="10"/>
      <c r="I66" s="71"/>
      <c r="J66" s="71"/>
      <c r="K66" s="10"/>
      <c r="L66" s="10"/>
      <c r="M66" s="104">
        <f>+(25998/4)/3.5</f>
        <v>1857</v>
      </c>
      <c r="N66" s="104">
        <f t="shared" ref="N66:X66" si="34">+(25998/4)/3.5</f>
        <v>1857</v>
      </c>
      <c r="O66" s="91">
        <f t="shared" si="34"/>
        <v>1857</v>
      </c>
      <c r="P66" s="91">
        <f t="shared" si="34"/>
        <v>1857</v>
      </c>
      <c r="Q66" s="91">
        <f t="shared" si="34"/>
        <v>1857</v>
      </c>
      <c r="R66" s="91">
        <f t="shared" si="34"/>
        <v>1857</v>
      </c>
      <c r="S66" s="91">
        <f t="shared" si="34"/>
        <v>1857</v>
      </c>
      <c r="T66" s="91">
        <f t="shared" si="34"/>
        <v>1857</v>
      </c>
      <c r="U66" s="91">
        <f t="shared" si="34"/>
        <v>1857</v>
      </c>
      <c r="V66" s="91">
        <f t="shared" si="34"/>
        <v>1857</v>
      </c>
      <c r="W66" s="91">
        <f t="shared" si="34"/>
        <v>1857</v>
      </c>
      <c r="X66" s="91">
        <f t="shared" si="34"/>
        <v>1857</v>
      </c>
    </row>
    <row r="67" spans="1:25" ht="13.95" customHeight="1" x14ac:dyDescent="0.25">
      <c r="A67" s="37" t="s">
        <v>230</v>
      </c>
      <c r="B67" s="40" t="s">
        <v>235</v>
      </c>
      <c r="C67" s="96">
        <f t="shared" ref="C67:C76" si="35">+I67+K67+M67+O67+Q67+S67+U67+W67</f>
        <v>185131.42857142858</v>
      </c>
      <c r="D67" s="96">
        <f t="shared" ref="D67:D74" si="36">+J67+L67+N67+P67+R67+T67+V67+X67</f>
        <v>185131.42857142858</v>
      </c>
      <c r="E67" s="36">
        <f t="shared" si="26"/>
        <v>370262.85714285716</v>
      </c>
      <c r="F67" s="193" t="s">
        <v>431</v>
      </c>
      <c r="G67" s="10"/>
      <c r="H67" s="10"/>
      <c r="I67" s="71"/>
      <c r="J67" s="71"/>
      <c r="K67" s="10"/>
      <c r="L67" s="10"/>
      <c r="M67" s="104">
        <f>+(432080/4)/3.5</f>
        <v>30862.857142857141</v>
      </c>
      <c r="N67" s="104">
        <f t="shared" ref="N67:P67" si="37">+(432080/4)/3.5</f>
        <v>30862.857142857141</v>
      </c>
      <c r="O67" s="91">
        <f t="shared" si="37"/>
        <v>30862.857142857141</v>
      </c>
      <c r="P67" s="91">
        <f t="shared" si="37"/>
        <v>30862.857142857141</v>
      </c>
      <c r="Q67" s="91">
        <f>+(485840/4)/3.5</f>
        <v>34702.857142857145</v>
      </c>
      <c r="R67" s="91">
        <f t="shared" ref="R67:T67" si="38">+(485840/4)/3.5</f>
        <v>34702.857142857145</v>
      </c>
      <c r="S67" s="91">
        <f t="shared" si="38"/>
        <v>34702.857142857145</v>
      </c>
      <c r="T67" s="91">
        <f t="shared" si="38"/>
        <v>34702.857142857145</v>
      </c>
      <c r="U67" s="91">
        <f>+(378000/4)/3.5</f>
        <v>27000</v>
      </c>
      <c r="V67" s="91">
        <f t="shared" ref="V67:X67" si="39">+(378000/4)/3.5</f>
        <v>27000</v>
      </c>
      <c r="W67" s="91">
        <f t="shared" si="39"/>
        <v>27000</v>
      </c>
      <c r="X67" s="91">
        <f t="shared" si="39"/>
        <v>27000</v>
      </c>
    </row>
    <row r="68" spans="1:25" ht="13.95" customHeight="1" x14ac:dyDescent="0.25">
      <c r="A68" s="37" t="s">
        <v>286</v>
      </c>
      <c r="B68" s="40" t="s">
        <v>297</v>
      </c>
      <c r="C68" s="96">
        <f>+G68+K68+M68+O68+Q68+S68+U68+W68</f>
        <v>28971.428571428572</v>
      </c>
      <c r="D68" s="96">
        <f t="shared" si="36"/>
        <v>28971.428571428572</v>
      </c>
      <c r="E68" s="36">
        <f t="shared" si="26"/>
        <v>57942.857142857145</v>
      </c>
      <c r="F68" s="193" t="s">
        <v>431</v>
      </c>
      <c r="G68" s="103">
        <f>+(202800/2)/3.5</f>
        <v>28971.428571428572</v>
      </c>
      <c r="H68" s="10"/>
      <c r="J68" s="103">
        <f>+(202800/2)/3.5</f>
        <v>28971.428571428572</v>
      </c>
      <c r="K68" s="104"/>
      <c r="L68" s="104"/>
      <c r="M68" s="104"/>
      <c r="N68" s="104"/>
      <c r="O68" s="91"/>
      <c r="P68" s="91"/>
      <c r="Q68" s="91"/>
      <c r="R68" s="91"/>
      <c r="S68" s="91"/>
      <c r="T68" s="91"/>
      <c r="U68" s="91"/>
      <c r="V68" s="91"/>
      <c r="W68" s="91"/>
      <c r="X68" s="91"/>
    </row>
    <row r="69" spans="1:25" ht="13.95" customHeight="1" x14ac:dyDescent="0.25">
      <c r="A69" s="37" t="s">
        <v>287</v>
      </c>
      <c r="B69" s="40" t="s">
        <v>295</v>
      </c>
      <c r="C69" s="96">
        <f t="shared" si="35"/>
        <v>49155.428571428572</v>
      </c>
      <c r="D69" s="96">
        <f t="shared" si="36"/>
        <v>49155.428571428572</v>
      </c>
      <c r="E69" s="36">
        <f t="shared" si="26"/>
        <v>98310.857142857145</v>
      </c>
      <c r="F69" s="193" t="s">
        <v>431</v>
      </c>
      <c r="G69" s="10"/>
      <c r="H69" s="10"/>
      <c r="I69" s="103"/>
      <c r="J69" s="103"/>
      <c r="K69" s="104"/>
      <c r="L69" s="104"/>
      <c r="M69" s="80"/>
      <c r="N69" s="80"/>
      <c r="O69" s="93">
        <f>+(344088/2)/3.5</f>
        <v>49155.428571428572</v>
      </c>
      <c r="P69" s="93">
        <f>+(344088/2)/3.5</f>
        <v>49155.428571428572</v>
      </c>
      <c r="Q69" s="91"/>
      <c r="R69" s="91"/>
      <c r="S69" s="91"/>
      <c r="T69" s="91"/>
      <c r="U69" s="91"/>
      <c r="V69" s="91"/>
      <c r="W69" s="91"/>
      <c r="X69" s="91"/>
    </row>
    <row r="70" spans="1:25" ht="13.95" customHeight="1" x14ac:dyDescent="0.25">
      <c r="A70" s="37" t="s">
        <v>288</v>
      </c>
      <c r="B70" s="40" t="s">
        <v>296</v>
      </c>
      <c r="C70" s="96">
        <f t="shared" si="35"/>
        <v>361080</v>
      </c>
      <c r="D70" s="96">
        <f t="shared" si="36"/>
        <v>361080</v>
      </c>
      <c r="E70" s="36">
        <f t="shared" si="26"/>
        <v>722160</v>
      </c>
      <c r="F70" s="192"/>
      <c r="G70" s="10"/>
      <c r="H70" s="10"/>
      <c r="I70" s="103"/>
      <c r="J70" s="103"/>
      <c r="K70" s="104"/>
      <c r="L70" s="104"/>
      <c r="M70" s="80"/>
      <c r="N70" s="80"/>
      <c r="O70" s="93">
        <f>+(2527560/2)/3.5</f>
        <v>361080</v>
      </c>
      <c r="P70" s="93">
        <f>+(2527560/2)/3.5</f>
        <v>361080</v>
      </c>
      <c r="Q70" s="91"/>
      <c r="R70" s="91"/>
      <c r="S70" s="91"/>
      <c r="T70" s="91"/>
      <c r="U70" s="91"/>
      <c r="V70" s="91"/>
      <c r="W70" s="91"/>
      <c r="X70" s="91"/>
    </row>
    <row r="71" spans="1:25" ht="13.95" customHeight="1" x14ac:dyDescent="0.25">
      <c r="A71" s="37" t="s">
        <v>289</v>
      </c>
      <c r="B71" s="40" t="s">
        <v>298</v>
      </c>
      <c r="C71" s="96">
        <f t="shared" si="35"/>
        <v>22407.142857142859</v>
      </c>
      <c r="D71" s="96">
        <f t="shared" si="36"/>
        <v>22407.142857142859</v>
      </c>
      <c r="E71" s="36">
        <f t="shared" si="26"/>
        <v>44814.285714285717</v>
      </c>
      <c r="F71" s="192" t="s">
        <v>288</v>
      </c>
      <c r="G71" s="10"/>
      <c r="H71" s="10"/>
      <c r="I71" s="103">
        <f>+(156850/2)/3.5</f>
        <v>22407.142857142859</v>
      </c>
      <c r="J71" s="103">
        <f>+(156850/2)/3.5</f>
        <v>22407.142857142859</v>
      </c>
      <c r="K71" s="10"/>
      <c r="L71" s="10"/>
      <c r="M71" s="80"/>
      <c r="N71" s="80"/>
      <c r="O71" s="91"/>
      <c r="P71" s="91"/>
      <c r="Q71" s="91"/>
      <c r="R71" s="91"/>
      <c r="S71" s="91"/>
      <c r="T71" s="91"/>
      <c r="U71" s="91"/>
      <c r="V71" s="91"/>
      <c r="W71" s="91"/>
      <c r="X71" s="91"/>
    </row>
    <row r="72" spans="1:25" ht="13.95" customHeight="1" x14ac:dyDescent="0.25">
      <c r="A72" s="37" t="s">
        <v>290</v>
      </c>
      <c r="B72" s="40" t="s">
        <v>299</v>
      </c>
      <c r="C72" s="96">
        <f t="shared" si="35"/>
        <v>25083.428571428572</v>
      </c>
      <c r="D72" s="96">
        <f t="shared" si="36"/>
        <v>25083.428571428572</v>
      </c>
      <c r="E72" s="36">
        <f t="shared" si="26"/>
        <v>50166.857142857145</v>
      </c>
      <c r="F72" s="192"/>
      <c r="G72" s="10"/>
      <c r="H72" s="10"/>
      <c r="I72" s="71"/>
      <c r="J72" s="71"/>
      <c r="K72" s="10"/>
      <c r="L72" s="10"/>
      <c r="M72" s="80"/>
      <c r="N72" s="80"/>
      <c r="O72" s="93">
        <f>+(175584/2)/3.5</f>
        <v>25083.428571428572</v>
      </c>
      <c r="P72" s="93">
        <f>+(175584/2)/3.5</f>
        <v>25083.428571428572</v>
      </c>
      <c r="Q72" s="91"/>
      <c r="R72" s="91"/>
      <c r="S72" s="91"/>
      <c r="T72" s="91"/>
      <c r="U72" s="91"/>
      <c r="V72" s="91"/>
      <c r="W72" s="91"/>
      <c r="X72" s="91"/>
    </row>
    <row r="73" spans="1:25" ht="13.95" customHeight="1" x14ac:dyDescent="0.25">
      <c r="A73" s="37" t="s">
        <v>291</v>
      </c>
      <c r="B73" s="40" t="s">
        <v>300</v>
      </c>
      <c r="C73" s="96">
        <f t="shared" si="35"/>
        <v>292201.71428571426</v>
      </c>
      <c r="D73" s="96">
        <f t="shared" si="36"/>
        <v>292201.71428571426</v>
      </c>
      <c r="E73" s="36">
        <f t="shared" si="26"/>
        <v>584403.42857142852</v>
      </c>
      <c r="F73" s="192"/>
      <c r="G73" s="10"/>
      <c r="H73" s="10"/>
      <c r="I73" s="71"/>
      <c r="J73" s="71"/>
      <c r="K73" s="10"/>
      <c r="L73" s="10"/>
      <c r="M73" s="80"/>
      <c r="N73" s="80"/>
      <c r="O73" s="93">
        <f>+(2045412/2)/3.5</f>
        <v>292201.71428571426</v>
      </c>
      <c r="P73" s="93">
        <f>+(2045412/2)/3.5</f>
        <v>292201.71428571426</v>
      </c>
      <c r="Q73" s="91"/>
      <c r="R73" s="91"/>
      <c r="S73" s="91"/>
      <c r="T73" s="91"/>
      <c r="U73" s="91"/>
      <c r="V73" s="91"/>
      <c r="W73" s="91"/>
      <c r="X73" s="91"/>
    </row>
    <row r="74" spans="1:25" ht="13.95" customHeight="1" x14ac:dyDescent="0.25">
      <c r="A74" s="37" t="s">
        <v>292</v>
      </c>
      <c r="B74" s="40" t="s">
        <v>301</v>
      </c>
      <c r="C74" s="96">
        <f t="shared" si="35"/>
        <v>33968</v>
      </c>
      <c r="D74" s="96">
        <f t="shared" si="36"/>
        <v>33967.142857142855</v>
      </c>
      <c r="E74" s="36">
        <f t="shared" si="26"/>
        <v>67935.142857142855</v>
      </c>
      <c r="F74" s="192"/>
      <c r="G74" s="10"/>
      <c r="H74" s="10"/>
      <c r="I74" s="103">
        <v>33968</v>
      </c>
      <c r="J74" s="103">
        <f>+(237770/2)/3.5</f>
        <v>33967.142857142855</v>
      </c>
      <c r="K74" s="10"/>
      <c r="L74" s="10"/>
      <c r="M74" s="80"/>
      <c r="N74" s="80"/>
      <c r="O74" s="91"/>
      <c r="P74" s="91"/>
      <c r="Q74" s="91"/>
      <c r="R74" s="91"/>
      <c r="S74" s="91"/>
      <c r="T74" s="91"/>
      <c r="U74" s="91"/>
      <c r="V74" s="91"/>
      <c r="W74" s="91"/>
      <c r="X74" s="91"/>
    </row>
    <row r="75" spans="1:25" ht="13.95" customHeight="1" x14ac:dyDescent="0.25">
      <c r="A75" s="37" t="s">
        <v>293</v>
      </c>
      <c r="B75" s="40" t="s">
        <v>302</v>
      </c>
      <c r="C75" s="96">
        <f t="shared" si="35"/>
        <v>284886</v>
      </c>
      <c r="D75" s="96">
        <f>+J75+L75+N75+P75+R75+T75+V75+X75</f>
        <v>284886</v>
      </c>
      <c r="E75" s="36">
        <f>+C75+D75</f>
        <v>569772</v>
      </c>
      <c r="F75" s="192"/>
      <c r="G75" s="10"/>
      <c r="H75" s="10"/>
      <c r="I75" s="71"/>
      <c r="J75" s="71"/>
      <c r="K75" s="10"/>
      <c r="L75" s="10"/>
      <c r="M75" s="80"/>
      <c r="N75" s="80"/>
      <c r="O75" s="93">
        <v>284886</v>
      </c>
      <c r="P75" s="93">
        <v>284886</v>
      </c>
      <c r="Q75" s="91"/>
      <c r="R75" s="91"/>
      <c r="S75" s="91"/>
      <c r="T75" s="91"/>
      <c r="U75" s="91"/>
      <c r="V75" s="91"/>
      <c r="W75" s="91"/>
      <c r="X75" s="91"/>
    </row>
    <row r="76" spans="1:25" ht="13.95" customHeight="1" x14ac:dyDescent="0.25">
      <c r="A76" s="37" t="s">
        <v>294</v>
      </c>
      <c r="B76" s="40" t="s">
        <v>303</v>
      </c>
      <c r="C76" s="96">
        <f t="shared" si="35"/>
        <v>54786</v>
      </c>
      <c r="D76" s="96">
        <f>+J76+L76+N76+P76+R76+T76+V76+X76</f>
        <v>54786</v>
      </c>
      <c r="E76" s="36">
        <f>+SUM(C76:D76)</f>
        <v>109572</v>
      </c>
      <c r="F76" s="192"/>
      <c r="G76" s="10"/>
      <c r="H76" s="10"/>
      <c r="I76" s="71"/>
      <c r="J76" s="71"/>
      <c r="K76" s="10"/>
      <c r="L76" s="10"/>
      <c r="M76" s="80"/>
      <c r="N76" s="80"/>
      <c r="O76" s="93">
        <v>54786</v>
      </c>
      <c r="P76" s="93">
        <v>54786</v>
      </c>
      <c r="Q76" s="91"/>
      <c r="R76" s="91"/>
      <c r="S76" s="91"/>
      <c r="T76" s="91"/>
      <c r="U76" s="91"/>
      <c r="V76" s="91"/>
      <c r="W76" s="91"/>
      <c r="X76" s="91"/>
    </row>
    <row r="77" spans="1:25" ht="13.95" customHeight="1" x14ac:dyDescent="0.25">
      <c r="A77" s="64"/>
      <c r="B77" s="90"/>
      <c r="C77" s="36"/>
      <c r="D77" s="1"/>
      <c r="E77" s="36"/>
      <c r="F77" s="86"/>
      <c r="G77" s="10"/>
      <c r="H77" s="10"/>
      <c r="I77" s="93"/>
      <c r="J77" s="93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</row>
    <row r="78" spans="1:25" ht="13.95" customHeight="1" x14ac:dyDescent="0.25">
      <c r="A78" s="252" t="s">
        <v>6</v>
      </c>
      <c r="B78" s="253"/>
      <c r="C78" s="149">
        <f>SUM(C56+C52+C45+C42+C36+C31+C11+C4)</f>
        <v>19973892.199285716</v>
      </c>
      <c r="D78" s="149">
        <f>SUM(D4+D11+D31+D36+D42+D45+D52+D56)</f>
        <v>19973891.904285721</v>
      </c>
      <c r="E78" s="149">
        <f>+E4+E11+E31+E36+E42+E45+E52+E56</f>
        <v>39947784.10357143</v>
      </c>
      <c r="F78" s="134"/>
      <c r="G78" s="170">
        <f t="shared" ref="G78:X78" si="40">SUM(G4:G77)</f>
        <v>43807</v>
      </c>
      <c r="H78" s="170">
        <f t="shared" si="40"/>
        <v>0</v>
      </c>
      <c r="I78" s="170">
        <f t="shared" si="40"/>
        <v>268744.67000000004</v>
      </c>
      <c r="J78" s="170">
        <f t="shared" si="40"/>
        <v>312550.81285714282</v>
      </c>
      <c r="K78" s="170">
        <f t="shared" si="40"/>
        <v>13478.571428571429</v>
      </c>
      <c r="L78" s="170">
        <f t="shared" si="40"/>
        <v>13478.571428571429</v>
      </c>
      <c r="M78" s="170">
        <f t="shared" si="40"/>
        <v>3942768.5142857144</v>
      </c>
      <c r="N78" s="170">
        <f t="shared" si="40"/>
        <v>3942769.074285713</v>
      </c>
      <c r="O78" s="170">
        <f t="shared" si="40"/>
        <v>5210055.654285715</v>
      </c>
      <c r="P78" s="170">
        <f t="shared" si="40"/>
        <v>5210055.6564285709</v>
      </c>
      <c r="Q78" s="170">
        <f t="shared" si="40"/>
        <v>3350167.9817857151</v>
      </c>
      <c r="R78" s="170">
        <f t="shared" si="40"/>
        <v>3350167.9817857151</v>
      </c>
      <c r="S78" s="170">
        <f t="shared" si="40"/>
        <v>2789095.9632142866</v>
      </c>
      <c r="T78" s="170">
        <f t="shared" si="40"/>
        <v>2789095.9632142866</v>
      </c>
      <c r="U78" s="170">
        <f t="shared" si="40"/>
        <v>2334924.3849999993</v>
      </c>
      <c r="V78" s="170">
        <f t="shared" si="40"/>
        <v>2334924.385000004</v>
      </c>
      <c r="W78" s="170">
        <f t="shared" si="40"/>
        <v>2020849.4592857142</v>
      </c>
      <c r="X78" s="170">
        <f t="shared" si="40"/>
        <v>2020849.4592857189</v>
      </c>
    </row>
    <row r="79" spans="1:25" ht="34.5" customHeight="1" x14ac:dyDescent="0.25">
      <c r="A79" s="131"/>
      <c r="B79" s="151"/>
      <c r="C79" s="151"/>
      <c r="D79" s="151"/>
      <c r="E79" s="65"/>
      <c r="F79" s="135"/>
      <c r="G79" s="145"/>
      <c r="H79" s="4"/>
      <c r="I79" s="4"/>
      <c r="J79" s="4"/>
      <c r="K79" s="4"/>
      <c r="L79" s="4">
        <f>SUM(G78:L78)</f>
        <v>652059.62571428576</v>
      </c>
      <c r="M79" s="4"/>
      <c r="N79" s="4"/>
      <c r="O79" s="4"/>
      <c r="P79" s="4">
        <f>SUM(M78:P78)</f>
        <v>18305648.899285715</v>
      </c>
      <c r="Q79" s="4"/>
      <c r="R79" s="4"/>
      <c r="S79" s="4"/>
      <c r="T79" s="4">
        <f>SUM(Q78:T78)</f>
        <v>12278527.890000004</v>
      </c>
      <c r="U79" s="4"/>
      <c r="V79" s="4"/>
      <c r="W79" s="4"/>
      <c r="X79" s="4">
        <f>SUM(U78:X78)</f>
        <v>8711547.6885714363</v>
      </c>
      <c r="Y79" s="22">
        <f>SUM(L79:X79)</f>
        <v>39947784.103571445</v>
      </c>
    </row>
    <row r="80" spans="1:25" ht="13.95" customHeight="1" x14ac:dyDescent="0.25">
      <c r="A80" s="245" t="s">
        <v>13</v>
      </c>
      <c r="B80" s="245"/>
      <c r="C80" s="150"/>
      <c r="D80" s="150"/>
      <c r="E80" s="150"/>
      <c r="F80" s="136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ht="13.95" customHeight="1" x14ac:dyDescent="0.25">
      <c r="A81" s="34">
        <v>2.1</v>
      </c>
      <c r="B81" s="34" t="s">
        <v>109</v>
      </c>
      <c r="C81" s="97">
        <f>+SUM(C82:C88)</f>
        <v>920933.67142857146</v>
      </c>
      <c r="D81" s="97">
        <f>+SUM(D82:D88)</f>
        <v>920933.67142857146</v>
      </c>
      <c r="E81" s="97">
        <f>+SUM(E82:E88)</f>
        <v>1841867.3428571429</v>
      </c>
      <c r="F81" s="132"/>
      <c r="G81" s="118"/>
      <c r="H81" s="118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</row>
    <row r="82" spans="1:24" ht="28.2" customHeight="1" x14ac:dyDescent="0.25">
      <c r="A82" s="37" t="s">
        <v>22</v>
      </c>
      <c r="B82" s="35" t="s">
        <v>127</v>
      </c>
      <c r="C82" s="96">
        <f>+I82+K82+M82+O82+Q82+S82+U82+W82</f>
        <v>19528.007142857143</v>
      </c>
      <c r="D82" s="96">
        <f>+J82+L82+N82+P82+R82+T82+V82+X82</f>
        <v>19528.007142857143</v>
      </c>
      <c r="E82" s="96">
        <f>+C82+D82</f>
        <v>39056.014285714286</v>
      </c>
      <c r="F82" s="137"/>
      <c r="G82" s="6"/>
      <c r="H82" s="6"/>
      <c r="I82" s="6">
        <v>19528.007142857143</v>
      </c>
      <c r="J82" s="6">
        <v>19528.007142857143</v>
      </c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92"/>
    </row>
    <row r="83" spans="1:24" ht="13.95" customHeight="1" x14ac:dyDescent="0.25">
      <c r="A83" s="37" t="s">
        <v>23</v>
      </c>
      <c r="B83" s="35" t="s">
        <v>179</v>
      </c>
      <c r="C83" s="96">
        <f>+I83+K83+M83+O83+Q83+S83+U83+W83</f>
        <v>139357.14285714284</v>
      </c>
      <c r="D83" s="96">
        <f t="shared" ref="D83:D87" si="41">+J83+L83+N83+P83+R83+T83+V83+X83</f>
        <v>139357.14285714284</v>
      </c>
      <c r="E83" s="96">
        <f t="shared" ref="E83:E88" si="42">+C83+D83</f>
        <v>278714.28571428568</v>
      </c>
      <c r="F83" s="190" t="s">
        <v>22</v>
      </c>
      <c r="G83" s="6"/>
      <c r="H83" s="6"/>
      <c r="I83" s="91"/>
      <c r="J83" s="91"/>
      <c r="K83" s="6"/>
      <c r="L83" s="6"/>
      <c r="M83" s="6">
        <v>23392.857142857141</v>
      </c>
      <c r="N83" s="6">
        <v>23392.857142857141</v>
      </c>
      <c r="O83" s="88">
        <v>23392.857142857141</v>
      </c>
      <c r="P83" s="88">
        <v>23392.857142857141</v>
      </c>
      <c r="Q83" s="6">
        <v>23142.857142857141</v>
      </c>
      <c r="R83" s="6">
        <v>23142.857142857141</v>
      </c>
      <c r="S83" s="6">
        <v>23142.857142857141</v>
      </c>
      <c r="T83" s="6">
        <v>23142.857142857141</v>
      </c>
      <c r="U83" s="6">
        <v>23142.857142857141</v>
      </c>
      <c r="V83" s="6">
        <v>23142.857142857141</v>
      </c>
      <c r="W83" s="6">
        <v>23142.857142857141</v>
      </c>
      <c r="X83" s="6">
        <v>23142.857142857141</v>
      </c>
    </row>
    <row r="84" spans="1:24" ht="13.95" customHeight="1" x14ac:dyDescent="0.25">
      <c r="A84" s="37" t="s">
        <v>180</v>
      </c>
      <c r="B84" s="35" t="s">
        <v>184</v>
      </c>
      <c r="C84" s="96">
        <f t="shared" ref="C84:C88" si="43">+I84+K84+M84+O84+Q84+S84+U84+W84</f>
        <v>7714.2857142857147</v>
      </c>
      <c r="D84" s="96">
        <f t="shared" si="41"/>
        <v>7714.2857142857147</v>
      </c>
      <c r="E84" s="96">
        <f t="shared" si="42"/>
        <v>15428.571428571429</v>
      </c>
      <c r="F84" s="137"/>
      <c r="G84" s="6"/>
      <c r="H84" s="6"/>
      <c r="I84" s="6"/>
      <c r="J84" s="6"/>
      <c r="K84" s="6"/>
      <c r="L84" s="6"/>
      <c r="M84" s="91">
        <v>7714.2857142857147</v>
      </c>
      <c r="N84" s="91">
        <v>7714.2857142857147</v>
      </c>
      <c r="O84" s="91"/>
      <c r="P84" s="91"/>
      <c r="Q84" s="91"/>
      <c r="R84" s="91"/>
      <c r="S84" s="91"/>
      <c r="T84" s="91"/>
      <c r="U84" s="91"/>
      <c r="V84" s="91"/>
      <c r="W84" s="91"/>
      <c r="X84" s="91"/>
    </row>
    <row r="85" spans="1:24" ht="13.95" customHeight="1" x14ac:dyDescent="0.25">
      <c r="A85" s="37" t="s">
        <v>181</v>
      </c>
      <c r="B85" s="35" t="s">
        <v>137</v>
      </c>
      <c r="C85" s="96">
        <f t="shared" si="43"/>
        <v>1135.7142857142858</v>
      </c>
      <c r="D85" s="96">
        <f t="shared" si="41"/>
        <v>1135.7142857142858</v>
      </c>
      <c r="E85" s="96">
        <f t="shared" si="42"/>
        <v>2271.4285714285716</v>
      </c>
      <c r="F85" s="137"/>
      <c r="G85" s="6"/>
      <c r="H85" s="6"/>
      <c r="I85" s="6"/>
      <c r="J85" s="6"/>
      <c r="K85" s="6"/>
      <c r="L85" s="6"/>
      <c r="M85" s="91">
        <v>1135.7142857142858</v>
      </c>
      <c r="N85" s="91">
        <v>1135.7142857142858</v>
      </c>
      <c r="O85" s="88"/>
      <c r="P85" s="88"/>
      <c r="Q85" s="6"/>
      <c r="R85" s="6"/>
      <c r="S85" s="6"/>
      <c r="T85" s="6"/>
      <c r="U85" s="6"/>
      <c r="V85" s="6"/>
      <c r="W85" s="6"/>
      <c r="X85" s="6"/>
    </row>
    <row r="86" spans="1:24" ht="13.95" customHeight="1" x14ac:dyDescent="0.25">
      <c r="A86" s="37" t="s">
        <v>182</v>
      </c>
      <c r="B86" s="35" t="s">
        <v>187</v>
      </c>
      <c r="C86" s="96">
        <f t="shared" si="43"/>
        <v>19396.865714285712</v>
      </c>
      <c r="D86" s="96">
        <f t="shared" si="41"/>
        <v>19396.865714285712</v>
      </c>
      <c r="E86" s="96">
        <f t="shared" si="42"/>
        <v>38793.731428571424</v>
      </c>
      <c r="F86" s="137"/>
      <c r="G86" s="6"/>
      <c r="H86" s="6"/>
      <c r="I86" s="6"/>
      <c r="J86" s="6"/>
      <c r="K86" s="6"/>
      <c r="L86" s="6"/>
      <c r="M86" s="91">
        <v>4509.4014285714284</v>
      </c>
      <c r="N86" s="91">
        <v>4509.4014285714284</v>
      </c>
      <c r="O86" s="88">
        <v>4509.4014285714284</v>
      </c>
      <c r="P86" s="88">
        <v>4509.4014285714284</v>
      </c>
      <c r="Q86" s="6">
        <v>2594.5157142857142</v>
      </c>
      <c r="R86" s="6">
        <v>2594.5157142857142</v>
      </c>
      <c r="S86" s="6">
        <v>2594.5157142857142</v>
      </c>
      <c r="T86" s="6">
        <v>2594.5157142857142</v>
      </c>
      <c r="U86" s="6">
        <v>2594.5157142857142</v>
      </c>
      <c r="V86" s="6">
        <v>2594.5157142857142</v>
      </c>
      <c r="W86" s="6">
        <v>2594.5157142857142</v>
      </c>
      <c r="X86" s="6">
        <v>2594.5157142857142</v>
      </c>
    </row>
    <row r="87" spans="1:24" ht="13.95" customHeight="1" x14ac:dyDescent="0.25">
      <c r="A87" s="37" t="s">
        <v>183</v>
      </c>
      <c r="B87" s="35" t="s">
        <v>188</v>
      </c>
      <c r="C87" s="96">
        <f t="shared" si="43"/>
        <v>393076.2585714286</v>
      </c>
      <c r="D87" s="96">
        <f t="shared" si="41"/>
        <v>393076.2585714286</v>
      </c>
      <c r="E87" s="96">
        <f t="shared" si="42"/>
        <v>786152.51714285719</v>
      </c>
      <c r="F87" s="190" t="s">
        <v>22</v>
      </c>
      <c r="G87" s="6"/>
      <c r="H87" s="6"/>
      <c r="I87" s="6"/>
      <c r="J87" s="6"/>
      <c r="K87" s="6"/>
      <c r="L87" s="6"/>
      <c r="M87" s="91">
        <v>65312.779285714285</v>
      </c>
      <c r="N87" s="91">
        <v>65312.779285714285</v>
      </c>
      <c r="O87" s="91">
        <v>65312.779285714285</v>
      </c>
      <c r="P87" s="91">
        <v>65312.779285714285</v>
      </c>
      <c r="Q87" s="91">
        <v>65312.779285714285</v>
      </c>
      <c r="R87" s="91">
        <v>65312.779285714285</v>
      </c>
      <c r="S87" s="91">
        <v>65312.779285714285</v>
      </c>
      <c r="T87" s="91">
        <v>65312.779285714285</v>
      </c>
      <c r="U87" s="91">
        <v>65912.570714285714</v>
      </c>
      <c r="V87" s="91">
        <v>65912.570714285714</v>
      </c>
      <c r="W87" s="91">
        <v>65912.570714285714</v>
      </c>
      <c r="X87" s="91">
        <v>65912.570714285714</v>
      </c>
    </row>
    <row r="88" spans="1:24" ht="13.95" customHeight="1" x14ac:dyDescent="0.25">
      <c r="A88" s="37" t="s">
        <v>186</v>
      </c>
      <c r="B88" s="35" t="s">
        <v>139</v>
      </c>
      <c r="C88" s="96">
        <f t="shared" si="43"/>
        <v>340725.39714285714</v>
      </c>
      <c r="D88" s="96">
        <f>+J88+L88+N88+P88+R88+T88+V88+X88</f>
        <v>340725.39714285714</v>
      </c>
      <c r="E88" s="96">
        <f t="shared" si="42"/>
        <v>681450.79428571428</v>
      </c>
      <c r="F88" s="137"/>
      <c r="G88" s="6"/>
      <c r="H88" s="6"/>
      <c r="I88" s="6"/>
      <c r="J88" s="6"/>
      <c r="K88" s="6"/>
      <c r="L88" s="6"/>
      <c r="M88" s="91">
        <v>59335.85071428572</v>
      </c>
      <c r="N88" s="91">
        <v>59335.85071428572</v>
      </c>
      <c r="O88" s="91">
        <v>59335.85071428572</v>
      </c>
      <c r="P88" s="91">
        <v>59335.85071428572</v>
      </c>
      <c r="Q88" s="91">
        <v>55331.177142857145</v>
      </c>
      <c r="R88" s="91">
        <v>55331.177142857145</v>
      </c>
      <c r="S88" s="91">
        <v>55331.177142857145</v>
      </c>
      <c r="T88" s="91">
        <v>55331.177142857145</v>
      </c>
      <c r="U88" s="93">
        <v>55695.670714285712</v>
      </c>
      <c r="V88" s="93">
        <v>55695.670714285712</v>
      </c>
      <c r="W88" s="93">
        <v>55695.670714285712</v>
      </c>
      <c r="X88" s="93">
        <v>55695.670714285712</v>
      </c>
    </row>
    <row r="89" spans="1:24" ht="13.95" customHeight="1" x14ac:dyDescent="0.25">
      <c r="A89" s="37"/>
      <c r="B89" s="35"/>
      <c r="C89" s="36"/>
      <c r="D89" s="39"/>
      <c r="E89" s="36"/>
      <c r="F89" s="86"/>
      <c r="G89" s="6"/>
      <c r="H89" s="6"/>
      <c r="I89" s="6"/>
      <c r="J89" s="6"/>
      <c r="K89" s="6"/>
      <c r="L89" s="6"/>
      <c r="M89" s="91"/>
      <c r="N89" s="91"/>
      <c r="O89" s="91"/>
      <c r="P89" s="91"/>
      <c r="Q89" s="93"/>
      <c r="R89" s="93"/>
      <c r="S89" s="93"/>
      <c r="T89" s="93"/>
      <c r="U89" s="93"/>
      <c r="V89" s="93"/>
      <c r="W89" s="93"/>
      <c r="X89" s="93"/>
    </row>
    <row r="90" spans="1:24" ht="13.95" customHeight="1" x14ac:dyDescent="0.25">
      <c r="A90" s="38">
        <v>2.2000000000000002</v>
      </c>
      <c r="B90" s="34" t="s">
        <v>110</v>
      </c>
      <c r="C90" s="97">
        <f>+SUM(C91:C96)</f>
        <v>3384249.5</v>
      </c>
      <c r="D90" s="97">
        <f>+SUM(D91:D96)</f>
        <v>3384249.5</v>
      </c>
      <c r="E90" s="97">
        <f>+C90+D90</f>
        <v>6768499</v>
      </c>
      <c r="F90" s="132"/>
      <c r="G90" s="146"/>
      <c r="H90" s="86"/>
      <c r="I90" s="126"/>
      <c r="J90" s="126"/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126"/>
      <c r="W90" s="126"/>
      <c r="X90" s="126"/>
    </row>
    <row r="91" spans="1:24" ht="13.95" customHeight="1" x14ac:dyDescent="0.25">
      <c r="A91" s="37" t="s">
        <v>55</v>
      </c>
      <c r="B91" s="35" t="s">
        <v>127</v>
      </c>
      <c r="C91" s="96">
        <f>+I91+K91+M91+O91+Q91+S91+U91+W91</f>
        <v>41716.642857142855</v>
      </c>
      <c r="D91" s="96">
        <f t="shared" ref="D91:D96" si="44">+J91+L91+N91+P91+R91+T91+V91+X91</f>
        <v>41716.642857142855</v>
      </c>
      <c r="E91" s="101">
        <f t="shared" ref="E91:E96" si="45">+C91+D91</f>
        <v>83433.28571428571</v>
      </c>
      <c r="F91" s="102"/>
      <c r="G91" s="118"/>
      <c r="H91" s="6"/>
      <c r="I91" s="6">
        <v>41716.642857142855</v>
      </c>
      <c r="J91" s="6">
        <v>41716.642857142855</v>
      </c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</row>
    <row r="92" spans="1:24" ht="13.95" customHeight="1" x14ac:dyDescent="0.25">
      <c r="A92" s="37" t="s">
        <v>24</v>
      </c>
      <c r="B92" s="35" t="s">
        <v>412</v>
      </c>
      <c r="C92" s="96">
        <f t="shared" ref="C92:C96" si="46">+I92+K92+M92+O92+Q92+S92+U92+W92</f>
        <v>1228011.4285714284</v>
      </c>
      <c r="D92" s="96">
        <f t="shared" si="44"/>
        <v>1228011.4285714284</v>
      </c>
      <c r="E92" s="101">
        <f t="shared" si="45"/>
        <v>2456022.8571428568</v>
      </c>
      <c r="F92" s="195" t="s">
        <v>55</v>
      </c>
      <c r="G92" s="6"/>
      <c r="H92" s="6"/>
      <c r="I92" s="6"/>
      <c r="J92" s="6"/>
      <c r="K92" s="6"/>
      <c r="L92" s="6"/>
      <c r="M92" s="6">
        <v>204668.57142857142</v>
      </c>
      <c r="N92" s="6">
        <v>204668.57142857142</v>
      </c>
      <c r="O92" s="6">
        <v>204668.57142857142</v>
      </c>
      <c r="P92" s="6">
        <v>204668.57142857142</v>
      </c>
      <c r="Q92" s="6">
        <v>204668.57142857142</v>
      </c>
      <c r="R92" s="6">
        <v>204668.57142857142</v>
      </c>
      <c r="S92" s="88">
        <v>204668.57142857142</v>
      </c>
      <c r="T92" s="88">
        <v>204668.57142857142</v>
      </c>
      <c r="U92" s="88">
        <v>204668.57142857142</v>
      </c>
      <c r="V92" s="88">
        <v>204668.57142857142</v>
      </c>
      <c r="W92" s="88">
        <v>204668.57142857142</v>
      </c>
      <c r="X92" s="88">
        <v>204668.57142857142</v>
      </c>
    </row>
    <row r="93" spans="1:24" ht="13.95" customHeight="1" x14ac:dyDescent="0.25">
      <c r="A93" s="37" t="s">
        <v>25</v>
      </c>
      <c r="B93" s="35" t="s">
        <v>172</v>
      </c>
      <c r="C93" s="96">
        <f t="shared" si="46"/>
        <v>277750</v>
      </c>
      <c r="D93" s="96">
        <f t="shared" si="44"/>
        <v>277750</v>
      </c>
      <c r="E93" s="101">
        <f t="shared" si="45"/>
        <v>555500</v>
      </c>
      <c r="F93" s="195" t="s">
        <v>55</v>
      </c>
      <c r="G93" s="6"/>
      <c r="H93" s="6"/>
      <c r="I93" s="6"/>
      <c r="J93" s="6"/>
      <c r="K93" s="6"/>
      <c r="L93" s="6"/>
      <c r="M93" s="6"/>
      <c r="N93" s="6"/>
      <c r="O93" s="6">
        <v>277750</v>
      </c>
      <c r="P93" s="6">
        <v>277750</v>
      </c>
      <c r="Q93" s="6"/>
      <c r="R93" s="6"/>
      <c r="S93" s="6"/>
      <c r="T93" s="6"/>
      <c r="U93" s="6"/>
      <c r="V93" s="6"/>
      <c r="W93" s="6"/>
      <c r="X93" s="6"/>
    </row>
    <row r="94" spans="1:24" ht="13.95" customHeight="1" x14ac:dyDescent="0.25">
      <c r="A94" s="37" t="s">
        <v>170</v>
      </c>
      <c r="B94" s="35" t="s">
        <v>173</v>
      </c>
      <c r="C94" s="96">
        <f t="shared" si="46"/>
        <v>228571.42857142858</v>
      </c>
      <c r="D94" s="96">
        <f t="shared" si="44"/>
        <v>228571.42857142858</v>
      </c>
      <c r="E94" s="101">
        <f t="shared" si="45"/>
        <v>457142.85714285716</v>
      </c>
      <c r="F94" s="195" t="s">
        <v>55</v>
      </c>
      <c r="G94" s="6"/>
      <c r="H94" s="6"/>
      <c r="I94" s="6"/>
      <c r="J94" s="6"/>
      <c r="K94" s="6"/>
      <c r="L94" s="6"/>
      <c r="M94" s="6"/>
      <c r="N94" s="6"/>
      <c r="O94" s="6">
        <v>228571.42857142858</v>
      </c>
      <c r="P94" s="6">
        <v>228571.42857142858</v>
      </c>
      <c r="Q94" s="88"/>
      <c r="R94" s="88"/>
      <c r="S94" s="88"/>
      <c r="T94" s="88"/>
      <c r="U94" s="88"/>
      <c r="V94" s="88"/>
      <c r="W94" s="88"/>
      <c r="X94" s="88"/>
    </row>
    <row r="95" spans="1:24" ht="13.95" customHeight="1" x14ac:dyDescent="0.25">
      <c r="A95" s="37" t="s">
        <v>171</v>
      </c>
      <c r="B95" s="35" t="s">
        <v>175</v>
      </c>
      <c r="C95" s="96">
        <f t="shared" si="46"/>
        <v>1536771.4285714286</v>
      </c>
      <c r="D95" s="96">
        <f t="shared" si="44"/>
        <v>1536771.4285714286</v>
      </c>
      <c r="E95" s="101">
        <f t="shared" si="45"/>
        <v>3073542.8571428573</v>
      </c>
      <c r="F95" s="102"/>
      <c r="G95" s="6"/>
      <c r="H95" s="6"/>
      <c r="I95" s="6"/>
      <c r="J95" s="6"/>
      <c r="K95" s="6"/>
      <c r="L95" s="6"/>
      <c r="M95" s="6"/>
      <c r="N95" s="6"/>
      <c r="O95" s="6">
        <v>1536771.4285714286</v>
      </c>
      <c r="P95" s="6">
        <v>1536771.4285714286</v>
      </c>
      <c r="Q95" s="88"/>
      <c r="R95" s="88"/>
      <c r="S95" s="88"/>
      <c r="T95" s="88"/>
      <c r="U95" s="88"/>
      <c r="V95" s="88"/>
      <c r="W95" s="88"/>
      <c r="X95" s="88"/>
    </row>
    <row r="96" spans="1:24" ht="13.95" customHeight="1" x14ac:dyDescent="0.25">
      <c r="A96" s="37" t="s">
        <v>174</v>
      </c>
      <c r="B96" s="35" t="s">
        <v>176</v>
      </c>
      <c r="C96" s="96">
        <f t="shared" si="46"/>
        <v>71428.571428571435</v>
      </c>
      <c r="D96" s="96">
        <f t="shared" si="44"/>
        <v>71428.571428571435</v>
      </c>
      <c r="E96" s="101">
        <f t="shared" si="45"/>
        <v>142857.14285714287</v>
      </c>
      <c r="F96" s="102"/>
      <c r="G96" s="6"/>
      <c r="H96" s="6"/>
      <c r="I96" s="6"/>
      <c r="J96" s="6"/>
      <c r="K96" s="6"/>
      <c r="L96" s="6"/>
      <c r="M96" s="6"/>
      <c r="N96" s="6"/>
      <c r="O96" s="6">
        <v>71428.571428571435</v>
      </c>
      <c r="P96" s="6">
        <v>71428.571428571435</v>
      </c>
      <c r="Q96" s="88"/>
      <c r="R96" s="88"/>
      <c r="S96" s="88"/>
      <c r="T96" s="88"/>
      <c r="U96" s="88"/>
      <c r="V96" s="88"/>
      <c r="W96" s="88"/>
      <c r="X96" s="88"/>
    </row>
    <row r="97" spans="1:24" ht="13.95" customHeight="1" x14ac:dyDescent="0.25">
      <c r="A97" s="37"/>
      <c r="B97" s="35"/>
      <c r="C97" s="36"/>
      <c r="D97" s="36"/>
      <c r="E97" s="36"/>
      <c r="F97" s="86"/>
      <c r="G97" s="6"/>
      <c r="H97" s="6"/>
      <c r="I97" s="6"/>
      <c r="J97" s="6"/>
      <c r="K97" s="6"/>
      <c r="L97" s="6"/>
      <c r="M97" s="6"/>
      <c r="N97" s="6"/>
      <c r="O97" s="6"/>
      <c r="P97" s="6"/>
      <c r="Q97" s="88"/>
      <c r="R97" s="88"/>
      <c r="S97" s="88"/>
      <c r="T97" s="88"/>
      <c r="U97" s="88"/>
      <c r="V97" s="88"/>
      <c r="W97" s="88"/>
      <c r="X97" s="88"/>
    </row>
    <row r="98" spans="1:24" ht="13.95" customHeight="1" x14ac:dyDescent="0.25">
      <c r="A98" s="34">
        <v>2.2999999999999998</v>
      </c>
      <c r="B98" s="34" t="s">
        <v>111</v>
      </c>
      <c r="C98" s="97">
        <f>+SUM(C99:C101)</f>
        <v>2476582.8571428568</v>
      </c>
      <c r="D98" s="97">
        <f>+SUM(D99:D101)</f>
        <v>2476582.8571428568</v>
      </c>
      <c r="E98" s="97">
        <f>+C98+D98</f>
        <v>4953165.7142857136</v>
      </c>
      <c r="F98" s="132"/>
      <c r="G98" s="147"/>
      <c r="H98" s="89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  <c r="W98" s="87"/>
      <c r="X98" s="87"/>
    </row>
    <row r="99" spans="1:24" ht="13.95" customHeight="1" x14ac:dyDescent="0.25">
      <c r="A99" s="37" t="s">
        <v>26</v>
      </c>
      <c r="B99" s="35" t="s">
        <v>177</v>
      </c>
      <c r="C99" s="96">
        <f t="shared" ref="C99:D101" si="47">+I99+K99+M99+O99+Q99+S99+U99+W99</f>
        <v>14285.714285714286</v>
      </c>
      <c r="D99" s="96">
        <f t="shared" si="47"/>
        <v>14285.714285714286</v>
      </c>
      <c r="E99" s="36">
        <f>+C99+D99</f>
        <v>28571.428571428572</v>
      </c>
      <c r="F99" s="86"/>
      <c r="G99" s="6"/>
      <c r="H99" s="6"/>
      <c r="I99" s="6"/>
      <c r="J99" s="6"/>
      <c r="K99" s="6"/>
      <c r="L99" s="6"/>
      <c r="M99" s="6">
        <v>14285.714285714286</v>
      </c>
      <c r="N99" s="6">
        <v>14285.714285714286</v>
      </c>
      <c r="O99" s="6"/>
      <c r="P99" s="6"/>
      <c r="Q99" s="6"/>
      <c r="R99" s="6"/>
      <c r="S99" s="6"/>
      <c r="T99" s="6"/>
      <c r="U99" s="6"/>
      <c r="V99" s="6"/>
      <c r="W99" s="6"/>
      <c r="X99" s="6"/>
    </row>
    <row r="100" spans="1:24" ht="13.95" customHeight="1" x14ac:dyDescent="0.25">
      <c r="A100" s="37" t="s">
        <v>27</v>
      </c>
      <c r="B100" s="35" t="s">
        <v>185</v>
      </c>
      <c r="C100" s="96">
        <f t="shared" si="47"/>
        <v>1446171.4285714284</v>
      </c>
      <c r="D100" s="96">
        <f t="shared" si="47"/>
        <v>1446171.4285714284</v>
      </c>
      <c r="E100" s="36">
        <f t="shared" ref="E100:E101" si="48">+C100+D100</f>
        <v>2892342.8571428568</v>
      </c>
      <c r="F100" s="195" t="s">
        <v>26</v>
      </c>
      <c r="G100" s="6"/>
      <c r="H100" s="6"/>
      <c r="I100" s="6"/>
      <c r="J100" s="6"/>
      <c r="K100" s="6"/>
      <c r="L100" s="6"/>
      <c r="M100" s="88">
        <v>241028.57142857142</v>
      </c>
      <c r="N100" s="88">
        <v>241028.57142857142</v>
      </c>
      <c r="O100" s="6">
        <v>241028.57142857142</v>
      </c>
      <c r="P100" s="6">
        <v>241028.57142857142</v>
      </c>
      <c r="Q100" s="6">
        <v>241028.57142857142</v>
      </c>
      <c r="R100" s="6">
        <v>241028.57142857142</v>
      </c>
      <c r="S100" s="6">
        <v>241028.57142857142</v>
      </c>
      <c r="T100" s="6">
        <v>241028.57142857142</v>
      </c>
      <c r="U100" s="6">
        <v>241028.57142857142</v>
      </c>
      <c r="V100" s="6">
        <v>241028.57142857142</v>
      </c>
      <c r="W100" s="6">
        <v>241028.57142857142</v>
      </c>
      <c r="X100" s="6">
        <v>241028.57142857142</v>
      </c>
    </row>
    <row r="101" spans="1:24" ht="13.95" customHeight="1" x14ac:dyDescent="0.25">
      <c r="A101" s="37" t="s">
        <v>28</v>
      </c>
      <c r="B101" s="35" t="s">
        <v>178</v>
      </c>
      <c r="C101" s="96">
        <f t="shared" si="47"/>
        <v>1016125.7142857142</v>
      </c>
      <c r="D101" s="96">
        <f t="shared" si="47"/>
        <v>1016125.7142857142</v>
      </c>
      <c r="E101" s="36">
        <f t="shared" si="48"/>
        <v>2032251.4285714284</v>
      </c>
      <c r="F101" s="86"/>
      <c r="G101" s="6"/>
      <c r="H101" s="6"/>
      <c r="I101" s="6"/>
      <c r="J101" s="6"/>
      <c r="K101" s="6"/>
      <c r="L101" s="6"/>
      <c r="M101" s="127">
        <f>+(2370960/4)/3.5</f>
        <v>169354.28571428571</v>
      </c>
      <c r="N101" s="127">
        <f t="shared" ref="N101:X101" si="49">+(2370960/4)/3.5</f>
        <v>169354.28571428571</v>
      </c>
      <c r="O101" s="127">
        <f t="shared" si="49"/>
        <v>169354.28571428571</v>
      </c>
      <c r="P101" s="127">
        <f t="shared" si="49"/>
        <v>169354.28571428571</v>
      </c>
      <c r="Q101" s="127">
        <f t="shared" si="49"/>
        <v>169354.28571428571</v>
      </c>
      <c r="R101" s="127">
        <f t="shared" si="49"/>
        <v>169354.28571428571</v>
      </c>
      <c r="S101" s="127">
        <f t="shared" si="49"/>
        <v>169354.28571428571</v>
      </c>
      <c r="T101" s="127">
        <f t="shared" si="49"/>
        <v>169354.28571428571</v>
      </c>
      <c r="U101" s="127">
        <f t="shared" si="49"/>
        <v>169354.28571428571</v>
      </c>
      <c r="V101" s="127">
        <f t="shared" si="49"/>
        <v>169354.28571428571</v>
      </c>
      <c r="W101" s="127">
        <f t="shared" si="49"/>
        <v>169354.28571428571</v>
      </c>
      <c r="X101" s="127">
        <f t="shared" si="49"/>
        <v>169354.28571428571</v>
      </c>
    </row>
    <row r="102" spans="1:24" ht="13.95" customHeight="1" x14ac:dyDescent="0.25">
      <c r="A102" s="37"/>
      <c r="B102" s="35"/>
      <c r="C102" s="39"/>
      <c r="D102" s="39"/>
      <c r="E102" s="36"/>
      <c r="F102" s="8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</row>
    <row r="103" spans="1:24" ht="13.95" customHeight="1" x14ac:dyDescent="0.25">
      <c r="A103" s="34">
        <v>2.4</v>
      </c>
      <c r="B103" s="34" t="s">
        <v>112</v>
      </c>
      <c r="C103" s="97">
        <f>+SUM(C104:C111)</f>
        <v>985571.70428571431</v>
      </c>
      <c r="D103" s="97">
        <f t="shared" ref="D103:E103" si="50">+SUM(D104:D111)</f>
        <v>0</v>
      </c>
      <c r="E103" s="97">
        <f t="shared" si="50"/>
        <v>985571.70428571431</v>
      </c>
      <c r="F103" s="132"/>
      <c r="G103" s="147"/>
      <c r="H103" s="89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  <c r="W103" s="87"/>
      <c r="X103" s="87"/>
    </row>
    <row r="104" spans="1:24" ht="13.95" customHeight="1" x14ac:dyDescent="0.25">
      <c r="A104" s="73" t="s">
        <v>153</v>
      </c>
      <c r="B104" s="82" t="s">
        <v>157</v>
      </c>
      <c r="C104" s="96">
        <f t="shared" ref="C104:D111" si="51">+I104+K104+M104+O104+Q104+S104+U104+W104</f>
        <v>121714.28571428571</v>
      </c>
      <c r="D104" s="96">
        <f t="shared" si="51"/>
        <v>0</v>
      </c>
      <c r="E104" s="36">
        <f>+C104+D104</f>
        <v>121714.28571428571</v>
      </c>
      <c r="F104" s="86"/>
      <c r="G104" s="6"/>
      <c r="H104" s="6"/>
      <c r="I104" s="6"/>
      <c r="J104" s="6"/>
      <c r="K104" s="6"/>
      <c r="L104" s="6"/>
      <c r="M104" s="6">
        <v>60857.142857142855</v>
      </c>
      <c r="N104" s="6"/>
      <c r="O104" s="6">
        <v>60857.142857142855</v>
      </c>
      <c r="P104" s="6"/>
      <c r="Q104" s="6"/>
      <c r="R104" s="6"/>
      <c r="S104" s="6"/>
      <c r="T104" s="6"/>
      <c r="U104" s="6"/>
      <c r="V104" s="6"/>
      <c r="W104" s="6"/>
      <c r="X104" s="6"/>
    </row>
    <row r="105" spans="1:24" ht="13.95" customHeight="1" x14ac:dyDescent="0.25">
      <c r="A105" s="73" t="s">
        <v>154</v>
      </c>
      <c r="B105" s="82" t="s">
        <v>158</v>
      </c>
      <c r="C105" s="96">
        <f t="shared" si="51"/>
        <v>41142.857142857145</v>
      </c>
      <c r="D105" s="96">
        <f t="shared" si="51"/>
        <v>0</v>
      </c>
      <c r="E105" s="36">
        <f t="shared" ref="E105:E111" si="52">+C105+D105</f>
        <v>41142.857142857145</v>
      </c>
      <c r="F105" s="195" t="s">
        <v>153</v>
      </c>
      <c r="G105" s="6"/>
      <c r="H105" s="6"/>
      <c r="I105" s="6"/>
      <c r="J105" s="6"/>
      <c r="K105" s="94"/>
      <c r="L105" s="94"/>
      <c r="M105" s="94">
        <v>20571.428571428572</v>
      </c>
      <c r="N105" s="94"/>
      <c r="O105" s="94">
        <v>20571.428571428572</v>
      </c>
      <c r="P105" s="6"/>
      <c r="Q105" s="6"/>
      <c r="R105" s="6"/>
      <c r="S105" s="6"/>
      <c r="T105" s="6"/>
      <c r="U105" s="6"/>
      <c r="V105" s="6"/>
      <c r="W105" s="6"/>
      <c r="X105" s="6"/>
    </row>
    <row r="106" spans="1:24" ht="13.95" customHeight="1" x14ac:dyDescent="0.25">
      <c r="A106" s="73" t="s">
        <v>155</v>
      </c>
      <c r="B106" s="82" t="s">
        <v>159</v>
      </c>
      <c r="C106" s="96">
        <f t="shared" si="51"/>
        <v>4723.7114285714288</v>
      </c>
      <c r="D106" s="96">
        <f t="shared" si="51"/>
        <v>0</v>
      </c>
      <c r="E106" s="36">
        <f t="shared" si="52"/>
        <v>4723.7114285714288</v>
      </c>
      <c r="F106" s="195"/>
      <c r="G106" s="6"/>
      <c r="H106" s="6"/>
      <c r="I106" s="6"/>
      <c r="J106" s="6"/>
      <c r="K106" s="94">
        <v>4723.7114285714288</v>
      </c>
      <c r="L106" s="94"/>
      <c r="M106" s="94"/>
      <c r="N106" s="94"/>
      <c r="O106" s="94"/>
      <c r="P106" s="6"/>
      <c r="Q106" s="6"/>
      <c r="R106" s="6"/>
      <c r="S106" s="6"/>
      <c r="T106" s="6"/>
      <c r="U106" s="6"/>
      <c r="V106" s="6"/>
      <c r="W106" s="6"/>
      <c r="X106" s="6"/>
    </row>
    <row r="107" spans="1:24" ht="13.95" customHeight="1" x14ac:dyDescent="0.25">
      <c r="A107" s="73" t="s">
        <v>156</v>
      </c>
      <c r="B107" s="82" t="s">
        <v>160</v>
      </c>
      <c r="C107" s="96">
        <f t="shared" si="51"/>
        <v>472371.14285714284</v>
      </c>
      <c r="D107" s="96">
        <f t="shared" si="51"/>
        <v>0</v>
      </c>
      <c r="E107" s="36">
        <f t="shared" si="52"/>
        <v>472371.14285714284</v>
      </c>
      <c r="F107" s="195" t="s">
        <v>430</v>
      </c>
      <c r="G107" s="6"/>
      <c r="H107" s="6"/>
      <c r="I107" s="6"/>
      <c r="J107" s="6"/>
      <c r="K107" s="94"/>
      <c r="L107" s="94"/>
      <c r="M107" s="128"/>
      <c r="N107" s="94"/>
      <c r="O107" s="94">
        <v>472371.14285714284</v>
      </c>
      <c r="P107" s="6"/>
      <c r="Q107" s="6"/>
      <c r="R107" s="6"/>
      <c r="S107" s="6"/>
      <c r="T107" s="6"/>
      <c r="U107" s="6"/>
      <c r="V107" s="6"/>
      <c r="W107" s="6"/>
      <c r="X107" s="6"/>
    </row>
    <row r="108" spans="1:24" ht="13.95" customHeight="1" x14ac:dyDescent="0.25">
      <c r="A108" s="73" t="s">
        <v>161</v>
      </c>
      <c r="B108" s="82" t="s">
        <v>164</v>
      </c>
      <c r="C108" s="96">
        <f t="shared" si="51"/>
        <v>178285.71428571429</v>
      </c>
      <c r="D108" s="96">
        <f t="shared" si="51"/>
        <v>0</v>
      </c>
      <c r="E108" s="36">
        <f t="shared" si="52"/>
        <v>178285.71428571429</v>
      </c>
      <c r="F108" s="195" t="s">
        <v>156</v>
      </c>
      <c r="G108" s="6"/>
      <c r="H108" s="6"/>
      <c r="I108" s="6"/>
      <c r="J108" s="6"/>
      <c r="K108" s="94"/>
      <c r="L108" s="94"/>
      <c r="M108" s="94"/>
      <c r="N108" s="94"/>
      <c r="O108" s="94">
        <v>178285.71428571429</v>
      </c>
      <c r="P108" s="6"/>
      <c r="Q108" s="6"/>
      <c r="R108" s="6"/>
      <c r="S108" s="6"/>
      <c r="T108" s="6"/>
      <c r="U108" s="6"/>
      <c r="V108" s="6"/>
      <c r="W108" s="6"/>
      <c r="X108" s="6"/>
    </row>
    <row r="109" spans="1:24" ht="13.95" customHeight="1" x14ac:dyDescent="0.25">
      <c r="A109" s="73" t="s">
        <v>162</v>
      </c>
      <c r="B109" s="82" t="s">
        <v>167</v>
      </c>
      <c r="C109" s="96">
        <f t="shared" si="51"/>
        <v>41142.857142857145</v>
      </c>
      <c r="D109" s="96">
        <f t="shared" si="51"/>
        <v>0</v>
      </c>
      <c r="E109" s="36">
        <f t="shared" si="52"/>
        <v>41142.857142857145</v>
      </c>
      <c r="F109" s="86"/>
      <c r="G109" s="6"/>
      <c r="H109" s="6"/>
      <c r="I109" s="6"/>
      <c r="J109" s="6"/>
      <c r="K109" s="94"/>
      <c r="L109" s="94"/>
      <c r="M109" s="94"/>
      <c r="N109" s="94"/>
      <c r="O109" s="94">
        <v>41142.857142857145</v>
      </c>
      <c r="P109" s="6"/>
      <c r="Q109" s="6"/>
      <c r="R109" s="6"/>
      <c r="S109" s="6"/>
      <c r="T109" s="6"/>
      <c r="U109" s="6"/>
      <c r="V109" s="6"/>
      <c r="W109" s="6"/>
      <c r="X109" s="6"/>
    </row>
    <row r="110" spans="1:24" ht="13.95" customHeight="1" x14ac:dyDescent="0.25">
      <c r="A110" s="73" t="s">
        <v>163</v>
      </c>
      <c r="B110" s="82" t="s">
        <v>165</v>
      </c>
      <c r="C110" s="96">
        <f t="shared" si="51"/>
        <v>44999.992857142854</v>
      </c>
      <c r="D110" s="96">
        <f t="shared" si="51"/>
        <v>0</v>
      </c>
      <c r="E110" s="36">
        <f t="shared" si="52"/>
        <v>44999.992857142854</v>
      </c>
      <c r="F110" s="86"/>
      <c r="G110" s="6"/>
      <c r="H110" s="6"/>
      <c r="I110" s="6"/>
      <c r="J110" s="6"/>
      <c r="K110" s="94">
        <v>2142.85</v>
      </c>
      <c r="L110" s="94"/>
      <c r="M110" s="94"/>
      <c r="N110" s="94"/>
      <c r="O110" s="94">
        <v>42857.142857142855</v>
      </c>
      <c r="P110" s="6"/>
      <c r="Q110" s="6"/>
      <c r="R110" s="6"/>
      <c r="S110" s="6"/>
      <c r="T110" s="6"/>
      <c r="U110" s="6"/>
      <c r="V110" s="6"/>
      <c r="W110" s="6"/>
      <c r="X110" s="6"/>
    </row>
    <row r="111" spans="1:24" ht="13.95" customHeight="1" x14ac:dyDescent="0.25">
      <c r="A111" s="73" t="s">
        <v>166</v>
      </c>
      <c r="B111" s="82" t="s">
        <v>140</v>
      </c>
      <c r="C111" s="96">
        <f t="shared" si="51"/>
        <v>81191.142857142855</v>
      </c>
      <c r="D111" s="96">
        <f t="shared" si="51"/>
        <v>0</v>
      </c>
      <c r="E111" s="36">
        <f t="shared" si="52"/>
        <v>81191.142857142855</v>
      </c>
      <c r="F111" s="86"/>
      <c r="G111" s="6"/>
      <c r="H111" s="6"/>
      <c r="I111" s="6"/>
      <c r="J111" s="6"/>
      <c r="K111" s="94"/>
      <c r="L111" s="94"/>
      <c r="M111" s="94"/>
      <c r="N111" s="94"/>
      <c r="O111" s="94">
        <v>81191.142857142855</v>
      </c>
      <c r="P111" s="6"/>
      <c r="Q111" s="6"/>
      <c r="R111" s="6"/>
      <c r="S111" s="6"/>
      <c r="T111" s="6"/>
      <c r="U111" s="6"/>
      <c r="V111" s="6"/>
      <c r="W111" s="6"/>
      <c r="X111" s="6"/>
    </row>
    <row r="112" spans="1:24" ht="13.95" customHeight="1" x14ac:dyDescent="0.25">
      <c r="A112" s="37"/>
      <c r="B112" s="35"/>
      <c r="C112" s="39"/>
      <c r="D112" s="39"/>
      <c r="E112" s="36"/>
      <c r="F112" s="86"/>
      <c r="G112" s="6"/>
      <c r="H112" s="6"/>
      <c r="I112" s="6"/>
      <c r="J112" s="6"/>
      <c r="K112" s="94"/>
      <c r="L112" s="94"/>
      <c r="M112" s="94"/>
      <c r="N112" s="94"/>
      <c r="O112" s="94"/>
      <c r="P112" s="6"/>
      <c r="Q112" s="6"/>
      <c r="R112" s="6"/>
      <c r="S112" s="6"/>
      <c r="T112" s="6"/>
      <c r="U112" s="6"/>
      <c r="V112" s="6"/>
      <c r="W112" s="6"/>
      <c r="X112" s="6"/>
    </row>
    <row r="113" spans="1:25" ht="13.95" customHeight="1" x14ac:dyDescent="0.25">
      <c r="A113" s="238" t="s">
        <v>7</v>
      </c>
      <c r="B113" s="238"/>
      <c r="C113" s="8">
        <f>SUM(C98,C90,C81,C103)</f>
        <v>7767337.7328571416</v>
      </c>
      <c r="D113" s="8">
        <f>SUM(D98,D90,D81,D103)</f>
        <v>6781766.0285714278</v>
      </c>
      <c r="E113" s="8">
        <f>+C113+D113</f>
        <v>14549103.761428569</v>
      </c>
      <c r="F113" s="134"/>
      <c r="G113" s="169">
        <f>SUM(G81:G112)</f>
        <v>0</v>
      </c>
      <c r="H113" s="169">
        <f t="shared" ref="H113:X113" si="53">SUM(H81:H112)</f>
        <v>0</v>
      </c>
      <c r="I113" s="169">
        <f t="shared" si="53"/>
        <v>61244.649999999994</v>
      </c>
      <c r="J113" s="169">
        <f t="shared" si="53"/>
        <v>61244.649999999994</v>
      </c>
      <c r="K113" s="169">
        <f t="shared" si="53"/>
        <v>6866.5614285714291</v>
      </c>
      <c r="L113" s="169">
        <f t="shared" si="53"/>
        <v>0</v>
      </c>
      <c r="M113" s="169">
        <f t="shared" si="53"/>
        <v>872166.60285714269</v>
      </c>
      <c r="N113" s="169">
        <f t="shared" si="53"/>
        <v>790738.03142857132</v>
      </c>
      <c r="O113" s="169">
        <f t="shared" si="53"/>
        <v>3779400.3171428568</v>
      </c>
      <c r="P113" s="169">
        <f t="shared" si="53"/>
        <v>2882123.7457142859</v>
      </c>
      <c r="Q113" s="169">
        <f t="shared" si="53"/>
        <v>761432.75785714271</v>
      </c>
      <c r="R113" s="169">
        <f t="shared" si="53"/>
        <v>761432.75785714271</v>
      </c>
      <c r="S113" s="169">
        <f t="shared" si="53"/>
        <v>761432.75785714271</v>
      </c>
      <c r="T113" s="169">
        <f t="shared" si="53"/>
        <v>761432.75785714271</v>
      </c>
      <c r="U113" s="169">
        <f t="shared" si="53"/>
        <v>762397.04285714286</v>
      </c>
      <c r="V113" s="169">
        <f t="shared" si="53"/>
        <v>762397.04285714286</v>
      </c>
      <c r="W113" s="169">
        <f t="shared" si="53"/>
        <v>762397.04285714286</v>
      </c>
      <c r="X113" s="169">
        <f t="shared" si="53"/>
        <v>762397.04285714286</v>
      </c>
    </row>
    <row r="114" spans="1:25" ht="65.25" customHeight="1" x14ac:dyDescent="0.25">
      <c r="A114" s="35"/>
      <c r="B114" s="35"/>
      <c r="C114" s="35"/>
      <c r="D114" s="35"/>
      <c r="E114" s="131"/>
      <c r="F114" s="135"/>
      <c r="G114" s="4"/>
      <c r="H114" s="4"/>
      <c r="I114" s="4"/>
      <c r="J114" s="4"/>
      <c r="K114" s="4"/>
      <c r="L114" s="4">
        <f>SUM(G113:L113)</f>
        <v>129355.86142857141</v>
      </c>
      <c r="M114" s="4"/>
      <c r="N114" s="4"/>
      <c r="O114" s="4"/>
      <c r="P114" s="4">
        <f>SUM(M113:P113)</f>
        <v>8324428.6971428562</v>
      </c>
      <c r="Q114" s="4"/>
      <c r="R114" s="4"/>
      <c r="S114" s="4"/>
      <c r="T114" s="4">
        <f>SUM(Q113:T113)</f>
        <v>3045731.0314285709</v>
      </c>
      <c r="U114" s="4"/>
      <c r="V114" s="4"/>
      <c r="W114" s="4"/>
      <c r="X114" s="4">
        <f>SUM(U113:X113)</f>
        <v>3049588.1714285715</v>
      </c>
      <c r="Y114" s="22">
        <f>SUM(L114:X114)</f>
        <v>14549103.761428572</v>
      </c>
    </row>
    <row r="115" spans="1:25" ht="13.95" customHeight="1" x14ac:dyDescent="0.25">
      <c r="A115" s="241" t="s">
        <v>3</v>
      </c>
      <c r="B115" s="241"/>
      <c r="C115" s="3"/>
      <c r="D115" s="3"/>
      <c r="E115" s="3"/>
      <c r="F115" s="136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5" ht="13.95" customHeight="1" x14ac:dyDescent="0.25">
      <c r="A116" s="34">
        <v>3.1</v>
      </c>
      <c r="B116" s="34" t="s">
        <v>113</v>
      </c>
      <c r="C116" s="97">
        <f>+SUM(C117:C128)</f>
        <v>762816.50982857146</v>
      </c>
      <c r="D116" s="97">
        <f>+SUM(D117:D128)</f>
        <v>11950791.987314286</v>
      </c>
      <c r="E116" s="97">
        <f t="shared" ref="E116:E128" si="54">+C116+D116</f>
        <v>12713608.497142857</v>
      </c>
      <c r="F116" s="197" t="s">
        <v>427</v>
      </c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47"/>
    </row>
    <row r="117" spans="1:25" ht="28.2" customHeight="1" x14ac:dyDescent="0.25">
      <c r="A117" s="37" t="s">
        <v>30</v>
      </c>
      <c r="B117" s="35" t="s">
        <v>194</v>
      </c>
      <c r="C117" s="96">
        <f>+G117+K117+M117+O117+Q117+S117+U117+W117</f>
        <v>14619.428571428571</v>
      </c>
      <c r="D117" s="96">
        <f>+J117+L117+N117+P117+R117+T117+V117+X117</f>
        <v>229037.71428571429</v>
      </c>
      <c r="E117" s="36">
        <f t="shared" si="54"/>
        <v>243657.14285714287</v>
      </c>
      <c r="F117" s="187"/>
      <c r="G117" s="91">
        <f>(852800*0.06)/3.5</f>
        <v>14619.428571428571</v>
      </c>
      <c r="H117" s="6"/>
      <c r="J117" s="91">
        <f>(852800*0.94)/3.5</f>
        <v>229037.71428571429</v>
      </c>
      <c r="K117" s="6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  <c r="W117" s="88"/>
      <c r="X117" s="88"/>
    </row>
    <row r="118" spans="1:25" ht="13.95" customHeight="1" x14ac:dyDescent="0.25">
      <c r="A118" s="37" t="s">
        <v>29</v>
      </c>
      <c r="B118" s="35" t="s">
        <v>195</v>
      </c>
      <c r="C118" s="96">
        <f t="shared" ref="C118:C131" si="55">+I118+K118+M118+O118+Q118+S118+U118+W118</f>
        <v>34491.428571428572</v>
      </c>
      <c r="D118" s="96">
        <f t="shared" ref="D118:D128" si="56">+J118+L118+N118+P118+R118+T118+V118+X118</f>
        <v>540365.71428571432</v>
      </c>
      <c r="E118" s="36">
        <f t="shared" si="54"/>
        <v>574857.14285714284</v>
      </c>
      <c r="F118" s="187"/>
      <c r="G118" s="6"/>
      <c r="H118" s="6"/>
      <c r="I118" s="6"/>
      <c r="J118" s="88"/>
      <c r="K118" s="6"/>
      <c r="L118" s="88"/>
      <c r="M118" s="88"/>
      <c r="N118" s="88"/>
      <c r="O118" s="88"/>
      <c r="P118" s="88"/>
      <c r="Q118" s="93">
        <f>((852000*0.06)/2)/3.5</f>
        <v>7302.8571428571431</v>
      </c>
      <c r="R118" s="93">
        <f>((852000*0.94)/2)/3.5</f>
        <v>114411.42857142857</v>
      </c>
      <c r="S118" s="93">
        <f>((852000*0.06)/2)/3.5</f>
        <v>7302.8571428571431</v>
      </c>
      <c r="T118" s="93">
        <f>((852000*0.94)/2)/3.5</f>
        <v>114411.42857142857</v>
      </c>
      <c r="U118" s="93">
        <f>((1160000*0.06)/2)/3.5</f>
        <v>9942.8571428571431</v>
      </c>
      <c r="V118" s="93">
        <f>((1160000*0.94)/2)/3.5</f>
        <v>155771.42857142858</v>
      </c>
      <c r="W118" s="93">
        <f>((1160000*0.06)/2)/3.5</f>
        <v>9942.8571428571431</v>
      </c>
      <c r="X118" s="93">
        <f>((1160000*0.94)/2)/3.5</f>
        <v>155771.42857142858</v>
      </c>
    </row>
    <row r="119" spans="1:25" ht="13.95" customHeight="1" x14ac:dyDescent="0.25">
      <c r="A119" s="37" t="s">
        <v>31</v>
      </c>
      <c r="B119" s="35" t="s">
        <v>197</v>
      </c>
      <c r="C119" s="96">
        <f t="shared" si="55"/>
        <v>65211.428571428572</v>
      </c>
      <c r="D119" s="96">
        <f t="shared" si="56"/>
        <v>1021645.7142857143</v>
      </c>
      <c r="E119" s="36">
        <f t="shared" si="54"/>
        <v>1086857.142857143</v>
      </c>
      <c r="F119" s="198" t="s">
        <v>426</v>
      </c>
      <c r="G119" s="6"/>
      <c r="H119" s="6"/>
      <c r="I119" s="6"/>
      <c r="J119" s="88"/>
      <c r="K119" s="6"/>
      <c r="L119" s="88"/>
      <c r="M119" s="88"/>
      <c r="N119" s="88"/>
      <c r="O119" s="88"/>
      <c r="P119" s="88"/>
      <c r="Q119" s="93">
        <f>((2664000*0.06)/2)/3.5</f>
        <v>22834.285714285714</v>
      </c>
      <c r="R119" s="93">
        <f>((2664000*0.94)/2)/3.5</f>
        <v>357737.14285714284</v>
      </c>
      <c r="S119" s="93">
        <f>((2664000*0.06)/2)/3.5</f>
        <v>22834.285714285714</v>
      </c>
      <c r="T119" s="93">
        <f>((2664000*0.94)/2)/3.5</f>
        <v>357737.14285714284</v>
      </c>
      <c r="U119" s="93">
        <f>((1140000*0.06)/2)/3.5</f>
        <v>9771.4285714285706</v>
      </c>
      <c r="V119" s="93">
        <f>((1140000*0.94)/2)/3.5</f>
        <v>153085.71428571429</v>
      </c>
      <c r="W119" s="93">
        <f>((1140000*0.06)/2)/3.5</f>
        <v>9771.4285714285706</v>
      </c>
      <c r="X119" s="93">
        <f>((1140000*0.94)/2)/3.5</f>
        <v>153085.71428571429</v>
      </c>
    </row>
    <row r="120" spans="1:25" ht="13.95" customHeight="1" x14ac:dyDescent="0.25">
      <c r="A120" s="37" t="s">
        <v>32</v>
      </c>
      <c r="B120" s="35" t="s">
        <v>196</v>
      </c>
      <c r="C120" s="96">
        <f t="shared" si="55"/>
        <v>60017.142857142855</v>
      </c>
      <c r="D120" s="96">
        <f t="shared" si="56"/>
        <v>940268.57142857136</v>
      </c>
      <c r="E120" s="36">
        <f t="shared" si="54"/>
        <v>1000285.7142857142</v>
      </c>
      <c r="F120" s="198" t="s">
        <v>426</v>
      </c>
      <c r="G120" s="6"/>
      <c r="H120" s="6"/>
      <c r="I120" s="6"/>
      <c r="J120" s="88"/>
      <c r="K120" s="6"/>
      <c r="L120" s="88"/>
      <c r="M120" s="88"/>
      <c r="N120" s="88"/>
      <c r="O120" s="88"/>
      <c r="P120" s="88"/>
      <c r="Q120" s="93">
        <f>((2471000*0.06)/2)/3.5</f>
        <v>21180</v>
      </c>
      <c r="R120" s="93">
        <f>((2471000*0.94)/2)/3.5</f>
        <v>331820</v>
      </c>
      <c r="S120" s="93">
        <f>((2471000*0.06)/2)/3.5</f>
        <v>21180</v>
      </c>
      <c r="T120" s="93">
        <f>((2471000*0.94)/2)/3.5</f>
        <v>331820</v>
      </c>
      <c r="U120" s="93">
        <f>((1030000*0.06)/2)/3.5</f>
        <v>8828.5714285714294</v>
      </c>
      <c r="V120" s="93">
        <f>((1030000*0.94)/2)/3.5</f>
        <v>138314.28571428571</v>
      </c>
      <c r="W120" s="93">
        <f>((1030000*0.06)/2)/3.5</f>
        <v>8828.5714285714294</v>
      </c>
      <c r="X120" s="93">
        <f>((1030000*0.94)/2)/3.5</f>
        <v>138314.28571428571</v>
      </c>
    </row>
    <row r="121" spans="1:25" ht="13.95" customHeight="1" x14ac:dyDescent="0.25">
      <c r="A121" s="37" t="s">
        <v>33</v>
      </c>
      <c r="B121" s="35" t="s">
        <v>198</v>
      </c>
      <c r="C121" s="96">
        <f t="shared" si="55"/>
        <v>39360</v>
      </c>
      <c r="D121" s="96">
        <f t="shared" si="56"/>
        <v>616639.99999999988</v>
      </c>
      <c r="E121" s="36">
        <f t="shared" si="54"/>
        <v>655999.99999999988</v>
      </c>
      <c r="F121" s="198" t="s">
        <v>426</v>
      </c>
      <c r="G121" s="6"/>
      <c r="H121" s="6"/>
      <c r="I121" s="6"/>
      <c r="J121" s="88"/>
      <c r="K121" s="6"/>
      <c r="L121" s="88"/>
      <c r="M121" s="88"/>
      <c r="N121" s="88"/>
      <c r="O121" s="88"/>
      <c r="P121" s="88"/>
      <c r="Q121" s="93">
        <f>((1612000*0.06)/2)/3.5</f>
        <v>13817.142857142857</v>
      </c>
      <c r="R121" s="93">
        <f>((1612000*0.94)/2)/3.5</f>
        <v>216468.57142857142</v>
      </c>
      <c r="S121" s="93">
        <f>((1612000*0.06)/2)/3.5</f>
        <v>13817.142857142857</v>
      </c>
      <c r="T121" s="93">
        <f>((1612000*0.94)/2)/3.5</f>
        <v>216468.57142857142</v>
      </c>
      <c r="U121" s="93">
        <f>((684000*0.06)/2)/3.5</f>
        <v>5862.8571428571431</v>
      </c>
      <c r="V121" s="93">
        <f>((684000*0.94)/2)/3.5</f>
        <v>91851.428571428565</v>
      </c>
      <c r="W121" s="93">
        <f>((684000*0.06)/2)/3.5</f>
        <v>5862.8571428571431</v>
      </c>
      <c r="X121" s="93">
        <f>((684000*0.94)/2)/3.5</f>
        <v>91851.428571428565</v>
      </c>
    </row>
    <row r="122" spans="1:25" ht="13.95" customHeight="1" x14ac:dyDescent="0.25">
      <c r="A122" s="37" t="s">
        <v>34</v>
      </c>
      <c r="B122" s="35" t="s">
        <v>199</v>
      </c>
      <c r="C122" s="96">
        <f t="shared" si="55"/>
        <v>59691.428571428572</v>
      </c>
      <c r="D122" s="96">
        <f t="shared" si="56"/>
        <v>935165.71428571432</v>
      </c>
      <c r="E122" s="36">
        <f t="shared" si="54"/>
        <v>994857.14285714284</v>
      </c>
      <c r="F122" s="198" t="s">
        <v>426</v>
      </c>
      <c r="G122" s="6"/>
      <c r="H122" s="6"/>
      <c r="I122" s="6"/>
      <c r="J122" s="88"/>
      <c r="K122" s="6"/>
      <c r="L122" s="88"/>
      <c r="M122" s="88"/>
      <c r="N122" s="88"/>
      <c r="O122" s="88"/>
      <c r="P122" s="88"/>
      <c r="Q122" s="93">
        <f>((2404000*0.06)/2)/3.5</f>
        <v>20605.714285714286</v>
      </c>
      <c r="R122" s="93">
        <f>((2404000*0.94)/2)/3.5</f>
        <v>322822.85714285716</v>
      </c>
      <c r="S122" s="93">
        <f>((2404000*0.06)/2)/3.5</f>
        <v>20605.714285714286</v>
      </c>
      <c r="T122" s="93">
        <f>((2404000*0.94)/2)/3.5</f>
        <v>322822.85714285716</v>
      </c>
      <c r="U122" s="93">
        <f>((1078000*0.06)/2)/3.5</f>
        <v>9240</v>
      </c>
      <c r="V122" s="93">
        <f>((1078000*0.94)/2)/3.5</f>
        <v>144760</v>
      </c>
      <c r="W122" s="93">
        <f>((1078000*0.06)/2)/3.5</f>
        <v>9240</v>
      </c>
      <c r="X122" s="93">
        <f>((1078000*0.94)/2)/3.5</f>
        <v>144760</v>
      </c>
    </row>
    <row r="123" spans="1:25" ht="13.95" customHeight="1" x14ac:dyDescent="0.25">
      <c r="A123" s="37" t="s">
        <v>35</v>
      </c>
      <c r="B123" s="35" t="s">
        <v>201</v>
      </c>
      <c r="C123" s="96">
        <f t="shared" si="55"/>
        <v>94500.877199999988</v>
      </c>
      <c r="D123" s="96">
        <f t="shared" si="56"/>
        <v>1480513.7427999999</v>
      </c>
      <c r="E123" s="36">
        <f t="shared" si="54"/>
        <v>1575014.6199999999</v>
      </c>
      <c r="F123" s="187"/>
      <c r="G123" s="6"/>
      <c r="H123" s="6"/>
      <c r="I123" s="6"/>
      <c r="J123" s="88"/>
      <c r="K123" s="6"/>
      <c r="L123" s="88"/>
      <c r="M123" s="88">
        <f>((2484585.69*0.06)/2)/3.5</f>
        <v>21296.448771428571</v>
      </c>
      <c r="N123" s="88">
        <f>((2484585.69*0.94)/2)/3.5</f>
        <v>333644.36408571427</v>
      </c>
      <c r="O123" s="88">
        <f>((2484585.69*0.06)/2)/3.5</f>
        <v>21296.448771428571</v>
      </c>
      <c r="P123" s="88">
        <f>((2484585.69*0.94)/2)/3.5</f>
        <v>333644.36408571427</v>
      </c>
      <c r="Q123" s="93">
        <f>((1513982.74*0.06)/2)/3.5</f>
        <v>12976.994914285713</v>
      </c>
      <c r="R123" s="93">
        <f>((1513982.74*0.94)/2)/3.5</f>
        <v>203306.25365714284</v>
      </c>
      <c r="S123" s="93">
        <f t="shared" ref="S123" si="57">((1513982.74*0.06)/2)/3.5</f>
        <v>12976.994914285713</v>
      </c>
      <c r="T123" s="93">
        <f t="shared" ref="T123" si="58">((1513982.74*0.94)/2)/3.5</f>
        <v>203306.25365714284</v>
      </c>
      <c r="U123" s="93">
        <f t="shared" ref="U123" si="59">((1513982.74*0.06)/2)/3.5</f>
        <v>12976.994914285713</v>
      </c>
      <c r="V123" s="93">
        <f t="shared" ref="V123" si="60">((1513982.74*0.94)/2)/3.5</f>
        <v>203306.25365714284</v>
      </c>
      <c r="W123" s="93">
        <f t="shared" ref="W123" si="61">((1513982.74*0.06)/2)/3.5</f>
        <v>12976.994914285713</v>
      </c>
      <c r="X123" s="93">
        <f t="shared" ref="X123" si="62">((1513982.74*0.94)/2)/3.5</f>
        <v>203306.25365714284</v>
      </c>
    </row>
    <row r="124" spans="1:25" ht="13.95" customHeight="1" x14ac:dyDescent="0.25">
      <c r="A124" s="37" t="s">
        <v>36</v>
      </c>
      <c r="B124" s="35" t="s">
        <v>206</v>
      </c>
      <c r="C124" s="96">
        <f t="shared" si="55"/>
        <v>57061.189542857137</v>
      </c>
      <c r="D124" s="96">
        <f t="shared" si="56"/>
        <v>893958.6361714286</v>
      </c>
      <c r="E124" s="36">
        <f t="shared" si="54"/>
        <v>951019.82571428572</v>
      </c>
      <c r="F124" s="187"/>
      <c r="G124" s="6"/>
      <c r="H124" s="6"/>
      <c r="I124" s="6"/>
      <c r="J124" s="88"/>
      <c r="K124" s="6"/>
      <c r="L124" s="88"/>
      <c r="M124" s="92"/>
      <c r="N124" s="92"/>
      <c r="O124" s="88">
        <f>(3328569.39*0.06)/3.5</f>
        <v>57061.189542857137</v>
      </c>
      <c r="P124" s="88">
        <f>(3328569.39*0.94)/3.5</f>
        <v>893958.6361714286</v>
      </c>
      <c r="Q124" s="88"/>
      <c r="R124" s="88"/>
      <c r="S124" s="88"/>
      <c r="T124" s="88"/>
      <c r="U124" s="88"/>
      <c r="V124" s="88"/>
      <c r="W124" s="88"/>
      <c r="X124" s="88"/>
    </row>
    <row r="125" spans="1:25" ht="13.95" customHeight="1" x14ac:dyDescent="0.25">
      <c r="A125" s="37" t="s">
        <v>82</v>
      </c>
      <c r="B125" s="35" t="s">
        <v>137</v>
      </c>
      <c r="C125" s="96">
        <f t="shared" si="55"/>
        <v>4309.4975999999997</v>
      </c>
      <c r="D125" s="96">
        <f t="shared" si="56"/>
        <v>67515.462399999989</v>
      </c>
      <c r="E125" s="36">
        <f t="shared" si="54"/>
        <v>71824.959999999992</v>
      </c>
      <c r="F125" s="187"/>
      <c r="G125" s="6"/>
      <c r="H125" s="6"/>
      <c r="I125" s="6"/>
      <c r="J125" s="88"/>
      <c r="K125" s="6"/>
      <c r="L125" s="88"/>
      <c r="M125" s="92"/>
      <c r="N125" s="92"/>
      <c r="O125" s="88">
        <f>(251387.36*0.06)/3.5</f>
        <v>4309.4975999999997</v>
      </c>
      <c r="P125" s="88">
        <f>(251387.36*0.94)/3.5</f>
        <v>67515.462399999989</v>
      </c>
      <c r="Q125" s="88"/>
      <c r="R125" s="88"/>
      <c r="S125" s="88"/>
      <c r="T125" s="88"/>
      <c r="U125" s="88"/>
      <c r="V125" s="88"/>
      <c r="W125" s="88"/>
      <c r="X125" s="88"/>
    </row>
    <row r="126" spans="1:25" ht="13.95" customHeight="1" x14ac:dyDescent="0.25">
      <c r="A126" s="37" t="s">
        <v>37</v>
      </c>
      <c r="B126" s="35" t="s">
        <v>138</v>
      </c>
      <c r="C126" s="96">
        <f t="shared" si="55"/>
        <v>13349.585828571426</v>
      </c>
      <c r="D126" s="96">
        <f t="shared" si="56"/>
        <v>209143.51131428569</v>
      </c>
      <c r="E126" s="36">
        <f t="shared" si="54"/>
        <v>222493.09714285712</v>
      </c>
      <c r="F126" s="187"/>
      <c r="G126" s="6"/>
      <c r="H126" s="6"/>
      <c r="I126" s="6"/>
      <c r="J126" s="88"/>
      <c r="K126" s="6"/>
      <c r="L126" s="88"/>
      <c r="M126" s="88"/>
      <c r="N126" s="88"/>
      <c r="O126" s="88"/>
      <c r="P126" s="88"/>
      <c r="Q126" s="93">
        <f>((389362.92*0.06)/2)/3.5</f>
        <v>3337.3964571428564</v>
      </c>
      <c r="R126" s="93">
        <f>((389362.92*0.94)/2)/3.5</f>
        <v>52285.877828571422</v>
      </c>
      <c r="S126" s="93">
        <f>((389362.92*0.06)/2)/3.5</f>
        <v>3337.3964571428564</v>
      </c>
      <c r="T126" s="93">
        <f>((389362.92*0.94)/2)/3.5</f>
        <v>52285.877828571422</v>
      </c>
      <c r="U126" s="93">
        <f>((389362.92*0.06)/2)/3.5</f>
        <v>3337.3964571428564</v>
      </c>
      <c r="V126" s="93">
        <f>((389362.92*0.94)/2)/3.5</f>
        <v>52285.877828571422</v>
      </c>
      <c r="W126" s="93">
        <f>((389362.92*0.06)/2)/3.5</f>
        <v>3337.3964571428564</v>
      </c>
      <c r="X126" s="93">
        <f>((389362.92*0.94)/2)/3.5</f>
        <v>52285.877828571422</v>
      </c>
    </row>
    <row r="127" spans="1:25" ht="13.95" customHeight="1" x14ac:dyDescent="0.25">
      <c r="A127" s="37" t="s">
        <v>200</v>
      </c>
      <c r="B127" s="35" t="s">
        <v>202</v>
      </c>
      <c r="C127" s="96">
        <f t="shared" si="55"/>
        <v>76788.091371428571</v>
      </c>
      <c r="D127" s="96">
        <f t="shared" si="56"/>
        <v>1203013.4314857142</v>
      </c>
      <c r="E127" s="36">
        <f t="shared" si="54"/>
        <v>1279801.5228571426</v>
      </c>
      <c r="F127" s="187"/>
      <c r="G127" s="6"/>
      <c r="H127" s="6"/>
      <c r="I127" s="6"/>
      <c r="J127" s="88"/>
      <c r="K127" s="6"/>
      <c r="L127" s="88"/>
      <c r="M127" s="92"/>
      <c r="N127" s="92"/>
      <c r="O127" s="88">
        <f>(4479305.33*0.06)/3.5</f>
        <v>76788.091371428571</v>
      </c>
      <c r="P127" s="88">
        <f>(4479305.33*0.94)/3.5</f>
        <v>1203013.4314857142</v>
      </c>
      <c r="Q127" s="88"/>
      <c r="R127" s="88"/>
      <c r="S127" s="88"/>
      <c r="T127" s="88"/>
      <c r="U127" s="88"/>
      <c r="V127" s="88"/>
      <c r="W127" s="88"/>
      <c r="X127" s="88"/>
    </row>
    <row r="128" spans="1:25" ht="13.95" customHeight="1" x14ac:dyDescent="0.25">
      <c r="A128" s="37" t="s">
        <v>203</v>
      </c>
      <c r="B128" s="35" t="s">
        <v>204</v>
      </c>
      <c r="C128" s="96">
        <f t="shared" si="55"/>
        <v>243416.41114285716</v>
      </c>
      <c r="D128" s="96">
        <f t="shared" si="56"/>
        <v>3813523.7745714281</v>
      </c>
      <c r="E128" s="36">
        <f t="shared" si="54"/>
        <v>4056940.1857142854</v>
      </c>
      <c r="F128" s="89"/>
      <c r="G128" s="6"/>
      <c r="H128" s="6"/>
      <c r="I128" s="6"/>
      <c r="J128" s="88"/>
      <c r="K128" s="6"/>
      <c r="L128" s="88"/>
      <c r="M128" s="88">
        <f>((3142066.63*0.06)/2)/3.5</f>
        <v>26931.999685714283</v>
      </c>
      <c r="N128" s="88">
        <f>((3142066.63*0.94)/2)/3.5</f>
        <v>421934.66174285713</v>
      </c>
      <c r="O128" s="88">
        <f>((3142066.63*0.06)/2)/3.5</f>
        <v>26931.999685714283</v>
      </c>
      <c r="P128" s="88">
        <f>((3142066.63*0.94)/2)/3.5</f>
        <v>421934.66174285713</v>
      </c>
      <c r="Q128" s="88">
        <f>((4375041.01*0.06)/2)/3.5</f>
        <v>37500.351514285714</v>
      </c>
      <c r="R128" s="88">
        <f>((4375041.01*0.94)/2)/3.5</f>
        <v>587505.50705714279</v>
      </c>
      <c r="S128" s="88">
        <f>((4375041.01*0.06)/2)/3.5</f>
        <v>37500.351514285714</v>
      </c>
      <c r="T128" s="88">
        <f>((4375041.01*0.94)/2)/3.5</f>
        <v>587505.50705714279</v>
      </c>
      <c r="U128" s="93">
        <f>(((4240566*0.06)/2)+ ((2441617.01*0.06)/2))/3.5</f>
        <v>57275.85437142857</v>
      </c>
      <c r="V128" s="93">
        <f>(((4240566*0.94)/2)+ ((2441617.01*0.94)/2))/3.5</f>
        <v>897321.71848571417</v>
      </c>
      <c r="W128" s="93">
        <f>(((4240566*0.06)/2)+ ((2441617.01*0.06)/2))/3.5</f>
        <v>57275.85437142857</v>
      </c>
      <c r="X128" s="93">
        <f>(((4240566*0.94)/2)+ ((2441617.01*0.94)/2))/3.5</f>
        <v>897321.71848571417</v>
      </c>
    </row>
    <row r="129" spans="1:24" ht="13.95" customHeight="1" x14ac:dyDescent="0.25">
      <c r="A129" s="37"/>
      <c r="B129" s="31"/>
      <c r="C129" s="36"/>
      <c r="D129" s="1"/>
      <c r="E129" s="36"/>
      <c r="F129" s="187"/>
      <c r="G129" s="6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</row>
    <row r="130" spans="1:24" ht="13.95" customHeight="1" x14ac:dyDescent="0.25">
      <c r="A130" s="38">
        <v>3.2</v>
      </c>
      <c r="B130" s="34" t="s">
        <v>114</v>
      </c>
      <c r="C130" s="97">
        <f>+C131</f>
        <v>142857.14285714287</v>
      </c>
      <c r="D130" s="97">
        <f>+D131</f>
        <v>142857.14285714287</v>
      </c>
      <c r="E130" s="97">
        <f t="shared" ref="E130:E131" si="63">+C130+D130</f>
        <v>285714.28571428574</v>
      </c>
      <c r="F130" s="199" t="s">
        <v>428</v>
      </c>
      <c r="G130" s="6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</row>
    <row r="131" spans="1:24" ht="13.95" customHeight="1" x14ac:dyDescent="0.25">
      <c r="A131" s="37" t="s">
        <v>38</v>
      </c>
      <c r="B131" s="35" t="s">
        <v>189</v>
      </c>
      <c r="C131" s="96">
        <f t="shared" si="55"/>
        <v>142857.14285714287</v>
      </c>
      <c r="D131" s="96">
        <f t="shared" ref="D131" si="64">+J131+L131+N131+P131+R131+T131+V131+X131</f>
        <v>142857.14285714287</v>
      </c>
      <c r="E131" s="36">
        <f t="shared" si="63"/>
        <v>285714.28571428574</v>
      </c>
      <c r="F131" s="86"/>
      <c r="G131" s="10"/>
      <c r="H131" s="10"/>
      <c r="I131" s="10"/>
      <c r="J131" s="10"/>
      <c r="K131" s="10"/>
      <c r="L131" s="10"/>
      <c r="M131" s="103">
        <f>(1000000/4)/3.5</f>
        <v>71428.571428571435</v>
      </c>
      <c r="N131" s="103">
        <f t="shared" ref="N131:P131" si="65">(1000000/4)/3.5</f>
        <v>71428.571428571435</v>
      </c>
      <c r="O131" s="93">
        <f t="shared" si="65"/>
        <v>71428.571428571435</v>
      </c>
      <c r="P131" s="93">
        <f t="shared" si="65"/>
        <v>71428.571428571435</v>
      </c>
      <c r="Q131" s="6"/>
      <c r="R131" s="6"/>
      <c r="S131" s="6"/>
      <c r="T131" s="6"/>
      <c r="U131" s="6"/>
      <c r="V131" s="6"/>
      <c r="W131" s="6"/>
      <c r="X131" s="6"/>
    </row>
    <row r="132" spans="1:24" ht="13.95" customHeight="1" x14ac:dyDescent="0.25">
      <c r="A132" s="37"/>
      <c r="B132" s="35"/>
      <c r="C132" s="10"/>
      <c r="D132" s="10"/>
      <c r="E132" s="36"/>
      <c r="F132" s="86"/>
      <c r="G132" s="6"/>
      <c r="H132" s="10"/>
      <c r="I132" s="10"/>
      <c r="J132" s="10"/>
      <c r="K132" s="10"/>
      <c r="L132" s="10"/>
      <c r="M132" s="10"/>
      <c r="N132" s="10"/>
      <c r="O132" s="6"/>
      <c r="P132" s="6"/>
      <c r="Q132" s="6"/>
      <c r="R132" s="6"/>
      <c r="S132" s="6"/>
      <c r="T132" s="6"/>
      <c r="U132" s="6"/>
      <c r="V132" s="6"/>
      <c r="W132" s="6"/>
      <c r="X132" s="6"/>
    </row>
    <row r="133" spans="1:24" ht="13.95" customHeight="1" x14ac:dyDescent="0.25">
      <c r="A133" s="34">
        <v>3.3</v>
      </c>
      <c r="B133" s="34" t="s">
        <v>115</v>
      </c>
      <c r="C133" s="97">
        <f>+SUM(C134:C139)</f>
        <v>433113.12</v>
      </c>
      <c r="D133" s="97">
        <f>+SUM(D134:D139)</f>
        <v>6785438.8799999999</v>
      </c>
      <c r="E133" s="97">
        <f>+SUM(E134:E139)</f>
        <v>7218552.0000000009</v>
      </c>
      <c r="F133" s="132"/>
      <c r="G133" s="6"/>
      <c r="H133" s="71"/>
      <c r="I133" s="10"/>
      <c r="J133" s="71"/>
      <c r="K133" s="10"/>
      <c r="L133" s="10"/>
      <c r="M133" s="10"/>
      <c r="N133" s="10"/>
      <c r="O133" s="6"/>
      <c r="P133" s="6"/>
      <c r="Q133" s="6"/>
      <c r="R133" s="6"/>
      <c r="S133" s="6"/>
      <c r="T133" s="6"/>
      <c r="U133" s="6"/>
      <c r="V133" s="6"/>
      <c r="W133" s="6"/>
      <c r="X133" s="6"/>
    </row>
    <row r="134" spans="1:24" ht="13.95" customHeight="1" x14ac:dyDescent="0.25">
      <c r="A134" s="75" t="s">
        <v>190</v>
      </c>
      <c r="B134" s="82" t="s">
        <v>210</v>
      </c>
      <c r="C134" s="96">
        <f t="shared" ref="C134:D139" si="66">+I134+K134+M134+O134+Q134+S134+U134+W134</f>
        <v>28146.874285714286</v>
      </c>
      <c r="D134" s="96">
        <f t="shared" si="66"/>
        <v>440967.69714285713</v>
      </c>
      <c r="E134" s="36">
        <f t="shared" ref="E134:E139" si="67">+C134+D134</f>
        <v>469114.57142857142</v>
      </c>
      <c r="F134" s="86"/>
      <c r="G134" s="10"/>
      <c r="H134" s="71"/>
      <c r="I134" s="104">
        <f>(104940*0.06)/3.5</f>
        <v>1798.9714285714285</v>
      </c>
      <c r="J134" s="104">
        <f>(104940*0.94)/3.5</f>
        <v>28183.885714285712</v>
      </c>
      <c r="K134" s="10"/>
      <c r="L134" s="10"/>
      <c r="M134" s="71"/>
      <c r="N134" s="71"/>
      <c r="O134" s="88">
        <f>(1536961*0.06)/3.5</f>
        <v>26347.902857142857</v>
      </c>
      <c r="P134" s="88">
        <f>(1536961*0.94)/3.5</f>
        <v>412783.81142857141</v>
      </c>
      <c r="Q134" s="6"/>
      <c r="R134" s="6"/>
      <c r="S134" s="6"/>
      <c r="T134" s="6"/>
      <c r="U134" s="6"/>
      <c r="V134" s="6"/>
      <c r="W134" s="6"/>
      <c r="X134" s="6"/>
    </row>
    <row r="135" spans="1:24" ht="13.95" customHeight="1" x14ac:dyDescent="0.25">
      <c r="A135" s="75" t="s">
        <v>191</v>
      </c>
      <c r="B135" s="82" t="s">
        <v>207</v>
      </c>
      <c r="C135" s="96">
        <f t="shared" si="66"/>
        <v>30342.857142857141</v>
      </c>
      <c r="D135" s="96">
        <f t="shared" si="66"/>
        <v>475371.42857142858</v>
      </c>
      <c r="E135" s="36">
        <f t="shared" si="67"/>
        <v>505714.28571428574</v>
      </c>
      <c r="F135" s="86"/>
      <c r="G135" s="10"/>
      <c r="H135" s="71"/>
      <c r="I135" s="10"/>
      <c r="J135" s="71"/>
      <c r="K135" s="10"/>
      <c r="L135" s="10"/>
      <c r="M135" s="80"/>
      <c r="N135" s="80"/>
      <c r="O135" s="91">
        <f>(1770000*0.06)/3.5</f>
        <v>30342.857142857141</v>
      </c>
      <c r="P135" s="91">
        <f>(1770000*0.94)/3.5</f>
        <v>475371.42857142858</v>
      </c>
      <c r="Q135" s="6"/>
      <c r="R135" s="6"/>
      <c r="S135" s="6"/>
      <c r="T135" s="6"/>
      <c r="U135" s="6"/>
      <c r="V135" s="6"/>
      <c r="W135" s="6"/>
      <c r="X135" s="6"/>
    </row>
    <row r="136" spans="1:24" ht="13.95" customHeight="1" x14ac:dyDescent="0.25">
      <c r="A136" s="75" t="s">
        <v>192</v>
      </c>
      <c r="B136" s="82" t="s">
        <v>208</v>
      </c>
      <c r="C136" s="96">
        <f t="shared" si="66"/>
        <v>140314.81714285715</v>
      </c>
      <c r="D136" s="96">
        <f t="shared" si="66"/>
        <v>2198265.4685714287</v>
      </c>
      <c r="E136" s="36">
        <f t="shared" si="67"/>
        <v>2338580.2857142859</v>
      </c>
      <c r="F136" s="86"/>
      <c r="G136" s="10"/>
      <c r="H136" s="71"/>
      <c r="I136" s="10"/>
      <c r="J136" s="71"/>
      <c r="K136" s="10"/>
      <c r="L136" s="10"/>
      <c r="M136" s="80"/>
      <c r="N136" s="80"/>
      <c r="O136" s="91">
        <f>(8185031*0.06)/3.5</f>
        <v>140314.81714285715</v>
      </c>
      <c r="P136" s="91">
        <f>(8185031*0.94)/3.5</f>
        <v>2198265.4685714287</v>
      </c>
      <c r="Q136" s="6"/>
      <c r="R136" s="6"/>
      <c r="S136" s="6"/>
      <c r="T136" s="6"/>
      <c r="U136" s="6"/>
      <c r="V136" s="6"/>
      <c r="W136" s="6"/>
      <c r="X136" s="6"/>
    </row>
    <row r="137" spans="1:24" ht="13.95" customHeight="1" x14ac:dyDescent="0.25">
      <c r="A137" s="75" t="s">
        <v>193</v>
      </c>
      <c r="B137" s="82" t="s">
        <v>212</v>
      </c>
      <c r="C137" s="96">
        <f t="shared" si="66"/>
        <v>129600</v>
      </c>
      <c r="D137" s="96">
        <f t="shared" si="66"/>
        <v>2030400</v>
      </c>
      <c r="E137" s="36">
        <f t="shared" si="67"/>
        <v>2160000</v>
      </c>
      <c r="F137" s="86"/>
      <c r="G137" s="10"/>
      <c r="H137" s="71"/>
      <c r="I137" s="10"/>
      <c r="J137" s="71"/>
      <c r="K137" s="10"/>
      <c r="L137" s="10"/>
      <c r="M137" s="80"/>
      <c r="N137" s="80"/>
      <c r="O137" s="91">
        <f>(7560000*0.06)/3.5</f>
        <v>129600</v>
      </c>
      <c r="P137" s="91">
        <f>(7560000*0.94)/3.5</f>
        <v>2030400</v>
      </c>
      <c r="Q137" s="6"/>
      <c r="R137" s="6"/>
      <c r="S137" s="6"/>
      <c r="T137" s="6"/>
      <c r="U137" s="6"/>
      <c r="V137" s="6"/>
      <c r="W137" s="6"/>
      <c r="X137" s="6"/>
    </row>
    <row r="138" spans="1:24" ht="13.95" customHeight="1" x14ac:dyDescent="0.25">
      <c r="A138" s="75" t="s">
        <v>211</v>
      </c>
      <c r="B138" s="82" t="s">
        <v>214</v>
      </c>
      <c r="C138" s="96">
        <f t="shared" si="66"/>
        <v>87428.571428571435</v>
      </c>
      <c r="D138" s="96">
        <f t="shared" si="66"/>
        <v>1369714.2857142857</v>
      </c>
      <c r="E138" s="36">
        <f t="shared" si="67"/>
        <v>1457142.857142857</v>
      </c>
      <c r="F138" s="86"/>
      <c r="G138" s="10"/>
      <c r="H138" s="71"/>
      <c r="I138" s="10"/>
      <c r="J138" s="71"/>
      <c r="K138" s="10"/>
      <c r="L138" s="10"/>
      <c r="M138" s="80"/>
      <c r="N138" s="80"/>
      <c r="O138" s="91">
        <f>(5100000*0.06)/3.5</f>
        <v>87428.571428571435</v>
      </c>
      <c r="P138" s="91">
        <f>(5100000*0.94)/3.5</f>
        <v>1369714.2857142857</v>
      </c>
      <c r="Q138" s="6"/>
      <c r="R138" s="6"/>
      <c r="S138" s="6"/>
      <c r="T138" s="6"/>
      <c r="U138" s="6"/>
      <c r="V138" s="6"/>
      <c r="W138" s="6"/>
      <c r="X138" s="6"/>
    </row>
    <row r="139" spans="1:24" ht="13.95" customHeight="1" x14ac:dyDescent="0.25">
      <c r="A139" s="75" t="s">
        <v>213</v>
      </c>
      <c r="B139" s="82" t="s">
        <v>209</v>
      </c>
      <c r="C139" s="96">
        <f t="shared" si="66"/>
        <v>17280</v>
      </c>
      <c r="D139" s="96">
        <f t="shared" si="66"/>
        <v>270720</v>
      </c>
      <c r="E139" s="36">
        <f t="shared" si="67"/>
        <v>288000</v>
      </c>
      <c r="F139" s="86"/>
      <c r="G139" s="10"/>
      <c r="H139" s="71"/>
      <c r="I139" s="10"/>
      <c r="J139" s="71"/>
      <c r="K139" s="10"/>
      <c r="L139" s="10"/>
      <c r="M139" s="80"/>
      <c r="N139" s="80"/>
      <c r="O139" s="91">
        <f>(1008000*0.06)/3.5</f>
        <v>17280</v>
      </c>
      <c r="P139" s="91">
        <f>(1008000*0.94)/3.5</f>
        <v>270720</v>
      </c>
      <c r="Q139" s="6"/>
      <c r="R139" s="6"/>
      <c r="S139" s="6"/>
      <c r="T139" s="6"/>
      <c r="U139" s="6"/>
      <c r="V139" s="6"/>
      <c r="W139" s="6"/>
      <c r="X139" s="6"/>
    </row>
    <row r="140" spans="1:24" ht="13.95" customHeight="1" x14ac:dyDescent="0.25">
      <c r="A140" s="49"/>
      <c r="C140" s="10"/>
      <c r="D140" s="10"/>
      <c r="E140" s="36"/>
      <c r="F140" s="86"/>
      <c r="G140" s="6"/>
      <c r="H140" s="10"/>
      <c r="I140" s="10"/>
      <c r="J140" s="10"/>
      <c r="K140" s="10"/>
      <c r="L140" s="10"/>
      <c r="M140" s="10"/>
      <c r="N140" s="10"/>
      <c r="O140" s="6"/>
      <c r="P140" s="6"/>
      <c r="Q140" s="6"/>
      <c r="R140" s="6"/>
      <c r="S140" s="6"/>
      <c r="T140" s="6"/>
      <c r="U140" s="6"/>
      <c r="V140" s="6"/>
      <c r="W140" s="6"/>
      <c r="X140" s="6"/>
    </row>
    <row r="141" spans="1:24" ht="13.95" customHeight="1" x14ac:dyDescent="0.25">
      <c r="A141" s="38">
        <v>3.4</v>
      </c>
      <c r="B141" s="34" t="s">
        <v>107</v>
      </c>
      <c r="C141" s="97">
        <f>+C142</f>
        <v>285714.2904</v>
      </c>
      <c r="D141" s="97">
        <f>+D142</f>
        <v>0</v>
      </c>
      <c r="E141" s="97">
        <f>+C141+D141</f>
        <v>285714.2904</v>
      </c>
      <c r="F141" s="200" t="s">
        <v>433</v>
      </c>
      <c r="G141" s="6"/>
      <c r="H141" s="6"/>
      <c r="I141" s="6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</row>
    <row r="142" spans="1:24" ht="13.95" customHeight="1" x14ac:dyDescent="0.25">
      <c r="A142" s="37" t="s">
        <v>39</v>
      </c>
      <c r="B142" s="182" t="s">
        <v>205</v>
      </c>
      <c r="C142" s="96">
        <f t="shared" ref="C142:D142" si="68">+I142+K142+M142+O142+Q142+S142+U142+W142</f>
        <v>285714.2904</v>
      </c>
      <c r="D142" s="96">
        <f t="shared" si="68"/>
        <v>0</v>
      </c>
      <c r="E142" s="36">
        <f>+C142+D142</f>
        <v>285714.2904</v>
      </c>
      <c r="F142" s="86"/>
      <c r="G142" s="6"/>
      <c r="H142" s="6"/>
      <c r="I142" s="6"/>
      <c r="J142" s="6"/>
      <c r="K142" s="6"/>
      <c r="L142" s="6"/>
      <c r="M142" s="6"/>
      <c r="N142" s="6"/>
      <c r="O142" s="91">
        <v>163265.30900000001</v>
      </c>
      <c r="P142" s="6"/>
      <c r="Q142" s="6">
        <v>81632.654299999995</v>
      </c>
      <c r="R142" s="88"/>
      <c r="S142" s="88"/>
      <c r="T142" s="6"/>
      <c r="U142" s="6">
        <v>40816.327100000002</v>
      </c>
      <c r="V142" s="6"/>
      <c r="W142" s="6"/>
      <c r="X142" s="6"/>
    </row>
    <row r="143" spans="1:24" ht="13.95" customHeight="1" x14ac:dyDescent="0.25">
      <c r="A143" s="37"/>
      <c r="B143" s="35"/>
      <c r="C143" s="96"/>
      <c r="D143" s="96"/>
      <c r="E143" s="36"/>
      <c r="F143" s="86"/>
      <c r="G143" s="6"/>
      <c r="H143" s="6"/>
      <c r="I143" s="6"/>
      <c r="J143" s="6"/>
      <c r="K143" s="6"/>
      <c r="L143" s="6"/>
      <c r="M143" s="6"/>
      <c r="N143" s="6"/>
      <c r="O143" s="91"/>
      <c r="P143" s="6"/>
      <c r="Q143" s="6"/>
      <c r="R143" s="88"/>
      <c r="S143" s="88"/>
      <c r="T143" s="6"/>
      <c r="U143" s="6"/>
      <c r="V143" s="6"/>
      <c r="W143" s="6"/>
      <c r="X143" s="6"/>
    </row>
    <row r="144" spans="1:24" ht="13.95" customHeight="1" x14ac:dyDescent="0.25">
      <c r="A144" s="38">
        <v>3.5</v>
      </c>
      <c r="B144" s="34" t="s">
        <v>107</v>
      </c>
      <c r="C144" s="97">
        <f>+C145</f>
        <v>82631.731428571438</v>
      </c>
      <c r="D144" s="97">
        <f>+D145</f>
        <v>1052511.1257142858</v>
      </c>
      <c r="E144" s="97">
        <f>+C144+D144</f>
        <v>1135142.8571428573</v>
      </c>
      <c r="F144" s="199">
        <v>3.1</v>
      </c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</row>
    <row r="145" spans="1:26" ht="13.95" customHeight="1" x14ac:dyDescent="0.25">
      <c r="A145" s="108" t="s">
        <v>441</v>
      </c>
      <c r="B145" s="40" t="s">
        <v>205</v>
      </c>
      <c r="C145" s="161">
        <f>+I145+K145+M145+O145+Q145+S145+U145+W145</f>
        <v>82631.731428571438</v>
      </c>
      <c r="D145" s="161">
        <f>+J145+L145+N145+P145+R145+T145+V145+X145</f>
        <v>1052511.1257142858</v>
      </c>
      <c r="E145" s="127">
        <f>+SUM(C145:D145)</f>
        <v>1135142.8571428573</v>
      </c>
      <c r="F145" s="133"/>
      <c r="G145" s="10"/>
      <c r="H145" s="10"/>
      <c r="I145" s="10"/>
      <c r="J145" s="10"/>
      <c r="K145" s="71"/>
      <c r="L145" s="71"/>
      <c r="M145" s="71"/>
      <c r="N145" s="71"/>
      <c r="O145" s="10"/>
      <c r="P145" s="10"/>
      <c r="Q145" s="91">
        <f>((2775000*0.06)/2)/3.5+14523.16</f>
        <v>38308.874285714286</v>
      </c>
      <c r="R145" s="91">
        <f>((2775000*0.94)/2)/3.5-14523.16</f>
        <v>358119.69714285719</v>
      </c>
      <c r="S145" s="91">
        <f>((2775000*0.06)/2)/3.5</f>
        <v>23785.714285714286</v>
      </c>
      <c r="T145" s="91">
        <f>((2775000*0.94)/2)/3.5</f>
        <v>372642.85714285716</v>
      </c>
      <c r="U145" s="91">
        <f>((1198000*0.06)/2)/3.5</f>
        <v>10268.571428571429</v>
      </c>
      <c r="V145" s="91">
        <f>((1198000*0.94)/2)/3.5</f>
        <v>160874.28571428571</v>
      </c>
      <c r="W145" s="91">
        <f>((1198000*0.06)/2)/3.5</f>
        <v>10268.571428571429</v>
      </c>
      <c r="X145" s="91">
        <f>((1198000*0.94)/2)/3.5</f>
        <v>160874.28571428571</v>
      </c>
    </row>
    <row r="146" spans="1:26" ht="13.95" customHeight="1" x14ac:dyDescent="0.25">
      <c r="A146" s="17"/>
      <c r="B146" s="31"/>
      <c r="C146" s="36"/>
      <c r="D146" s="1"/>
      <c r="E146" s="36"/>
      <c r="F146" s="8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47"/>
    </row>
    <row r="147" spans="1:26" ht="13.95" customHeight="1" x14ac:dyDescent="0.25">
      <c r="A147" s="250" t="s">
        <v>8</v>
      </c>
      <c r="B147" s="251"/>
      <c r="C147" s="9">
        <f>C144+C141+C133+C130+C116</f>
        <v>1707132.7945142859</v>
      </c>
      <c r="D147" s="9">
        <f>D116+D130+D133+D144</f>
        <v>19931599.135885715</v>
      </c>
      <c r="E147" s="9">
        <f>+E116+E130+E133+E141+E144</f>
        <v>21638731.930399999</v>
      </c>
      <c r="F147" s="138"/>
      <c r="G147" s="169">
        <f t="shared" ref="G147:X147" si="69">SUM(G116:G146)</f>
        <v>14619.428571428571</v>
      </c>
      <c r="H147" s="169">
        <f t="shared" si="69"/>
        <v>0</v>
      </c>
      <c r="I147" s="169">
        <f t="shared" si="69"/>
        <v>1798.9714285714285</v>
      </c>
      <c r="J147" s="169">
        <f t="shared" si="69"/>
        <v>257221.6</v>
      </c>
      <c r="K147" s="169">
        <f t="shared" si="69"/>
        <v>0</v>
      </c>
      <c r="L147" s="169">
        <f t="shared" si="69"/>
        <v>0</v>
      </c>
      <c r="M147" s="169">
        <f t="shared" si="69"/>
        <v>119657.01988571428</v>
      </c>
      <c r="N147" s="169">
        <f t="shared" si="69"/>
        <v>827007.59725714289</v>
      </c>
      <c r="O147" s="169">
        <f t="shared" si="69"/>
        <v>852395.25597142871</v>
      </c>
      <c r="P147" s="169">
        <f t="shared" si="69"/>
        <v>9748750.1216000002</v>
      </c>
      <c r="Q147" s="169">
        <f t="shared" si="69"/>
        <v>259496.27147142857</v>
      </c>
      <c r="R147" s="169">
        <f t="shared" si="69"/>
        <v>2544477.3356857141</v>
      </c>
      <c r="S147" s="169">
        <f t="shared" si="69"/>
        <v>163340.45717142857</v>
      </c>
      <c r="T147" s="169">
        <f t="shared" si="69"/>
        <v>2559000.4956857143</v>
      </c>
      <c r="U147" s="169">
        <f t="shared" si="69"/>
        <v>168320.85855714284</v>
      </c>
      <c r="V147" s="169">
        <f t="shared" si="69"/>
        <v>1997570.9928285712</v>
      </c>
      <c r="W147" s="169">
        <f t="shared" si="69"/>
        <v>127504.53145714286</v>
      </c>
      <c r="X147" s="169">
        <f t="shared" si="69"/>
        <v>1997570.9928285712</v>
      </c>
      <c r="Y147" s="22"/>
      <c r="Z147" s="22"/>
    </row>
    <row r="148" spans="1:26" ht="13.95" customHeight="1" x14ac:dyDescent="0.25">
      <c r="A148" s="31"/>
      <c r="B148" s="31"/>
      <c r="C148" s="31"/>
      <c r="D148" s="31"/>
      <c r="E148" s="31"/>
      <c r="F148" s="139"/>
      <c r="G148" s="4"/>
      <c r="H148" s="4"/>
      <c r="I148" s="4"/>
      <c r="J148" s="4"/>
      <c r="K148" s="4"/>
      <c r="L148" s="4">
        <f>SUM(G147:L147)</f>
        <v>273640</v>
      </c>
      <c r="M148" s="4"/>
      <c r="N148" s="4"/>
      <c r="O148" s="4"/>
      <c r="P148" s="4">
        <f>SUM(M147:P147)</f>
        <v>11547809.994714286</v>
      </c>
      <c r="Q148" s="4"/>
      <c r="R148" s="4"/>
      <c r="S148" s="4"/>
      <c r="T148" s="4">
        <f>SUM(Q147:T147)</f>
        <v>5526314.5600142851</v>
      </c>
      <c r="U148" s="4"/>
      <c r="V148" s="4"/>
      <c r="W148" s="4"/>
      <c r="X148" s="4">
        <f>SUM(U147:X147)</f>
        <v>4290967.3756714277</v>
      </c>
      <c r="Y148" s="22">
        <f>SUM(L148:X148)</f>
        <v>21638731.930399999</v>
      </c>
    </row>
    <row r="149" spans="1:26" ht="13.95" customHeight="1" x14ac:dyDescent="0.25">
      <c r="A149" s="18"/>
      <c r="B149" s="11"/>
      <c r="C149" s="12"/>
      <c r="D149" s="12"/>
      <c r="E149" s="148"/>
      <c r="F149" s="86"/>
      <c r="G149" s="22"/>
      <c r="H149" s="22"/>
      <c r="I149" s="11"/>
      <c r="J149" s="11"/>
      <c r="K149" s="11"/>
      <c r="L149" s="11"/>
      <c r="M149" s="11"/>
      <c r="N149" s="11"/>
      <c r="O149" s="11"/>
      <c r="P149" s="11"/>
      <c r="Q149" s="11"/>
      <c r="X149" s="22"/>
    </row>
    <row r="150" spans="1:26" ht="13.95" customHeight="1" x14ac:dyDescent="0.25">
      <c r="A150" s="238" t="s">
        <v>85</v>
      </c>
      <c r="B150" s="238" t="s">
        <v>56</v>
      </c>
      <c r="C150" s="9">
        <f>+C147+C113+C78-1</f>
        <v>29448361.726657145</v>
      </c>
      <c r="D150" s="9">
        <f>+D147+D113+D78</f>
        <v>46687257.068742864</v>
      </c>
      <c r="E150" s="9">
        <f>+E147+E113+E78</f>
        <v>76135619.795399994</v>
      </c>
      <c r="F150" s="138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22"/>
      <c r="Z150" s="22"/>
    </row>
    <row r="151" spans="1:26" ht="13.95" customHeight="1" x14ac:dyDescent="0.25">
      <c r="A151" s="18"/>
      <c r="B151" s="11"/>
      <c r="C151" s="12"/>
      <c r="D151" s="12"/>
      <c r="E151" s="12"/>
      <c r="F151" s="86"/>
      <c r="G151" s="13"/>
      <c r="H151" s="13"/>
    </row>
    <row r="152" spans="1:26" ht="13.95" customHeight="1" x14ac:dyDescent="0.25">
      <c r="A152" s="18"/>
      <c r="B152" s="5" t="s">
        <v>0</v>
      </c>
      <c r="C152" s="14"/>
      <c r="D152" s="14"/>
      <c r="E152" s="14"/>
      <c r="F152" s="138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47"/>
    </row>
    <row r="153" spans="1:26" ht="13.95" customHeight="1" x14ac:dyDescent="0.25">
      <c r="A153" s="18"/>
      <c r="B153" s="105" t="s">
        <v>1</v>
      </c>
      <c r="C153" s="96">
        <f>+I153+K153+M153+O153+Q153+S153+U153+W153+G153</f>
        <v>90514.285714285725</v>
      </c>
      <c r="D153" s="107">
        <f>+J153+L153+N153+P153+R153+T153+V153+X153</f>
        <v>211199.42857142858</v>
      </c>
      <c r="E153" s="107">
        <f>+C153+D153</f>
        <v>301713.71428571432</v>
      </c>
      <c r="F153" s="140"/>
      <c r="G153" s="6">
        <v>75428.571428571435</v>
      </c>
      <c r="H153" s="6"/>
      <c r="I153" s="10"/>
      <c r="J153" s="10"/>
      <c r="K153" s="10"/>
      <c r="L153" s="10"/>
      <c r="M153" s="10">
        <v>7542.8571428571431</v>
      </c>
      <c r="N153" s="10">
        <v>30171.428571428572</v>
      </c>
      <c r="O153" s="10">
        <v>7542.8571428571431</v>
      </c>
      <c r="P153" s="10">
        <v>30171.428571428572</v>
      </c>
      <c r="Q153" s="10"/>
      <c r="R153" s="10">
        <v>37714</v>
      </c>
      <c r="S153" s="10"/>
      <c r="T153" s="10">
        <v>37714</v>
      </c>
      <c r="U153" s="10"/>
      <c r="V153" s="10">
        <v>37714.285714285717</v>
      </c>
      <c r="W153" s="10"/>
      <c r="X153" s="10">
        <v>37714.285714285717</v>
      </c>
    </row>
    <row r="154" spans="1:26" ht="13.95" customHeight="1" x14ac:dyDescent="0.25">
      <c r="A154" s="18"/>
      <c r="B154" s="105" t="s">
        <v>269</v>
      </c>
      <c r="C154" s="96">
        <f t="shared" ref="C154:C167" si="70">+I154+K154+M154+O154+Q154+S154+U154+W154</f>
        <v>28800</v>
      </c>
      <c r="D154" s="107">
        <f t="shared" ref="D154:D167" si="71">+J154+L154+N154+P154+R154+T154+V154+X154</f>
        <v>135771</v>
      </c>
      <c r="E154" s="107">
        <f t="shared" ref="E154:E172" si="72">+C154+D154</f>
        <v>164571</v>
      </c>
      <c r="F154" s="140"/>
      <c r="G154" s="6"/>
      <c r="H154" s="6"/>
      <c r="I154" s="10">
        <v>4114.2857142857147</v>
      </c>
      <c r="J154" s="10">
        <v>16457.142857142859</v>
      </c>
      <c r="K154" s="10">
        <v>4114.2857142857147</v>
      </c>
      <c r="L154" s="10">
        <v>16457.142857142859</v>
      </c>
      <c r="M154" s="10">
        <v>4114.2857142857147</v>
      </c>
      <c r="N154" s="10">
        <v>16457.142857142859</v>
      </c>
      <c r="O154" s="10">
        <v>4114.2857142857147</v>
      </c>
      <c r="P154" s="10">
        <v>16457.142857142859</v>
      </c>
      <c r="Q154" s="10">
        <v>4114.2857142857147</v>
      </c>
      <c r="R154" s="10">
        <v>16457.142857142859</v>
      </c>
      <c r="S154" s="10">
        <v>4114.2857142857147</v>
      </c>
      <c r="T154" s="10">
        <v>16457.142857142859</v>
      </c>
      <c r="U154" s="10">
        <v>4114.2857142857147</v>
      </c>
      <c r="V154" s="10">
        <v>16457.142857142859</v>
      </c>
      <c r="W154" s="10"/>
      <c r="X154" s="10">
        <v>20571</v>
      </c>
    </row>
    <row r="155" spans="1:26" ht="13.95" customHeight="1" x14ac:dyDescent="0.25">
      <c r="A155" s="18"/>
      <c r="B155" s="203" t="s">
        <v>270</v>
      </c>
      <c r="C155" s="96">
        <f t="shared" si="70"/>
        <v>99771.71428571429</v>
      </c>
      <c r="D155" s="107">
        <f t="shared" si="71"/>
        <v>740286.85714285716</v>
      </c>
      <c r="E155" s="107">
        <f t="shared" si="72"/>
        <v>840058.57142857148</v>
      </c>
      <c r="F155" s="140"/>
      <c r="G155" s="6"/>
      <c r="H155" s="6"/>
      <c r="I155" s="10">
        <v>16457.142857142859</v>
      </c>
      <c r="J155" s="10">
        <v>65828.571428571435</v>
      </c>
      <c r="K155" s="10">
        <v>16457.142857142859</v>
      </c>
      <c r="L155" s="10">
        <v>65828.571428571435</v>
      </c>
      <c r="M155" s="10">
        <v>24685.714285714286</v>
      </c>
      <c r="N155" s="10">
        <v>98742.857142857145</v>
      </c>
      <c r="O155" s="10">
        <v>24685.714285714286</v>
      </c>
      <c r="P155" s="10">
        <v>98742.857142857145</v>
      </c>
      <c r="Q155" s="10">
        <v>17486</v>
      </c>
      <c r="R155" s="10">
        <v>105942</v>
      </c>
      <c r="S155" s="10"/>
      <c r="T155" s="10">
        <v>123429</v>
      </c>
      <c r="U155" s="10"/>
      <c r="V155" s="10">
        <v>123429</v>
      </c>
      <c r="W155" s="10"/>
      <c r="X155" s="10">
        <v>58344</v>
      </c>
    </row>
    <row r="156" spans="1:26" ht="13.95" customHeight="1" x14ac:dyDescent="0.25">
      <c r="A156" s="18"/>
      <c r="B156" s="105" t="s">
        <v>2</v>
      </c>
      <c r="C156" s="96">
        <f>+I156+K156+M156+O156+Q156+S156+U156+W156+G156</f>
        <v>57600</v>
      </c>
      <c r="D156" s="107">
        <f t="shared" si="71"/>
        <v>134400</v>
      </c>
      <c r="E156" s="107">
        <f t="shared" si="72"/>
        <v>192000</v>
      </c>
      <c r="F156" s="140"/>
      <c r="G156" s="6">
        <v>48000</v>
      </c>
      <c r="H156" s="6"/>
      <c r="I156" s="10"/>
      <c r="J156" s="10"/>
      <c r="K156" s="10"/>
      <c r="L156" s="10"/>
      <c r="M156" s="10">
        <v>4800</v>
      </c>
      <c r="N156" s="10">
        <v>19200</v>
      </c>
      <c r="O156" s="10">
        <v>4800</v>
      </c>
      <c r="P156" s="10">
        <v>19200</v>
      </c>
      <c r="Q156" s="10"/>
      <c r="R156" s="10">
        <v>24000</v>
      </c>
      <c r="S156" s="10"/>
      <c r="T156" s="10">
        <v>24000</v>
      </c>
      <c r="U156" s="10"/>
      <c r="V156" s="10">
        <v>24000</v>
      </c>
      <c r="W156" s="10"/>
      <c r="X156" s="10">
        <v>24000</v>
      </c>
    </row>
    <row r="157" spans="1:26" ht="13.95" customHeight="1" x14ac:dyDescent="0.25">
      <c r="A157" s="18"/>
      <c r="B157" s="105" t="s">
        <v>271</v>
      </c>
      <c r="C157" s="96">
        <f>+I157+K157+M157+O157+Q157+S157+U157+W157+G157</f>
        <v>82285.714285714275</v>
      </c>
      <c r="D157" s="107">
        <f t="shared" si="71"/>
        <v>192000.57142857142</v>
      </c>
      <c r="E157" s="107">
        <f t="shared" si="72"/>
        <v>274286.28571428568</v>
      </c>
      <c r="F157" s="140"/>
      <c r="G157" s="6">
        <v>68571.428571428565</v>
      </c>
      <c r="H157" s="6"/>
      <c r="I157" s="10"/>
      <c r="J157" s="10"/>
      <c r="K157" s="10"/>
      <c r="L157" s="10"/>
      <c r="M157" s="10">
        <v>6857.1428571428569</v>
      </c>
      <c r="N157" s="10">
        <v>27428.571428571428</v>
      </c>
      <c r="O157" s="10">
        <v>6857.1428571428569</v>
      </c>
      <c r="P157" s="10">
        <v>27428.571428571428</v>
      </c>
      <c r="Q157" s="10"/>
      <c r="R157" s="10">
        <v>34286</v>
      </c>
      <c r="S157" s="10"/>
      <c r="T157" s="10">
        <v>34286</v>
      </c>
      <c r="U157" s="10"/>
      <c r="V157" s="10">
        <v>34285.714285714283</v>
      </c>
      <c r="W157" s="10"/>
      <c r="X157" s="10">
        <v>34285.714285714283</v>
      </c>
    </row>
    <row r="158" spans="1:26" ht="13.95" customHeight="1" x14ac:dyDescent="0.25">
      <c r="A158" s="18"/>
      <c r="B158" s="105" t="s">
        <v>272</v>
      </c>
      <c r="C158" s="96">
        <f>+I158+K158+M158+O158+Q158+S158+U158+W158+G158</f>
        <v>41142.857142857138</v>
      </c>
      <c r="D158" s="107">
        <f t="shared" si="71"/>
        <v>96000.28571428571</v>
      </c>
      <c r="E158" s="107">
        <f t="shared" si="72"/>
        <v>137143.14285714284</v>
      </c>
      <c r="F158" s="140"/>
      <c r="G158" s="6">
        <v>34285.714285714283</v>
      </c>
      <c r="H158" s="6"/>
      <c r="I158" s="10"/>
      <c r="J158" s="10"/>
      <c r="K158" s="10"/>
      <c r="L158" s="10"/>
      <c r="M158" s="10">
        <v>3428.5714285714284</v>
      </c>
      <c r="N158" s="10">
        <v>13714.285714285714</v>
      </c>
      <c r="O158" s="10">
        <v>3428.5714285714284</v>
      </c>
      <c r="P158" s="10">
        <v>13714.285714285714</v>
      </c>
      <c r="Q158" s="10"/>
      <c r="R158" s="10">
        <v>17143</v>
      </c>
      <c r="S158" s="10"/>
      <c r="T158" s="10">
        <v>17143</v>
      </c>
      <c r="U158" s="10"/>
      <c r="V158" s="10">
        <v>17142.857142857141</v>
      </c>
      <c r="W158" s="10"/>
      <c r="X158" s="10">
        <v>17142.857142857141</v>
      </c>
    </row>
    <row r="159" spans="1:26" ht="13.95" customHeight="1" x14ac:dyDescent="0.25">
      <c r="A159" s="18"/>
      <c r="B159" s="105" t="s">
        <v>273</v>
      </c>
      <c r="C159" s="96">
        <f t="shared" si="70"/>
        <v>115200</v>
      </c>
      <c r="D159" s="107">
        <f t="shared" si="71"/>
        <v>543086</v>
      </c>
      <c r="E159" s="107">
        <f t="shared" si="72"/>
        <v>658286</v>
      </c>
      <c r="F159" s="140"/>
      <c r="G159" s="6"/>
      <c r="H159" s="6"/>
      <c r="I159" s="10">
        <v>16457.142857142859</v>
      </c>
      <c r="J159" s="10">
        <v>65828.571428571435</v>
      </c>
      <c r="K159" s="10">
        <v>16457.142857142859</v>
      </c>
      <c r="L159" s="10">
        <v>65828.571428571435</v>
      </c>
      <c r="M159" s="10">
        <v>16457.142857142859</v>
      </c>
      <c r="N159" s="10">
        <v>65828.571428571435</v>
      </c>
      <c r="O159" s="10">
        <v>16457.142857142859</v>
      </c>
      <c r="P159" s="10">
        <v>65828.571428571435</v>
      </c>
      <c r="Q159" s="10">
        <v>16457.142857142859</v>
      </c>
      <c r="R159" s="10">
        <v>65828.571428571435</v>
      </c>
      <c r="S159" s="10">
        <v>16457.142857142859</v>
      </c>
      <c r="T159" s="10">
        <v>65828.571428571435</v>
      </c>
      <c r="U159" s="10">
        <v>16457.142857142859</v>
      </c>
      <c r="V159" s="10">
        <v>65828.571428571435</v>
      </c>
      <c r="W159" s="10"/>
      <c r="X159" s="10">
        <v>82286</v>
      </c>
    </row>
    <row r="160" spans="1:26" ht="13.95" customHeight="1" x14ac:dyDescent="0.25">
      <c r="A160" s="18"/>
      <c r="B160" s="203" t="s">
        <v>274</v>
      </c>
      <c r="C160" s="96">
        <f t="shared" si="70"/>
        <v>21942.142857142855</v>
      </c>
      <c r="D160" s="107">
        <f t="shared" si="71"/>
        <v>0</v>
      </c>
      <c r="E160" s="107">
        <f t="shared" si="72"/>
        <v>21942.142857142855</v>
      </c>
      <c r="F160" s="140"/>
      <c r="G160" s="6"/>
      <c r="H160" s="6"/>
      <c r="I160" s="10">
        <v>2742.8571428571427</v>
      </c>
      <c r="J160" s="10"/>
      <c r="K160" s="10">
        <v>2742.8571428571427</v>
      </c>
      <c r="L160" s="10"/>
      <c r="M160" s="10">
        <v>2742.8571428571427</v>
      </c>
      <c r="N160" s="10"/>
      <c r="O160" s="10">
        <v>2742.8571428571427</v>
      </c>
      <c r="P160" s="10"/>
      <c r="Q160" s="10">
        <v>2742.8571428571427</v>
      </c>
      <c r="R160" s="10"/>
      <c r="S160" s="10">
        <v>2742.8571428571427</v>
      </c>
      <c r="T160" s="10"/>
      <c r="U160" s="10">
        <v>2743</v>
      </c>
      <c r="V160" s="10"/>
      <c r="W160" s="10">
        <v>2742</v>
      </c>
      <c r="X160" s="10"/>
    </row>
    <row r="161" spans="1:25" ht="13.95" customHeight="1" x14ac:dyDescent="0.25">
      <c r="A161" s="18"/>
      <c r="B161" s="105" t="s">
        <v>275</v>
      </c>
      <c r="C161" s="96">
        <f t="shared" si="70"/>
        <v>36000.000000000007</v>
      </c>
      <c r="D161" s="107">
        <f t="shared" si="71"/>
        <v>169714.00000000003</v>
      </c>
      <c r="E161" s="107">
        <f t="shared" si="72"/>
        <v>205714.00000000003</v>
      </c>
      <c r="F161" s="140"/>
      <c r="G161" s="6"/>
      <c r="H161" s="6"/>
      <c r="I161" s="10">
        <v>5142.8571428571431</v>
      </c>
      <c r="J161" s="10">
        <v>20571.428571428572</v>
      </c>
      <c r="K161" s="10">
        <v>5142.8571428571431</v>
      </c>
      <c r="L161" s="10">
        <v>20571.428571428572</v>
      </c>
      <c r="M161" s="10">
        <v>5142.8571428571431</v>
      </c>
      <c r="N161" s="10">
        <v>20571.428571428572</v>
      </c>
      <c r="O161" s="10">
        <v>5142.8571428571431</v>
      </c>
      <c r="P161" s="10">
        <v>20571.428571428572</v>
      </c>
      <c r="Q161" s="10">
        <v>5142.8571428571431</v>
      </c>
      <c r="R161" s="10">
        <v>20571.428571428572</v>
      </c>
      <c r="S161" s="10">
        <v>5142.8571428571431</v>
      </c>
      <c r="T161" s="10">
        <v>20571.428571428572</v>
      </c>
      <c r="U161" s="10">
        <v>5142.8571428571431</v>
      </c>
      <c r="V161" s="10">
        <v>20571.428571428572</v>
      </c>
      <c r="W161" s="10"/>
      <c r="X161" s="10">
        <v>25714</v>
      </c>
    </row>
    <row r="162" spans="1:25" ht="13.95" customHeight="1" x14ac:dyDescent="0.25">
      <c r="A162" s="18"/>
      <c r="B162" s="105" t="s">
        <v>276</v>
      </c>
      <c r="C162" s="96">
        <f t="shared" si="70"/>
        <v>32914.285714285717</v>
      </c>
      <c r="D162" s="107">
        <f t="shared" si="71"/>
        <v>131657.14285714287</v>
      </c>
      <c r="E162" s="107">
        <f t="shared" si="72"/>
        <v>164571.42857142858</v>
      </c>
      <c r="F162" s="140"/>
      <c r="G162" s="6"/>
      <c r="H162" s="6"/>
      <c r="I162" s="10">
        <v>4114.2857142857147</v>
      </c>
      <c r="J162" s="10">
        <v>16457.142857142859</v>
      </c>
      <c r="K162" s="10">
        <v>4114.2857142857147</v>
      </c>
      <c r="L162" s="10">
        <v>16457.142857142859</v>
      </c>
      <c r="M162" s="10">
        <v>4114.2857142857147</v>
      </c>
      <c r="N162" s="10">
        <v>16457.142857142859</v>
      </c>
      <c r="O162" s="10">
        <v>4114.2857142857147</v>
      </c>
      <c r="P162" s="10">
        <v>16457.142857142859</v>
      </c>
      <c r="Q162" s="10">
        <v>4114.2857142857147</v>
      </c>
      <c r="R162" s="10">
        <v>16457.142857142859</v>
      </c>
      <c r="S162" s="10">
        <v>4114.2857142857147</v>
      </c>
      <c r="T162" s="10">
        <v>16457.142857142859</v>
      </c>
      <c r="U162" s="10">
        <v>4114.2857142857147</v>
      </c>
      <c r="V162" s="10">
        <v>16457.142857142859</v>
      </c>
      <c r="W162" s="10">
        <v>4114.2857142857147</v>
      </c>
      <c r="X162" s="10">
        <v>16457.142857142859</v>
      </c>
    </row>
    <row r="163" spans="1:25" ht="13.95" customHeight="1" x14ac:dyDescent="0.25">
      <c r="A163" s="18"/>
      <c r="B163" s="105" t="s">
        <v>277</v>
      </c>
      <c r="C163" s="96">
        <f t="shared" si="70"/>
        <v>32914.285714285717</v>
      </c>
      <c r="D163" s="107">
        <f t="shared" si="71"/>
        <v>131657.14285714287</v>
      </c>
      <c r="E163" s="107">
        <f t="shared" si="72"/>
        <v>164571.42857142858</v>
      </c>
      <c r="F163" s="140"/>
      <c r="G163" s="6"/>
      <c r="H163" s="6"/>
      <c r="I163" s="10">
        <v>4114.2857142857147</v>
      </c>
      <c r="J163" s="10">
        <v>16457.142857142859</v>
      </c>
      <c r="K163" s="10">
        <v>4114.2857142857147</v>
      </c>
      <c r="L163" s="10">
        <v>16457.142857142859</v>
      </c>
      <c r="M163" s="10">
        <v>4114.2857142857147</v>
      </c>
      <c r="N163" s="10">
        <v>16457.142857142859</v>
      </c>
      <c r="O163" s="10">
        <v>4114.2857142857147</v>
      </c>
      <c r="P163" s="10">
        <v>16457.142857142859</v>
      </c>
      <c r="Q163" s="10">
        <v>4114.2857142857147</v>
      </c>
      <c r="R163" s="10">
        <v>16457.142857142859</v>
      </c>
      <c r="S163" s="10">
        <v>4114.2857142857147</v>
      </c>
      <c r="T163" s="10">
        <v>16457.142857142859</v>
      </c>
      <c r="U163" s="10">
        <v>4114.2857142857147</v>
      </c>
      <c r="V163" s="10">
        <v>16457.142857142859</v>
      </c>
      <c r="W163" s="10">
        <v>4114.2857142857147</v>
      </c>
      <c r="X163" s="10">
        <v>16457.142857142859</v>
      </c>
    </row>
    <row r="164" spans="1:25" ht="13.95" customHeight="1" x14ac:dyDescent="0.25">
      <c r="A164" s="18"/>
      <c r="B164" s="105" t="s">
        <v>278</v>
      </c>
      <c r="C164" s="96">
        <f>+I164+K164+M164+O164+Q164+S164+U164+W164+G164</f>
        <v>49371.428571428572</v>
      </c>
      <c r="D164" s="107">
        <f t="shared" si="71"/>
        <v>115199.14285714287</v>
      </c>
      <c r="E164" s="107">
        <f t="shared" si="72"/>
        <v>164570.57142857145</v>
      </c>
      <c r="F164" s="140"/>
      <c r="G164" s="6">
        <v>41142.857142857145</v>
      </c>
      <c r="H164" s="6"/>
      <c r="I164" s="10"/>
      <c r="J164" s="10"/>
      <c r="K164" s="10"/>
      <c r="L164" s="10"/>
      <c r="M164" s="10">
        <v>4114.2857142857147</v>
      </c>
      <c r="N164" s="10">
        <v>16457.142857142859</v>
      </c>
      <c r="O164" s="10">
        <v>4114.2857142857147</v>
      </c>
      <c r="P164" s="10">
        <v>16457.142857142859</v>
      </c>
      <c r="Q164" s="10"/>
      <c r="R164" s="10">
        <v>20571</v>
      </c>
      <c r="S164" s="10"/>
      <c r="T164" s="10">
        <v>20571</v>
      </c>
      <c r="U164" s="10"/>
      <c r="V164" s="10">
        <v>20571.428571428572</v>
      </c>
      <c r="W164" s="10"/>
      <c r="X164" s="10">
        <v>20571.428571428572</v>
      </c>
    </row>
    <row r="165" spans="1:25" ht="13.95" customHeight="1" x14ac:dyDescent="0.25">
      <c r="A165" s="18"/>
      <c r="B165" s="105" t="s">
        <v>280</v>
      </c>
      <c r="C165" s="96">
        <f t="shared" si="70"/>
        <v>10971.428571428569</v>
      </c>
      <c r="D165" s="107">
        <f t="shared" si="71"/>
        <v>43885.714285714275</v>
      </c>
      <c r="E165" s="107">
        <f t="shared" si="72"/>
        <v>54857.142857142841</v>
      </c>
      <c r="F165" s="140"/>
      <c r="G165" s="6"/>
      <c r="H165" s="6"/>
      <c r="I165" s="10">
        <v>1371.4285714285713</v>
      </c>
      <c r="J165" s="10">
        <v>5485.7142857142853</v>
      </c>
      <c r="K165" s="10">
        <v>1371.4285714285713</v>
      </c>
      <c r="L165" s="10">
        <v>5485.7142857142853</v>
      </c>
      <c r="M165" s="10">
        <v>1371.4285714285713</v>
      </c>
      <c r="N165" s="10">
        <v>5485.7142857142853</v>
      </c>
      <c r="O165" s="10">
        <v>1371.4285714285713</v>
      </c>
      <c r="P165" s="10">
        <v>5485.7142857142853</v>
      </c>
      <c r="Q165" s="10">
        <v>1371.4285714285713</v>
      </c>
      <c r="R165" s="10">
        <v>5485.7142857142853</v>
      </c>
      <c r="S165" s="10">
        <v>1371.4285714285713</v>
      </c>
      <c r="T165" s="10">
        <v>5485.7142857142853</v>
      </c>
      <c r="U165" s="10">
        <v>1371.4285714285713</v>
      </c>
      <c r="V165" s="10">
        <v>5485.7142857142853</v>
      </c>
      <c r="W165" s="10">
        <v>1371.4285714285713</v>
      </c>
      <c r="X165" s="10">
        <v>5485.7142857142853</v>
      </c>
    </row>
    <row r="166" spans="1:25" ht="13.95" customHeight="1" x14ac:dyDescent="0.25">
      <c r="A166" s="18"/>
      <c r="B166" s="105" t="s">
        <v>279</v>
      </c>
      <c r="C166" s="96">
        <f t="shared" si="70"/>
        <v>38400</v>
      </c>
      <c r="D166" s="107">
        <f t="shared" si="71"/>
        <v>153600</v>
      </c>
      <c r="E166" s="107">
        <f t="shared" si="72"/>
        <v>192000</v>
      </c>
      <c r="F166" s="140"/>
      <c r="G166" s="6"/>
      <c r="H166" s="6"/>
      <c r="I166" s="6">
        <v>4800</v>
      </c>
      <c r="J166" s="6">
        <v>19200</v>
      </c>
      <c r="K166" s="6">
        <v>4800</v>
      </c>
      <c r="L166" s="6">
        <v>19200</v>
      </c>
      <c r="M166" s="6">
        <v>4800</v>
      </c>
      <c r="N166" s="6">
        <v>19200</v>
      </c>
      <c r="O166" s="6">
        <v>4800</v>
      </c>
      <c r="P166" s="6">
        <v>19200</v>
      </c>
      <c r="Q166" s="6">
        <v>4800</v>
      </c>
      <c r="R166" s="6">
        <v>19200</v>
      </c>
      <c r="S166" s="6">
        <v>4800</v>
      </c>
      <c r="T166" s="6">
        <v>19200</v>
      </c>
      <c r="U166" s="6">
        <v>4800</v>
      </c>
      <c r="V166" s="6">
        <v>19200</v>
      </c>
      <c r="W166" s="6">
        <v>4800</v>
      </c>
      <c r="X166" s="6">
        <v>19200</v>
      </c>
    </row>
    <row r="167" spans="1:25" ht="13.95" customHeight="1" x14ac:dyDescent="0.25">
      <c r="A167" s="18"/>
      <c r="B167" s="105" t="s">
        <v>283</v>
      </c>
      <c r="C167" s="96">
        <f t="shared" si="70"/>
        <v>28571.428571428572</v>
      </c>
      <c r="D167" s="107">
        <f t="shared" si="71"/>
        <v>114285.71428571429</v>
      </c>
      <c r="E167" s="107">
        <f t="shared" si="72"/>
        <v>142857.14285714287</v>
      </c>
      <c r="F167" s="140"/>
      <c r="G167" s="6"/>
      <c r="H167" s="6"/>
      <c r="I167" s="6"/>
      <c r="J167" s="6"/>
      <c r="K167" s="6"/>
      <c r="L167" s="6"/>
      <c r="M167" s="6"/>
      <c r="N167" s="6"/>
      <c r="O167" s="10">
        <v>28571.428571428572</v>
      </c>
      <c r="P167" s="10">
        <v>114285.71428571429</v>
      </c>
      <c r="Q167" s="6"/>
      <c r="R167" s="6"/>
      <c r="S167" s="6"/>
      <c r="T167" s="6"/>
      <c r="U167" s="6"/>
      <c r="V167" s="6"/>
      <c r="W167" s="6"/>
      <c r="X167" s="6"/>
    </row>
    <row r="168" spans="1:25" ht="13.95" customHeight="1" x14ac:dyDescent="0.25">
      <c r="A168" s="18"/>
      <c r="B168" s="106" t="s">
        <v>304</v>
      </c>
      <c r="C168" s="96">
        <f>+SUM(C153:C167)</f>
        <v>766399.57142857125</v>
      </c>
      <c r="D168" s="96">
        <f>+SUM(D153:D167)</f>
        <v>2912742.9999999991</v>
      </c>
      <c r="E168" s="96">
        <f>+SUM(E153:E167)</f>
        <v>3679142.5714285714</v>
      </c>
      <c r="F168" s="137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</row>
    <row r="169" spans="1:25" ht="13.95" customHeight="1" x14ac:dyDescent="0.25">
      <c r="A169" s="18"/>
      <c r="B169" s="106" t="s">
        <v>14</v>
      </c>
      <c r="C169" s="96">
        <f t="shared" ref="C169:D172" si="73">+I169+K169+M169+O169+Q169+S169+U169+W169</f>
        <v>0</v>
      </c>
      <c r="D169" s="107">
        <f t="shared" si="73"/>
        <v>280000</v>
      </c>
      <c r="E169" s="107">
        <f t="shared" si="72"/>
        <v>280000</v>
      </c>
      <c r="F169" s="140"/>
      <c r="G169" s="10"/>
      <c r="H169" s="10"/>
      <c r="I169" s="10"/>
      <c r="J169" s="10"/>
      <c r="K169" s="10"/>
      <c r="L169" s="10">
        <v>70000</v>
      </c>
      <c r="M169" s="10"/>
      <c r="N169" s="10"/>
      <c r="O169" s="6"/>
      <c r="P169" s="6">
        <v>70000</v>
      </c>
      <c r="Q169" s="6"/>
      <c r="R169" s="6"/>
      <c r="S169" s="6"/>
      <c r="T169" s="6">
        <v>70000</v>
      </c>
      <c r="U169" s="6"/>
      <c r="V169" s="6"/>
      <c r="W169" s="6"/>
      <c r="X169" s="6">
        <v>70000</v>
      </c>
    </row>
    <row r="170" spans="1:25" ht="13.95" customHeight="1" x14ac:dyDescent="0.25">
      <c r="A170" s="18"/>
      <c r="B170" s="106" t="s">
        <v>215</v>
      </c>
      <c r="C170" s="96">
        <f t="shared" si="73"/>
        <v>0</v>
      </c>
      <c r="D170" s="107">
        <f t="shared" si="73"/>
        <v>30000</v>
      </c>
      <c r="E170" s="107">
        <f t="shared" si="72"/>
        <v>30000</v>
      </c>
      <c r="F170" s="140"/>
      <c r="G170" s="10"/>
      <c r="H170" s="10"/>
      <c r="I170" s="10"/>
      <c r="J170" s="10"/>
      <c r="K170" s="10"/>
      <c r="L170" s="10"/>
      <c r="M170" s="10"/>
      <c r="N170" s="10"/>
      <c r="O170" s="6"/>
      <c r="P170" s="6"/>
      <c r="Q170" s="6"/>
      <c r="R170" s="6">
        <v>30000</v>
      </c>
      <c r="S170" s="6"/>
      <c r="T170" s="6"/>
      <c r="U170" s="84"/>
      <c r="V170" s="85"/>
      <c r="W170" s="6"/>
      <c r="X170" s="6"/>
    </row>
    <row r="171" spans="1:25" ht="13.95" customHeight="1" x14ac:dyDescent="0.25">
      <c r="A171" s="18"/>
      <c r="B171" s="106" t="s">
        <v>418</v>
      </c>
      <c r="C171" s="96">
        <f t="shared" si="73"/>
        <v>0</v>
      </c>
      <c r="D171" s="107">
        <f t="shared" si="73"/>
        <v>90000</v>
      </c>
      <c r="E171" s="107">
        <f t="shared" si="72"/>
        <v>90000</v>
      </c>
      <c r="F171" s="140"/>
      <c r="G171" s="10"/>
      <c r="H171" s="10"/>
      <c r="I171" s="10"/>
      <c r="J171" s="10"/>
      <c r="K171" s="10"/>
      <c r="L171" s="10"/>
      <c r="M171" s="10"/>
      <c r="N171" s="10"/>
      <c r="O171" s="6"/>
      <c r="P171" s="6"/>
      <c r="Q171" s="6"/>
      <c r="R171" s="6"/>
      <c r="S171" s="6"/>
      <c r="T171" s="6"/>
      <c r="U171" s="6"/>
      <c r="V171" s="6">
        <v>90000</v>
      </c>
      <c r="W171" s="6"/>
      <c r="X171" s="6"/>
    </row>
    <row r="172" spans="1:25" ht="13.95" customHeight="1" x14ac:dyDescent="0.25">
      <c r="A172" s="18"/>
      <c r="B172" s="106" t="s">
        <v>11</v>
      </c>
      <c r="C172" s="96">
        <f t="shared" si="73"/>
        <v>0</v>
      </c>
      <c r="D172" s="107">
        <f t="shared" si="73"/>
        <v>0</v>
      </c>
      <c r="E172" s="107">
        <f t="shared" si="72"/>
        <v>0</v>
      </c>
      <c r="F172" s="140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47"/>
    </row>
    <row r="173" spans="1:25" ht="13.95" customHeight="1" x14ac:dyDescent="0.25">
      <c r="A173" s="18"/>
      <c r="B173" s="15"/>
      <c r="C173" s="21"/>
      <c r="D173" s="21"/>
      <c r="E173" s="21"/>
      <c r="F173" s="141"/>
      <c r="G173" s="4"/>
      <c r="H173" s="4"/>
    </row>
    <row r="174" spans="1:25" ht="13.95" customHeight="1" x14ac:dyDescent="0.25">
      <c r="A174" s="238" t="s">
        <v>86</v>
      </c>
      <c r="B174" s="238" t="s">
        <v>56</v>
      </c>
      <c r="C174" s="9">
        <f>SUM(C168:C172)</f>
        <v>766399.57142857125</v>
      </c>
      <c r="D174" s="9">
        <f>SUM(D168:D172)</f>
        <v>3312742.9999999991</v>
      </c>
      <c r="E174" s="9">
        <f>SUM(E168:E172)-1</f>
        <v>4079141.5714285714</v>
      </c>
      <c r="F174" s="138"/>
      <c r="G174" s="9">
        <f t="shared" ref="G174:H174" si="74">SUM(G152:G172)</f>
        <v>267428.57142857142</v>
      </c>
      <c r="H174" s="9">
        <f t="shared" si="74"/>
        <v>0</v>
      </c>
      <c r="I174" s="9">
        <f>SUM(I152:I172)</f>
        <v>59314.285714285732</v>
      </c>
      <c r="J174" s="9">
        <f>SUM(J152:J172)</f>
        <v>226285.71428571435</v>
      </c>
      <c r="K174" s="9">
        <f t="shared" ref="K174:X174" si="75">SUM(K152:K172)</f>
        <v>59314.285714285732</v>
      </c>
      <c r="L174" s="9">
        <f>SUM(L152:L172)</f>
        <v>296285.71428571432</v>
      </c>
      <c r="M174" s="9">
        <f t="shared" si="75"/>
        <v>94285.714285714275</v>
      </c>
      <c r="N174" s="9">
        <f t="shared" si="75"/>
        <v>366171.42857142852</v>
      </c>
      <c r="O174" s="9">
        <f t="shared" si="75"/>
        <v>122857.14285714284</v>
      </c>
      <c r="P174" s="9">
        <f t="shared" si="75"/>
        <v>550457.14285714284</v>
      </c>
      <c r="Q174" s="9">
        <f t="shared" si="75"/>
        <v>60343.14285714287</v>
      </c>
      <c r="R174" s="9">
        <f t="shared" si="75"/>
        <v>430113.14285714278</v>
      </c>
      <c r="S174" s="9">
        <f t="shared" si="75"/>
        <v>42857.142857142855</v>
      </c>
      <c r="T174" s="9">
        <f t="shared" si="75"/>
        <v>487600.14285714278</v>
      </c>
      <c r="U174" s="9">
        <f t="shared" si="75"/>
        <v>42857.285714285717</v>
      </c>
      <c r="V174" s="9">
        <f t="shared" si="75"/>
        <v>507600.42857142852</v>
      </c>
      <c r="W174" s="9">
        <f t="shared" si="75"/>
        <v>17142</v>
      </c>
      <c r="X174" s="9">
        <f t="shared" si="75"/>
        <v>448229.28571428568</v>
      </c>
    </row>
    <row r="175" spans="1:25" ht="13.95" customHeight="1" x14ac:dyDescent="0.25">
      <c r="A175" s="18"/>
      <c r="B175" s="15"/>
      <c r="C175" s="21"/>
      <c r="D175" s="21"/>
      <c r="E175" s="21"/>
      <c r="F175" s="141"/>
      <c r="G175" s="4"/>
      <c r="H175" s="4"/>
      <c r="I175" s="2"/>
      <c r="J175" s="2"/>
      <c r="K175" s="2"/>
      <c r="L175" s="4">
        <f>SUM(G174:L174)</f>
        <v>908628.57142857148</v>
      </c>
      <c r="M175" s="4"/>
      <c r="N175" s="4"/>
      <c r="O175" s="4"/>
      <c r="P175" s="4">
        <f>SUM(M174:P174)</f>
        <v>1133771.4285714286</v>
      </c>
      <c r="Q175" s="4"/>
      <c r="R175" s="4"/>
      <c r="S175" s="4"/>
      <c r="T175" s="4">
        <f>SUM(Q174:T174)</f>
        <v>1020913.5714285714</v>
      </c>
      <c r="U175" s="4"/>
      <c r="V175" s="4"/>
      <c r="W175" s="4"/>
      <c r="X175" s="4">
        <f>SUM(U174:X174)</f>
        <v>1015828.9999999999</v>
      </c>
      <c r="Y175" s="22">
        <f>SUM(L175:X175)</f>
        <v>4079142.5714285714</v>
      </c>
    </row>
    <row r="176" spans="1:25" ht="13.95" customHeight="1" x14ac:dyDescent="0.25">
      <c r="A176" s="238" t="s">
        <v>439</v>
      </c>
      <c r="B176" s="238" t="s">
        <v>56</v>
      </c>
      <c r="C176" s="9">
        <f>C150+C174+1</f>
        <v>30214762.298085716</v>
      </c>
      <c r="D176" s="9">
        <f>D150+D174</f>
        <v>50000000.068742864</v>
      </c>
      <c r="E176" s="9">
        <f>E150+E174+1</f>
        <v>80214762.366828561</v>
      </c>
      <c r="F176" s="138"/>
      <c r="G176" s="9">
        <f t="shared" ref="G176:X176" si="76">G174+G147+G113+G78</f>
        <v>325855</v>
      </c>
      <c r="H176" s="9">
        <f t="shared" si="76"/>
        <v>0</v>
      </c>
      <c r="I176" s="9">
        <f t="shared" si="76"/>
        <v>391102.57714285719</v>
      </c>
      <c r="J176" s="9">
        <f t="shared" si="76"/>
        <v>857302.7771428572</v>
      </c>
      <c r="K176" s="9">
        <f t="shared" si="76"/>
        <v>79659.4185714286</v>
      </c>
      <c r="L176" s="9">
        <f t="shared" si="76"/>
        <v>309764.28571428574</v>
      </c>
      <c r="M176" s="9">
        <f t="shared" si="76"/>
        <v>5028877.8513142858</v>
      </c>
      <c r="N176" s="9">
        <f t="shared" si="76"/>
        <v>5926686.1315428559</v>
      </c>
      <c r="O176" s="9">
        <f t="shared" si="76"/>
        <v>9964708.3702571429</v>
      </c>
      <c r="P176" s="9">
        <f t="shared" si="76"/>
        <v>18391386.6666</v>
      </c>
      <c r="Q176" s="9">
        <f t="shared" si="76"/>
        <v>4431440.153971429</v>
      </c>
      <c r="R176" s="9">
        <f t="shared" si="76"/>
        <v>7086191.2181857154</v>
      </c>
      <c r="S176" s="9">
        <f t="shared" si="76"/>
        <v>3756726.3211000008</v>
      </c>
      <c r="T176" s="9">
        <f t="shared" si="76"/>
        <v>6597129.3596142866</v>
      </c>
      <c r="U176" s="9">
        <f t="shared" si="76"/>
        <v>3308499.5721285706</v>
      </c>
      <c r="V176" s="9">
        <f t="shared" si="76"/>
        <v>5602492.8492571469</v>
      </c>
      <c r="W176" s="9">
        <f t="shared" si="76"/>
        <v>2927893.0335999997</v>
      </c>
      <c r="X176" s="9">
        <f t="shared" si="76"/>
        <v>5229046.7806857191</v>
      </c>
    </row>
    <row r="177" spans="1:25" ht="13.95" customHeight="1" x14ac:dyDescent="0.25">
      <c r="A177" s="18"/>
      <c r="B177" s="15"/>
      <c r="C177" s="16"/>
      <c r="D177" s="16"/>
      <c r="E177" s="16"/>
      <c r="F177" s="86"/>
      <c r="G177" s="4"/>
      <c r="H177" s="4"/>
      <c r="I177" s="2"/>
      <c r="J177" s="2"/>
      <c r="K177" s="2"/>
      <c r="L177" s="4">
        <f>SUM(G176:L176)</f>
        <v>1963684.0585714288</v>
      </c>
      <c r="M177" s="4"/>
      <c r="N177" s="4"/>
      <c r="O177" s="4"/>
      <c r="P177" s="4">
        <f>SUM(M176:P176)</f>
        <v>39311659.019714281</v>
      </c>
      <c r="Q177" s="4"/>
      <c r="R177" s="4"/>
      <c r="S177" s="4"/>
      <c r="T177" s="4">
        <f>SUM(Q176:T176)</f>
        <v>21871487.052871432</v>
      </c>
      <c r="U177" s="4"/>
      <c r="V177" s="4"/>
      <c r="W177" s="4"/>
      <c r="X177" s="4">
        <f>SUM(U176:X176)</f>
        <v>17067932.235671435</v>
      </c>
      <c r="Y177" s="22">
        <f>SUM(L177:X177)</f>
        <v>80214762.366828576</v>
      </c>
    </row>
    <row r="178" spans="1:25" ht="13.95" customHeight="1" x14ac:dyDescent="0.25">
      <c r="A178" s="18"/>
      <c r="B178" s="246" t="s">
        <v>10</v>
      </c>
      <c r="C178" s="247"/>
      <c r="D178" s="247"/>
      <c r="E178" s="36">
        <f>E150+E174</f>
        <v>80214761.366828561</v>
      </c>
      <c r="F178" s="86"/>
      <c r="G178" s="4"/>
      <c r="H178" s="4"/>
    </row>
    <row r="179" spans="1:25" ht="13.95" customHeight="1" x14ac:dyDescent="0.25">
      <c r="A179" s="18"/>
      <c r="B179" s="66" t="s">
        <v>11</v>
      </c>
      <c r="C179" s="67"/>
      <c r="D179" s="36"/>
      <c r="E179" s="36"/>
      <c r="F179" s="86"/>
      <c r="K179" s="33" t="s">
        <v>420</v>
      </c>
    </row>
    <row r="180" spans="1:25" ht="13.95" customHeight="1" thickBot="1" x14ac:dyDescent="0.3">
      <c r="A180" s="18"/>
      <c r="B180" s="11"/>
      <c r="C180" s="11"/>
      <c r="D180" s="11"/>
      <c r="E180" s="11"/>
      <c r="F180" s="142"/>
    </row>
    <row r="181" spans="1:25" ht="13.95" customHeight="1" thickBot="1" x14ac:dyDescent="0.3">
      <c r="A181" s="18"/>
      <c r="B181" s="248" t="s">
        <v>83</v>
      </c>
      <c r="C181" s="248"/>
      <c r="D181" s="249"/>
      <c r="E181" s="25">
        <f>E178+E179</f>
        <v>80214761.366828561</v>
      </c>
      <c r="F181" s="138"/>
      <c r="J181" s="172" t="s">
        <v>61</v>
      </c>
      <c r="K181" s="172">
        <v>2018</v>
      </c>
      <c r="L181" s="172">
        <v>2019</v>
      </c>
      <c r="M181" s="172">
        <v>2020</v>
      </c>
      <c r="N181" s="172">
        <v>2021</v>
      </c>
    </row>
    <row r="182" spans="1:25" ht="13.95" customHeight="1" x14ac:dyDescent="0.25">
      <c r="A182" s="18"/>
      <c r="B182" s="58"/>
      <c r="C182" s="58"/>
      <c r="D182" s="58"/>
      <c r="E182" s="2"/>
      <c r="F182" s="143"/>
      <c r="J182" s="47" t="s">
        <v>421</v>
      </c>
      <c r="K182" s="171">
        <f>J176+L176</f>
        <v>1167067.0628571429</v>
      </c>
      <c r="L182" s="171">
        <f>N176+P176</f>
        <v>24318072.798142858</v>
      </c>
      <c r="M182" s="171">
        <f>R176+T176</f>
        <v>13683320.577800002</v>
      </c>
      <c r="N182" s="171">
        <f>V176+X176</f>
        <v>10831539.629942866</v>
      </c>
    </row>
    <row r="183" spans="1:25" x14ac:dyDescent="0.25">
      <c r="B183" s="167" t="s">
        <v>419</v>
      </c>
      <c r="E183" s="168">
        <f>E171+E170+E163+E169</f>
        <v>564571.42857142864</v>
      </c>
      <c r="S183" s="22"/>
    </row>
  </sheetData>
  <mergeCells count="12">
    <mergeCell ref="A115:B115"/>
    <mergeCell ref="A1:B1"/>
    <mergeCell ref="A3:B3"/>
    <mergeCell ref="A78:B78"/>
    <mergeCell ref="A80:B80"/>
    <mergeCell ref="A113:B113"/>
    <mergeCell ref="B178:D178"/>
    <mergeCell ref="B181:D181"/>
    <mergeCell ref="A147:B147"/>
    <mergeCell ref="A150:B150"/>
    <mergeCell ref="A174:B174"/>
    <mergeCell ref="A176:B176"/>
  </mergeCells>
  <pageMargins left="0.25" right="0.25" top="0.75" bottom="0.75" header="0.3" footer="0.3"/>
  <pageSetup scale="75" fitToWidth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80A5070AE71FCC4396AD852C28860A58" ma:contentTypeVersion="27" ma:contentTypeDescription="A content type to manage public (operations) IDB documents" ma:contentTypeScope="" ma:versionID="24999bd6bffd9fbc19ed195443e456e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148bbd2547d5f1784cb61ea1835f70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Peru</TermName>
          <TermId xmlns="http://schemas.microsoft.com/office/infopath/2007/PartnerControls">c988f60b-81f1-4c24-8da7-d5473741c5b0</TermId>
        </TermInfo>
      </Terms>
    </ic46d7e087fd4a108fb86518ca413cc6>
    <IDBDocs_x0020_Number xmlns="cdc7663a-08f0-4737-9e8c-148ce897a09c" xsi:nil="true"/>
    <Division_x0020_or_x0020_Unit xmlns="cdc7663a-08f0-4737-9e8c-148ce897a09c">IFD/ICS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Gonzalez, Melissa Maria Laura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CIVIL REGISTRIES</TermName>
          <TermId xmlns="http://schemas.microsoft.com/office/infopath/2007/PartnerControls">11fc3bf8-452c-407f-bf4a-ce83f763cb8c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34</Value>
      <Value>3</Value>
      <Value>44</Value>
      <Value>57</Value>
      <Value>31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PE-L1171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R0000101812</Record_x0020_Number>
    <_dlc_DocId xmlns="cdc7663a-08f0-4737-9e8c-148ce897a09c">EZSHARE-1061213459-12</_dlc_DocId>
    <_dlc_DocIdUrl xmlns="cdc7663a-08f0-4737-9e8c-148ce897a09c">
      <Url>https://idbg.sharepoint.com/teams/EZ-PE-LON/PE-L1171/_layouts/15/DocIdRedir.aspx?ID=EZSHARE-1061213459-12</Url>
      <Description>EZSHARE-1061213459-12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c D A A B Q S w M E F A A C A A g A A 0 O c R x J o Q H S n A A A A + Q A A A B I A H A B D b 2 5 m a W c v U G F j a 2 F n Z S 5 4 b W w g o h g A K K A U A A A A A A A A A A A A A A A A A A A A A A A A A A A A h Y + 9 D o I w G E V f h X S n L X / G k I 8 y G D d J T E i M a 1 M q N E I x t F j e z c F H 8 h U k U Q y b 4 z 0 5 w 7 m v x x P y q W u 9 u x y M 6 n W G A k y R J 7 X o K 6 X r D I 3 2 4 m 9 R z u D I x Z X X 0 p t l b d L J V B l q r L 2 l h D j n s I t w P 9 Q k p D Q g 5 + J Q i k Z 2 H P 1 k 9 V / 2 l T a W a y E R g 9 M n h o U 4 j H F M N w l O o i Q A s n A o l F 4 5 c z K m Q F Y Q d m N r x 0 E y a f x 9 C W S Z Q L 4 3 2 B t Q S w M E F A A C A A g A A 0 O c R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N D n E c o i k e 4 D g A A A B E A A A A T A B w A R m 9 y b X V s Y X M v U 2 V j d G l v b j E u b S C i G A A o o B Q A A A A A A A A A A A A A A A A A A A A A A A A A A A A r T k 0 u y c z P U w i G 0 I b W A F B L A Q I t A B Q A A g A I A A N D n E c S a E B 0 p w A A A P k A A A A S A A A A A A A A A A A A A A A A A A A A A A B D b 2 5 m a W c v U G F j a 2 F n Z S 5 4 b W x Q S w E C L Q A U A A I A C A A D Q 5 x H D 8 r p q 6 Q A A A D p A A A A E w A A A A A A A A A A A A A A A A D z A A A A W 0 N v b n R l b n R f V H l w Z X N d L n h t b F B L A Q I t A B Q A A g A I A A N D n E c o i k e 4 D g A A A B E A A A A T A A A A A A A A A A A A A A A A A O Q B A A B G b 3 J t d W x h c y 9 T Z W N 0 a W 9 u M S 5 t U E s F B g A A A A A D A A M A w g A A A D 8 C A A A A A D Q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V 2 9 y a 2 J v b 2 t H c m 9 1 c F R 5 c G U g e H N p O m 5 p b D 0 i d H J 1 Z S I g L z 4 8 L 1 B l c m 1 p c 3 N p b 2 5 M a X N 0 P l k B A A A A A A A A N w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O + E 2 d L S J F U 2 K i v B I n n / Y 1 g A A A A A C A A A A A A A Q Z g A A A A E A A C A A A A C j O 8 h F h K a g Z d M l l L 2 + P x z x E l 1 y K 9 8 + B j J E w m T 8 Q E H 5 L g A A A A A O g A A A A A I A A C A A A A B e Y B t i F w m R m t L + N z K z E n b H 4 i I v Y Z R t G W O U m 6 g a W L 3 y R F A A A A A I b o L U n T E k L F y P s g c c K 5 K g w 4 m U 3 l X t v D i m f I t q Q j Z U B a a E 8 K F y E 0 z O o Z c G m n M a Q s X B S D o 0 S 0 Z 0 m k t b R 0 t J 3 t G M o l n u 5 3 3 u R W 8 N u 5 p K H L j 6 R 0 A A A A C z F + 9 I W n q n Z I w v / P S 8 x x H / C q G n k s O j U Z A c 8 w A L B n U T k B B w d p P q 1 h F k 3 G j Q h X C B T Q x 5 U L a j D E W d E t 1 u H H Q n S e p e < / D a t a M a s h u p > 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4B82B94-C5BB-4837-9B39-A60EE11A8C40}"/>
</file>

<file path=customXml/itemProps2.xml><?xml version="1.0" encoding="utf-8"?>
<ds:datastoreItem xmlns:ds="http://schemas.openxmlformats.org/officeDocument/2006/customXml" ds:itemID="{A0BFF584-0B80-40CD-ADAC-4612048FAB38}"/>
</file>

<file path=customXml/itemProps3.xml><?xml version="1.0" encoding="utf-8"?>
<ds:datastoreItem xmlns:ds="http://schemas.openxmlformats.org/officeDocument/2006/customXml" ds:itemID="{9F5BD0CC-C5C3-41BB-A515-E840BE6EF912}">
  <ds:schemaRefs>
    <ds:schemaRef ds:uri="http://www.w3.org/XML/1998/namespace"/>
    <ds:schemaRef ds:uri="http://purl.org/dc/dcmitype/"/>
    <ds:schemaRef ds:uri="cdc7663a-08f0-4737-9e8c-148ce897a09c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7A79AAAF-1EDE-4640-A130-EBD51AD98B73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68E24906-8B69-4325-941A-E1BFED19F0C4}"/>
</file>

<file path=customXml/itemProps6.xml><?xml version="1.0" encoding="utf-8"?>
<ds:datastoreItem xmlns:ds="http://schemas.openxmlformats.org/officeDocument/2006/customXml" ds:itemID="{4BD2BB86-7733-49C4-A0CE-21F47BB0BDDE}">
  <ds:schemaRefs>
    <ds:schemaRef ds:uri="http://schemas.microsoft.com/sharepoint/v3/contenttype/forms"/>
  </ds:schemaRefs>
</ds:datastoreItem>
</file>

<file path=customXml/itemProps7.xml><?xml version="1.0" encoding="utf-8"?>
<ds:datastoreItem xmlns:ds="http://schemas.openxmlformats.org/officeDocument/2006/customXml" ds:itemID="{5F2D9089-3282-4D94-A004-EB4AA3333036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PLAN ADQUISICIONES</vt:lpstr>
      <vt:lpstr>POA</vt:lpstr>
      <vt:lpstr>PEP</vt:lpstr>
      <vt:lpstr>'PLAN ADQUISICIONES'!Print_Area</vt:lpstr>
      <vt:lpstr>POA!Print_Area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Porrúa</dc:creator>
  <cp:keywords/>
  <cp:lastModifiedBy>MMGonzalez</cp:lastModifiedBy>
  <cp:lastPrinted>2017-03-28T19:44:43Z</cp:lastPrinted>
  <dcterms:created xsi:type="dcterms:W3CDTF">2015-07-15T11:40:05Z</dcterms:created>
  <dcterms:modified xsi:type="dcterms:W3CDTF">2017-08-29T00:45:06Z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3;#Monitoring and Reporting|df3c2aa1-d63e-41aa-b1f5-bb15dee691ca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57;#CIVIL REGISTRIES|11fc3bf8-452c-407f-bf4a-ce83f763cb8c</vt:lpwstr>
  </property>
  <property fmtid="{D5CDD505-2E9C-101B-9397-08002B2CF9AE}" pid="8" name="Fund IDB">
    <vt:lpwstr>34;#ORC|c028a4b2-ad8b-4cf4-9cac-a2ae6a778e23</vt:lpwstr>
  </property>
  <property fmtid="{D5CDD505-2E9C-101B-9397-08002B2CF9AE}" pid="9" name="Country">
    <vt:lpwstr>31;#Peru|c988f60b-81f1-4c24-8da7-d5473741c5b0</vt:lpwstr>
  </property>
  <property fmtid="{D5CDD505-2E9C-101B-9397-08002B2CF9AE}" pid="10" name="Sector IDB">
    <vt:lpwstr>44;#REFORM / MODERNIZATION OF THE STATE|c8fda4a7-691a-4c65-b227-9825197b5cd2</vt:lpwstr>
  </property>
  <property fmtid="{D5CDD505-2E9C-101B-9397-08002B2CF9AE}" pid="11" name="_dlc_DocIdItemGuid">
    <vt:lpwstr>b63ca5b2-e78e-4031-9362-2110c1d8a69f</vt:lpwstr>
  </property>
  <property fmtid="{D5CDD505-2E9C-101B-9397-08002B2CF9AE}" pid="12" name="RecordPoint_ActiveItemMoved">
    <vt:lpwstr>/teams/EZ-PE-LON/PE-L1171/05 Basic Data/PAQ PEP POA - version limpia - abril 12.xlsx</vt:lpwstr>
  </property>
  <property fmtid="{D5CDD505-2E9C-101B-9397-08002B2CF9AE}" pid="13" name="RecordStorageActiveId">
    <vt:lpwstr>ce6d697f-eaed-4bbe-a9eb-2b0f74c2688c</vt:lpwstr>
  </property>
  <property fmtid="{D5CDD505-2E9C-101B-9397-08002B2CF9AE}" pid="14" name="ContentTypeId">
    <vt:lpwstr>0x0101001A458A224826124E8B45B1D613300CFC0080A5070AE71FCC4396AD852C28860A58</vt:lpwstr>
  </property>
</Properties>
</file>