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nathalieh_iadb_org/Documents/PE-L1171/"/>
    </mc:Choice>
  </mc:AlternateContent>
  <bookViews>
    <workbookView xWindow="0" yWindow="0" windowWidth="15630" windowHeight="8400" activeTab="2"/>
  </bookViews>
  <sheets>
    <sheet name="base" sheetId="1" r:id="rId1"/>
    <sheet name="conservador" sheetId="11" r:id="rId2"/>
    <sheet name="optimista" sheetId="12" r:id="rId3"/>
    <sheet name="Resumen" sheetId="13" r:id="rId4"/>
    <sheet name="Sheet1" sheetId="10" state="hidden" r:id="rId5"/>
    <sheet name=" RENIEC - aprox" sheetId="9" state="hidden" r:id="rId6"/>
    <sheet name="estudio factibilidad" sheetId="6" state="hidden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2" l="1"/>
  <c r="D63" i="12"/>
  <c r="E63" i="12"/>
  <c r="F63" i="12"/>
  <c r="G63" i="12"/>
  <c r="H63" i="12"/>
  <c r="I63" i="12"/>
  <c r="J63" i="12"/>
  <c r="K63" i="12"/>
  <c r="B63" i="12"/>
  <c r="C63" i="11"/>
  <c r="D63" i="11"/>
  <c r="E63" i="11"/>
  <c r="F63" i="11"/>
  <c r="G63" i="11"/>
  <c r="H63" i="11"/>
  <c r="I63" i="11"/>
  <c r="J63" i="11"/>
  <c r="K63" i="11"/>
  <c r="B63" i="11"/>
  <c r="B64" i="11"/>
  <c r="C62" i="11"/>
  <c r="D62" i="11"/>
  <c r="E62" i="11"/>
  <c r="F62" i="11"/>
  <c r="G62" i="11"/>
  <c r="H62" i="11"/>
  <c r="I62" i="11"/>
  <c r="J62" i="11"/>
  <c r="K62" i="11"/>
  <c r="B62" i="11"/>
  <c r="C63" i="1"/>
  <c r="D63" i="1"/>
  <c r="E63" i="1"/>
  <c r="F63" i="1"/>
  <c r="G63" i="1"/>
  <c r="H63" i="1"/>
  <c r="I63" i="1"/>
  <c r="J63" i="1"/>
  <c r="K63" i="1"/>
  <c r="B63" i="1"/>
  <c r="C62" i="1"/>
  <c r="D62" i="1"/>
  <c r="E62" i="1"/>
  <c r="F62" i="1"/>
  <c r="G62" i="1"/>
  <c r="H62" i="1"/>
  <c r="I62" i="1"/>
  <c r="J62" i="1"/>
  <c r="K62" i="1"/>
  <c r="B62" i="1"/>
  <c r="W9" i="1"/>
  <c r="T19" i="1" l="1"/>
  <c r="L16" i="12" l="1"/>
  <c r="K16" i="12"/>
  <c r="J16" i="12"/>
  <c r="I16" i="12"/>
  <c r="C59" i="11" l="1"/>
  <c r="D59" i="11"/>
  <c r="E59" i="11"/>
  <c r="F59" i="11"/>
  <c r="G59" i="11"/>
  <c r="H59" i="11"/>
  <c r="I59" i="11"/>
  <c r="J59" i="11"/>
  <c r="K59" i="11"/>
  <c r="B59" i="11"/>
  <c r="C59" i="12"/>
  <c r="D59" i="12"/>
  <c r="E59" i="12"/>
  <c r="F59" i="12"/>
  <c r="G59" i="12"/>
  <c r="H59" i="12"/>
  <c r="I59" i="12"/>
  <c r="J59" i="12"/>
  <c r="K59" i="12"/>
  <c r="B59" i="12"/>
  <c r="Q28" i="12" l="1"/>
  <c r="R28" i="12"/>
  <c r="S28" i="12"/>
  <c r="T28" i="12"/>
  <c r="U28" i="12"/>
  <c r="V28" i="12"/>
  <c r="W28" i="12"/>
  <c r="X28" i="12"/>
  <c r="Y28" i="12"/>
  <c r="P28" i="12"/>
  <c r="AC33" i="12"/>
  <c r="C61" i="12" s="1"/>
  <c r="AD33" i="12"/>
  <c r="D61" i="12" s="1"/>
  <c r="AE33" i="12"/>
  <c r="AF33" i="12"/>
  <c r="F61" i="12" s="1"/>
  <c r="AG33" i="12"/>
  <c r="G61" i="12" s="1"/>
  <c r="AH33" i="12"/>
  <c r="H61" i="12" s="1"/>
  <c r="AI33" i="12"/>
  <c r="I61" i="12" s="1"/>
  <c r="AJ33" i="12"/>
  <c r="J61" i="12" s="1"/>
  <c r="AK33" i="12"/>
  <c r="AB33" i="12"/>
  <c r="B61" i="12" s="1"/>
  <c r="H24" i="12"/>
  <c r="J24" i="12"/>
  <c r="K24" i="12"/>
  <c r="L24" i="12"/>
  <c r="M24" i="12"/>
  <c r="N24" i="12"/>
  <c r="O24" i="12"/>
  <c r="P24" i="12"/>
  <c r="Q24" i="12"/>
  <c r="I24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C46" i="12"/>
  <c r="H73" i="12"/>
  <c r="H75" i="12" s="1"/>
  <c r="G73" i="12"/>
  <c r="G75" i="12" s="1"/>
  <c r="E72" i="12"/>
  <c r="E73" i="12" s="1"/>
  <c r="E75" i="12" s="1"/>
  <c r="D72" i="12"/>
  <c r="F71" i="12"/>
  <c r="E71" i="12"/>
  <c r="D71" i="12"/>
  <c r="C71" i="12"/>
  <c r="B71" i="12"/>
  <c r="K70" i="12"/>
  <c r="K73" i="12" s="1"/>
  <c r="K75" i="12" s="1"/>
  <c r="J70" i="12"/>
  <c r="J73" i="12" s="1"/>
  <c r="J75" i="12" s="1"/>
  <c r="I70" i="12"/>
  <c r="I73" i="12" s="1"/>
  <c r="I75" i="12" s="1"/>
  <c r="H70" i="12"/>
  <c r="G70" i="12"/>
  <c r="F70" i="12"/>
  <c r="E70" i="12"/>
  <c r="D70" i="12"/>
  <c r="C70" i="12"/>
  <c r="B70" i="12"/>
  <c r="F68" i="12"/>
  <c r="E68" i="12"/>
  <c r="D68" i="12"/>
  <c r="C68" i="12"/>
  <c r="B68" i="12"/>
  <c r="G52" i="12"/>
  <c r="F52" i="12"/>
  <c r="H52" i="12" s="1"/>
  <c r="B52" i="12"/>
  <c r="B53" i="12" s="1"/>
  <c r="H51" i="12"/>
  <c r="F72" i="12" s="1"/>
  <c r="B51" i="12"/>
  <c r="H50" i="12"/>
  <c r="H49" i="12"/>
  <c r="C41" i="12"/>
  <c r="D37" i="12"/>
  <c r="C37" i="12"/>
  <c r="K61" i="12"/>
  <c r="C33" i="12"/>
  <c r="D32" i="12"/>
  <c r="D33" i="12" s="1"/>
  <c r="C32" i="12"/>
  <c r="D31" i="12"/>
  <c r="C31" i="12"/>
  <c r="C28" i="12"/>
  <c r="C36" i="12" s="1"/>
  <c r="D27" i="12"/>
  <c r="D28" i="12" s="1"/>
  <c r="C27" i="12"/>
  <c r="D26" i="12"/>
  <c r="C26" i="12"/>
  <c r="P18" i="12"/>
  <c r="P17" i="12"/>
  <c r="S16" i="12"/>
  <c r="R16" i="12"/>
  <c r="Q16" i="12"/>
  <c r="P16" i="12"/>
  <c r="I18" i="12"/>
  <c r="I17" i="12"/>
  <c r="W9" i="12"/>
  <c r="Q28" i="11"/>
  <c r="R28" i="11"/>
  <c r="S28" i="11"/>
  <c r="T28" i="11"/>
  <c r="U28" i="11"/>
  <c r="V28" i="11"/>
  <c r="W28" i="11"/>
  <c r="X28" i="11"/>
  <c r="Y28" i="11"/>
  <c r="P28" i="11"/>
  <c r="AC33" i="11"/>
  <c r="AD33" i="11"/>
  <c r="AE33" i="11"/>
  <c r="AF33" i="11"/>
  <c r="AG33" i="11"/>
  <c r="AH33" i="11"/>
  <c r="AI33" i="11"/>
  <c r="AJ33" i="11"/>
  <c r="AK33" i="11"/>
  <c r="AB33" i="11"/>
  <c r="I24" i="11"/>
  <c r="J24" i="11"/>
  <c r="K24" i="11"/>
  <c r="L24" i="11"/>
  <c r="M24" i="11"/>
  <c r="N24" i="11"/>
  <c r="O24" i="11"/>
  <c r="P24" i="11"/>
  <c r="Q24" i="11"/>
  <c r="H24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C46" i="11"/>
  <c r="J73" i="11"/>
  <c r="J75" i="11" s="1"/>
  <c r="I73" i="11"/>
  <c r="I75" i="11" s="1"/>
  <c r="H73" i="11"/>
  <c r="H75" i="11" s="1"/>
  <c r="G73" i="11"/>
  <c r="G75" i="11" s="1"/>
  <c r="F71" i="11"/>
  <c r="E71" i="11"/>
  <c r="D71" i="11"/>
  <c r="C71" i="11"/>
  <c r="B71" i="11"/>
  <c r="K70" i="11"/>
  <c r="K73" i="11" s="1"/>
  <c r="K75" i="11" s="1"/>
  <c r="J70" i="11"/>
  <c r="I70" i="11"/>
  <c r="H70" i="11"/>
  <c r="G70" i="11"/>
  <c r="F70" i="11"/>
  <c r="E70" i="11"/>
  <c r="D70" i="11"/>
  <c r="C70" i="11"/>
  <c r="B70" i="11"/>
  <c r="F68" i="11"/>
  <c r="E68" i="11"/>
  <c r="D68" i="11"/>
  <c r="C68" i="11"/>
  <c r="B68" i="11"/>
  <c r="B53" i="11"/>
  <c r="G52" i="11"/>
  <c r="H52" i="11" s="1"/>
  <c r="F52" i="11"/>
  <c r="B52" i="11"/>
  <c r="H51" i="11"/>
  <c r="C72" i="11" s="1"/>
  <c r="B51" i="11"/>
  <c r="H50" i="11"/>
  <c r="H49" i="11"/>
  <c r="C41" i="11"/>
  <c r="D37" i="11" s="1"/>
  <c r="D33" i="11"/>
  <c r="C33" i="11"/>
  <c r="D32" i="11"/>
  <c r="C32" i="11"/>
  <c r="D31" i="11"/>
  <c r="C31" i="11"/>
  <c r="D27" i="11"/>
  <c r="D28" i="11" s="1"/>
  <c r="D36" i="11" s="1"/>
  <c r="C27" i="11"/>
  <c r="C28" i="11" s="1"/>
  <c r="C36" i="11" s="1"/>
  <c r="D26" i="11"/>
  <c r="C26" i="11"/>
  <c r="S16" i="11"/>
  <c r="P18" i="11" s="1"/>
  <c r="R16" i="11"/>
  <c r="Q16" i="11"/>
  <c r="P16" i="11"/>
  <c r="P17" i="11" s="1"/>
  <c r="L16" i="11"/>
  <c r="K16" i="11"/>
  <c r="J16" i="11"/>
  <c r="I18" i="11" s="1"/>
  <c r="I16" i="11"/>
  <c r="I17" i="11" s="1"/>
  <c r="W9" i="11"/>
  <c r="I61" i="11" l="1"/>
  <c r="D73" i="12"/>
  <c r="D75" i="12" s="1"/>
  <c r="B72" i="12"/>
  <c r="B73" i="12" s="1"/>
  <c r="B75" i="12" s="1"/>
  <c r="B76" i="12" s="1"/>
  <c r="D3" i="13" s="1"/>
  <c r="C72" i="12"/>
  <c r="C73" i="12" s="1"/>
  <c r="C75" i="12" s="1"/>
  <c r="D72" i="11"/>
  <c r="E72" i="11"/>
  <c r="E73" i="11" s="1"/>
  <c r="E75" i="11" s="1"/>
  <c r="D73" i="11"/>
  <c r="D75" i="11" s="1"/>
  <c r="C73" i="11"/>
  <c r="C75" i="11" s="1"/>
  <c r="H61" i="11"/>
  <c r="H60" i="12"/>
  <c r="E61" i="12"/>
  <c r="D36" i="12"/>
  <c r="D38" i="12" s="1"/>
  <c r="F73" i="12"/>
  <c r="F75" i="12" s="1"/>
  <c r="C58" i="12"/>
  <c r="J58" i="12"/>
  <c r="B58" i="12"/>
  <c r="C38" i="12"/>
  <c r="I60" i="12"/>
  <c r="B60" i="12"/>
  <c r="K60" i="12"/>
  <c r="D60" i="12"/>
  <c r="E60" i="12"/>
  <c r="F60" i="12"/>
  <c r="G60" i="12"/>
  <c r="J60" i="12"/>
  <c r="C60" i="12"/>
  <c r="F58" i="11"/>
  <c r="E58" i="11"/>
  <c r="C38" i="11"/>
  <c r="D58" i="11"/>
  <c r="H58" i="11"/>
  <c r="K58" i="11"/>
  <c r="C58" i="11"/>
  <c r="J58" i="11"/>
  <c r="B58" i="11"/>
  <c r="I58" i="11"/>
  <c r="G58" i="11"/>
  <c r="D38" i="11"/>
  <c r="F73" i="11"/>
  <c r="F75" i="11" s="1"/>
  <c r="J60" i="11"/>
  <c r="B60" i="11"/>
  <c r="I60" i="11"/>
  <c r="H60" i="11"/>
  <c r="D60" i="11"/>
  <c r="K60" i="11"/>
  <c r="G60" i="11"/>
  <c r="F60" i="11"/>
  <c r="E60" i="11"/>
  <c r="C60" i="11"/>
  <c r="B73" i="11"/>
  <c r="B75" i="11" s="1"/>
  <c r="B61" i="11"/>
  <c r="C61" i="11"/>
  <c r="K61" i="11"/>
  <c r="F72" i="11"/>
  <c r="D61" i="11"/>
  <c r="C37" i="11"/>
  <c r="E61" i="11"/>
  <c r="J61" i="11"/>
  <c r="F61" i="11"/>
  <c r="G61" i="11"/>
  <c r="B72" i="11"/>
  <c r="T9" i="1"/>
  <c r="J61" i="1" s="1"/>
  <c r="B76" i="11" l="1"/>
  <c r="C3" i="13" s="1"/>
  <c r="H61" i="1"/>
  <c r="I61" i="1"/>
  <c r="G61" i="1"/>
  <c r="F61" i="1"/>
  <c r="E61" i="1"/>
  <c r="B61" i="1"/>
  <c r="D61" i="1"/>
  <c r="K61" i="1"/>
  <c r="C61" i="1"/>
  <c r="B64" i="12"/>
  <c r="B65" i="12" s="1"/>
  <c r="C64" i="12"/>
  <c r="K58" i="12"/>
  <c r="K64" i="12" s="1"/>
  <c r="E38" i="12"/>
  <c r="E58" i="12"/>
  <c r="E64" i="12" s="1"/>
  <c r="F58" i="12"/>
  <c r="F64" i="12" s="1"/>
  <c r="G58" i="12"/>
  <c r="G64" i="12" s="1"/>
  <c r="H58" i="12"/>
  <c r="H64" i="12" s="1"/>
  <c r="D58" i="12"/>
  <c r="D64" i="12" s="1"/>
  <c r="I58" i="12"/>
  <c r="I64" i="12" s="1"/>
  <c r="J64" i="12"/>
  <c r="D64" i="11"/>
  <c r="G64" i="11"/>
  <c r="E38" i="11"/>
  <c r="I64" i="11"/>
  <c r="E64" i="11"/>
  <c r="F64" i="11"/>
  <c r="J64" i="11"/>
  <c r="C64" i="11"/>
  <c r="K64" i="11"/>
  <c r="H64" i="11"/>
  <c r="L33" i="1"/>
  <c r="K33" i="1"/>
  <c r="J33" i="1"/>
  <c r="I33" i="1"/>
  <c r="I34" i="1" s="1"/>
  <c r="L16" i="1"/>
  <c r="K16" i="1"/>
  <c r="J16" i="1"/>
  <c r="I16" i="1"/>
  <c r="D32" i="1"/>
  <c r="C32" i="1"/>
  <c r="D31" i="1"/>
  <c r="C31" i="1"/>
  <c r="D27" i="1"/>
  <c r="C27" i="1"/>
  <c r="D26" i="1"/>
  <c r="C26" i="1"/>
  <c r="H49" i="1"/>
  <c r="H50" i="1"/>
  <c r="B51" i="1"/>
  <c r="H51" i="1"/>
  <c r="B52" i="1"/>
  <c r="F52" i="1"/>
  <c r="G52" i="1"/>
  <c r="B68" i="1"/>
  <c r="C68" i="1"/>
  <c r="D68" i="1"/>
  <c r="E68" i="1"/>
  <c r="F68" i="1"/>
  <c r="B74" i="12" l="1"/>
  <c r="J74" i="12"/>
  <c r="J65" i="12"/>
  <c r="J77" i="12" s="1"/>
  <c r="K74" i="12"/>
  <c r="K65" i="12"/>
  <c r="K77" i="12" s="1"/>
  <c r="I65" i="12"/>
  <c r="I77" i="12" s="1"/>
  <c r="I74" i="12"/>
  <c r="C74" i="12"/>
  <c r="C65" i="12"/>
  <c r="C77" i="12" s="1"/>
  <c r="D65" i="12"/>
  <c r="D77" i="12" s="1"/>
  <c r="D74" i="12"/>
  <c r="B77" i="12"/>
  <c r="H65" i="12"/>
  <c r="H77" i="12" s="1"/>
  <c r="H74" i="12"/>
  <c r="G65" i="12"/>
  <c r="G77" i="12" s="1"/>
  <c r="G74" i="12"/>
  <c r="F65" i="12"/>
  <c r="F77" i="12" s="1"/>
  <c r="F74" i="12"/>
  <c r="E65" i="12"/>
  <c r="E77" i="12" s="1"/>
  <c r="E74" i="12"/>
  <c r="I65" i="11"/>
  <c r="I77" i="11" s="1"/>
  <c r="I74" i="11"/>
  <c r="H65" i="11"/>
  <c r="H77" i="11" s="1"/>
  <c r="H74" i="11"/>
  <c r="C74" i="11"/>
  <c r="C65" i="11"/>
  <c r="C77" i="11" s="1"/>
  <c r="D74" i="11"/>
  <c r="D65" i="11"/>
  <c r="D77" i="11" s="1"/>
  <c r="J65" i="11"/>
  <c r="J77" i="11" s="1"/>
  <c r="J74" i="11"/>
  <c r="F65" i="11"/>
  <c r="F77" i="11" s="1"/>
  <c r="F74" i="11"/>
  <c r="B65" i="11"/>
  <c r="B74" i="11"/>
  <c r="E74" i="11"/>
  <c r="E65" i="11"/>
  <c r="E77" i="11" s="1"/>
  <c r="K74" i="11"/>
  <c r="K65" i="11"/>
  <c r="K77" i="11" s="1"/>
  <c r="G65" i="11"/>
  <c r="G77" i="11" s="1"/>
  <c r="G74" i="11"/>
  <c r="D28" i="1"/>
  <c r="D33" i="1"/>
  <c r="I35" i="1"/>
  <c r="D60" i="1" s="1"/>
  <c r="C60" i="1"/>
  <c r="I17" i="1"/>
  <c r="I18" i="1"/>
  <c r="C28" i="1"/>
  <c r="C33" i="1"/>
  <c r="H52" i="1"/>
  <c r="B53" i="1"/>
  <c r="B81" i="11" l="1"/>
  <c r="C6" i="13" s="1"/>
  <c r="B81" i="12"/>
  <c r="D6" i="13" s="1"/>
  <c r="B60" i="1"/>
  <c r="B66" i="12"/>
  <c r="B79" i="12"/>
  <c r="D4" i="13" s="1"/>
  <c r="B78" i="12"/>
  <c r="B79" i="11"/>
  <c r="C4" i="13" s="1"/>
  <c r="B66" i="11"/>
  <c r="B77" i="11"/>
  <c r="K60" i="1"/>
  <c r="D36" i="1"/>
  <c r="E60" i="1"/>
  <c r="J60" i="1"/>
  <c r="F60" i="1"/>
  <c r="H60" i="1"/>
  <c r="G60" i="1"/>
  <c r="I60" i="1"/>
  <c r="C36" i="1"/>
  <c r="I58" i="1" s="1"/>
  <c r="B80" i="11" l="1"/>
  <c r="C5" i="13" s="1"/>
  <c r="C2" i="13"/>
  <c r="B80" i="12"/>
  <c r="D5" i="13" s="1"/>
  <c r="D2" i="13"/>
  <c r="B78" i="11"/>
  <c r="C58" i="1"/>
  <c r="C64" i="1" s="1"/>
  <c r="C65" i="1" s="1"/>
  <c r="G58" i="1"/>
  <c r="G64" i="1" s="1"/>
  <c r="G65" i="1" s="1"/>
  <c r="K58" i="1"/>
  <c r="K64" i="1" s="1"/>
  <c r="K65" i="1" s="1"/>
  <c r="D58" i="1"/>
  <c r="D64" i="1" s="1"/>
  <c r="D65" i="1" s="1"/>
  <c r="H58" i="1"/>
  <c r="H64" i="1" s="1"/>
  <c r="H65" i="1" s="1"/>
  <c r="B58" i="1"/>
  <c r="E58" i="1"/>
  <c r="E64" i="1" s="1"/>
  <c r="E65" i="1" s="1"/>
  <c r="I64" i="1"/>
  <c r="I65" i="1" s="1"/>
  <c r="F58" i="1"/>
  <c r="F64" i="1" s="1"/>
  <c r="F65" i="1" s="1"/>
  <c r="J58" i="1"/>
  <c r="J64" i="1" s="1"/>
  <c r="J65" i="1" s="1"/>
  <c r="B64" i="1" l="1"/>
  <c r="B65" i="1" s="1"/>
  <c r="B66" i="1" s="1"/>
  <c r="B2" i="13" s="1"/>
  <c r="B25" i="9"/>
  <c r="B22" i="9"/>
  <c r="F26" i="9"/>
  <c r="D26" i="9"/>
  <c r="B26" i="9"/>
  <c r="K24" i="9"/>
  <c r="K27" i="9" s="1"/>
  <c r="K29" i="9" s="1"/>
  <c r="J24" i="9"/>
  <c r="J27" i="9" s="1"/>
  <c r="J29" i="9" s="1"/>
  <c r="I24" i="9"/>
  <c r="I27" i="9" s="1"/>
  <c r="I29" i="9" s="1"/>
  <c r="H24" i="9"/>
  <c r="H27" i="9" s="1"/>
  <c r="H29" i="9" s="1"/>
  <c r="G24" i="9"/>
  <c r="G27" i="9" s="1"/>
  <c r="G29" i="9" s="1"/>
  <c r="F24" i="9"/>
  <c r="E24" i="9"/>
  <c r="D24" i="9"/>
  <c r="C24" i="9"/>
  <c r="B24" i="9"/>
  <c r="F27" i="9"/>
  <c r="F29" i="9" s="1"/>
  <c r="D27" i="9"/>
  <c r="D29" i="9" s="1"/>
  <c r="K18" i="9"/>
  <c r="K28" i="9" s="1"/>
  <c r="H18" i="9"/>
  <c r="G18" i="9"/>
  <c r="D18" i="9"/>
  <c r="D28" i="9" s="1"/>
  <c r="C18" i="9"/>
  <c r="K17" i="9"/>
  <c r="J17" i="9"/>
  <c r="J18" i="9" s="1"/>
  <c r="I17" i="9"/>
  <c r="I18" i="9" s="1"/>
  <c r="H17" i="9"/>
  <c r="G17" i="9"/>
  <c r="F17" i="9"/>
  <c r="F18" i="9" s="1"/>
  <c r="E17" i="9"/>
  <c r="E18" i="9" s="1"/>
  <c r="D17" i="9"/>
  <c r="C17" i="9"/>
  <c r="B17" i="9"/>
  <c r="B18" i="9" s="1"/>
  <c r="G6" i="9"/>
  <c r="F6" i="9"/>
  <c r="H6" i="9" s="1"/>
  <c r="B6" i="9"/>
  <c r="B8" i="9" s="1"/>
  <c r="H5" i="9"/>
  <c r="C26" i="9" s="1"/>
  <c r="B5" i="9"/>
  <c r="H4" i="9"/>
  <c r="H3" i="9"/>
  <c r="C71" i="1"/>
  <c r="D71" i="1"/>
  <c r="E71" i="1"/>
  <c r="F71" i="1"/>
  <c r="B71" i="1"/>
  <c r="F72" i="1"/>
  <c r="E72" i="1" l="1"/>
  <c r="D72" i="1"/>
  <c r="B72" i="1"/>
  <c r="C72" i="1"/>
  <c r="B27" i="9"/>
  <c r="B29" i="9" s="1"/>
  <c r="E19" i="9"/>
  <c r="I19" i="9"/>
  <c r="I31" i="9" s="1"/>
  <c r="I28" i="9"/>
  <c r="B19" i="9"/>
  <c r="F19" i="9"/>
  <c r="F31" i="9" s="1"/>
  <c r="F28" i="9"/>
  <c r="J19" i="9"/>
  <c r="J31" i="9" s="1"/>
  <c r="J28" i="9"/>
  <c r="G28" i="9"/>
  <c r="H28" i="9"/>
  <c r="C27" i="9"/>
  <c r="C29" i="9" s="1"/>
  <c r="C19" i="9"/>
  <c r="G19" i="9"/>
  <c r="G31" i="9" s="1"/>
  <c r="K19" i="9"/>
  <c r="K31" i="9" s="1"/>
  <c r="D19" i="9"/>
  <c r="D31" i="9" s="1"/>
  <c r="H19" i="9"/>
  <c r="H31" i="9" s="1"/>
  <c r="E26" i="9"/>
  <c r="E27" i="9" s="1"/>
  <c r="F25" i="6"/>
  <c r="F24" i="6"/>
  <c r="C70" i="1"/>
  <c r="D70" i="1"/>
  <c r="E70" i="1"/>
  <c r="F70" i="1"/>
  <c r="G70" i="1"/>
  <c r="G73" i="1" s="1"/>
  <c r="G75" i="1" s="1"/>
  <c r="H70" i="1"/>
  <c r="H73" i="1" s="1"/>
  <c r="H75" i="1" s="1"/>
  <c r="I70" i="1"/>
  <c r="I73" i="1" s="1"/>
  <c r="I75" i="1" s="1"/>
  <c r="J70" i="1"/>
  <c r="J73" i="1" s="1"/>
  <c r="J75" i="1" s="1"/>
  <c r="K70" i="1"/>
  <c r="K73" i="1" s="1"/>
  <c r="K75" i="1" s="1"/>
  <c r="B70" i="1"/>
  <c r="C73" i="1" l="1"/>
  <c r="C75" i="1" s="1"/>
  <c r="B28" i="9"/>
  <c r="E29" i="9"/>
  <c r="E28" i="9"/>
  <c r="B30" i="9"/>
  <c r="C28" i="9"/>
  <c r="B35" i="9" s="1"/>
  <c r="E31" i="9"/>
  <c r="C31" i="9"/>
  <c r="B31" i="9"/>
  <c r="B20" i="9"/>
  <c r="F73" i="1"/>
  <c r="F75" i="1" s="1"/>
  <c r="E73" i="1"/>
  <c r="D73" i="1"/>
  <c r="D75" i="1" s="1"/>
  <c r="B73" i="1"/>
  <c r="B75" i="1" s="1"/>
  <c r="B34" i="9" l="1"/>
  <c r="B33" i="9"/>
  <c r="B32" i="9"/>
  <c r="E75" i="1"/>
  <c r="B76" i="1" s="1"/>
  <c r="B3" i="13" s="1"/>
  <c r="C74" i="1"/>
  <c r="D74" i="1"/>
  <c r="G74" i="1"/>
  <c r="H74" i="1"/>
  <c r="K74" i="1"/>
  <c r="B74" i="1"/>
  <c r="E74" i="1" l="1"/>
  <c r="E77" i="1"/>
  <c r="J77" i="1"/>
  <c r="J74" i="1"/>
  <c r="F77" i="1"/>
  <c r="F74" i="1"/>
  <c r="I77" i="1"/>
  <c r="I74" i="1"/>
  <c r="K77" i="1"/>
  <c r="G77" i="1"/>
  <c r="C77" i="1"/>
  <c r="B77" i="1"/>
  <c r="H77" i="1"/>
  <c r="D77" i="1"/>
  <c r="B81" i="1" l="1"/>
  <c r="B6" i="13" s="1"/>
  <c r="B79" i="1"/>
  <c r="B4" i="13" s="1"/>
  <c r="B80" i="1"/>
  <c r="B5" i="13" s="1"/>
  <c r="B78" i="1"/>
</calcChain>
</file>

<file path=xl/comments1.xml><?xml version="1.0" encoding="utf-8"?>
<comments xmlns="http://schemas.openxmlformats.org/spreadsheetml/2006/main">
  <authors>
    <author>Alejandro Pareja</author>
  </authors>
  <commentList>
    <comment ref="C24" authorId="0" shapeId="0">
      <text>
        <r>
          <rPr>
            <b/>
            <sz val="9"/>
            <color indexed="81"/>
            <rFont val="Tahoma"/>
            <charset val="1"/>
          </rPr>
          <t>Alejandro Pareja:</t>
        </r>
        <r>
          <rPr>
            <sz val="9"/>
            <color indexed="81"/>
            <rFont val="Tahoma"/>
            <charset val="1"/>
          </rPr>
          <t xml:space="preserve">
Este no es el valor del tiempo que usaron para la digitalizacion de actas. Sería menor. Por eso te da más alto
</t>
        </r>
      </text>
    </comment>
  </commentList>
</comments>
</file>

<file path=xl/sharedStrings.xml><?xml version="1.0" encoding="utf-8"?>
<sst xmlns="http://schemas.openxmlformats.org/spreadsheetml/2006/main" count="574" uniqueCount="125">
  <si>
    <t>Evaluación económica PE RENIEC</t>
  </si>
  <si>
    <t>AÑO</t>
  </si>
  <si>
    <t>tasa de descuento</t>
  </si>
  <si>
    <t>Total</t>
  </si>
  <si>
    <t>Total (soles)</t>
  </si>
  <si>
    <t>Total (USD)</t>
  </si>
  <si>
    <t>tasa de cambio (sol/USD)</t>
  </si>
  <si>
    <t>Flujo de fondos</t>
  </si>
  <si>
    <t>VPN beneficios</t>
  </si>
  <si>
    <t>VPN costos</t>
  </si>
  <si>
    <t>VPN beneficios-VPN costos</t>
  </si>
  <si>
    <t>VPN</t>
  </si>
  <si>
    <t>Razon beneficio-costo</t>
  </si>
  <si>
    <t>Subtotal VPN beneficios</t>
  </si>
  <si>
    <t>Subtotal VPN costos</t>
  </si>
  <si>
    <t>Tasa interna de retorno</t>
  </si>
  <si>
    <t>Costos de operación y mantenimiento incrementales (USD)</t>
  </si>
  <si>
    <t>gastos de contrapartida</t>
  </si>
  <si>
    <t>Subtotal costos (USD)</t>
  </si>
  <si>
    <t>COSTOS</t>
  </si>
  <si>
    <t>captura en vivo (soles)</t>
  </si>
  <si>
    <t>digitalización de actas viejas (soles)</t>
  </si>
  <si>
    <t>atenciones via web (soles)</t>
  </si>
  <si>
    <t>implementación de plantas del DNI (soles)</t>
  </si>
  <si>
    <t>instalación de PVM (soles)</t>
  </si>
  <si>
    <t>inversión BID</t>
  </si>
  <si>
    <t>BENEFICIOS</t>
  </si>
  <si>
    <t>Total inversión</t>
  </si>
  <si>
    <t>BID</t>
  </si>
  <si>
    <t>Contrapartida</t>
  </si>
  <si>
    <t>Componente 1</t>
  </si>
  <si>
    <t>Componente 3</t>
  </si>
  <si>
    <t>Administración</t>
  </si>
  <si>
    <t>Costos Directos</t>
  </si>
  <si>
    <t>Costos de operación y mantenimiento incrementales (soles) [fuente: estudio de factibilidad]</t>
  </si>
  <si>
    <t>Gastos de contrapartida (inversión de componentes 1 y 3) (USD) [fuente: estudio de factibilidad]</t>
  </si>
  <si>
    <t>Costos de inversión (componentes 1 y 3) (USD) - BID [fuente: POD]</t>
  </si>
  <si>
    <t>Administración del proyecto (USD) [fuente: estudio de factibilidad]</t>
  </si>
  <si>
    <t>BENEFICIOS [fuente: estudio de facibilidad]</t>
  </si>
  <si>
    <t>Ahorro costo de transaccion en obtencion de DNI</t>
  </si>
  <si>
    <t xml:space="preserve">Urbano </t>
  </si>
  <si>
    <t>Rural</t>
  </si>
  <si>
    <t>Sin proyecto</t>
  </si>
  <si>
    <t>Cantidad de visitas</t>
  </si>
  <si>
    <t>Costo del pasaje</t>
  </si>
  <si>
    <t>Costo de la foto</t>
  </si>
  <si>
    <t>Tiempo de viaje ida y vuelta</t>
  </si>
  <si>
    <t>Tiempo de espera y toma de la fotografia</t>
  </si>
  <si>
    <t>Tiempo espera para la recepcion de la foto</t>
  </si>
  <si>
    <t>con proyecto</t>
  </si>
  <si>
    <t>Urbano</t>
  </si>
  <si>
    <t>Valor social del tiempo</t>
  </si>
  <si>
    <t>Costos de tiempo del documentos</t>
  </si>
  <si>
    <t>Costos monetarios del documento</t>
  </si>
  <si>
    <t>Costo total documento</t>
  </si>
  <si>
    <t>con Proyecto</t>
  </si>
  <si>
    <t>Beneficio por implementacion de proyecto</t>
  </si>
  <si>
    <t>Usuarios</t>
  </si>
  <si>
    <t>Agregacion nacional</t>
  </si>
  <si>
    <t>Tipo de solicitante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</si>
  <si>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</si>
  <si>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</si>
  <si>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</si>
  <si>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</si>
  <si>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</si>
  <si>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</si>
  <si>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</si>
  <si>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</si>
  <si>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</si>
  <si>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</si>
  <si>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</si>
  <si>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</si>
  <si>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</si>
  <si>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</si>
  <si>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</si>
  <si>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Solicitantes de 0 anos</t>
  </si>
  <si>
    <t>Solicitantes de 17 anos</t>
  </si>
  <si>
    <t>Tiempo de espera en cola</t>
  </si>
  <si>
    <t>Tiempo de atención</t>
  </si>
  <si>
    <t>Con proyecto</t>
  </si>
  <si>
    <t>Variable</t>
  </si>
  <si>
    <t>Column1</t>
  </si>
  <si>
    <t>Column2</t>
  </si>
  <si>
    <t>Column3</t>
  </si>
  <si>
    <t>Sin Proyecto</t>
  </si>
  <si>
    <t>Costo tiempo documentos</t>
  </si>
  <si>
    <t>Ahorro urbano</t>
  </si>
  <si>
    <t>Ahorro rural</t>
  </si>
  <si>
    <t>Tiempo de espera en la cola</t>
  </si>
  <si>
    <t>Tiempo de atencion</t>
  </si>
  <si>
    <t>Con Proyecto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</si>
  <si>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</si>
  <si>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</si>
  <si>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</si>
  <si>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</si>
  <si>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</si>
  <si>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</si>
  <si>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</si>
  <si>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</si>
  <si>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</si>
  <si>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</si>
  <si>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Costo de envio de documentos</t>
  </si>
  <si>
    <t>Peso hoja (kilogramos)</t>
  </si>
  <si>
    <t>Numero papeles de sustento por tramite</t>
  </si>
  <si>
    <t>Tramites de identificacion</t>
  </si>
  <si>
    <t xml:space="preserve">Numero de entregas de DNI </t>
  </si>
  <si>
    <t>Peso en kilogramos para enviar</t>
  </si>
  <si>
    <t>Ahorro envio</t>
  </si>
  <si>
    <t>Analisis Economico PE-L1171</t>
  </si>
  <si>
    <t>Beneficio ahorro costo transaccion DNI</t>
  </si>
  <si>
    <t>Beneficio digitalizacion actas</t>
  </si>
  <si>
    <t>Beneficio implementacion servicios web</t>
  </si>
  <si>
    <t>Decentralizacion de impresión</t>
  </si>
  <si>
    <t>Columna1</t>
  </si>
  <si>
    <t>Ahorro digitalizacion actas</t>
  </si>
  <si>
    <t>Base</t>
  </si>
  <si>
    <t>Conservador</t>
  </si>
  <si>
    <t>Optimista</t>
  </si>
  <si>
    <t>Subtotal VPN beneficios (US$)</t>
  </si>
  <si>
    <t>Subtotal VPN costos (US$)</t>
  </si>
  <si>
    <t>VPN (US$)</t>
  </si>
  <si>
    <t xml:space="preserve">Implementacion de equipos de escaneo </t>
  </si>
  <si>
    <t>PROGRAMACIÓN DE ATENCIONES EN TRÁMITES DE IDENTIFICACIÓN</t>
  </si>
  <si>
    <t>PROGRAMACIÓN DE CANTIDAD DE PAPELES A ENVIAR</t>
  </si>
  <si>
    <t>PESO EN KILOGRAMOS A ENVIAR POR COURIER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</si>
</sst>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\ #,##0.00_);[Red]\(&quot;$&quot;\ #,##0.00\)"/>
    <numFmt numFmtId="165" formatCode="_(* #,##0_);_(* \(#,##0\);_(* &quot;-&quot;??_);_(@_)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43" fontId="0" fillId="0" borderId="0" xfId="1" applyFont="1"/>
    <xf numFmtId="9" fontId="0" fillId="0" borderId="0" xfId="3" applyFont="1"/>
    <xf numFmtId="0" fontId="0" fillId="0" borderId="1" xfId="0" applyBorder="1"/>
    <xf numFmtId="43" fontId="0" fillId="0" borderId="1" xfId="1" applyFont="1" applyBorder="1"/>
    <xf numFmtId="44" fontId="0" fillId="0" borderId="0" xfId="2" applyFont="1"/>
    <xf numFmtId="44" fontId="0" fillId="0" borderId="1" xfId="2" applyFont="1" applyBorder="1"/>
    <xf numFmtId="43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1" xfId="1" applyNumberFormat="1" applyFont="1" applyFill="1" applyBorder="1" applyAlignment="1">
      <alignment horizontal="center"/>
    </xf>
    <xf numFmtId="43" fontId="0" fillId="2" borderId="1" xfId="1" applyFont="1" applyFill="1" applyBorder="1"/>
    <xf numFmtId="0" fontId="0" fillId="3" borderId="1" xfId="0" applyFill="1" applyBorder="1"/>
    <xf numFmtId="43" fontId="0" fillId="3" borderId="1" xfId="1" applyFont="1" applyFill="1" applyBorder="1"/>
    <xf numFmtId="8" fontId="0" fillId="3" borderId="1" xfId="1" applyNumberFormat="1" applyFont="1" applyFill="1" applyBorder="1"/>
    <xf numFmtId="43" fontId="2" fillId="0" borderId="1" xfId="1" applyFont="1" applyBorder="1"/>
    <xf numFmtId="43" fontId="2" fillId="4" borderId="1" xfId="1" applyFont="1" applyFill="1" applyBorder="1"/>
    <xf numFmtId="43" fontId="0" fillId="5" borderId="1" xfId="1" applyFont="1" applyFill="1" applyBorder="1"/>
    <xf numFmtId="9" fontId="0" fillId="5" borderId="1" xfId="1" applyNumberFormat="1" applyFont="1" applyFill="1" applyBorder="1"/>
    <xf numFmtId="9" fontId="0" fillId="5" borderId="0" xfId="3" applyFont="1" applyFill="1"/>
    <xf numFmtId="44" fontId="0" fillId="0" borderId="0" xfId="0" applyNumberFormat="1"/>
    <xf numFmtId="3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43" fontId="0" fillId="6" borderId="5" xfId="1" applyNumberFormat="1" applyFont="1" applyFill="1" applyBorder="1"/>
    <xf numFmtId="43" fontId="0" fillId="6" borderId="6" xfId="1" applyNumberFormat="1" applyFont="1" applyFill="1" applyBorder="1"/>
    <xf numFmtId="43" fontId="0" fillId="6" borderId="7" xfId="1" applyNumberFormat="1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6" borderId="5" xfId="0" applyFont="1" applyFill="1" applyBorder="1"/>
    <xf numFmtId="0" fontId="0" fillId="6" borderId="6" xfId="0" applyFont="1" applyFill="1" applyBorder="1"/>
    <xf numFmtId="0" fontId="0" fillId="6" borderId="7" xfId="0" applyFont="1" applyFill="1" applyBorder="1"/>
    <xf numFmtId="0" fontId="3" fillId="7" borderId="0" xfId="0" applyFont="1" applyFill="1" applyAlignment="1">
      <alignment horizontal="center"/>
    </xf>
    <xf numFmtId="43" fontId="0" fillId="6" borderId="0" xfId="1" applyNumberFormat="1" applyFont="1" applyFill="1" applyBorder="1"/>
    <xf numFmtId="164" fontId="0" fillId="0" borderId="1" xfId="1" applyNumberFormat="1" applyFont="1" applyBorder="1"/>
    <xf numFmtId="0" fontId="0" fillId="10" borderId="0" xfId="0" applyFill="1"/>
    <xf numFmtId="9" fontId="0" fillId="3" borderId="1" xfId="3" applyFont="1" applyFill="1" applyBorder="1"/>
    <xf numFmtId="10" fontId="0" fillId="3" borderId="1" xfId="3" applyNumberFormat="1" applyFont="1" applyFill="1" applyBorder="1"/>
    <xf numFmtId="0" fontId="0" fillId="0" borderId="1" xfId="0" applyFill="1" applyBorder="1"/>
    <xf numFmtId="43" fontId="0" fillId="0" borderId="1" xfId="1" applyFont="1" applyFill="1" applyBorder="1"/>
    <xf numFmtId="0" fontId="0" fillId="0" borderId="0" xfId="0" applyFill="1"/>
    <xf numFmtId="43" fontId="0" fillId="0" borderId="1" xfId="0" applyNumberFormat="1" applyBorder="1"/>
    <xf numFmtId="0" fontId="0" fillId="3" borderId="12" xfId="0" applyFill="1" applyBorder="1"/>
    <xf numFmtId="43" fontId="0" fillId="0" borderId="13" xfId="0" applyNumberFormat="1" applyBorder="1"/>
    <xf numFmtId="0" fontId="0" fillId="3" borderId="14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9" fontId="0" fillId="0" borderId="15" xfId="3" applyFont="1" applyBorder="1"/>
    <xf numFmtId="9" fontId="0" fillId="0" borderId="16" xfId="3" applyFont="1" applyBorder="1"/>
    <xf numFmtId="165" fontId="0" fillId="0" borderId="17" xfId="0" applyNumberFormat="1" applyFont="1" applyBorder="1" applyAlignment="1">
      <alignment horizontal="center"/>
    </xf>
    <xf numFmtId="165" fontId="0" fillId="0" borderId="18" xfId="0" applyNumberFormat="1" applyFont="1" applyBorder="1" applyAlignment="1">
      <alignment horizontal="center"/>
    </xf>
    <xf numFmtId="165" fontId="0" fillId="0" borderId="1" xfId="0" applyNumberFormat="1" applyBorder="1"/>
    <xf numFmtId="165" fontId="0" fillId="0" borderId="13" xfId="0" applyNumberFormat="1" applyBorder="1"/>
    <xf numFmtId="166" fontId="0" fillId="0" borderId="0" xfId="0" applyNumberFormat="1"/>
    <xf numFmtId="1" fontId="0" fillId="0" borderId="0" xfId="0" applyNumberFormat="1"/>
    <xf numFmtId="0" fontId="6" fillId="13" borderId="5" xfId="0" applyFont="1" applyFill="1" applyBorder="1"/>
    <xf numFmtId="0" fontId="6" fillId="13" borderId="6" xfId="0" applyFont="1" applyFill="1" applyBorder="1"/>
    <xf numFmtId="0" fontId="6" fillId="13" borderId="7" xfId="0" applyFont="1" applyFill="1" applyBorder="1"/>
    <xf numFmtId="2" fontId="0" fillId="0" borderId="0" xfId="0" applyNumberFormat="1"/>
    <xf numFmtId="0" fontId="0" fillId="9" borderId="0" xfId="0" applyFill="1" applyAlignment="1">
      <alignment horizontal="center"/>
    </xf>
    <xf numFmtId="0" fontId="0" fillId="11" borderId="0" xfId="0" applyFill="1" applyAlignment="1">
      <alignment horizontal="left" vertical="center" wrapText="1"/>
    </xf>
    <xf numFmtId="0" fontId="0" fillId="10" borderId="0" xfId="0" applyFill="1" applyAlignment="1">
      <alignment horizontal="center" wrapText="1"/>
    </xf>
    <xf numFmtId="0" fontId="0" fillId="0" borderId="0" xfId="0" applyAlignment="1">
      <alignment horizontal="center"/>
    </xf>
    <xf numFmtId="43" fontId="0" fillId="9" borderId="0" xfId="1" applyFont="1" applyFill="1" applyAlignment="1">
      <alignment horizontal="center" vertical="center"/>
    </xf>
    <xf numFmtId="43" fontId="0" fillId="9" borderId="0" xfId="1" applyFont="1" applyFill="1" applyAlignment="1">
      <alignment horizontal="center"/>
    </xf>
    <xf numFmtId="0" fontId="0" fillId="8" borderId="0" xfId="0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0" fillId="12" borderId="0" xfId="0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3" fontId="2" fillId="4" borderId="2" xfId="1" applyFont="1" applyFill="1" applyBorder="1" applyAlignment="1">
      <alignment horizontal="center"/>
    </xf>
    <xf numFmtId="43" fontId="2" fillId="4" borderId="3" xfId="1" applyFont="1" applyFill="1" applyBorder="1" applyAlignment="1">
      <alignment horizontal="center"/>
    </xf>
    <xf numFmtId="43" fontId="2" fillId="4" borderId="4" xfId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0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331258</xdr:colOff>
      <xdr:row>18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D49161-B655-446B-A734-5F1A73409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932833" cy="3467100"/>
        </a:xfrm>
        <a:prstGeom prst="rect">
          <a:avLst/>
        </a:prstGeom>
      </xdr:spPr>
    </xdr:pic>
    <xdr:clientData/>
  </xdr:twoCellAnchor>
  <xdr:twoCellAnchor editAs="oneCell">
    <xdr:from>
      <xdr:col>2</xdr:col>
      <xdr:colOff>504825</xdr:colOff>
      <xdr:row>26</xdr:row>
      <xdr:rowOff>76200</xdr:rowOff>
    </xdr:from>
    <xdr:to>
      <xdr:col>14</xdr:col>
      <xdr:colOff>389574</xdr:colOff>
      <xdr:row>63</xdr:row>
      <xdr:rowOff>189605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516EB8-CCDF-4E5F-BB46-4623FCDFF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24025" y="5029200"/>
          <a:ext cx="7609524" cy="716190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3" displayName="Table3" ref="A44:P46" totalsRowShown="0">
  <autoFilter ref="A44:P46"/>
  <tableColumns count="16">
    <tableColumn id="1" name="Tipo de solicitante" dataDxfId="104"/>
    <tableColumn id="2" name="2015" dataDxfId="103"/>
    <tableColumn id="3" name="2016" dataDxfId="102"/>
    <tableColumn id="4" name="2017" dataDxfId="101"/>
    <tableColumn id="5" name="2018" dataDxfId="100"/>
    <tableColumn id="6" name="2019" dataDxfId="99"/>
    <tableColumn id="7" name="2020" dataDxfId="98"/>
    <tableColumn id="8" name="2021" dataDxfId="97"/>
    <tableColumn id="9" name="2022" dataDxfId="96"/>
    <tableColumn id="10" name="2023" dataDxfId="95"/>
    <tableColumn id="11" name="2024" dataDxfId="94"/>
    <tableColumn id="12" name="2025" dataDxfId="93"/>
    <tableColumn id="13" name="2026" dataDxfId="92"/>
    <tableColumn id="14" name="2027" dataDxfId="91"/>
    <tableColumn id="15" name="2028" dataDxfId="90"/>
    <tableColumn id="16" name="2029" dataDxfId="8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7" name="Table38" displayName="Table38" ref="B3:O5" totalsRowShown="0">
  <autoFilter ref="B3:O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ipo de solicitante" dataDxfId="13"/>
    <tableColumn id="4" name="2017" dataDxfId="12"/>
    <tableColumn id="5" name="2018" dataDxfId="11"/>
    <tableColumn id="6" name="2019" dataDxfId="10"/>
    <tableColumn id="7" name="2020" dataDxfId="9"/>
    <tableColumn id="8" name="2021" dataDxfId="8"/>
    <tableColumn id="9" name="2022" dataDxfId="7"/>
    <tableColumn id="10" name="2023" dataDxfId="6"/>
    <tableColumn id="11" name="2024" dataDxfId="5"/>
    <tableColumn id="12" name="2025" dataDxfId="4"/>
    <tableColumn id="13" name="2026" dataDxfId="3"/>
    <tableColumn id="14" name="2027" dataDxfId="2"/>
    <tableColumn id="15" name="2028" dataDxfId="1"/>
    <tableColumn id="16" name="2029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H7:L13" totalsRowShown="0" headerRowDxfId="88">
  <autoFilter ref="H7:L13"/>
  <tableColumns count="5">
    <tableColumn id="1" name="Column1"/>
    <tableColumn id="2" name="Sin proyecto"/>
    <tableColumn id="3" name="Column2"/>
    <tableColumn id="4" name="Con proyecto"/>
    <tableColumn id="5" name="Column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8" name="Tabla8" displayName="Tabla8" ref="H21:Q22" totalsRowShown="0">
  <autoFilter ref="H21:Q22"/>
  <tableColumns count="10">
    <tableColumn id="1" name="2018" dataDxfId="87"/>
    <tableColumn id="2" name="2019" dataDxfId="86"/>
    <tableColumn id="3" name="2020" dataDxfId="85"/>
    <tableColumn id="4" name="2021" dataDxfId="84"/>
    <tableColumn id="5" name="2022" dataDxfId="83"/>
    <tableColumn id="6" name="2023" dataDxfId="82"/>
    <tableColumn id="7" name="2024" dataDxfId="81"/>
    <tableColumn id="8" name="2025" dataDxfId="80"/>
    <tableColumn id="9" name="2026" dataDxfId="79"/>
    <tableColumn id="10" name="2027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9" name="Tabla9" displayName="Tabla9" ref="H38:Q39" totalsRowShown="0">
  <autoFilter ref="H38:Q39"/>
  <tableColumns count="10">
    <tableColumn id="1" name="año 1" dataDxfId="77"/>
    <tableColumn id="2" name="año 2" dataDxfId="76"/>
    <tableColumn id="3" name="año 3" dataDxfId="75"/>
    <tableColumn id="4" name="año 4" dataDxfId="74"/>
    <tableColumn id="5" name="año 5" dataDxfId="73"/>
    <tableColumn id="6" name="año 6" dataDxfId="72"/>
    <tableColumn id="7" name="año 7" dataDxfId="71"/>
    <tableColumn id="8" name="año 8" dataDxfId="70"/>
    <tableColumn id="9" name="año 9" dataDxfId="69"/>
    <tableColumn id="10" name="año 10" dataDxfId="6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0" name="Tabla10" displayName="Tabla10" ref="S16:AC19" totalsRowCount="1">
  <autoFilter ref="S16:AC18"/>
  <tableColumns count="11">
    <tableColumn id="1" name="Columna1"/>
    <tableColumn id="2" name="año 1" totalsRowFunction="custom" dataDxfId="67" totalsRowDxfId="66">
      <totalsRowFormula>T8*T18</totalsRowFormula>
    </tableColumn>
    <tableColumn id="3" name="año 2" dataDxfId="65" totalsRowDxfId="64"/>
    <tableColumn id="4" name="año 3" dataDxfId="63" totalsRowDxfId="62"/>
    <tableColumn id="5" name="año 4" dataDxfId="61" totalsRowDxfId="60"/>
    <tableColumn id="6" name="año 5" dataDxfId="59" totalsRowDxfId="58"/>
    <tableColumn id="7" name="año 6" dataDxfId="57" totalsRowDxfId="56"/>
    <tableColumn id="8" name="año 7" dataDxfId="55" totalsRowDxfId="54"/>
    <tableColumn id="9" name="año 8" dataDxfId="53" totalsRowDxfId="52"/>
    <tableColumn id="10" name="año 9" dataDxfId="51" totalsRowDxfId="50"/>
    <tableColumn id="11" name="año 10" dataDxfId="49" totalsRowDxfId="4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le32" displayName="Table32" ref="B44:Q46" totalsRowShown="0">
  <autoFilter ref="B44:Q46"/>
  <tableColumns count="16">
    <tableColumn id="1" name="Tipo de solicitante" dataDxfId="47"/>
    <tableColumn id="2" name="2015" dataDxfId="46"/>
    <tableColumn id="3" name="2016" dataDxfId="45"/>
    <tableColumn id="4" name="2017" dataDxfId="44"/>
    <tableColumn id="5" name="2018" dataDxfId="43"/>
    <tableColumn id="6" name="2019" dataDxfId="42"/>
    <tableColumn id="7" name="2020" dataDxfId="41"/>
    <tableColumn id="8" name="2021" dataDxfId="40"/>
    <tableColumn id="9" name="2022" dataDxfId="39"/>
    <tableColumn id="10" name="2023" dataDxfId="38"/>
    <tableColumn id="11" name="2024" dataDxfId="37"/>
    <tableColumn id="12" name="2025" dataDxfId="36"/>
    <tableColumn id="13" name="2026" dataDxfId="35"/>
    <tableColumn id="14" name="2027" dataDxfId="34"/>
    <tableColumn id="15" name="2028" dataDxfId="33"/>
    <tableColumn id="16" name="2029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2" name="Table53" displayName="Table53" ref="H7:L13" totalsRowShown="0" headerRowDxfId="31">
  <autoFilter ref="H7:L13"/>
  <tableColumns count="5">
    <tableColumn id="1" name="Column1"/>
    <tableColumn id="2" name="Sin proyecto"/>
    <tableColumn id="3" name="Column2"/>
    <tableColumn id="4" name="Con proyecto"/>
    <tableColumn id="5" name="Column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4" name="Table325" displayName="Table325" ref="B44:Q46" totalsRowShown="0">
  <autoFilter ref="B44:Q46"/>
  <tableColumns count="16">
    <tableColumn id="1" name="Tipo de solicitante" dataDxfId="30"/>
    <tableColumn id="2" name="2015" dataDxfId="29"/>
    <tableColumn id="3" name="2016" dataDxfId="28"/>
    <tableColumn id="4" name="2017" dataDxfId="27"/>
    <tableColumn id="5" name="2018" dataDxfId="26"/>
    <tableColumn id="6" name="2019" dataDxfId="25"/>
    <tableColumn id="7" name="2020" dataDxfId="24"/>
    <tableColumn id="8" name="2021" dataDxfId="23"/>
    <tableColumn id="9" name="2022" dataDxfId="22"/>
    <tableColumn id="10" name="2023" dataDxfId="21"/>
    <tableColumn id="11" name="2024" dataDxfId="20"/>
    <tableColumn id="12" name="2025" dataDxfId="19"/>
    <tableColumn id="13" name="2026" dataDxfId="18"/>
    <tableColumn id="14" name="2027" dataDxfId="17"/>
    <tableColumn id="15" name="2028" dataDxfId="16"/>
    <tableColumn id="16" name="2029" dataDxfId="1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6" name="Table537" displayName="Table537" ref="H7:L13" totalsRowShown="0" headerRowDxfId="14">
  <autoFilter ref="H7:L13"/>
  <tableColumns count="5">
    <tableColumn id="1" name="Column1"/>
    <tableColumn id="2" name="Sin proyecto"/>
    <tableColumn id="3" name="Column2"/>
    <tableColumn id="4" name="Con proyecto"/>
    <tableColumn id="5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1"/>
  <sheetViews>
    <sheetView topLeftCell="A46" zoomScale="90" zoomScaleNormal="90" workbookViewId="0">
      <selection activeCell="B78" sqref="B78"/>
    </sheetView>
  </sheetViews>
  <sheetFormatPr defaultColWidth="9.140625" defaultRowHeight="15" x14ac:dyDescent="0.25"/>
  <cols>
    <col min="1" max="1" width="88.42578125" bestFit="1" customWidth="1"/>
    <col min="2" max="2" width="17.28515625" style="1" bestFit="1" customWidth="1"/>
    <col min="3" max="3" width="18.42578125" style="1" customWidth="1"/>
    <col min="4" max="4" width="19.5703125" style="1" customWidth="1"/>
    <col min="5" max="5" width="20.7109375" style="1" customWidth="1"/>
    <col min="6" max="6" width="18.7109375" style="1" customWidth="1"/>
    <col min="7" max="7" width="22.5703125" style="1" customWidth="1"/>
    <col min="8" max="8" width="29.140625" style="1" customWidth="1"/>
    <col min="9" max="9" width="18.7109375" style="1" customWidth="1"/>
    <col min="10" max="10" width="20.42578125" style="1" customWidth="1"/>
    <col min="11" max="11" width="18.140625" style="1" customWidth="1"/>
    <col min="12" max="12" width="10.28515625" customWidth="1"/>
    <col min="14" max="14" width="11.7109375" customWidth="1"/>
    <col min="15" max="15" width="18.85546875" customWidth="1"/>
    <col min="19" max="19" width="23.5703125" customWidth="1"/>
    <col min="20" max="20" width="15.85546875" customWidth="1"/>
    <col min="21" max="21" width="12.85546875" customWidth="1"/>
    <col min="22" max="22" width="18.140625" customWidth="1"/>
    <col min="26" max="26" width="14.140625" customWidth="1"/>
    <col min="27" max="28" width="10" customWidth="1"/>
    <col min="29" max="29" width="10.85546875" customWidth="1"/>
    <col min="30" max="30" width="10.42578125" customWidth="1"/>
    <col min="31" max="31" width="11" customWidth="1"/>
    <col min="32" max="33" width="11.42578125" customWidth="1"/>
    <col min="34" max="34" width="10.140625" customWidth="1"/>
    <col min="35" max="35" width="11" customWidth="1"/>
    <col min="36" max="36" width="10.7109375" customWidth="1"/>
    <col min="37" max="37" width="13.42578125" customWidth="1"/>
  </cols>
  <sheetData>
    <row r="1" spans="1:29" x14ac:dyDescent="0.25">
      <c r="A1" s="69" t="s">
        <v>108</v>
      </c>
      <c r="B1" s="69"/>
      <c r="C1" s="69"/>
      <c r="D1" s="69"/>
    </row>
    <row r="2" spans="1:29" x14ac:dyDescent="0.25">
      <c r="A2" s="69"/>
      <c r="B2" s="69"/>
      <c r="C2" s="69"/>
      <c r="D2" s="69"/>
    </row>
    <row r="5" spans="1:29" x14ac:dyDescent="0.25">
      <c r="A5" s="63" t="s">
        <v>109</v>
      </c>
      <c r="B5" s="63"/>
      <c r="C5" s="63"/>
      <c r="D5" s="63"/>
      <c r="E5" s="63"/>
      <c r="H5" s="67" t="s">
        <v>110</v>
      </c>
      <c r="I5" s="67"/>
      <c r="J5" s="67"/>
      <c r="K5" s="67"/>
      <c r="L5" s="67"/>
    </row>
    <row r="6" spans="1:29" x14ac:dyDescent="0.25">
      <c r="A6" s="63"/>
      <c r="B6" s="63"/>
      <c r="C6" s="63"/>
      <c r="D6" s="63"/>
      <c r="E6" s="63"/>
      <c r="H6" s="67"/>
      <c r="I6" s="67"/>
      <c r="J6" s="67"/>
      <c r="K6" s="67"/>
      <c r="L6" s="67"/>
      <c r="S6" s="63" t="s">
        <v>112</v>
      </c>
      <c r="T6" s="63"/>
    </row>
    <row r="7" spans="1:29" x14ac:dyDescent="0.25">
      <c r="B7"/>
      <c r="C7"/>
      <c r="D7" t="s">
        <v>40</v>
      </c>
      <c r="E7" t="s">
        <v>41</v>
      </c>
      <c r="F7"/>
      <c r="G7"/>
      <c r="H7" t="s">
        <v>81</v>
      </c>
      <c r="I7" s="23" t="s">
        <v>42</v>
      </c>
      <c r="J7" s="23" t="s">
        <v>82</v>
      </c>
      <c r="K7" s="23" t="s">
        <v>79</v>
      </c>
      <c r="L7" s="23" t="s">
        <v>83</v>
      </c>
      <c r="S7" s="63"/>
      <c r="T7" s="63"/>
    </row>
    <row r="8" spans="1:29" x14ac:dyDescent="0.25">
      <c r="A8" s="64" t="s">
        <v>42</v>
      </c>
      <c r="B8" t="s">
        <v>43</v>
      </c>
      <c r="C8" t="s">
        <v>43</v>
      </c>
      <c r="D8">
        <v>2</v>
      </c>
      <c r="E8">
        <v>2</v>
      </c>
      <c r="F8"/>
      <c r="G8"/>
      <c r="H8" s="1" t="s">
        <v>80</v>
      </c>
      <c r="I8" s="1" t="s">
        <v>50</v>
      </c>
      <c r="J8" s="1" t="s">
        <v>41</v>
      </c>
      <c r="K8" s="1" t="s">
        <v>50</v>
      </c>
      <c r="L8" s="1" t="s">
        <v>41</v>
      </c>
      <c r="N8" s="1"/>
      <c r="S8" s="34" t="s">
        <v>101</v>
      </c>
      <c r="T8">
        <v>13.82</v>
      </c>
      <c r="U8">
        <v>8</v>
      </c>
      <c r="V8" s="34" t="s">
        <v>101</v>
      </c>
      <c r="W8">
        <v>13.826140000000001</v>
      </c>
    </row>
    <row r="9" spans="1:29" x14ac:dyDescent="0.25">
      <c r="A9" s="64"/>
      <c r="B9" t="s">
        <v>44</v>
      </c>
      <c r="C9" t="s">
        <v>44</v>
      </c>
      <c r="D9">
        <v>8</v>
      </c>
      <c r="E9">
        <v>6</v>
      </c>
      <c r="F9"/>
      <c r="G9"/>
      <c r="H9" t="s">
        <v>43</v>
      </c>
      <c r="I9">
        <v>2</v>
      </c>
      <c r="J9">
        <v>2</v>
      </c>
      <c r="K9">
        <v>2</v>
      </c>
      <c r="L9">
        <v>2</v>
      </c>
      <c r="S9" t="s">
        <v>107</v>
      </c>
      <c r="T9" s="36">
        <f>T8-U8</f>
        <v>5.82</v>
      </c>
      <c r="V9" t="s">
        <v>107</v>
      </c>
      <c r="W9" s="36">
        <f>W8-X8</f>
        <v>13.826140000000001</v>
      </c>
    </row>
    <row r="10" spans="1:29" x14ac:dyDescent="0.25">
      <c r="A10" s="64"/>
      <c r="B10" t="s">
        <v>45</v>
      </c>
      <c r="C10" t="s">
        <v>45</v>
      </c>
      <c r="D10">
        <v>6</v>
      </c>
      <c r="E10">
        <v>8</v>
      </c>
      <c r="F10"/>
      <c r="G10"/>
      <c r="H10" t="s">
        <v>44</v>
      </c>
      <c r="I10">
        <v>30</v>
      </c>
      <c r="J10">
        <v>25</v>
      </c>
      <c r="K10">
        <v>4</v>
      </c>
      <c r="L10">
        <v>3</v>
      </c>
      <c r="S10" t="s">
        <v>102</v>
      </c>
      <c r="T10">
        <v>5.5999999999999999E-3</v>
      </c>
      <c r="V10" t="s">
        <v>102</v>
      </c>
      <c r="W10">
        <v>5.5999999999999999E-3</v>
      </c>
    </row>
    <row r="11" spans="1:29" x14ac:dyDescent="0.25">
      <c r="A11" s="64"/>
      <c r="B11" t="s">
        <v>46</v>
      </c>
      <c r="C11"/>
      <c r="D11">
        <v>62</v>
      </c>
      <c r="E11">
        <v>40</v>
      </c>
      <c r="F11"/>
      <c r="G11"/>
      <c r="H11" t="s">
        <v>46</v>
      </c>
      <c r="I11">
        <v>480</v>
      </c>
      <c r="J11">
        <v>400</v>
      </c>
      <c r="K11">
        <v>40</v>
      </c>
      <c r="L11">
        <v>30</v>
      </c>
      <c r="S11" t="s">
        <v>103</v>
      </c>
      <c r="T11">
        <v>3</v>
      </c>
      <c r="V11" t="s">
        <v>103</v>
      </c>
      <c r="W11">
        <v>3</v>
      </c>
    </row>
    <row r="12" spans="1:29" x14ac:dyDescent="0.25">
      <c r="A12" s="64"/>
      <c r="B12" t="s">
        <v>47</v>
      </c>
      <c r="C12"/>
      <c r="D12">
        <v>20</v>
      </c>
      <c r="E12">
        <v>25</v>
      </c>
      <c r="F12"/>
      <c r="G12"/>
      <c r="H12" t="s">
        <v>77</v>
      </c>
      <c r="I12">
        <v>24</v>
      </c>
      <c r="J12">
        <v>24</v>
      </c>
      <c r="K12">
        <v>10</v>
      </c>
      <c r="L12">
        <v>10</v>
      </c>
      <c r="S12" t="s">
        <v>104</v>
      </c>
      <c r="T12">
        <v>4732921.1880000001</v>
      </c>
      <c r="V12" t="s">
        <v>104</v>
      </c>
      <c r="W12">
        <v>4732921.1880000001</v>
      </c>
    </row>
    <row r="13" spans="1:29" x14ac:dyDescent="0.25">
      <c r="A13" s="64"/>
      <c r="B13" t="s">
        <v>48</v>
      </c>
      <c r="C13"/>
      <c r="D13">
        <v>30</v>
      </c>
      <c r="E13">
        <v>30</v>
      </c>
      <c r="F13"/>
      <c r="G13"/>
      <c r="H13" t="s">
        <v>78</v>
      </c>
      <c r="I13">
        <v>240</v>
      </c>
      <c r="J13">
        <v>240</v>
      </c>
      <c r="K13">
        <v>10</v>
      </c>
      <c r="L13">
        <v>10</v>
      </c>
    </row>
    <row r="14" spans="1:29" x14ac:dyDescent="0.25">
      <c r="B14"/>
      <c r="C14"/>
      <c r="D14" t="s">
        <v>40</v>
      </c>
      <c r="E14" t="s">
        <v>41</v>
      </c>
      <c r="F14"/>
      <c r="G14"/>
      <c r="H14"/>
      <c r="I14"/>
      <c r="J14"/>
      <c r="K14"/>
      <c r="V14" s="5"/>
    </row>
    <row r="15" spans="1:29" x14ac:dyDescent="0.25">
      <c r="A15" s="71" t="s">
        <v>49</v>
      </c>
      <c r="B15" t="s">
        <v>43</v>
      </c>
      <c r="C15" t="s">
        <v>43</v>
      </c>
      <c r="D15">
        <v>2</v>
      </c>
      <c r="E15">
        <v>2</v>
      </c>
      <c r="F15"/>
      <c r="G15"/>
      <c r="H15"/>
      <c r="I15"/>
      <c r="J15"/>
      <c r="K15"/>
    </row>
    <row r="16" spans="1:29" x14ac:dyDescent="0.25">
      <c r="A16" s="71"/>
      <c r="B16" t="s">
        <v>44</v>
      </c>
      <c r="C16" t="s">
        <v>44</v>
      </c>
      <c r="D16">
        <v>8</v>
      </c>
      <c r="E16">
        <v>6</v>
      </c>
      <c r="F16"/>
      <c r="G16"/>
      <c r="H16" t="s">
        <v>85</v>
      </c>
      <c r="I16">
        <f>(I9*I11*C24)/60+(I12*I9*C24)/60+(I10*I9)+(I13*2*C24)/60</f>
        <v>228.88799999999998</v>
      </c>
      <c r="J16">
        <f>(J9*J11*D24)/60+(J12*J9*D24)/60+(J10*J9)+(J13*2*D24)/60</f>
        <v>150.928</v>
      </c>
      <c r="K16">
        <f>(K9*K11*C24)/60+(K12*K9*C24)/60+(K10*K9)+(K13*2*C24)/60</f>
        <v>21.62</v>
      </c>
      <c r="L16">
        <f>(L9*L11*D24)/60+(L12*L9*D24)/60+(L10*L9)+(L13*2*D24)/60</f>
        <v>13.599999999999998</v>
      </c>
      <c r="S16" t="s">
        <v>113</v>
      </c>
      <c r="T16" t="s">
        <v>91</v>
      </c>
      <c r="U16" t="s">
        <v>92</v>
      </c>
      <c r="V16" t="s">
        <v>93</v>
      </c>
      <c r="W16" t="s">
        <v>94</v>
      </c>
      <c r="X16" t="s">
        <v>95</v>
      </c>
      <c r="Y16" t="s">
        <v>96</v>
      </c>
      <c r="Z16" t="s">
        <v>97</v>
      </c>
      <c r="AA16" t="s">
        <v>98</v>
      </c>
      <c r="AB16" t="s">
        <v>99</v>
      </c>
      <c r="AC16" t="s">
        <v>100</v>
      </c>
    </row>
    <row r="17" spans="1:29" x14ac:dyDescent="0.25">
      <c r="A17" s="71"/>
      <c r="B17" t="s">
        <v>45</v>
      </c>
      <c r="C17" t="s">
        <v>45</v>
      </c>
      <c r="D17">
        <v>0</v>
      </c>
      <c r="E17">
        <v>0</v>
      </c>
      <c r="F17"/>
      <c r="G17"/>
      <c r="H17" t="s">
        <v>86</v>
      </c>
      <c r="I17" s="36">
        <f>I16-K16</f>
        <v>207.26799999999997</v>
      </c>
      <c r="J17"/>
      <c r="K17"/>
      <c r="S17" t="s">
        <v>105</v>
      </c>
      <c r="T17" s="20">
        <v>6006579</v>
      </c>
      <c r="U17" s="20">
        <v>6085323</v>
      </c>
      <c r="V17" s="20">
        <v>6163428</v>
      </c>
      <c r="W17" s="20">
        <v>6241146</v>
      </c>
      <c r="X17" s="20">
        <v>6318183</v>
      </c>
      <c r="Y17" s="20">
        <v>6394545</v>
      </c>
      <c r="Z17" s="20">
        <v>6470333</v>
      </c>
      <c r="AA17" s="20">
        <v>6545453</v>
      </c>
      <c r="AB17" s="20">
        <v>6619656</v>
      </c>
      <c r="AC17" s="20">
        <v>6692706</v>
      </c>
    </row>
    <row r="18" spans="1:29" x14ac:dyDescent="0.25">
      <c r="A18" s="71"/>
      <c r="B18" t="s">
        <v>46</v>
      </c>
      <c r="C18"/>
      <c r="D18">
        <v>62</v>
      </c>
      <c r="E18">
        <v>40</v>
      </c>
      <c r="F18"/>
      <c r="G18"/>
      <c r="H18" t="s">
        <v>87</v>
      </c>
      <c r="I18" s="36">
        <f>J16-L16</f>
        <v>137.328</v>
      </c>
      <c r="J18"/>
      <c r="K18"/>
      <c r="S18" t="s">
        <v>106</v>
      </c>
      <c r="T18" s="20">
        <v>102172</v>
      </c>
      <c r="U18" s="20">
        <v>103511</v>
      </c>
      <c r="V18" s="20">
        <v>104840</v>
      </c>
      <c r="W18" s="20">
        <v>106162</v>
      </c>
      <c r="X18" s="20">
        <v>107472</v>
      </c>
      <c r="Y18" s="20">
        <v>108771</v>
      </c>
      <c r="Z18" s="20">
        <v>110060</v>
      </c>
      <c r="AA18" s="20">
        <v>111338</v>
      </c>
      <c r="AB18" s="20">
        <v>112600</v>
      </c>
      <c r="AC18" s="20">
        <v>113843</v>
      </c>
    </row>
    <row r="19" spans="1:29" x14ac:dyDescent="0.25">
      <c r="A19" s="71"/>
      <c r="B19" t="s">
        <v>47</v>
      </c>
      <c r="C19"/>
      <c r="D19">
        <v>10</v>
      </c>
      <c r="E19">
        <v>10</v>
      </c>
      <c r="F19"/>
      <c r="G19"/>
      <c r="H19"/>
      <c r="I19"/>
      <c r="J19"/>
      <c r="K19"/>
      <c r="T19" s="20">
        <f>T8*T18</f>
        <v>1412017.04</v>
      </c>
      <c r="U19" s="20"/>
      <c r="V19" s="20"/>
      <c r="W19" s="20"/>
      <c r="X19" s="20"/>
      <c r="Y19" s="20"/>
      <c r="Z19" s="20"/>
      <c r="AA19" s="20"/>
      <c r="AB19" s="20"/>
      <c r="AC19" s="20"/>
    </row>
    <row r="20" spans="1:29" x14ac:dyDescent="0.25">
      <c r="A20" s="71"/>
      <c r="B20" t="s">
        <v>48</v>
      </c>
      <c r="C20"/>
      <c r="D20">
        <v>0</v>
      </c>
      <c r="E20">
        <v>0</v>
      </c>
      <c r="F20"/>
      <c r="G20"/>
      <c r="H20"/>
      <c r="I20"/>
      <c r="J20"/>
      <c r="K20"/>
    </row>
    <row r="21" spans="1:29" x14ac:dyDescent="0.25">
      <c r="B21"/>
      <c r="C21"/>
      <c r="D21"/>
      <c r="E21"/>
      <c r="F21"/>
      <c r="G21"/>
      <c r="H21" t="s">
        <v>63</v>
      </c>
      <c r="I21" t="s">
        <v>64</v>
      </c>
      <c r="J21" t="s">
        <v>65</v>
      </c>
      <c r="K21" t="s">
        <v>66</v>
      </c>
      <c r="L21" t="s">
        <v>67</v>
      </c>
      <c r="M21" t="s">
        <v>68</v>
      </c>
      <c r="N21" t="s">
        <v>69</v>
      </c>
      <c r="O21" t="s">
        <v>70</v>
      </c>
      <c r="P21" t="s">
        <v>71</v>
      </c>
      <c r="Q21" t="s">
        <v>72</v>
      </c>
    </row>
    <row r="22" spans="1:29" x14ac:dyDescent="0.25">
      <c r="B22"/>
      <c r="C22"/>
      <c r="D22"/>
      <c r="E22"/>
      <c r="F22"/>
      <c r="G22"/>
      <c r="H22" s="20">
        <v>157837</v>
      </c>
      <c r="I22" s="20">
        <v>315675</v>
      </c>
      <c r="J22" s="20">
        <v>473512</v>
      </c>
      <c r="K22" s="20">
        <v>473512</v>
      </c>
      <c r="L22" s="20">
        <v>473512</v>
      </c>
      <c r="M22" s="20">
        <v>473512</v>
      </c>
      <c r="N22" s="20">
        <v>473512</v>
      </c>
      <c r="O22" s="20">
        <v>473512</v>
      </c>
      <c r="P22" s="20">
        <v>473512</v>
      </c>
      <c r="Q22" s="20">
        <v>473512</v>
      </c>
    </row>
    <row r="23" spans="1:29" x14ac:dyDescent="0.25">
      <c r="B23"/>
      <c r="C23" t="s">
        <v>50</v>
      </c>
      <c r="D23" t="s">
        <v>41</v>
      </c>
      <c r="E23"/>
      <c r="F23"/>
      <c r="G23"/>
      <c r="H23" s="68" t="s">
        <v>111</v>
      </c>
      <c r="I23" s="68"/>
      <c r="J23" s="68"/>
      <c r="K23" s="68"/>
      <c r="L23" s="68"/>
    </row>
    <row r="24" spans="1:29" x14ac:dyDescent="0.25">
      <c r="B24" t="s">
        <v>51</v>
      </c>
      <c r="C24">
        <v>6.81</v>
      </c>
      <c r="D24">
        <v>4.5599999999999996</v>
      </c>
      <c r="E24"/>
      <c r="F24"/>
      <c r="G24"/>
      <c r="H24" s="68"/>
      <c r="I24" s="68"/>
      <c r="J24" s="68"/>
      <c r="K24" s="68"/>
      <c r="L24" s="68"/>
    </row>
    <row r="25" spans="1:29" x14ac:dyDescent="0.25">
      <c r="B25"/>
      <c r="C25"/>
      <c r="D25"/>
      <c r="E25"/>
      <c r="F25"/>
      <c r="G25"/>
      <c r="H25" s="33"/>
      <c r="I25" s="70" t="s">
        <v>84</v>
      </c>
      <c r="J25" s="70"/>
      <c r="K25" s="70" t="s">
        <v>90</v>
      </c>
      <c r="L25" s="70"/>
    </row>
    <row r="26" spans="1:29" x14ac:dyDescent="0.25">
      <c r="A26" s="64" t="s">
        <v>42</v>
      </c>
      <c r="B26" t="s">
        <v>52</v>
      </c>
      <c r="C26">
        <f>( D11+D12+D13)/60</f>
        <v>1.8666666666666667</v>
      </c>
      <c r="D26">
        <f xml:space="preserve"> (E11+E12+E13)/60</f>
        <v>1.5833333333333333</v>
      </c>
      <c r="E26"/>
      <c r="F26"/>
      <c r="G26"/>
      <c r="H26" s="24"/>
      <c r="I26" s="25" t="s">
        <v>50</v>
      </c>
      <c r="J26" s="25" t="s">
        <v>41</v>
      </c>
      <c r="K26" s="25" t="s">
        <v>50</v>
      </c>
      <c r="L26" s="26" t="s">
        <v>41</v>
      </c>
      <c r="S26" s="59" t="s">
        <v>113</v>
      </c>
      <c r="T26" s="60" t="s">
        <v>91</v>
      </c>
      <c r="U26" s="60" t="s">
        <v>92</v>
      </c>
      <c r="V26" s="60" t="s">
        <v>93</v>
      </c>
      <c r="W26" s="60" t="s">
        <v>94</v>
      </c>
      <c r="X26" s="60" t="s">
        <v>95</v>
      </c>
      <c r="Y26" s="60" t="s">
        <v>96</v>
      </c>
      <c r="Z26" s="60" t="s">
        <v>97</v>
      </c>
      <c r="AA26" s="60" t="s">
        <v>98</v>
      </c>
      <c r="AB26" s="60" t="s">
        <v>99</v>
      </c>
      <c r="AC26" s="61" t="s">
        <v>100</v>
      </c>
    </row>
    <row r="27" spans="1:29" x14ac:dyDescent="0.25">
      <c r="A27" s="64"/>
      <c r="B27" t="s">
        <v>53</v>
      </c>
      <c r="C27">
        <f>(D9*D8)+D10</f>
        <v>22</v>
      </c>
      <c r="D27">
        <f>(E9*E8)+E10</f>
        <v>20</v>
      </c>
      <c r="E27"/>
      <c r="F27"/>
      <c r="G27"/>
      <c r="H27" s="27" t="s">
        <v>43</v>
      </c>
      <c r="I27" s="28">
        <v>2</v>
      </c>
      <c r="J27" s="28">
        <v>2</v>
      </c>
      <c r="K27" s="28">
        <v>2</v>
      </c>
      <c r="L27" s="29">
        <v>2</v>
      </c>
      <c r="S27" t="s">
        <v>122</v>
      </c>
      <c r="T27" s="20">
        <v>4027294</v>
      </c>
      <c r="U27" s="20">
        <v>4080090</v>
      </c>
      <c r="V27" s="20">
        <v>4132458</v>
      </c>
      <c r="W27" s="20">
        <v>4184566</v>
      </c>
      <c r="X27" s="20">
        <v>4236218</v>
      </c>
      <c r="Y27" s="20">
        <v>4287418</v>
      </c>
      <c r="Z27" s="20">
        <v>4338232</v>
      </c>
      <c r="AA27" s="20">
        <v>4388598</v>
      </c>
      <c r="AB27" s="20">
        <v>4438350</v>
      </c>
      <c r="AC27" s="20">
        <v>4487329</v>
      </c>
    </row>
    <row r="28" spans="1:29" x14ac:dyDescent="0.25">
      <c r="A28" s="64"/>
      <c r="B28" t="s">
        <v>54</v>
      </c>
      <c r="C28">
        <f>(C26*C24)+C27</f>
        <v>34.712000000000003</v>
      </c>
      <c r="D28">
        <f>(D26*D24)+D27</f>
        <v>27.22</v>
      </c>
      <c r="E28"/>
      <c r="F28"/>
      <c r="G28"/>
      <c r="H28" s="30" t="s">
        <v>44</v>
      </c>
      <c r="I28" s="31">
        <v>4</v>
      </c>
      <c r="J28" s="31">
        <v>3</v>
      </c>
      <c r="K28" s="31">
        <v>0</v>
      </c>
      <c r="L28" s="32">
        <v>0</v>
      </c>
      <c r="O28" s="20"/>
      <c r="S28" t="s">
        <v>123</v>
      </c>
      <c r="T28" s="20">
        <v>12081881</v>
      </c>
      <c r="U28" s="20">
        <v>12240271</v>
      </c>
      <c r="V28" s="20">
        <v>12397375</v>
      </c>
      <c r="W28" s="20">
        <v>12553699</v>
      </c>
      <c r="X28" s="20">
        <v>12708655</v>
      </c>
      <c r="Y28" s="20">
        <v>12862254</v>
      </c>
      <c r="Z28" s="20">
        <v>13014697</v>
      </c>
      <c r="AA28" s="20">
        <v>13165795</v>
      </c>
      <c r="AB28" s="20">
        <v>13315051</v>
      </c>
      <c r="AC28" s="20">
        <v>13461987</v>
      </c>
    </row>
    <row r="29" spans="1:29" x14ac:dyDescent="0.25">
      <c r="B29"/>
      <c r="C29"/>
      <c r="D29"/>
      <c r="E29"/>
      <c r="F29"/>
      <c r="G29"/>
      <c r="H29" s="27" t="s">
        <v>46</v>
      </c>
      <c r="I29" s="28">
        <v>62</v>
      </c>
      <c r="J29" s="28">
        <v>40</v>
      </c>
      <c r="K29" s="28">
        <v>0</v>
      </c>
      <c r="L29" s="29">
        <v>0</v>
      </c>
      <c r="O29" s="20"/>
      <c r="S29" t="s">
        <v>124</v>
      </c>
      <c r="T29" s="20">
        <v>68504</v>
      </c>
      <c r="U29" s="20">
        <v>69402</v>
      </c>
      <c r="V29" s="20">
        <v>70293</v>
      </c>
      <c r="W29" s="20">
        <v>71179</v>
      </c>
      <c r="X29" s="20">
        <v>72058</v>
      </c>
      <c r="Y29" s="20">
        <v>72929</v>
      </c>
      <c r="Z29" s="20">
        <v>73793</v>
      </c>
      <c r="AA29" s="20">
        <v>74650</v>
      </c>
      <c r="AB29" s="20">
        <v>75496</v>
      </c>
      <c r="AC29" s="20">
        <v>76329</v>
      </c>
    </row>
    <row r="30" spans="1:29" x14ac:dyDescent="0.25">
      <c r="B30"/>
      <c r="C30"/>
      <c r="D30"/>
      <c r="E30"/>
      <c r="F30"/>
      <c r="G30"/>
      <c r="H30" s="30" t="s">
        <v>88</v>
      </c>
      <c r="I30" s="31">
        <v>12</v>
      </c>
      <c r="J30" s="31">
        <v>12</v>
      </c>
      <c r="K30" s="31">
        <v>0</v>
      </c>
      <c r="L30" s="32">
        <v>0</v>
      </c>
      <c r="O30" s="20"/>
      <c r="S30" s="20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x14ac:dyDescent="0.25">
      <c r="A31" s="65" t="s">
        <v>55</v>
      </c>
      <c r="B31" t="s">
        <v>52</v>
      </c>
      <c r="C31">
        <f>(D18+D19+D20)/60</f>
        <v>1.2</v>
      </c>
      <c r="D31">
        <f>( E19+E20+E18)/60</f>
        <v>0.83333333333333337</v>
      </c>
      <c r="E31"/>
      <c r="F31"/>
      <c r="G31"/>
      <c r="H31" s="27" t="s">
        <v>89</v>
      </c>
      <c r="I31" s="28">
        <v>10</v>
      </c>
      <c r="J31" s="28">
        <v>10</v>
      </c>
      <c r="K31" s="28">
        <v>5</v>
      </c>
      <c r="L31" s="29">
        <v>5</v>
      </c>
      <c r="O31" s="20"/>
      <c r="S31" s="20"/>
      <c r="T31" s="20"/>
    </row>
    <row r="32" spans="1:29" x14ac:dyDescent="0.25">
      <c r="A32" s="65"/>
      <c r="B32" t="s">
        <v>53</v>
      </c>
      <c r="C32">
        <f>D16*D15</f>
        <v>16</v>
      </c>
      <c r="D32">
        <f xml:space="preserve"> E16*E15</f>
        <v>12</v>
      </c>
      <c r="E32"/>
      <c r="F32"/>
      <c r="G32"/>
      <c r="H32" s="20"/>
      <c r="I32"/>
      <c r="J32"/>
      <c r="K32"/>
      <c r="O32" s="20"/>
      <c r="S32" s="20"/>
      <c r="Z32" s="20"/>
    </row>
    <row r="33" spans="1:26" x14ac:dyDescent="0.25">
      <c r="A33" s="65"/>
      <c r="B33" t="s">
        <v>54</v>
      </c>
      <c r="C33">
        <f>(C31*C24)+C32</f>
        <v>24.171999999999997</v>
      </c>
      <c r="D33">
        <f>( D31*D24)+D32</f>
        <v>15.8</v>
      </c>
      <c r="E33"/>
      <c r="F33"/>
      <c r="G33"/>
      <c r="H33" t="s">
        <v>85</v>
      </c>
      <c r="I33">
        <f>(I27*I28)+(I29*C24*I27)/60+ (I30*I27*C24)/60+(I31*I27*C24)/60</f>
        <v>27.067999999999998</v>
      </c>
      <c r="J33">
        <f>(J27*J28)+(J29*D24*J27)/60+ (J30*J27*D24)/60+(J31*J27*D24)/60</f>
        <v>15.423999999999998</v>
      </c>
      <c r="K33">
        <f>(K27*K28)+(K29*C24*K27)/60+ (K30*K27*C24)/60+(K31*K27*C24)/60</f>
        <v>1.135</v>
      </c>
      <c r="L33">
        <f>(L27*L28)+(L29*D24*L27)/60+ (L30*L27*D24)/60+(L31*L27*D24)/60</f>
        <v>0.7599999999999999</v>
      </c>
      <c r="O33" s="20"/>
      <c r="S33" s="20"/>
      <c r="Z33" s="20"/>
    </row>
    <row r="34" spans="1:26" x14ac:dyDescent="0.25">
      <c r="B34"/>
      <c r="C34"/>
      <c r="D34"/>
      <c r="E34"/>
      <c r="F34"/>
      <c r="G34"/>
      <c r="H34" t="s">
        <v>86</v>
      </c>
      <c r="I34" s="36">
        <f>I33-K33</f>
        <v>25.932999999999996</v>
      </c>
      <c r="J34"/>
      <c r="K34"/>
      <c r="O34" s="20"/>
      <c r="S34" s="20"/>
      <c r="Z34" s="20"/>
    </row>
    <row r="35" spans="1:26" x14ac:dyDescent="0.25">
      <c r="B35"/>
      <c r="C35"/>
      <c r="D35"/>
      <c r="E35"/>
      <c r="F35"/>
      <c r="G35"/>
      <c r="H35" t="s">
        <v>87</v>
      </c>
      <c r="I35" s="36">
        <f>J33-L33</f>
        <v>14.663999999999998</v>
      </c>
      <c r="J35"/>
      <c r="K35"/>
      <c r="O35" s="20"/>
      <c r="Z35" s="20"/>
    </row>
    <row r="36" spans="1:26" x14ac:dyDescent="0.25">
      <c r="A36" s="66" t="s">
        <v>56</v>
      </c>
      <c r="B36" s="66"/>
      <c r="C36" s="36">
        <f>C28-C33</f>
        <v>10.540000000000006</v>
      </c>
      <c r="D36" s="36">
        <f>D28-D33</f>
        <v>11.419999999999998</v>
      </c>
      <c r="E36"/>
      <c r="F36"/>
      <c r="G36"/>
      <c r="H36" s="20"/>
      <c r="I36"/>
      <c r="J36"/>
      <c r="K36"/>
      <c r="O36" s="20"/>
      <c r="S36" s="20">
        <v>12081881</v>
      </c>
      <c r="Z36" s="20"/>
    </row>
    <row r="37" spans="1:26" x14ac:dyDescent="0.25">
      <c r="B37"/>
      <c r="C37"/>
      <c r="D37"/>
      <c r="E37"/>
      <c r="F37"/>
      <c r="G37"/>
      <c r="H37" s="20"/>
      <c r="I37"/>
      <c r="J37"/>
      <c r="K37"/>
      <c r="O37" s="20"/>
      <c r="S37" s="20">
        <v>12240271</v>
      </c>
      <c r="Z37" s="20"/>
    </row>
    <row r="38" spans="1:26" x14ac:dyDescent="0.25">
      <c r="B38"/>
      <c r="C38" s="5"/>
      <c r="D38" s="5"/>
      <c r="E38" s="19"/>
      <c r="F38"/>
      <c r="G38"/>
      <c r="H38" t="s">
        <v>91</v>
      </c>
      <c r="I38" t="s">
        <v>92</v>
      </c>
      <c r="J38" t="s">
        <v>93</v>
      </c>
      <c r="K38" t="s">
        <v>94</v>
      </c>
      <c r="L38" t="s">
        <v>95</v>
      </c>
      <c r="M38" t="s">
        <v>96</v>
      </c>
      <c r="N38" t="s">
        <v>97</v>
      </c>
      <c r="O38" t="s">
        <v>98</v>
      </c>
      <c r="P38" t="s">
        <v>99</v>
      </c>
      <c r="Q38" t="s">
        <v>100</v>
      </c>
      <c r="S38" s="20">
        <v>12397375</v>
      </c>
      <c r="Z38" s="20"/>
    </row>
    <row r="39" spans="1:26" x14ac:dyDescent="0.25">
      <c r="B39"/>
      <c r="C39"/>
      <c r="D39"/>
      <c r="E39"/>
      <c r="F39"/>
      <c r="G39"/>
      <c r="H39" s="20">
        <v>255466</v>
      </c>
      <c r="I39" s="20">
        <v>259348</v>
      </c>
      <c r="J39" s="20">
        <v>262869</v>
      </c>
      <c r="K39" s="20">
        <v>266366</v>
      </c>
      <c r="L39" s="20">
        <v>269834</v>
      </c>
      <c r="M39" s="20">
        <v>273274</v>
      </c>
      <c r="N39" s="20">
        <v>276689</v>
      </c>
      <c r="O39" s="20">
        <v>280076</v>
      </c>
      <c r="P39" s="20">
        <v>283422</v>
      </c>
      <c r="Q39" s="20">
        <v>286718</v>
      </c>
      <c r="S39" s="20">
        <v>12553699</v>
      </c>
      <c r="Z39" s="20"/>
    </row>
    <row r="40" spans="1:26" x14ac:dyDescent="0.25">
      <c r="B40"/>
      <c r="C40"/>
      <c r="D40"/>
      <c r="E40"/>
      <c r="F40"/>
      <c r="G40"/>
      <c r="H40"/>
      <c r="I40"/>
      <c r="J40"/>
      <c r="K40"/>
      <c r="S40" s="20">
        <v>12708655</v>
      </c>
      <c r="Z40" s="20"/>
    </row>
    <row r="41" spans="1:26" x14ac:dyDescent="0.25">
      <c r="B41"/>
      <c r="C41"/>
      <c r="D41"/>
      <c r="E41"/>
      <c r="F41"/>
      <c r="G41"/>
      <c r="H41"/>
      <c r="I41"/>
      <c r="J41"/>
      <c r="K41"/>
      <c r="S41" s="20">
        <v>12862254</v>
      </c>
    </row>
    <row r="42" spans="1:26" x14ac:dyDescent="0.25">
      <c r="B42"/>
      <c r="C42"/>
      <c r="D42"/>
      <c r="E42"/>
      <c r="F42"/>
      <c r="G42"/>
      <c r="H42"/>
      <c r="I42"/>
      <c r="J42"/>
      <c r="K42"/>
      <c r="S42" s="20">
        <v>13014697</v>
      </c>
      <c r="Z42" s="20"/>
    </row>
    <row r="43" spans="1:26" x14ac:dyDescent="0.25">
      <c r="B43"/>
      <c r="C43"/>
      <c r="D43"/>
      <c r="E43"/>
      <c r="F43"/>
      <c r="G43"/>
      <c r="H43"/>
      <c r="I43"/>
      <c r="J43"/>
      <c r="K43"/>
      <c r="S43" s="20">
        <v>13165795</v>
      </c>
      <c r="Z43" s="20"/>
    </row>
    <row r="44" spans="1:26" x14ac:dyDescent="0.25">
      <c r="A44" t="s">
        <v>59</v>
      </c>
      <c r="B44" t="s">
        <v>60</v>
      </c>
      <c r="C44" t="s">
        <v>61</v>
      </c>
      <c r="D44" t="s">
        <v>62</v>
      </c>
      <c r="E44" t="s">
        <v>63</v>
      </c>
      <c r="F44" t="s">
        <v>64</v>
      </c>
      <c r="G44" t="s">
        <v>65</v>
      </c>
      <c r="H44" t="s">
        <v>66</v>
      </c>
      <c r="I44" t="s">
        <v>67</v>
      </c>
      <c r="J44" t="s">
        <v>68</v>
      </c>
      <c r="K44" t="s">
        <v>69</v>
      </c>
      <c r="L44" t="s">
        <v>70</v>
      </c>
      <c r="M44" t="s">
        <v>71</v>
      </c>
      <c r="N44" t="s">
        <v>72</v>
      </c>
      <c r="O44" t="s">
        <v>73</v>
      </c>
      <c r="P44" t="s">
        <v>74</v>
      </c>
      <c r="S44" s="20">
        <v>13315051</v>
      </c>
      <c r="Z44" s="20"/>
    </row>
    <row r="45" spans="1:26" x14ac:dyDescent="0.25">
      <c r="A45" s="20" t="s">
        <v>75</v>
      </c>
      <c r="B45" s="20">
        <v>569385</v>
      </c>
      <c r="C45" s="20">
        <v>566198</v>
      </c>
      <c r="D45" s="20">
        <v>563692</v>
      </c>
      <c r="E45" s="20">
        <v>561564</v>
      </c>
      <c r="F45" s="20">
        <v>559536</v>
      </c>
      <c r="G45" s="20">
        <v>557315</v>
      </c>
      <c r="H45" s="20">
        <v>554901</v>
      </c>
      <c r="I45" s="20">
        <v>552485</v>
      </c>
      <c r="J45" s="20">
        <v>550071</v>
      </c>
      <c r="K45" s="20">
        <v>547667</v>
      </c>
      <c r="L45" s="20">
        <v>545273</v>
      </c>
      <c r="M45" s="20">
        <v>542919</v>
      </c>
      <c r="N45" s="20">
        <v>540575</v>
      </c>
      <c r="O45" s="20">
        <v>538241</v>
      </c>
      <c r="P45" s="20">
        <v>535917</v>
      </c>
      <c r="Z45" s="20"/>
    </row>
    <row r="46" spans="1:26" x14ac:dyDescent="0.25">
      <c r="A46" s="20" t="s">
        <v>76</v>
      </c>
      <c r="B46" s="20">
        <v>577376</v>
      </c>
      <c r="C46" s="20">
        <v>577075</v>
      </c>
      <c r="D46" s="20">
        <v>576924</v>
      </c>
      <c r="E46" s="20">
        <v>576889</v>
      </c>
      <c r="F46" s="20">
        <v>576934</v>
      </c>
      <c r="G46" s="20">
        <v>577028</v>
      </c>
      <c r="H46" s="20">
        <v>577516</v>
      </c>
      <c r="I46" s="20">
        <v>578424</v>
      </c>
      <c r="J46" s="20">
        <v>579227</v>
      </c>
      <c r="K46" s="20">
        <v>579404</v>
      </c>
      <c r="L46" s="20">
        <v>578430</v>
      </c>
      <c r="M46" s="20">
        <v>578536</v>
      </c>
      <c r="N46" s="20">
        <v>578641</v>
      </c>
      <c r="O46" s="20">
        <v>578747</v>
      </c>
      <c r="P46" s="20">
        <v>578853</v>
      </c>
      <c r="S46" s="20">
        <v>68504</v>
      </c>
      <c r="Z46" s="20"/>
    </row>
    <row r="47" spans="1:26" x14ac:dyDescent="0.25">
      <c r="B47" s="20"/>
      <c r="C47"/>
      <c r="D47"/>
      <c r="E47"/>
      <c r="F47"/>
      <c r="G47"/>
      <c r="H47"/>
      <c r="I47"/>
      <c r="J47"/>
      <c r="K47"/>
      <c r="S47" s="20">
        <v>69402</v>
      </c>
      <c r="Z47" s="20"/>
    </row>
    <row r="48" spans="1:26" ht="15" customHeight="1" x14ac:dyDescent="0.25">
      <c r="E48" s="4"/>
      <c r="F48" s="14" t="s">
        <v>28</v>
      </c>
      <c r="G48" s="14" t="s">
        <v>29</v>
      </c>
      <c r="H48" s="14" t="s">
        <v>3</v>
      </c>
      <c r="S48" s="20">
        <v>70293</v>
      </c>
      <c r="Z48" s="20"/>
    </row>
    <row r="49" spans="1:26" ht="15" customHeight="1" x14ac:dyDescent="0.25">
      <c r="A49" t="s">
        <v>6</v>
      </c>
      <c r="B49" s="1">
        <v>0.3</v>
      </c>
      <c r="E49" s="14" t="s">
        <v>30</v>
      </c>
      <c r="F49" s="4">
        <v>39900000</v>
      </c>
      <c r="G49" s="4">
        <v>23748642</v>
      </c>
      <c r="H49" s="4">
        <f>F49+G49</f>
        <v>63648642</v>
      </c>
      <c r="S49" s="20">
        <v>71179</v>
      </c>
      <c r="Z49" s="20"/>
    </row>
    <row r="50" spans="1:26" ht="15" customHeight="1" x14ac:dyDescent="0.25">
      <c r="A50" t="s">
        <v>2</v>
      </c>
      <c r="B50" s="2">
        <v>0.12</v>
      </c>
      <c r="E50" s="14" t="s">
        <v>31</v>
      </c>
      <c r="F50" s="4">
        <v>21500000</v>
      </c>
      <c r="G50" s="4">
        <v>14761475</v>
      </c>
      <c r="H50" s="4">
        <f t="shared" ref="H50:H52" si="0">F50+G50</f>
        <v>36261475</v>
      </c>
      <c r="S50" s="20">
        <v>72058</v>
      </c>
      <c r="Z50" s="20"/>
    </row>
    <row r="51" spans="1:26" ht="15" customHeight="1" x14ac:dyDescent="0.25">
      <c r="A51" t="s">
        <v>17</v>
      </c>
      <c r="B51" s="5">
        <f>23748642+14761475</f>
        <v>38510117</v>
      </c>
      <c r="E51" s="14" t="s">
        <v>32</v>
      </c>
      <c r="F51" s="4">
        <v>3440457</v>
      </c>
      <c r="G51" s="4">
        <v>860114</v>
      </c>
      <c r="H51" s="4">
        <f t="shared" si="0"/>
        <v>4300571</v>
      </c>
      <c r="S51" s="20">
        <v>72929</v>
      </c>
      <c r="Z51" s="20"/>
    </row>
    <row r="52" spans="1:26" ht="15" customHeight="1" x14ac:dyDescent="0.25">
      <c r="A52" t="s">
        <v>25</v>
      </c>
      <c r="B52" s="5">
        <f>40000000+21500000</f>
        <v>61500000</v>
      </c>
      <c r="E52" s="14" t="s">
        <v>3</v>
      </c>
      <c r="F52" s="4">
        <f>SUM(F49:F51)</f>
        <v>64840457</v>
      </c>
      <c r="G52" s="4">
        <f>SUM(G49:G51)</f>
        <v>39370231</v>
      </c>
      <c r="H52" s="15">
        <f t="shared" si="0"/>
        <v>104210688</v>
      </c>
      <c r="S52" s="20">
        <v>73793</v>
      </c>
    </row>
    <row r="53" spans="1:26" ht="15" customHeight="1" x14ac:dyDescent="0.25">
      <c r="A53" t="s">
        <v>27</v>
      </c>
      <c r="B53" s="5">
        <f>B51+B52</f>
        <v>100010117</v>
      </c>
      <c r="S53" s="20">
        <v>74650</v>
      </c>
    </row>
    <row r="54" spans="1:26" ht="15" customHeight="1" x14ac:dyDescent="0.25">
      <c r="S54" s="20">
        <v>75496</v>
      </c>
    </row>
    <row r="55" spans="1:26" ht="15" customHeight="1" x14ac:dyDescent="0.25">
      <c r="B55" s="2"/>
      <c r="S55" s="20">
        <v>76329</v>
      </c>
    </row>
    <row r="56" spans="1:26" ht="15" customHeight="1" x14ac:dyDescent="0.25">
      <c r="B56" s="1" t="s">
        <v>1</v>
      </c>
    </row>
    <row r="57" spans="1:26" ht="15" customHeight="1" x14ac:dyDescent="0.25">
      <c r="A57" s="8" t="s">
        <v>26</v>
      </c>
      <c r="B57" s="9">
        <v>1</v>
      </c>
      <c r="C57" s="9">
        <v>2</v>
      </c>
      <c r="D57" s="9">
        <v>3</v>
      </c>
      <c r="E57" s="9">
        <v>4</v>
      </c>
      <c r="F57" s="9">
        <v>5</v>
      </c>
      <c r="G57" s="9">
        <v>6</v>
      </c>
      <c r="H57" s="9">
        <v>7</v>
      </c>
      <c r="I57" s="9">
        <v>8</v>
      </c>
      <c r="J57" s="9">
        <v>9</v>
      </c>
      <c r="K57" s="9">
        <v>10</v>
      </c>
    </row>
    <row r="58" spans="1:26" x14ac:dyDescent="0.25">
      <c r="A58" s="39" t="s">
        <v>39</v>
      </c>
      <c r="B58" s="4">
        <f t="shared" ref="B58:K58" si="1">($C$36*D45)*0.75+ ($D$36*D45)*0.25+ ($C$36*D46)*0.75+ ($D$36*D46)*0.25</f>
        <v>12273028.160000004</v>
      </c>
      <c r="C58" s="4">
        <f t="shared" si="1"/>
        <v>12249754.280000005</v>
      </c>
      <c r="D58" s="4">
        <f t="shared" si="1"/>
        <v>12228417.200000005</v>
      </c>
      <c r="E58" s="4">
        <f t="shared" si="1"/>
        <v>12205530.680000005</v>
      </c>
      <c r="F58" s="4">
        <f t="shared" si="1"/>
        <v>12184806.920000006</v>
      </c>
      <c r="G58" s="4">
        <f t="shared" si="1"/>
        <v>12168580.840000004</v>
      </c>
      <c r="H58" s="4">
        <f t="shared" si="1"/>
        <v>12151246.480000004</v>
      </c>
      <c r="I58" s="4">
        <f t="shared" si="1"/>
        <v>12127283.960000005</v>
      </c>
      <c r="J58" s="4">
        <f t="shared" si="1"/>
        <v>12091044.280000007</v>
      </c>
      <c r="K58" s="4">
        <f t="shared" si="1"/>
        <v>12066855.800000003</v>
      </c>
    </row>
    <row r="59" spans="1:26" s="41" customFormat="1" x14ac:dyDescent="0.25">
      <c r="A59" s="39" t="s">
        <v>114</v>
      </c>
      <c r="B59" s="40">
        <v>28554000</v>
      </c>
      <c r="C59" s="40">
        <v>51279000</v>
      </c>
      <c r="D59" s="40">
        <v>74099000</v>
      </c>
      <c r="E59" s="40">
        <v>74153000</v>
      </c>
      <c r="F59" s="40">
        <v>74207000</v>
      </c>
      <c r="G59" s="40">
        <v>74260000</v>
      </c>
      <c r="H59" s="40">
        <v>74313000</v>
      </c>
      <c r="I59" s="40">
        <v>74365000</v>
      </c>
      <c r="J59" s="40">
        <v>74416000</v>
      </c>
      <c r="K59" s="40">
        <v>74466000</v>
      </c>
    </row>
    <row r="60" spans="1:26" x14ac:dyDescent="0.25">
      <c r="A60" s="3" t="s">
        <v>22</v>
      </c>
      <c r="B60" s="4">
        <f t="shared" ref="B60:K60" si="2">($I$34*H39)*0.75+($I$35*H39)*0.25</f>
        <v>5905288.1894999994</v>
      </c>
      <c r="C60" s="4">
        <f t="shared" si="2"/>
        <v>5995023.5309999995</v>
      </c>
      <c r="D60" s="4">
        <f t="shared" si="2"/>
        <v>6076414.0867499989</v>
      </c>
      <c r="E60" s="4">
        <f t="shared" si="2"/>
        <v>6157249.8644999992</v>
      </c>
      <c r="F60" s="4">
        <f t="shared" si="2"/>
        <v>6237415.2854999993</v>
      </c>
      <c r="G60" s="4">
        <f t="shared" si="2"/>
        <v>6316933.4654999999</v>
      </c>
      <c r="H60" s="4">
        <f t="shared" si="2"/>
        <v>6395873.7517499998</v>
      </c>
      <c r="I60" s="4">
        <f t="shared" si="2"/>
        <v>6474166.7969999984</v>
      </c>
      <c r="J60" s="4">
        <f t="shared" si="2"/>
        <v>6551512.0964999991</v>
      </c>
      <c r="K60" s="4">
        <f t="shared" si="2"/>
        <v>6627701.6084999992</v>
      </c>
    </row>
    <row r="61" spans="1:26" ht="15" customHeight="1" x14ac:dyDescent="0.25">
      <c r="A61" s="3" t="s">
        <v>23</v>
      </c>
      <c r="B61" s="4">
        <f t="shared" ref="B61:K61" si="3">$T$9*T18</f>
        <v>594641.04</v>
      </c>
      <c r="C61" s="4">
        <f t="shared" si="3"/>
        <v>602434.02</v>
      </c>
      <c r="D61" s="4">
        <f t="shared" si="3"/>
        <v>610168.80000000005</v>
      </c>
      <c r="E61" s="4">
        <f t="shared" si="3"/>
        <v>617862.84000000008</v>
      </c>
      <c r="F61" s="4">
        <f t="shared" si="3"/>
        <v>625487.04</v>
      </c>
      <c r="G61" s="4">
        <f t="shared" si="3"/>
        <v>633047.22000000009</v>
      </c>
      <c r="H61" s="4">
        <f t="shared" si="3"/>
        <v>640549.20000000007</v>
      </c>
      <c r="I61" s="4">
        <f t="shared" si="3"/>
        <v>647987.16</v>
      </c>
      <c r="J61" s="4">
        <f t="shared" si="3"/>
        <v>655332</v>
      </c>
      <c r="K61" s="4">
        <f t="shared" si="3"/>
        <v>662566.26</v>
      </c>
    </row>
    <row r="62" spans="1:26" ht="15" customHeight="1" x14ac:dyDescent="0.25">
      <c r="A62" s="3" t="s">
        <v>121</v>
      </c>
      <c r="B62" s="4">
        <f>T29*$W$8</f>
        <v>947145.89456000004</v>
      </c>
      <c r="C62" s="4">
        <f t="shared" ref="C62:K62" si="4">U29*$W$8</f>
        <v>959561.76828000008</v>
      </c>
      <c r="D62" s="4">
        <f t="shared" si="4"/>
        <v>971880.85902000009</v>
      </c>
      <c r="E62" s="4">
        <f t="shared" si="4"/>
        <v>984130.81906000001</v>
      </c>
      <c r="F62" s="4">
        <f t="shared" si="4"/>
        <v>996283.99612000003</v>
      </c>
      <c r="G62" s="4">
        <f t="shared" si="4"/>
        <v>1008326.56406</v>
      </c>
      <c r="H62" s="4">
        <f t="shared" si="4"/>
        <v>1020272.3490200001</v>
      </c>
      <c r="I62" s="4">
        <f t="shared" si="4"/>
        <v>1032121.351</v>
      </c>
      <c r="J62" s="4">
        <f t="shared" si="4"/>
        <v>1043818.26544</v>
      </c>
      <c r="K62" s="4">
        <f t="shared" si="4"/>
        <v>1055335.4400599999</v>
      </c>
    </row>
    <row r="63" spans="1:26" ht="15" customHeight="1" x14ac:dyDescent="0.25">
      <c r="A63" s="3" t="s">
        <v>4</v>
      </c>
      <c r="B63" s="4">
        <f>SUM(B58:B62)</f>
        <v>48274103.284060001</v>
      </c>
      <c r="C63" s="4">
        <f t="shared" ref="C63:K63" si="5">SUM(C58:C62)</f>
        <v>71085773.59928</v>
      </c>
      <c r="D63" s="4">
        <f t="shared" si="5"/>
        <v>93985880.945769995</v>
      </c>
      <c r="E63" s="4">
        <f t="shared" si="5"/>
        <v>94117774.20356001</v>
      </c>
      <c r="F63" s="4">
        <f t="shared" si="5"/>
        <v>94250993.241620019</v>
      </c>
      <c r="G63" s="4">
        <f t="shared" si="5"/>
        <v>94386888.089560002</v>
      </c>
      <c r="H63" s="4">
        <f t="shared" si="5"/>
        <v>94520941.780770019</v>
      </c>
      <c r="I63" s="4">
        <f t="shared" si="5"/>
        <v>94646559.267999992</v>
      </c>
      <c r="J63" s="4">
        <f t="shared" si="5"/>
        <v>94757706.641939998</v>
      </c>
      <c r="K63" s="4">
        <f t="shared" si="5"/>
        <v>94878459.108560011</v>
      </c>
    </row>
    <row r="64" spans="1:26" ht="15" customHeight="1" x14ac:dyDescent="0.25">
      <c r="A64" s="3" t="s">
        <v>5</v>
      </c>
      <c r="B64" s="4">
        <f>B63*$B$49</f>
        <v>14482230.985218</v>
      </c>
      <c r="C64" s="4">
        <f t="shared" ref="C64:K64" si="6">C63*$B$49</f>
        <v>21325732.079783998</v>
      </c>
      <c r="D64" s="4">
        <f t="shared" si="6"/>
        <v>28195764.283730999</v>
      </c>
      <c r="E64" s="4">
        <f t="shared" si="6"/>
        <v>28235332.261068001</v>
      </c>
      <c r="F64" s="4">
        <f t="shared" si="6"/>
        <v>28275297.972486004</v>
      </c>
      <c r="G64" s="4">
        <f t="shared" si="6"/>
        <v>28316066.426867999</v>
      </c>
      <c r="H64" s="4">
        <f t="shared" si="6"/>
        <v>28356282.534231003</v>
      </c>
      <c r="I64" s="4">
        <f t="shared" si="6"/>
        <v>28393967.780399997</v>
      </c>
      <c r="J64" s="4">
        <f t="shared" si="6"/>
        <v>28427311.992581997</v>
      </c>
      <c r="K64" s="4">
        <f t="shared" si="6"/>
        <v>28463537.732568003</v>
      </c>
    </row>
    <row r="65" spans="1:11" ht="15" customHeight="1" x14ac:dyDescent="0.25">
      <c r="A65" s="3" t="s">
        <v>8</v>
      </c>
      <c r="B65" s="4">
        <f t="shared" ref="B65:K65" si="7">B64/(1+$B$50)^B57</f>
        <v>12930563.379658926</v>
      </c>
      <c r="C65" s="4">
        <f t="shared" si="7"/>
        <v>17000743.048297189</v>
      </c>
      <c r="D65" s="4">
        <f t="shared" si="7"/>
        <v>20069188.089162569</v>
      </c>
      <c r="E65" s="4">
        <f t="shared" si="7"/>
        <v>17944064.101675872</v>
      </c>
      <c r="F65" s="4">
        <f t="shared" si="7"/>
        <v>16044163.423034217</v>
      </c>
      <c r="G65" s="4">
        <f t="shared" si="7"/>
        <v>14345800.481175622</v>
      </c>
      <c r="H65" s="4">
        <f t="shared" si="7"/>
        <v>12826942.154230651</v>
      </c>
      <c r="I65" s="4">
        <f t="shared" si="7"/>
        <v>11467847.362290153</v>
      </c>
      <c r="J65" s="4">
        <f t="shared" si="7"/>
        <v>10251173.687804149</v>
      </c>
      <c r="K65" s="4">
        <f t="shared" si="7"/>
        <v>9164497.3685763199</v>
      </c>
    </row>
    <row r="66" spans="1:11" ht="15" customHeight="1" x14ac:dyDescent="0.25">
      <c r="A66" s="3" t="s">
        <v>13</v>
      </c>
      <c r="B66" s="4">
        <f>SUM(B65:K65)</f>
        <v>142044983.09590569</v>
      </c>
      <c r="C66" s="35"/>
      <c r="D66" s="4"/>
      <c r="E66" s="4"/>
      <c r="F66" s="4"/>
      <c r="G66" s="4"/>
      <c r="H66" s="4"/>
      <c r="I66" s="4"/>
      <c r="J66" s="4"/>
      <c r="K66" s="4"/>
    </row>
    <row r="67" spans="1:11" ht="15" customHeight="1" x14ac:dyDescent="0.25">
      <c r="A67" s="8" t="s">
        <v>19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ht="15" customHeight="1" x14ac:dyDescent="0.25">
      <c r="A68" s="3" t="s">
        <v>36</v>
      </c>
      <c r="B68" s="4">
        <f>($F$49+$F$50)/5</f>
        <v>12280000</v>
      </c>
      <c r="C68" s="4">
        <f t="shared" ref="C68:F68" si="8">($F$49+$F$50)/5</f>
        <v>12280000</v>
      </c>
      <c r="D68" s="4">
        <f t="shared" si="8"/>
        <v>12280000</v>
      </c>
      <c r="E68" s="4">
        <f t="shared" si="8"/>
        <v>12280000</v>
      </c>
      <c r="F68" s="4">
        <f t="shared" si="8"/>
        <v>12280000</v>
      </c>
      <c r="G68" s="4">
        <v>0</v>
      </c>
      <c r="H68" s="4"/>
      <c r="I68" s="4"/>
      <c r="J68" s="4"/>
      <c r="K68" s="4"/>
    </row>
    <row r="69" spans="1:11" ht="15" customHeight="1" x14ac:dyDescent="0.25">
      <c r="A69" s="3" t="s">
        <v>34</v>
      </c>
      <c r="B69" s="4">
        <v>8966134</v>
      </c>
      <c r="C69" s="4">
        <v>8966134</v>
      </c>
      <c r="D69" s="4">
        <v>8966134</v>
      </c>
      <c r="E69" s="4">
        <v>8076534</v>
      </c>
      <c r="F69" s="4">
        <v>8076534</v>
      </c>
      <c r="G69" s="4">
        <v>8076534</v>
      </c>
      <c r="H69" s="4">
        <v>8076534</v>
      </c>
      <c r="I69" s="4">
        <v>8076534</v>
      </c>
      <c r="J69" s="4">
        <v>8076534</v>
      </c>
      <c r="K69" s="4">
        <v>8076534</v>
      </c>
    </row>
    <row r="70" spans="1:11" x14ac:dyDescent="0.25">
      <c r="A70" s="3" t="s">
        <v>16</v>
      </c>
      <c r="B70" s="4">
        <f>B69*$B$49</f>
        <v>2689840.1999999997</v>
      </c>
      <c r="C70" s="4">
        <f t="shared" ref="C70:K70" si="9">C69*$B$49</f>
        <v>2689840.1999999997</v>
      </c>
      <c r="D70" s="4">
        <f t="shared" si="9"/>
        <v>2689840.1999999997</v>
      </c>
      <c r="E70" s="4">
        <f t="shared" si="9"/>
        <v>2422960.1999999997</v>
      </c>
      <c r="F70" s="4">
        <f t="shared" si="9"/>
        <v>2422960.1999999997</v>
      </c>
      <c r="G70" s="4">
        <f t="shared" si="9"/>
        <v>2422960.1999999997</v>
      </c>
      <c r="H70" s="4">
        <f t="shared" si="9"/>
        <v>2422960.1999999997</v>
      </c>
      <c r="I70" s="4">
        <f t="shared" si="9"/>
        <v>2422960.1999999997</v>
      </c>
      <c r="J70" s="4">
        <f t="shared" si="9"/>
        <v>2422960.1999999997</v>
      </c>
      <c r="K70" s="4">
        <f t="shared" si="9"/>
        <v>2422960.1999999997</v>
      </c>
    </row>
    <row r="71" spans="1:11" x14ac:dyDescent="0.25">
      <c r="A71" s="3" t="s">
        <v>35</v>
      </c>
      <c r="B71" s="4">
        <f>($G$49+$G$50)/5</f>
        <v>7702023.4000000004</v>
      </c>
      <c r="C71" s="4">
        <f t="shared" ref="C71:F71" si="10">($G$49+$G$50)/5</f>
        <v>7702023.4000000004</v>
      </c>
      <c r="D71" s="4">
        <f t="shared" si="10"/>
        <v>7702023.4000000004</v>
      </c>
      <c r="E71" s="4">
        <f t="shared" si="10"/>
        <v>7702023.4000000004</v>
      </c>
      <c r="F71" s="4">
        <f t="shared" si="10"/>
        <v>7702023.4000000004</v>
      </c>
      <c r="G71" s="4"/>
      <c r="H71" s="4"/>
      <c r="I71" s="4"/>
      <c r="J71" s="4"/>
      <c r="K71" s="4"/>
    </row>
    <row r="72" spans="1:11" x14ac:dyDescent="0.25">
      <c r="A72" s="3" t="s">
        <v>37</v>
      </c>
      <c r="B72" s="4">
        <f>($H$51)/5</f>
        <v>860114.2</v>
      </c>
      <c r="C72" s="4">
        <f t="shared" ref="C72:F72" si="11">($H$51)/5</f>
        <v>860114.2</v>
      </c>
      <c r="D72" s="4">
        <f t="shared" si="11"/>
        <v>860114.2</v>
      </c>
      <c r="E72" s="4">
        <f t="shared" si="11"/>
        <v>860114.2</v>
      </c>
      <c r="F72" s="4">
        <f t="shared" si="11"/>
        <v>860114.2</v>
      </c>
      <c r="G72" s="4"/>
      <c r="H72" s="4"/>
      <c r="I72" s="4"/>
      <c r="J72" s="4"/>
      <c r="K72" s="4"/>
    </row>
    <row r="73" spans="1:11" x14ac:dyDescent="0.25">
      <c r="A73" s="3" t="s">
        <v>18</v>
      </c>
      <c r="B73" s="4">
        <f>B68+B70+B71+B72</f>
        <v>23531977.800000001</v>
      </c>
      <c r="C73" s="4">
        <f t="shared" ref="C73:K73" si="12">C68+C70+C71+C72</f>
        <v>23531977.800000001</v>
      </c>
      <c r="D73" s="4">
        <f t="shared" si="12"/>
        <v>23531977.800000001</v>
      </c>
      <c r="E73" s="4">
        <f t="shared" si="12"/>
        <v>23265097.800000001</v>
      </c>
      <c r="F73" s="4">
        <f t="shared" si="12"/>
        <v>23265097.800000001</v>
      </c>
      <c r="G73" s="4">
        <f t="shared" si="12"/>
        <v>2422960.1999999997</v>
      </c>
      <c r="H73" s="4">
        <f t="shared" si="12"/>
        <v>2422960.1999999997</v>
      </c>
      <c r="I73" s="4">
        <f t="shared" si="12"/>
        <v>2422960.1999999997</v>
      </c>
      <c r="J73" s="4">
        <f t="shared" si="12"/>
        <v>2422960.1999999997</v>
      </c>
      <c r="K73" s="4">
        <f t="shared" si="12"/>
        <v>2422960.1999999997</v>
      </c>
    </row>
    <row r="74" spans="1:11" x14ac:dyDescent="0.25">
      <c r="A74" s="3" t="s">
        <v>7</v>
      </c>
      <c r="B74" s="6">
        <f>B64-B73</f>
        <v>-9049746.8147820011</v>
      </c>
      <c r="C74" s="6">
        <f t="shared" ref="C74:K74" si="13">C64-C73</f>
        <v>-2206245.7202160023</v>
      </c>
      <c r="D74" s="6">
        <f t="shared" si="13"/>
        <v>4663786.4837309979</v>
      </c>
      <c r="E74" s="6">
        <f t="shared" si="13"/>
        <v>4970234.4610680006</v>
      </c>
      <c r="F74" s="6">
        <f t="shared" si="13"/>
        <v>5010200.1724860035</v>
      </c>
      <c r="G74" s="6">
        <f t="shared" si="13"/>
        <v>25893106.226868</v>
      </c>
      <c r="H74" s="6">
        <f t="shared" si="13"/>
        <v>25933322.334231004</v>
      </c>
      <c r="I74" s="6">
        <f t="shared" si="13"/>
        <v>25971007.580399998</v>
      </c>
      <c r="J74" s="6">
        <f t="shared" si="13"/>
        <v>26004351.792581998</v>
      </c>
      <c r="K74" s="6">
        <f t="shared" si="13"/>
        <v>26040577.532568004</v>
      </c>
    </row>
    <row r="75" spans="1:11" x14ac:dyDescent="0.25">
      <c r="A75" s="3" t="s">
        <v>9</v>
      </c>
      <c r="B75" s="4">
        <f t="shared" ref="B75:K75" si="14">B73/(1+$B$50)^B57</f>
        <v>21010694.464285713</v>
      </c>
      <c r="C75" s="4">
        <f t="shared" si="14"/>
        <v>18759548.628826529</v>
      </c>
      <c r="D75" s="4">
        <f t="shared" si="14"/>
        <v>16749596.990023684</v>
      </c>
      <c r="E75" s="4">
        <f t="shared" si="14"/>
        <v>14785390.247756466</v>
      </c>
      <c r="F75" s="4">
        <f t="shared" si="14"/>
        <v>13201241.292639701</v>
      </c>
      <c r="G75" s="4">
        <f t="shared" si="14"/>
        <v>1227547.042694025</v>
      </c>
      <c r="H75" s="4">
        <f t="shared" si="14"/>
        <v>1096024.1452625224</v>
      </c>
      <c r="I75" s="4">
        <f t="shared" si="14"/>
        <v>978592.98684153764</v>
      </c>
      <c r="J75" s="4">
        <f t="shared" si="14"/>
        <v>873743.73825137294</v>
      </c>
      <c r="K75" s="4">
        <f t="shared" si="14"/>
        <v>780128.33772444003</v>
      </c>
    </row>
    <row r="76" spans="1:11" x14ac:dyDescent="0.25">
      <c r="A76" s="3" t="s">
        <v>14</v>
      </c>
      <c r="B76" s="4">
        <f>SUM(B75:K75)</f>
        <v>89462507.874306023</v>
      </c>
      <c r="C76" s="35"/>
      <c r="D76" s="4"/>
      <c r="E76" s="4"/>
      <c r="F76" s="4"/>
      <c r="G76" s="4"/>
      <c r="H76" s="4"/>
      <c r="I76" s="4"/>
      <c r="J76" s="4"/>
      <c r="K76" s="4"/>
    </row>
    <row r="77" spans="1:11" x14ac:dyDescent="0.25">
      <c r="A77" s="3" t="s">
        <v>10</v>
      </c>
      <c r="B77" s="4">
        <f t="shared" ref="B77:K77" si="15">B65-B75</f>
        <v>-8080131.0846267864</v>
      </c>
      <c r="C77" s="4">
        <f t="shared" si="15"/>
        <v>-1758805.5805293396</v>
      </c>
      <c r="D77" s="4">
        <f t="shared" si="15"/>
        <v>3319591.0991388857</v>
      </c>
      <c r="E77" s="4">
        <f t="shared" si="15"/>
        <v>3158673.8539194055</v>
      </c>
      <c r="F77" s="4">
        <f t="shared" si="15"/>
        <v>2842922.1303945165</v>
      </c>
      <c r="G77" s="4">
        <f t="shared" si="15"/>
        <v>13118253.438481597</v>
      </c>
      <c r="H77" s="4">
        <f t="shared" si="15"/>
        <v>11730918.008968128</v>
      </c>
      <c r="I77" s="4">
        <f t="shared" si="15"/>
        <v>10489254.375448616</v>
      </c>
      <c r="J77" s="4">
        <f t="shared" si="15"/>
        <v>9377429.9495527763</v>
      </c>
      <c r="K77" s="4">
        <f t="shared" si="15"/>
        <v>8384369.0308518801</v>
      </c>
    </row>
    <row r="78" spans="1:11" x14ac:dyDescent="0.25">
      <c r="A78" s="11" t="s">
        <v>11</v>
      </c>
      <c r="B78" s="12">
        <f>SUM(B77:K77)</f>
        <v>52582475.221599676</v>
      </c>
    </row>
    <row r="79" spans="1:11" x14ac:dyDescent="0.25">
      <c r="A79" s="11" t="s">
        <v>11</v>
      </c>
      <c r="B79" s="13">
        <f>NPV(B50,B74:K74)</f>
        <v>52582475.221599683</v>
      </c>
    </row>
    <row r="80" spans="1:11" x14ac:dyDescent="0.25">
      <c r="A80" s="11" t="s">
        <v>12</v>
      </c>
      <c r="B80" s="12">
        <f>B66/B76</f>
        <v>1.5877599060321175</v>
      </c>
    </row>
    <row r="81" spans="1:2" x14ac:dyDescent="0.25">
      <c r="A81" s="11" t="s">
        <v>15</v>
      </c>
      <c r="B81" s="38">
        <f>IRR(B74:K74)</f>
        <v>0.57785834119861845</v>
      </c>
    </row>
  </sheetData>
  <mergeCells count="12">
    <mergeCell ref="A1:D2"/>
    <mergeCell ref="I25:J25"/>
    <mergeCell ref="K25:L25"/>
    <mergeCell ref="A8:A13"/>
    <mergeCell ref="A15:A20"/>
    <mergeCell ref="S6:T7"/>
    <mergeCell ref="A26:A28"/>
    <mergeCell ref="A31:A33"/>
    <mergeCell ref="A36:B36"/>
    <mergeCell ref="A5:E6"/>
    <mergeCell ref="H5:L6"/>
    <mergeCell ref="H23:L24"/>
  </mergeCells>
  <pageMargins left="0.7" right="0.7" top="0.75" bottom="0.75" header="0.3" footer="0.3"/>
  <pageSetup orientation="portrait" r:id="rId1"/>
  <legacyDrawing r:id="rId2"/>
  <tableParts count="5"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topLeftCell="A46" workbookViewId="0">
      <selection activeCell="B80" sqref="B80"/>
    </sheetView>
  </sheetViews>
  <sheetFormatPr defaultColWidth="9.140625" defaultRowHeight="15" x14ac:dyDescent="0.25"/>
  <cols>
    <col min="1" max="1" width="88.42578125" bestFit="1" customWidth="1"/>
    <col min="2" max="2" width="17.28515625" style="1" customWidth="1"/>
    <col min="3" max="3" width="18.42578125" style="1" customWidth="1"/>
    <col min="4" max="4" width="19.5703125" style="1" customWidth="1"/>
    <col min="5" max="5" width="20.7109375" style="1" customWidth="1"/>
    <col min="6" max="6" width="18.7109375" style="1" customWidth="1"/>
    <col min="7" max="7" width="22.5703125" style="1" customWidth="1"/>
    <col min="8" max="8" width="29.140625" style="1" customWidth="1"/>
    <col min="9" max="11" width="15.28515625" style="1" customWidth="1"/>
    <col min="12" max="12" width="10.28515625" customWidth="1"/>
    <col min="14" max="14" width="11.7109375" customWidth="1"/>
    <col min="15" max="15" width="18.85546875" customWidth="1"/>
    <col min="22" max="22" width="18.140625" customWidth="1"/>
    <col min="26" max="26" width="14.140625" customWidth="1"/>
    <col min="27" max="28" width="10" customWidth="1"/>
    <col min="29" max="29" width="10.85546875" customWidth="1"/>
    <col min="30" max="30" width="10.42578125" customWidth="1"/>
    <col min="31" max="31" width="11" customWidth="1"/>
    <col min="32" max="33" width="11.42578125" customWidth="1"/>
    <col min="34" max="34" width="10.140625" customWidth="1"/>
    <col min="35" max="35" width="11" customWidth="1"/>
    <col min="36" max="36" width="10.7109375" customWidth="1"/>
    <col min="37" max="37" width="13.42578125" customWidth="1"/>
  </cols>
  <sheetData>
    <row r="1" spans="1:24" x14ac:dyDescent="0.25">
      <c r="A1" s="69" t="s">
        <v>108</v>
      </c>
      <c r="B1" s="69"/>
      <c r="C1" s="69"/>
      <c r="D1" s="69"/>
    </row>
    <row r="2" spans="1:24" x14ac:dyDescent="0.25">
      <c r="A2" s="69"/>
      <c r="B2" s="69"/>
      <c r="C2" s="69"/>
      <c r="D2" s="69"/>
    </row>
    <row r="7" spans="1:24" x14ac:dyDescent="0.25">
      <c r="B7"/>
      <c r="C7"/>
      <c r="D7" t="s">
        <v>40</v>
      </c>
      <c r="E7" t="s">
        <v>41</v>
      </c>
      <c r="F7"/>
      <c r="G7"/>
      <c r="H7" t="s">
        <v>81</v>
      </c>
      <c r="I7" s="23" t="s">
        <v>42</v>
      </c>
      <c r="J7" s="23" t="s">
        <v>82</v>
      </c>
      <c r="K7" s="23" t="s">
        <v>79</v>
      </c>
      <c r="L7" s="23" t="s">
        <v>83</v>
      </c>
      <c r="O7" s="33"/>
      <c r="P7" s="70" t="s">
        <v>84</v>
      </c>
      <c r="Q7" s="70"/>
      <c r="R7" s="70" t="s">
        <v>90</v>
      </c>
      <c r="S7" s="70"/>
    </row>
    <row r="8" spans="1:24" x14ac:dyDescent="0.25">
      <c r="A8" s="73" t="s">
        <v>42</v>
      </c>
      <c r="B8" t="s">
        <v>43</v>
      </c>
      <c r="C8" t="s">
        <v>43</v>
      </c>
      <c r="D8">
        <v>2</v>
      </c>
      <c r="E8">
        <v>2</v>
      </c>
      <c r="F8"/>
      <c r="G8"/>
      <c r="H8" s="1" t="s">
        <v>80</v>
      </c>
      <c r="I8" s="1" t="s">
        <v>50</v>
      </c>
      <c r="J8" s="1" t="s">
        <v>41</v>
      </c>
      <c r="K8" s="1" t="s">
        <v>50</v>
      </c>
      <c r="L8" s="1" t="s">
        <v>41</v>
      </c>
      <c r="N8" s="1"/>
      <c r="O8" s="24"/>
      <c r="P8" s="25" t="s">
        <v>50</v>
      </c>
      <c r="Q8" s="25" t="s">
        <v>41</v>
      </c>
      <c r="R8" s="25" t="s">
        <v>50</v>
      </c>
      <c r="S8" s="26" t="s">
        <v>41</v>
      </c>
      <c r="V8" s="34" t="s">
        <v>101</v>
      </c>
      <c r="W8">
        <v>13.95</v>
      </c>
      <c r="X8" s="62">
        <v>13.826140000000001</v>
      </c>
    </row>
    <row r="9" spans="1:24" x14ac:dyDescent="0.25">
      <c r="A9" s="73"/>
      <c r="B9" t="s">
        <v>44</v>
      </c>
      <c r="C9" t="s">
        <v>44</v>
      </c>
      <c r="D9">
        <v>8</v>
      </c>
      <c r="E9">
        <v>6</v>
      </c>
      <c r="F9"/>
      <c r="G9"/>
      <c r="H9" t="s">
        <v>43</v>
      </c>
      <c r="I9">
        <v>2</v>
      </c>
      <c r="J9">
        <v>2</v>
      </c>
      <c r="K9">
        <v>2</v>
      </c>
      <c r="L9">
        <v>2</v>
      </c>
      <c r="O9" s="27" t="s">
        <v>43</v>
      </c>
      <c r="P9" s="28">
        <v>2</v>
      </c>
      <c r="Q9" s="28">
        <v>2</v>
      </c>
      <c r="R9" s="28">
        <v>2</v>
      </c>
      <c r="S9" s="29">
        <v>2</v>
      </c>
      <c r="V9" t="s">
        <v>107</v>
      </c>
      <c r="W9">
        <f>W8-X8</f>
        <v>0.12385999999999875</v>
      </c>
    </row>
    <row r="10" spans="1:24" x14ac:dyDescent="0.25">
      <c r="A10" s="73"/>
      <c r="B10" t="s">
        <v>45</v>
      </c>
      <c r="C10" t="s">
        <v>45</v>
      </c>
      <c r="D10">
        <v>6</v>
      </c>
      <c r="E10">
        <v>8</v>
      </c>
      <c r="F10"/>
      <c r="G10"/>
      <c r="H10" t="s">
        <v>44</v>
      </c>
      <c r="I10">
        <v>30</v>
      </c>
      <c r="J10">
        <v>25</v>
      </c>
      <c r="K10">
        <v>4</v>
      </c>
      <c r="L10">
        <v>3</v>
      </c>
      <c r="O10" s="30" t="s">
        <v>44</v>
      </c>
      <c r="P10" s="31">
        <v>4</v>
      </c>
      <c r="Q10" s="31">
        <v>3</v>
      </c>
      <c r="R10" s="31">
        <v>0</v>
      </c>
      <c r="S10" s="32">
        <v>0</v>
      </c>
      <c r="V10" t="s">
        <v>102</v>
      </c>
      <c r="W10">
        <v>5.7000000000000002E-3</v>
      </c>
    </row>
    <row r="11" spans="1:24" x14ac:dyDescent="0.25">
      <c r="A11" s="73"/>
      <c r="B11" t="s">
        <v>46</v>
      </c>
      <c r="C11"/>
      <c r="D11">
        <v>62</v>
      </c>
      <c r="E11">
        <v>40</v>
      </c>
      <c r="F11"/>
      <c r="G11"/>
      <c r="H11" t="s">
        <v>46</v>
      </c>
      <c r="I11">
        <v>480</v>
      </c>
      <c r="J11">
        <v>400</v>
      </c>
      <c r="K11">
        <v>40</v>
      </c>
      <c r="L11">
        <v>30</v>
      </c>
      <c r="O11" s="27" t="s">
        <v>46</v>
      </c>
      <c r="P11" s="28">
        <v>62</v>
      </c>
      <c r="Q11" s="28">
        <v>40</v>
      </c>
      <c r="R11" s="28">
        <v>0</v>
      </c>
      <c r="S11" s="29">
        <v>0</v>
      </c>
      <c r="V11" t="s">
        <v>103</v>
      </c>
      <c r="W11">
        <v>3</v>
      </c>
    </row>
    <row r="12" spans="1:24" x14ac:dyDescent="0.25">
      <c r="A12" s="73"/>
      <c r="B12" t="s">
        <v>47</v>
      </c>
      <c r="C12"/>
      <c r="D12">
        <v>20</v>
      </c>
      <c r="E12">
        <v>25</v>
      </c>
      <c r="F12"/>
      <c r="G12"/>
      <c r="H12" t="s">
        <v>77</v>
      </c>
      <c r="I12">
        <v>24</v>
      </c>
      <c r="J12">
        <v>24</v>
      </c>
      <c r="K12">
        <v>10</v>
      </c>
      <c r="L12">
        <v>10</v>
      </c>
      <c r="O12" s="30" t="s">
        <v>88</v>
      </c>
      <c r="P12" s="31">
        <v>12</v>
      </c>
      <c r="Q12" s="31">
        <v>12</v>
      </c>
      <c r="R12" s="31">
        <v>0</v>
      </c>
      <c r="S12" s="32">
        <v>0</v>
      </c>
      <c r="V12" t="s">
        <v>104</v>
      </c>
      <c r="W12">
        <v>4732921.1880000001</v>
      </c>
    </row>
    <row r="13" spans="1:24" x14ac:dyDescent="0.25">
      <c r="A13" s="73"/>
      <c r="B13" t="s">
        <v>48</v>
      </c>
      <c r="C13"/>
      <c r="D13">
        <v>30</v>
      </c>
      <c r="E13">
        <v>30</v>
      </c>
      <c r="F13"/>
      <c r="G13"/>
      <c r="H13" t="s">
        <v>78</v>
      </c>
      <c r="I13">
        <v>240</v>
      </c>
      <c r="J13">
        <v>240</v>
      </c>
      <c r="K13">
        <v>10</v>
      </c>
      <c r="L13">
        <v>10</v>
      </c>
      <c r="O13" s="27" t="s">
        <v>89</v>
      </c>
      <c r="P13" s="28">
        <v>10</v>
      </c>
      <c r="Q13" s="28">
        <v>10</v>
      </c>
      <c r="R13" s="28">
        <v>5</v>
      </c>
      <c r="S13" s="29">
        <v>5</v>
      </c>
    </row>
    <row r="14" spans="1:24" x14ac:dyDescent="0.25">
      <c r="B14"/>
      <c r="C14"/>
      <c r="D14" t="s">
        <v>40</v>
      </c>
      <c r="E14" t="s">
        <v>41</v>
      </c>
      <c r="F14"/>
      <c r="G14"/>
      <c r="H14"/>
      <c r="I14"/>
      <c r="J14"/>
      <c r="K14"/>
      <c r="V14" s="5"/>
    </row>
    <row r="15" spans="1:24" x14ac:dyDescent="0.25">
      <c r="A15" s="74" t="s">
        <v>49</v>
      </c>
      <c r="B15" t="s">
        <v>43</v>
      </c>
      <c r="C15" t="s">
        <v>43</v>
      </c>
      <c r="D15">
        <v>2</v>
      </c>
      <c r="E15">
        <v>2</v>
      </c>
      <c r="F15"/>
      <c r="G15"/>
      <c r="H15"/>
      <c r="I15"/>
      <c r="J15"/>
      <c r="K15"/>
    </row>
    <row r="16" spans="1:24" x14ac:dyDescent="0.25">
      <c r="A16" s="74"/>
      <c r="B16" t="s">
        <v>44</v>
      </c>
      <c r="C16" t="s">
        <v>44</v>
      </c>
      <c r="D16">
        <v>8</v>
      </c>
      <c r="E16">
        <v>6</v>
      </c>
      <c r="F16"/>
      <c r="G16"/>
      <c r="H16" t="s">
        <v>85</v>
      </c>
      <c r="I16">
        <f>(I9*I11*C24)/60+(I12*I9*C24)/60+(I10*I9)+(I13*2*C24)/60</f>
        <v>228.88799999999998</v>
      </c>
      <c r="J16">
        <f>(J9*J11*D24)/60+(J12*J9*D24)/60+(J10*J9)+(J13*2*D24)/60</f>
        <v>150.928</v>
      </c>
      <c r="K16">
        <f>(K9*K11*C24)/60+(K12*K9*C24)/60+(K10*K9)+(K13*2*C24)/60</f>
        <v>21.62</v>
      </c>
      <c r="L16">
        <f>(L9*L11*D24)/60+(L12*L9*D24)/60+(L10*L9)+(L13*2*D24)/60</f>
        <v>13.599999999999998</v>
      </c>
      <c r="O16" t="s">
        <v>85</v>
      </c>
      <c r="P16">
        <f>(P9*P10)+(P11*C24*P9)/60+ (P12*P9*C24)/60+(P13*P9*C24)/60</f>
        <v>27.067999999999998</v>
      </c>
      <c r="Q16">
        <f>(Q9*Q10)+(Q11*D24*Q9)/60+ (Q12*Q9*D24)/60+(Q13*Q9*D24)/60</f>
        <v>15.423999999999998</v>
      </c>
      <c r="R16">
        <f>(R9*R10)+(R11*C24*R9)/60+ (R12*R9*C24)/60+(R13*R9*C24)/60</f>
        <v>1.135</v>
      </c>
      <c r="S16">
        <f>(S9*S10)+(S11*D24*S9)/60+ (S12*S9*D24)/60+(S13*S9*D24)/60</f>
        <v>0.7599999999999999</v>
      </c>
    </row>
    <row r="17" spans="1:37" x14ac:dyDescent="0.25">
      <c r="A17" s="74"/>
      <c r="B17" t="s">
        <v>45</v>
      </c>
      <c r="C17" t="s">
        <v>45</v>
      </c>
      <c r="D17">
        <v>0</v>
      </c>
      <c r="E17">
        <v>0</v>
      </c>
      <c r="F17"/>
      <c r="G17"/>
      <c r="H17" t="s">
        <v>86</v>
      </c>
      <c r="I17">
        <f>I16-K16</f>
        <v>207.26799999999997</v>
      </c>
      <c r="J17"/>
      <c r="K17"/>
      <c r="O17" t="s">
        <v>86</v>
      </c>
      <c r="P17">
        <f>P16-R16</f>
        <v>25.932999999999996</v>
      </c>
    </row>
    <row r="18" spans="1:37" x14ac:dyDescent="0.25">
      <c r="A18" s="74"/>
      <c r="B18" t="s">
        <v>46</v>
      </c>
      <c r="C18"/>
      <c r="D18">
        <v>62</v>
      </c>
      <c r="E18">
        <v>40</v>
      </c>
      <c r="F18"/>
      <c r="G18"/>
      <c r="H18" t="s">
        <v>87</v>
      </c>
      <c r="I18">
        <f>J16-L16</f>
        <v>137.328</v>
      </c>
      <c r="J18"/>
      <c r="K18"/>
      <c r="O18" t="s">
        <v>87</v>
      </c>
      <c r="P18">
        <f>Q16-S16</f>
        <v>14.663999999999998</v>
      </c>
    </row>
    <row r="19" spans="1:37" x14ac:dyDescent="0.25">
      <c r="A19" s="74"/>
      <c r="B19" t="s">
        <v>47</v>
      </c>
      <c r="C19"/>
      <c r="D19">
        <v>10</v>
      </c>
      <c r="E19">
        <v>10</v>
      </c>
      <c r="F19"/>
      <c r="G19"/>
      <c r="H19"/>
      <c r="I19"/>
      <c r="J19"/>
      <c r="K19"/>
    </row>
    <row r="20" spans="1:37" x14ac:dyDescent="0.25">
      <c r="A20" s="74"/>
      <c r="B20" t="s">
        <v>48</v>
      </c>
      <c r="C20"/>
      <c r="D20">
        <v>0</v>
      </c>
      <c r="E20">
        <v>0</v>
      </c>
      <c r="F20"/>
      <c r="G20"/>
      <c r="H20"/>
      <c r="I20"/>
      <c r="J20"/>
      <c r="K20"/>
    </row>
    <row r="21" spans="1:37" x14ac:dyDescent="0.25">
      <c r="B21"/>
      <c r="C21"/>
      <c r="D21"/>
      <c r="E21"/>
      <c r="F21"/>
      <c r="G21"/>
      <c r="H21"/>
      <c r="I21"/>
      <c r="J21"/>
      <c r="K21"/>
    </row>
    <row r="22" spans="1:37" x14ac:dyDescent="0.25">
      <c r="B22"/>
      <c r="C22"/>
      <c r="D22"/>
      <c r="E22"/>
      <c r="F22"/>
      <c r="G22"/>
      <c r="H22"/>
      <c r="I22"/>
      <c r="J22"/>
      <c r="K22"/>
    </row>
    <row r="23" spans="1:37" x14ac:dyDescent="0.25">
      <c r="B23"/>
      <c r="C23" t="s">
        <v>50</v>
      </c>
      <c r="D23" t="s">
        <v>41</v>
      </c>
      <c r="E23"/>
      <c r="F23"/>
      <c r="G23"/>
      <c r="H23">
        <v>2018</v>
      </c>
      <c r="I23">
        <v>2019</v>
      </c>
      <c r="J23">
        <v>2020</v>
      </c>
      <c r="K23">
        <v>2021</v>
      </c>
      <c r="L23">
        <v>2022</v>
      </c>
      <c r="M23">
        <v>2023</v>
      </c>
      <c r="N23">
        <v>2024</v>
      </c>
      <c r="O23">
        <v>2025</v>
      </c>
      <c r="P23">
        <v>2026</v>
      </c>
      <c r="Q23">
        <v>2027</v>
      </c>
    </row>
    <row r="24" spans="1:37" x14ac:dyDescent="0.25">
      <c r="B24" t="s">
        <v>51</v>
      </c>
      <c r="C24">
        <v>6.81</v>
      </c>
      <c r="D24">
        <v>4.5599999999999996</v>
      </c>
      <c r="E24"/>
      <c r="F24"/>
      <c r="G24"/>
      <c r="H24" s="20">
        <f>base!H22*0.75</f>
        <v>118377.75</v>
      </c>
      <c r="I24" s="20">
        <f>base!I22*0.75</f>
        <v>236756.25</v>
      </c>
      <c r="J24" s="20">
        <f>base!J22*0.75</f>
        <v>355134</v>
      </c>
      <c r="K24" s="20">
        <f>base!K22*0.75</f>
        <v>355134</v>
      </c>
      <c r="L24" s="20">
        <f>base!L22*0.75</f>
        <v>355134</v>
      </c>
      <c r="M24" s="20">
        <f>base!M22*0.75</f>
        <v>355134</v>
      </c>
      <c r="N24" s="20">
        <f>base!N22*0.75</f>
        <v>355134</v>
      </c>
      <c r="O24" s="20">
        <f>base!O22*0.75</f>
        <v>355134</v>
      </c>
      <c r="P24" s="20">
        <f>base!P22*0.75</f>
        <v>355134</v>
      </c>
      <c r="Q24" s="20">
        <f>base!Q22*0.75</f>
        <v>355134</v>
      </c>
    </row>
    <row r="25" spans="1:37" x14ac:dyDescent="0.25">
      <c r="B25"/>
      <c r="C25"/>
      <c r="D25"/>
      <c r="E25"/>
      <c r="F25"/>
      <c r="G25"/>
      <c r="H25"/>
      <c r="I25"/>
      <c r="J25"/>
      <c r="K25"/>
    </row>
    <row r="26" spans="1:37" x14ac:dyDescent="0.25">
      <c r="A26" s="73" t="s">
        <v>42</v>
      </c>
      <c r="B26" t="s">
        <v>52</v>
      </c>
      <c r="C26">
        <f>( D11+D12+D13)/60</f>
        <v>1.8666666666666667</v>
      </c>
      <c r="D26">
        <f xml:space="preserve"> (E11+E12+E13)/60</f>
        <v>1.5833333333333333</v>
      </c>
      <c r="E26"/>
      <c r="F26"/>
      <c r="G26"/>
      <c r="H26"/>
      <c r="I26"/>
      <c r="J26"/>
      <c r="K26"/>
    </row>
    <row r="27" spans="1:37" x14ac:dyDescent="0.25">
      <c r="A27" s="73"/>
      <c r="B27" t="s">
        <v>53</v>
      </c>
      <c r="C27">
        <f>(D9*D8)+D10</f>
        <v>22</v>
      </c>
      <c r="D27">
        <f>(E9*E8)+E10</f>
        <v>20</v>
      </c>
      <c r="E27"/>
      <c r="F27"/>
      <c r="G27"/>
      <c r="H27"/>
      <c r="I27"/>
      <c r="J27"/>
      <c r="K27"/>
      <c r="P27" t="s">
        <v>91</v>
      </c>
      <c r="Q27" t="s">
        <v>92</v>
      </c>
      <c r="R27" t="s">
        <v>93</v>
      </c>
      <c r="S27" t="s">
        <v>94</v>
      </c>
      <c r="T27" t="s">
        <v>95</v>
      </c>
      <c r="U27" t="s">
        <v>96</v>
      </c>
      <c r="V27" t="s">
        <v>97</v>
      </c>
      <c r="W27" t="s">
        <v>98</v>
      </c>
      <c r="X27" t="s">
        <v>99</v>
      </c>
      <c r="Y27" t="s">
        <v>100</v>
      </c>
    </row>
    <row r="28" spans="1:37" x14ac:dyDescent="0.25">
      <c r="A28" s="73"/>
      <c r="B28" t="s">
        <v>54</v>
      </c>
      <c r="C28">
        <f>(C26*C24)+C27</f>
        <v>34.712000000000003</v>
      </c>
      <c r="D28">
        <f>(D26*D24)+D27</f>
        <v>27.22</v>
      </c>
      <c r="E28"/>
      <c r="F28"/>
      <c r="G28"/>
      <c r="H28"/>
      <c r="I28"/>
      <c r="J28"/>
      <c r="K28"/>
      <c r="O28" s="20"/>
      <c r="P28" s="20">
        <f>base!H39*0.75</f>
        <v>191599.5</v>
      </c>
      <c r="Q28" s="20">
        <f>base!I39*0.75</f>
        <v>194511</v>
      </c>
      <c r="R28" s="20">
        <f>base!J39*0.75</f>
        <v>197151.75</v>
      </c>
      <c r="S28" s="20">
        <f>base!K39*0.75</f>
        <v>199774.5</v>
      </c>
      <c r="T28" s="20">
        <f>base!L39*0.75</f>
        <v>202375.5</v>
      </c>
      <c r="U28" s="20">
        <f>base!M39*0.75</f>
        <v>204955.5</v>
      </c>
      <c r="V28" s="20">
        <f>base!N39*0.75</f>
        <v>207516.75</v>
      </c>
      <c r="W28" s="20">
        <f>base!O39*0.75</f>
        <v>210057</v>
      </c>
      <c r="X28" s="20">
        <f>base!P39*0.75</f>
        <v>212566.5</v>
      </c>
      <c r="Y28" s="20">
        <f>base!Q39*0.75</f>
        <v>215038.5</v>
      </c>
    </row>
    <row r="29" spans="1:37" x14ac:dyDescent="0.25">
      <c r="B29"/>
      <c r="C29"/>
      <c r="D29"/>
      <c r="E29"/>
      <c r="F29"/>
      <c r="G29"/>
      <c r="H29"/>
      <c r="I29"/>
      <c r="J29"/>
      <c r="K29"/>
      <c r="O29" s="20"/>
    </row>
    <row r="30" spans="1:37" x14ac:dyDescent="0.25">
      <c r="B30"/>
      <c r="C30"/>
      <c r="D30"/>
      <c r="E30"/>
      <c r="F30"/>
      <c r="G30"/>
      <c r="H30" s="20"/>
      <c r="I30"/>
      <c r="J30"/>
      <c r="K30"/>
      <c r="O30" s="20"/>
    </row>
    <row r="31" spans="1:37" x14ac:dyDescent="0.25">
      <c r="A31" s="72" t="s">
        <v>55</v>
      </c>
      <c r="B31" t="s">
        <v>52</v>
      </c>
      <c r="C31">
        <f>(D18+D19+D20)/60</f>
        <v>1.2</v>
      </c>
      <c r="D31">
        <f>( E19+E20+E18)/60</f>
        <v>0.83333333333333337</v>
      </c>
      <c r="E31"/>
      <c r="F31"/>
      <c r="G31"/>
      <c r="H31" s="20"/>
      <c r="I31"/>
      <c r="J31"/>
      <c r="K31"/>
      <c r="O31" s="20"/>
      <c r="AB31" t="s">
        <v>91</v>
      </c>
      <c r="AC31" t="s">
        <v>92</v>
      </c>
      <c r="AD31" t="s">
        <v>93</v>
      </c>
      <c r="AE31" t="s">
        <v>94</v>
      </c>
      <c r="AF31" t="s">
        <v>95</v>
      </c>
      <c r="AG31" t="s">
        <v>96</v>
      </c>
      <c r="AH31" t="s">
        <v>97</v>
      </c>
      <c r="AI31" t="s">
        <v>98</v>
      </c>
      <c r="AJ31" t="s">
        <v>99</v>
      </c>
      <c r="AK31" t="s">
        <v>100</v>
      </c>
    </row>
    <row r="32" spans="1:37" x14ac:dyDescent="0.25">
      <c r="A32" s="72"/>
      <c r="B32" t="s">
        <v>53</v>
      </c>
      <c r="C32">
        <f>D16*D15</f>
        <v>16</v>
      </c>
      <c r="D32">
        <f xml:space="preserve"> E16*E15</f>
        <v>12</v>
      </c>
      <c r="E32"/>
      <c r="F32"/>
      <c r="G32"/>
      <c r="H32" s="20"/>
      <c r="I32"/>
      <c r="J32"/>
      <c r="K32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t="s">
        <v>105</v>
      </c>
      <c r="AB32" s="20">
        <v>6006579</v>
      </c>
      <c r="AC32" s="20">
        <v>6085323</v>
      </c>
      <c r="AD32" s="20">
        <v>6163428</v>
      </c>
      <c r="AE32" s="20">
        <v>6241146</v>
      </c>
      <c r="AF32" s="20">
        <v>6318183</v>
      </c>
      <c r="AG32" s="20">
        <v>6394545</v>
      </c>
      <c r="AH32" s="20">
        <v>6470333</v>
      </c>
      <c r="AI32" s="20">
        <v>6545453</v>
      </c>
      <c r="AJ32" s="20">
        <v>6619656</v>
      </c>
      <c r="AK32" s="20">
        <v>6692706</v>
      </c>
    </row>
    <row r="33" spans="1:37" x14ac:dyDescent="0.25">
      <c r="A33" s="72"/>
      <c r="B33" t="s">
        <v>54</v>
      </c>
      <c r="C33">
        <f>(C31*C24)+C32</f>
        <v>24.171999999999997</v>
      </c>
      <c r="D33">
        <f>( D31*D24)+D32</f>
        <v>15.8</v>
      </c>
      <c r="E33"/>
      <c r="F33"/>
      <c r="G33"/>
      <c r="H33" s="20"/>
      <c r="I33"/>
      <c r="J33"/>
      <c r="K33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t="s">
        <v>106</v>
      </c>
      <c r="AB33" s="20">
        <f>base!T18*0.75</f>
        <v>76629</v>
      </c>
      <c r="AC33" s="20">
        <f>base!U18*0.75</f>
        <v>77633.25</v>
      </c>
      <c r="AD33" s="20">
        <f>base!V18*0.75</f>
        <v>78630</v>
      </c>
      <c r="AE33" s="20">
        <f>base!W18*0.75</f>
        <v>79621.5</v>
      </c>
      <c r="AF33" s="20">
        <f>base!X18*0.75</f>
        <v>80604</v>
      </c>
      <c r="AG33" s="20">
        <f>base!Y18*0.75</f>
        <v>81578.25</v>
      </c>
      <c r="AH33" s="20">
        <f>base!Z18*0.75</f>
        <v>82545</v>
      </c>
      <c r="AI33" s="20">
        <f>base!AA18*0.75</f>
        <v>83503.5</v>
      </c>
      <c r="AJ33" s="20">
        <f>base!AB18*0.75</f>
        <v>84450</v>
      </c>
      <c r="AK33" s="20">
        <f>base!AC18*0.75</f>
        <v>85382.25</v>
      </c>
    </row>
    <row r="34" spans="1:37" x14ac:dyDescent="0.25">
      <c r="B34"/>
      <c r="C34"/>
      <c r="D34"/>
      <c r="E34"/>
      <c r="F34"/>
      <c r="G34"/>
      <c r="H34" s="20"/>
      <c r="I34"/>
      <c r="J34"/>
      <c r="K34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37" x14ac:dyDescent="0.25">
      <c r="B35"/>
      <c r="C35"/>
      <c r="D35"/>
      <c r="E35"/>
      <c r="F35"/>
      <c r="G35"/>
      <c r="H35" s="20"/>
      <c r="I35"/>
      <c r="J35"/>
      <c r="K35"/>
      <c r="O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59" t="s">
        <v>113</v>
      </c>
      <c r="AB35" s="60" t="s">
        <v>91</v>
      </c>
      <c r="AC35" s="60" t="s">
        <v>92</v>
      </c>
      <c r="AD35" s="60" t="s">
        <v>93</v>
      </c>
      <c r="AE35" s="60" t="s">
        <v>94</v>
      </c>
      <c r="AF35" s="60" t="s">
        <v>95</v>
      </c>
      <c r="AG35" s="60" t="s">
        <v>96</v>
      </c>
      <c r="AH35" s="60" t="s">
        <v>97</v>
      </c>
      <c r="AI35" s="60" t="s">
        <v>98</v>
      </c>
      <c r="AJ35" s="60" t="s">
        <v>99</v>
      </c>
      <c r="AK35" s="61" t="s">
        <v>100</v>
      </c>
    </row>
    <row r="36" spans="1:37" x14ac:dyDescent="0.25">
      <c r="A36" s="66" t="s">
        <v>56</v>
      </c>
      <c r="B36" s="66"/>
      <c r="C36">
        <f>C28-C33</f>
        <v>10.540000000000006</v>
      </c>
      <c r="D36">
        <f>D28-D33</f>
        <v>11.419999999999998</v>
      </c>
      <c r="E36"/>
      <c r="F36"/>
      <c r="G36"/>
      <c r="H36" s="20"/>
      <c r="I36"/>
      <c r="J36"/>
      <c r="K36"/>
      <c r="O36" s="20"/>
      <c r="Z36" s="20"/>
      <c r="AA36" t="s">
        <v>122</v>
      </c>
      <c r="AB36" s="20">
        <v>4027294</v>
      </c>
      <c r="AC36" s="20">
        <v>4080090</v>
      </c>
      <c r="AD36" s="20">
        <v>4132458</v>
      </c>
      <c r="AE36" s="20">
        <v>4184566</v>
      </c>
      <c r="AF36" s="20">
        <v>4236218</v>
      </c>
      <c r="AG36" s="20">
        <v>4287418</v>
      </c>
      <c r="AH36" s="20">
        <v>4338232</v>
      </c>
      <c r="AI36" s="20">
        <v>4388598</v>
      </c>
      <c r="AJ36" s="20">
        <v>4438350</v>
      </c>
      <c r="AK36" s="20">
        <v>4487329</v>
      </c>
    </row>
    <row r="37" spans="1:37" x14ac:dyDescent="0.25">
      <c r="B37" t="s">
        <v>57</v>
      </c>
      <c r="C37">
        <f>C41*0.75</f>
        <v>850757.25</v>
      </c>
      <c r="D37">
        <f>C41*0.35</f>
        <v>397020.05</v>
      </c>
      <c r="E37"/>
      <c r="F37"/>
      <c r="G37"/>
      <c r="H37" s="20"/>
      <c r="I37"/>
      <c r="J37"/>
      <c r="K37"/>
      <c r="O37" s="20"/>
      <c r="Z37" s="20"/>
      <c r="AA37" t="s">
        <v>123</v>
      </c>
      <c r="AB37" s="20">
        <v>12081881</v>
      </c>
      <c r="AC37" s="20">
        <v>12240271</v>
      </c>
      <c r="AD37" s="20">
        <v>12397375</v>
      </c>
      <c r="AE37" s="20">
        <v>12553699</v>
      </c>
      <c r="AF37" s="20">
        <v>12708655</v>
      </c>
      <c r="AG37" s="20">
        <v>12862254</v>
      </c>
      <c r="AH37" s="20">
        <v>13014697</v>
      </c>
      <c r="AI37" s="20">
        <v>13165795</v>
      </c>
      <c r="AJ37" s="20">
        <v>13315051</v>
      </c>
      <c r="AK37" s="20">
        <v>13461987</v>
      </c>
    </row>
    <row r="38" spans="1:37" x14ac:dyDescent="0.25">
      <c r="B38" t="s">
        <v>58</v>
      </c>
      <c r="C38" s="5">
        <f>C36*C37</f>
        <v>8966981.4150000047</v>
      </c>
      <c r="D38" s="5">
        <f>D36*D37</f>
        <v>4533968.970999999</v>
      </c>
      <c r="E38" s="19">
        <f>C38+D38</f>
        <v>13500950.386000004</v>
      </c>
      <c r="F38"/>
      <c r="G38"/>
      <c r="H38" s="20"/>
      <c r="I38"/>
      <c r="J38"/>
      <c r="K38"/>
      <c r="Z38" s="20"/>
      <c r="AA38" t="s">
        <v>124</v>
      </c>
      <c r="AB38" s="20">
        <v>68504</v>
      </c>
      <c r="AC38" s="20">
        <v>69402</v>
      </c>
      <c r="AD38" s="20">
        <v>70293</v>
      </c>
      <c r="AE38" s="20">
        <v>71179</v>
      </c>
      <c r="AF38" s="20">
        <v>72058</v>
      </c>
      <c r="AG38" s="20">
        <v>72929</v>
      </c>
      <c r="AH38" s="20">
        <v>73793</v>
      </c>
      <c r="AI38" s="20">
        <v>74650</v>
      </c>
      <c r="AJ38" s="20">
        <v>75496</v>
      </c>
      <c r="AK38" s="20">
        <v>76329</v>
      </c>
    </row>
    <row r="39" spans="1:37" x14ac:dyDescent="0.25">
      <c r="B39" t="s">
        <v>57</v>
      </c>
      <c r="C39">
        <v>557315</v>
      </c>
      <c r="D39"/>
      <c r="E39"/>
      <c r="F39"/>
      <c r="G39"/>
      <c r="H39" s="20"/>
      <c r="I39"/>
      <c r="J39"/>
      <c r="K39"/>
      <c r="Z39" s="20"/>
    </row>
    <row r="40" spans="1:37" x14ac:dyDescent="0.25">
      <c r="B40"/>
      <c r="C40">
        <v>577028</v>
      </c>
      <c r="D40"/>
      <c r="E40"/>
      <c r="F40"/>
      <c r="G40"/>
      <c r="H40"/>
      <c r="I40"/>
      <c r="J40"/>
      <c r="K40"/>
      <c r="Z40" s="20"/>
    </row>
    <row r="41" spans="1:37" x14ac:dyDescent="0.25">
      <c r="B41"/>
      <c r="C41">
        <f>C39+C40</f>
        <v>1134343</v>
      </c>
      <c r="D41"/>
      <c r="E41"/>
      <c r="F41"/>
      <c r="G41"/>
      <c r="H41"/>
      <c r="I41"/>
      <c r="J41"/>
      <c r="K41"/>
    </row>
    <row r="42" spans="1:37" x14ac:dyDescent="0.25">
      <c r="B42"/>
      <c r="C42"/>
      <c r="D42"/>
      <c r="E42"/>
      <c r="F42"/>
      <c r="G42"/>
      <c r="H42"/>
      <c r="I42"/>
      <c r="J42"/>
      <c r="K42"/>
      <c r="Z42" s="20"/>
    </row>
    <row r="43" spans="1:37" x14ac:dyDescent="0.25">
      <c r="B43"/>
      <c r="C43"/>
      <c r="D43"/>
      <c r="E43"/>
      <c r="F43"/>
      <c r="G43"/>
      <c r="H43"/>
      <c r="I43"/>
      <c r="J43"/>
      <c r="K43"/>
      <c r="Z43" s="20"/>
    </row>
    <row r="44" spans="1:37" x14ac:dyDescent="0.25">
      <c r="B44" t="s">
        <v>59</v>
      </c>
      <c r="C44" t="s">
        <v>60</v>
      </c>
      <c r="D44" t="s">
        <v>61</v>
      </c>
      <c r="E44" t="s">
        <v>62</v>
      </c>
      <c r="F44" t="s">
        <v>63</v>
      </c>
      <c r="G44" t="s">
        <v>64</v>
      </c>
      <c r="H44" t="s">
        <v>65</v>
      </c>
      <c r="I44" t="s">
        <v>66</v>
      </c>
      <c r="J44" t="s">
        <v>67</v>
      </c>
      <c r="K44" t="s">
        <v>68</v>
      </c>
      <c r="L44" t="s">
        <v>69</v>
      </c>
      <c r="M44" t="s">
        <v>70</v>
      </c>
      <c r="N44" t="s">
        <v>71</v>
      </c>
      <c r="O44" t="s">
        <v>72</v>
      </c>
      <c r="P44" t="s">
        <v>73</v>
      </c>
      <c r="Q44" t="s">
        <v>74</v>
      </c>
      <c r="Z44" s="20"/>
    </row>
    <row r="45" spans="1:37" x14ac:dyDescent="0.25">
      <c r="B45" s="20" t="s">
        <v>75</v>
      </c>
      <c r="C45" s="20">
        <v>569385</v>
      </c>
      <c r="D45" s="20">
        <v>566198</v>
      </c>
      <c r="E45" s="20">
        <v>563692</v>
      </c>
      <c r="F45" s="20">
        <v>561564</v>
      </c>
      <c r="G45" s="20">
        <v>559536</v>
      </c>
      <c r="H45" s="20">
        <v>557315</v>
      </c>
      <c r="I45" s="20">
        <v>554901</v>
      </c>
      <c r="J45" s="20">
        <v>552485</v>
      </c>
      <c r="K45" s="20">
        <v>550071</v>
      </c>
      <c r="L45" s="20">
        <v>547667</v>
      </c>
      <c r="M45" s="20">
        <v>545273</v>
      </c>
      <c r="N45" s="20">
        <v>542919</v>
      </c>
      <c r="O45" s="20">
        <v>540575</v>
      </c>
      <c r="P45" s="20">
        <v>538241</v>
      </c>
      <c r="Q45" s="20">
        <v>535917</v>
      </c>
      <c r="Z45" s="20"/>
    </row>
    <row r="46" spans="1:37" x14ac:dyDescent="0.25">
      <c r="B46" s="20" t="s">
        <v>76</v>
      </c>
      <c r="C46" s="20">
        <f>Table3[[#This Row],[2015]]*0.75</f>
        <v>433032</v>
      </c>
      <c r="D46" s="20">
        <f>Table3[[#This Row],[2016]]*0.75</f>
        <v>432806.25</v>
      </c>
      <c r="E46" s="20">
        <f>Table3[[#This Row],[2017]]*0.75</f>
        <v>432693</v>
      </c>
      <c r="F46" s="20">
        <f>Table3[[#This Row],[2018]]*0.75</f>
        <v>432666.75</v>
      </c>
      <c r="G46" s="20">
        <f>Table3[[#This Row],[2019]]*0.75</f>
        <v>432700.5</v>
      </c>
      <c r="H46" s="20">
        <f>Table3[[#This Row],[2020]]*0.75</f>
        <v>432771</v>
      </c>
      <c r="I46" s="20">
        <f>Table3[[#This Row],[2021]]*0.75</f>
        <v>433137</v>
      </c>
      <c r="J46" s="20">
        <f>Table3[[#This Row],[2022]]*0.75</f>
        <v>433818</v>
      </c>
      <c r="K46" s="20">
        <f>Table3[[#This Row],[2023]]*0.75</f>
        <v>434420.25</v>
      </c>
      <c r="L46" s="20">
        <f>Table3[[#This Row],[2024]]*0.75</f>
        <v>434553</v>
      </c>
      <c r="M46" s="20">
        <f>Table3[[#This Row],[2025]]*0.75</f>
        <v>433822.5</v>
      </c>
      <c r="N46" s="20">
        <f>Table3[[#This Row],[2026]]*0.75</f>
        <v>433902</v>
      </c>
      <c r="O46" s="20">
        <f>Table3[[#This Row],[2027]]*0.75</f>
        <v>433980.75</v>
      </c>
      <c r="P46" s="20">
        <f>Table3[[#This Row],[2028]]*0.75</f>
        <v>434060.25</v>
      </c>
      <c r="Q46" s="20">
        <f>Table3[[#This Row],[2029]]*0.75</f>
        <v>434139.75</v>
      </c>
      <c r="Z46" s="20"/>
    </row>
    <row r="47" spans="1:37" x14ac:dyDescent="0.25">
      <c r="B47" s="20"/>
      <c r="C47"/>
      <c r="D47"/>
      <c r="E47"/>
      <c r="F47"/>
      <c r="G47"/>
      <c r="H47"/>
      <c r="I47"/>
      <c r="J47"/>
      <c r="K47"/>
      <c r="Z47" s="20"/>
    </row>
    <row r="48" spans="1:37" ht="15" customHeight="1" x14ac:dyDescent="0.25">
      <c r="E48" s="4"/>
      <c r="F48" s="14" t="s">
        <v>28</v>
      </c>
      <c r="G48" s="14" t="s">
        <v>29</v>
      </c>
      <c r="H48" s="14" t="s">
        <v>3</v>
      </c>
      <c r="Z48" s="20"/>
    </row>
    <row r="49" spans="1:26" ht="15" customHeight="1" x14ac:dyDescent="0.25">
      <c r="A49" t="s">
        <v>6</v>
      </c>
      <c r="B49" s="1">
        <v>0.3</v>
      </c>
      <c r="E49" s="14" t="s">
        <v>30</v>
      </c>
      <c r="F49" s="4">
        <v>40000000</v>
      </c>
      <c r="G49" s="4">
        <v>23748642</v>
      </c>
      <c r="H49" s="4">
        <f>F49+G49</f>
        <v>63748642</v>
      </c>
      <c r="Z49" s="20"/>
    </row>
    <row r="50" spans="1:26" ht="15" customHeight="1" x14ac:dyDescent="0.25">
      <c r="A50" t="s">
        <v>2</v>
      </c>
      <c r="B50" s="2">
        <v>0.12</v>
      </c>
      <c r="E50" s="14" t="s">
        <v>31</v>
      </c>
      <c r="F50" s="4">
        <v>21500000</v>
      </c>
      <c r="G50" s="4">
        <v>14761475</v>
      </c>
      <c r="H50" s="4">
        <f t="shared" ref="H50:H52" si="0">F50+G50</f>
        <v>36261475</v>
      </c>
      <c r="Z50" s="20"/>
    </row>
    <row r="51" spans="1:26" ht="15" customHeight="1" x14ac:dyDescent="0.25">
      <c r="A51" t="s">
        <v>17</v>
      </c>
      <c r="B51" s="5">
        <f>23748642+14761475</f>
        <v>38510117</v>
      </c>
      <c r="E51" s="14" t="s">
        <v>32</v>
      </c>
      <c r="F51" s="4">
        <v>3440457</v>
      </c>
      <c r="G51" s="4">
        <v>860114</v>
      </c>
      <c r="H51" s="4">
        <f t="shared" si="0"/>
        <v>4300571</v>
      </c>
      <c r="Z51" s="20"/>
    </row>
    <row r="52" spans="1:26" ht="15" customHeight="1" x14ac:dyDescent="0.25">
      <c r="A52" t="s">
        <v>25</v>
      </c>
      <c r="B52" s="5">
        <f>40000000+21500000</f>
        <v>61500000</v>
      </c>
      <c r="E52" s="14" t="s">
        <v>3</v>
      </c>
      <c r="F52" s="4">
        <f>SUM(F49:F51)</f>
        <v>64940457</v>
      </c>
      <c r="G52" s="4">
        <f>SUM(G49:G51)</f>
        <v>39370231</v>
      </c>
      <c r="H52" s="15">
        <f t="shared" si="0"/>
        <v>104310688</v>
      </c>
    </row>
    <row r="53" spans="1:26" ht="15" customHeight="1" x14ac:dyDescent="0.25">
      <c r="A53" t="s">
        <v>27</v>
      </c>
      <c r="B53" s="5">
        <f>B51+B52</f>
        <v>100010117</v>
      </c>
    </row>
    <row r="54" spans="1:26" ht="15" customHeight="1" x14ac:dyDescent="0.25"/>
    <row r="55" spans="1:26" ht="15" customHeight="1" x14ac:dyDescent="0.25">
      <c r="B55" s="2"/>
    </row>
    <row r="56" spans="1:26" ht="15" customHeight="1" x14ac:dyDescent="0.25">
      <c r="B56" s="1" t="s">
        <v>1</v>
      </c>
    </row>
    <row r="57" spans="1:26" ht="15" customHeight="1" x14ac:dyDescent="0.25">
      <c r="A57" s="8" t="s">
        <v>26</v>
      </c>
      <c r="B57" s="9">
        <v>1</v>
      </c>
      <c r="C57" s="9">
        <v>2</v>
      </c>
      <c r="D57" s="9">
        <v>3</v>
      </c>
      <c r="E57" s="9">
        <v>4</v>
      </c>
      <c r="F57" s="9">
        <v>5</v>
      </c>
      <c r="G57" s="9">
        <v>6</v>
      </c>
      <c r="H57" s="9">
        <v>7</v>
      </c>
      <c r="I57" s="9">
        <v>8</v>
      </c>
      <c r="J57" s="9">
        <v>9</v>
      </c>
      <c r="K57" s="9">
        <v>10</v>
      </c>
    </row>
    <row r="58" spans="1:26" x14ac:dyDescent="0.25">
      <c r="A58" s="3" t="s">
        <v>39</v>
      </c>
      <c r="B58" s="4">
        <f>($C$36*E45)*0.75+ ($D$36*E45)*0.25+ ($C$36*E46)*0.75+ ($D$36*E46)*0.25</f>
        <v>10721102.600000005</v>
      </c>
      <c r="C58" s="4">
        <f t="shared" ref="C58:K58" si="1">($C$36*F45)*0.75+ ($D$36*F45)*0.25+ ($C$36*F46)*0.75+ ($D$36*F46)*0.25</f>
        <v>10697922.870000005</v>
      </c>
      <c r="D58" s="4">
        <f t="shared" si="1"/>
        <v>10676464.740000004</v>
      </c>
      <c r="E58" s="4">
        <f t="shared" si="1"/>
        <v>10653325.360000005</v>
      </c>
      <c r="F58" s="4">
        <f t="shared" si="1"/>
        <v>10631288.880000005</v>
      </c>
      <c r="G58" s="4">
        <f t="shared" si="1"/>
        <v>10612620.280000005</v>
      </c>
      <c r="H58" s="4">
        <f t="shared" si="1"/>
        <v>10593125.850000005</v>
      </c>
      <c r="I58" s="4">
        <f>($C$36*L45)*0.75+ ($D$36*L45)*0.25+ ($C$36*L46)*0.75+ ($D$36*L46)*0.25</f>
        <v>10568687.200000003</v>
      </c>
      <c r="J58" s="4">
        <f t="shared" si="1"/>
        <v>10535067.580000006</v>
      </c>
      <c r="K58" s="4">
        <f t="shared" si="1"/>
        <v>10510593.960000003</v>
      </c>
    </row>
    <row r="59" spans="1:26" x14ac:dyDescent="0.25">
      <c r="A59" s="39" t="s">
        <v>114</v>
      </c>
      <c r="B59" s="4">
        <f>+base!B59*0.75</f>
        <v>21415500</v>
      </c>
      <c r="C59" s="4">
        <f>+base!C59*0.75</f>
        <v>38459250</v>
      </c>
      <c r="D59" s="4">
        <f>+base!D59*0.75</f>
        <v>55574250</v>
      </c>
      <c r="E59" s="4">
        <f>+base!E59*0.75</f>
        <v>55614750</v>
      </c>
      <c r="F59" s="4">
        <f>+base!F59*0.75</f>
        <v>55655250</v>
      </c>
      <c r="G59" s="4">
        <f>+base!G59*0.75</f>
        <v>55695000</v>
      </c>
      <c r="H59" s="4">
        <f>+base!H59*0.75</f>
        <v>55734750</v>
      </c>
      <c r="I59" s="4">
        <f>+base!I59*0.75</f>
        <v>55773750</v>
      </c>
      <c r="J59" s="4">
        <f>+base!J59*0.75</f>
        <v>55812000</v>
      </c>
      <c r="K59" s="4">
        <f>+base!K59*0.75</f>
        <v>55849500</v>
      </c>
    </row>
    <row r="60" spans="1:26" x14ac:dyDescent="0.25">
      <c r="A60" s="3" t="s">
        <v>22</v>
      </c>
      <c r="B60" s="4">
        <f>($P$17*P28)*0.75+($P$18*P28)*0.25</f>
        <v>4428966.1421249993</v>
      </c>
      <c r="C60" s="4">
        <f t="shared" ref="C60:K60" si="2">($P$17*Q28)*0.75+($P$18*Q28)*0.25</f>
        <v>4496267.6482499987</v>
      </c>
      <c r="D60" s="4">
        <f t="shared" si="2"/>
        <v>4557310.5650624987</v>
      </c>
      <c r="E60" s="4">
        <f t="shared" si="2"/>
        <v>4617937.3983749989</v>
      </c>
      <c r="F60" s="4">
        <f t="shared" si="2"/>
        <v>4678061.464124999</v>
      </c>
      <c r="G60" s="4">
        <f t="shared" si="2"/>
        <v>4737700.0991249988</v>
      </c>
      <c r="H60" s="4">
        <f t="shared" si="2"/>
        <v>4796905.3138124999</v>
      </c>
      <c r="I60" s="4">
        <f t="shared" si="2"/>
        <v>4855625.0977499997</v>
      </c>
      <c r="J60" s="4">
        <f t="shared" si="2"/>
        <v>4913634.0723749995</v>
      </c>
      <c r="K60" s="4">
        <f t="shared" si="2"/>
        <v>4970776.2063749991</v>
      </c>
    </row>
    <row r="61" spans="1:26" ht="15" customHeight="1" x14ac:dyDescent="0.25">
      <c r="A61" s="3" t="s">
        <v>23</v>
      </c>
      <c r="B61" s="4">
        <f>$W$9*AB33</f>
        <v>9491.2679399999033</v>
      </c>
      <c r="C61" s="4">
        <f t="shared" ref="C61:K61" si="3">$W$9*AC33</f>
        <v>9615.6543449999026</v>
      </c>
      <c r="D61" s="4">
        <f t="shared" si="3"/>
        <v>9739.1117999999024</v>
      </c>
      <c r="E61" s="4">
        <f t="shared" si="3"/>
        <v>9861.9189899999001</v>
      </c>
      <c r="F61" s="4">
        <f t="shared" si="3"/>
        <v>9983.6114399998987</v>
      </c>
      <c r="G61" s="4">
        <f t="shared" si="3"/>
        <v>10104.282044999898</v>
      </c>
      <c r="H61" s="4">
        <f t="shared" si="3"/>
        <v>10224.023699999896</v>
      </c>
      <c r="I61" s="4">
        <f t="shared" si="3"/>
        <v>10342.743509999895</v>
      </c>
      <c r="J61" s="4">
        <f t="shared" si="3"/>
        <v>10459.976999999893</v>
      </c>
      <c r="K61" s="4">
        <f t="shared" si="3"/>
        <v>10575.445484999893</v>
      </c>
    </row>
    <row r="62" spans="1:26" ht="15" customHeight="1" x14ac:dyDescent="0.25">
      <c r="A62" s="3" t="s">
        <v>121</v>
      </c>
      <c r="B62" s="4">
        <f>AB38*$X$8</f>
        <v>947145.89456000004</v>
      </c>
      <c r="C62" s="4">
        <f t="shared" ref="C62:K62" si="4">AC38*$X$8</f>
        <v>959561.76828000008</v>
      </c>
      <c r="D62" s="4">
        <f t="shared" si="4"/>
        <v>971880.85902000009</v>
      </c>
      <c r="E62" s="4">
        <f t="shared" si="4"/>
        <v>984130.81906000001</v>
      </c>
      <c r="F62" s="4">
        <f t="shared" si="4"/>
        <v>996283.99612000003</v>
      </c>
      <c r="G62" s="4">
        <f t="shared" si="4"/>
        <v>1008326.56406</v>
      </c>
      <c r="H62" s="4">
        <f t="shared" si="4"/>
        <v>1020272.3490200001</v>
      </c>
      <c r="I62" s="4">
        <f t="shared" si="4"/>
        <v>1032121.351</v>
      </c>
      <c r="J62" s="4">
        <f t="shared" si="4"/>
        <v>1043818.26544</v>
      </c>
      <c r="K62" s="4">
        <f t="shared" si="4"/>
        <v>1055335.4400599999</v>
      </c>
    </row>
    <row r="63" spans="1:26" ht="15" customHeight="1" x14ac:dyDescent="0.25">
      <c r="A63" s="3" t="s">
        <v>4</v>
      </c>
      <c r="B63" s="4">
        <f>SUM(B58:B62)</f>
        <v>37522205.904625006</v>
      </c>
      <c r="C63" s="4">
        <f t="shared" ref="C63:K63" si="5">SUM(C58:C62)</f>
        <v>54622617.940875001</v>
      </c>
      <c r="D63" s="4">
        <f t="shared" si="5"/>
        <v>71789645.275882497</v>
      </c>
      <c r="E63" s="4">
        <f t="shared" si="5"/>
        <v>71880005.496425003</v>
      </c>
      <c r="F63" s="4">
        <f t="shared" si="5"/>
        <v>71970867.951685011</v>
      </c>
      <c r="G63" s="4">
        <f t="shared" si="5"/>
        <v>72063751.225230008</v>
      </c>
      <c r="H63" s="4">
        <f t="shared" si="5"/>
        <v>72155277.536532506</v>
      </c>
      <c r="I63" s="4">
        <f t="shared" si="5"/>
        <v>72240526.392259985</v>
      </c>
      <c r="J63" s="4">
        <f t="shared" si="5"/>
        <v>72314979.894815013</v>
      </c>
      <c r="K63" s="4">
        <f t="shared" si="5"/>
        <v>72396781.051919997</v>
      </c>
    </row>
    <row r="64" spans="1:26" ht="15" customHeight="1" x14ac:dyDescent="0.25">
      <c r="A64" s="3" t="s">
        <v>5</v>
      </c>
      <c r="B64" s="4">
        <f>B63*$B$49</f>
        <v>11256661.771387501</v>
      </c>
      <c r="C64" s="4">
        <f t="shared" ref="C64:K64" si="6">C63*$B$49</f>
        <v>16386785.3822625</v>
      </c>
      <c r="D64" s="4">
        <f t="shared" si="6"/>
        <v>21536893.582764748</v>
      </c>
      <c r="E64" s="4">
        <f t="shared" si="6"/>
        <v>21564001.648927499</v>
      </c>
      <c r="F64" s="4">
        <f t="shared" si="6"/>
        <v>21591260.385505501</v>
      </c>
      <c r="G64" s="4">
        <f t="shared" si="6"/>
        <v>21619125.367569003</v>
      </c>
      <c r="H64" s="4">
        <f t="shared" si="6"/>
        <v>21646583.260959752</v>
      </c>
      <c r="I64" s="4">
        <f t="shared" si="6"/>
        <v>21672157.917677995</v>
      </c>
      <c r="J64" s="4">
        <f t="shared" si="6"/>
        <v>21694493.968444504</v>
      </c>
      <c r="K64" s="4">
        <f t="shared" si="6"/>
        <v>21719034.315575998</v>
      </c>
    </row>
    <row r="65" spans="1:11" ht="15" customHeight="1" x14ac:dyDescent="0.25">
      <c r="A65" s="3" t="s">
        <v>8</v>
      </c>
      <c r="B65" s="4">
        <f t="shared" ref="B65:K65" si="7">B64/(1+$B$50)^B57</f>
        <v>10050590.867310267</v>
      </c>
      <c r="C65" s="4">
        <f t="shared" si="7"/>
        <v>13063444.97948222</v>
      </c>
      <c r="D65" s="4">
        <f t="shared" si="7"/>
        <v>15329535.451471351</v>
      </c>
      <c r="E65" s="4">
        <f t="shared" si="7"/>
        <v>13704312.890645014</v>
      </c>
      <c r="F65" s="4">
        <f t="shared" si="7"/>
        <v>12251460.991548937</v>
      </c>
      <c r="G65" s="4">
        <f t="shared" si="7"/>
        <v>10952921.723844539</v>
      </c>
      <c r="H65" s="4">
        <f t="shared" si="7"/>
        <v>9791814.9528198764</v>
      </c>
      <c r="I65" s="4">
        <f t="shared" si="7"/>
        <v>8753021.0970704313</v>
      </c>
      <c r="J65" s="4">
        <f t="shared" si="7"/>
        <v>7823252.0119234994</v>
      </c>
      <c r="K65" s="4">
        <f t="shared" si="7"/>
        <v>6992947.7742103962</v>
      </c>
    </row>
    <row r="66" spans="1:11" ht="15" customHeight="1" x14ac:dyDescent="0.25">
      <c r="A66" s="3" t="s">
        <v>13</v>
      </c>
      <c r="B66" s="4">
        <f>SUM(B65:K65)</f>
        <v>108713302.74032652</v>
      </c>
      <c r="C66" s="35"/>
      <c r="D66" s="4"/>
      <c r="E66" s="4"/>
      <c r="F66" s="4"/>
      <c r="G66" s="4"/>
      <c r="H66" s="4"/>
      <c r="I66" s="4"/>
      <c r="J66" s="4"/>
      <c r="K66" s="4"/>
    </row>
    <row r="67" spans="1:11" ht="15" customHeight="1" x14ac:dyDescent="0.25">
      <c r="A67" s="8" t="s">
        <v>19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ht="15" customHeight="1" x14ac:dyDescent="0.25">
      <c r="A68" s="3" t="s">
        <v>36</v>
      </c>
      <c r="B68" s="4">
        <f>($F$49+$F$50)/5</f>
        <v>12300000</v>
      </c>
      <c r="C68" s="4">
        <f t="shared" ref="C68:F68" si="8">($F$49+$F$50)/5</f>
        <v>12300000</v>
      </c>
      <c r="D68" s="4">
        <f t="shared" si="8"/>
        <v>12300000</v>
      </c>
      <c r="E68" s="4">
        <f t="shared" si="8"/>
        <v>12300000</v>
      </c>
      <c r="F68" s="4">
        <f t="shared" si="8"/>
        <v>12300000</v>
      </c>
      <c r="G68" s="4">
        <v>0</v>
      </c>
      <c r="H68" s="4"/>
      <c r="I68" s="4"/>
      <c r="J68" s="4"/>
      <c r="K68" s="4"/>
    </row>
    <row r="69" spans="1:11" ht="15" customHeight="1" x14ac:dyDescent="0.25">
      <c r="A69" s="3" t="s">
        <v>34</v>
      </c>
      <c r="B69" s="4">
        <v>8966134</v>
      </c>
      <c r="C69" s="4">
        <v>8966134</v>
      </c>
      <c r="D69" s="4">
        <v>8966134</v>
      </c>
      <c r="E69" s="4">
        <v>8076534</v>
      </c>
      <c r="F69" s="4">
        <v>8076534</v>
      </c>
      <c r="G69" s="4">
        <v>8076534</v>
      </c>
      <c r="H69" s="4">
        <v>8076534</v>
      </c>
      <c r="I69" s="4">
        <v>8076534</v>
      </c>
      <c r="J69" s="4">
        <v>8076534</v>
      </c>
      <c r="K69" s="4">
        <v>8076534</v>
      </c>
    </row>
    <row r="70" spans="1:11" x14ac:dyDescent="0.25">
      <c r="A70" s="3" t="s">
        <v>16</v>
      </c>
      <c r="B70" s="4">
        <f>B69*$B$49</f>
        <v>2689840.1999999997</v>
      </c>
      <c r="C70" s="4">
        <f t="shared" ref="C70:K70" si="9">C69*$B$49</f>
        <v>2689840.1999999997</v>
      </c>
      <c r="D70" s="4">
        <f t="shared" si="9"/>
        <v>2689840.1999999997</v>
      </c>
      <c r="E70" s="4">
        <f t="shared" si="9"/>
        <v>2422960.1999999997</v>
      </c>
      <c r="F70" s="4">
        <f t="shared" si="9"/>
        <v>2422960.1999999997</v>
      </c>
      <c r="G70" s="4">
        <f t="shared" si="9"/>
        <v>2422960.1999999997</v>
      </c>
      <c r="H70" s="4">
        <f t="shared" si="9"/>
        <v>2422960.1999999997</v>
      </c>
      <c r="I70" s="4">
        <f t="shared" si="9"/>
        <v>2422960.1999999997</v>
      </c>
      <c r="J70" s="4">
        <f t="shared" si="9"/>
        <v>2422960.1999999997</v>
      </c>
      <c r="K70" s="4">
        <f t="shared" si="9"/>
        <v>2422960.1999999997</v>
      </c>
    </row>
    <row r="71" spans="1:11" x14ac:dyDescent="0.25">
      <c r="A71" s="3" t="s">
        <v>35</v>
      </c>
      <c r="B71" s="4">
        <f>($G$49+$G$50)/5</f>
        <v>7702023.4000000004</v>
      </c>
      <c r="C71" s="4">
        <f t="shared" ref="C71:F71" si="10">($G$49+$G$50)/5</f>
        <v>7702023.4000000004</v>
      </c>
      <c r="D71" s="4">
        <f t="shared" si="10"/>
        <v>7702023.4000000004</v>
      </c>
      <c r="E71" s="4">
        <f t="shared" si="10"/>
        <v>7702023.4000000004</v>
      </c>
      <c r="F71" s="4">
        <f t="shared" si="10"/>
        <v>7702023.4000000004</v>
      </c>
      <c r="G71" s="4"/>
      <c r="H71" s="4"/>
      <c r="I71" s="4"/>
      <c r="J71" s="4"/>
      <c r="K71" s="4"/>
    </row>
    <row r="72" spans="1:11" x14ac:dyDescent="0.25">
      <c r="A72" s="3" t="s">
        <v>37</v>
      </c>
      <c r="B72" s="4">
        <f>($H$51)/5</f>
        <v>860114.2</v>
      </c>
      <c r="C72" s="4">
        <f t="shared" ref="C72:F72" si="11">($H$51)/5</f>
        <v>860114.2</v>
      </c>
      <c r="D72" s="4">
        <f t="shared" si="11"/>
        <v>860114.2</v>
      </c>
      <c r="E72" s="4">
        <f t="shared" si="11"/>
        <v>860114.2</v>
      </c>
      <c r="F72" s="4">
        <f t="shared" si="11"/>
        <v>860114.2</v>
      </c>
      <c r="G72" s="4"/>
      <c r="H72" s="4"/>
      <c r="I72" s="4"/>
      <c r="J72" s="4"/>
      <c r="K72" s="4"/>
    </row>
    <row r="73" spans="1:11" x14ac:dyDescent="0.25">
      <c r="A73" s="3" t="s">
        <v>18</v>
      </c>
      <c r="B73" s="4">
        <f>B68+B70+B71+B72</f>
        <v>23551977.800000001</v>
      </c>
      <c r="C73" s="4">
        <f t="shared" ref="C73:K73" si="12">C68+C70+C71+C72</f>
        <v>23551977.800000001</v>
      </c>
      <c r="D73" s="4">
        <f t="shared" si="12"/>
        <v>23551977.800000001</v>
      </c>
      <c r="E73" s="4">
        <f t="shared" si="12"/>
        <v>23285097.800000001</v>
      </c>
      <c r="F73" s="4">
        <f t="shared" si="12"/>
        <v>23285097.800000001</v>
      </c>
      <c r="G73" s="4">
        <f t="shared" si="12"/>
        <v>2422960.1999999997</v>
      </c>
      <c r="H73" s="4">
        <f t="shared" si="12"/>
        <v>2422960.1999999997</v>
      </c>
      <c r="I73" s="4">
        <f t="shared" si="12"/>
        <v>2422960.1999999997</v>
      </c>
      <c r="J73" s="4">
        <f t="shared" si="12"/>
        <v>2422960.1999999997</v>
      </c>
      <c r="K73" s="4">
        <f t="shared" si="12"/>
        <v>2422960.1999999997</v>
      </c>
    </row>
    <row r="74" spans="1:11" x14ac:dyDescent="0.25">
      <c r="A74" s="3" t="s">
        <v>7</v>
      </c>
      <c r="B74" s="6">
        <f>B64-B73</f>
        <v>-12295316.0286125</v>
      </c>
      <c r="C74" s="6">
        <f t="shared" ref="C74:K74" si="13">C64-C73</f>
        <v>-7165192.4177375007</v>
      </c>
      <c r="D74" s="6">
        <f t="shared" si="13"/>
        <v>-2015084.2172352523</v>
      </c>
      <c r="E74" s="6">
        <f t="shared" si="13"/>
        <v>-1721096.1510725021</v>
      </c>
      <c r="F74" s="6">
        <f t="shared" si="13"/>
        <v>-1693837.4144944996</v>
      </c>
      <c r="G74" s="6">
        <f t="shared" si="13"/>
        <v>19196165.167569004</v>
      </c>
      <c r="H74" s="6">
        <f t="shared" si="13"/>
        <v>19223623.060959753</v>
      </c>
      <c r="I74" s="6">
        <f t="shared" si="13"/>
        <v>19249197.717677996</v>
      </c>
      <c r="J74" s="6">
        <f t="shared" si="13"/>
        <v>19271533.768444505</v>
      </c>
      <c r="K74" s="6">
        <f t="shared" si="13"/>
        <v>19296074.115575999</v>
      </c>
    </row>
    <row r="75" spans="1:11" x14ac:dyDescent="0.25">
      <c r="A75" s="3" t="s">
        <v>9</v>
      </c>
      <c r="B75" s="4">
        <f t="shared" ref="B75:K75" si="14">B73/(1+$B$50)^B57</f>
        <v>21028551.607142854</v>
      </c>
      <c r="C75" s="4">
        <f t="shared" si="14"/>
        <v>18775492.506377548</v>
      </c>
      <c r="D75" s="4">
        <f t="shared" si="14"/>
        <v>16763832.594979951</v>
      </c>
      <c r="E75" s="4">
        <f t="shared" si="14"/>
        <v>14798100.609324561</v>
      </c>
      <c r="F75" s="4">
        <f t="shared" si="14"/>
        <v>13212589.829754073</v>
      </c>
      <c r="G75" s="4">
        <f t="shared" si="14"/>
        <v>1227547.042694025</v>
      </c>
      <c r="H75" s="4">
        <f t="shared" si="14"/>
        <v>1096024.1452625224</v>
      </c>
      <c r="I75" s="4">
        <f t="shared" si="14"/>
        <v>978592.98684153764</v>
      </c>
      <c r="J75" s="4">
        <f t="shared" si="14"/>
        <v>873743.73825137294</v>
      </c>
      <c r="K75" s="4">
        <f t="shared" si="14"/>
        <v>780128.33772444003</v>
      </c>
    </row>
    <row r="76" spans="1:11" x14ac:dyDescent="0.25">
      <c r="A76" s="3" t="s">
        <v>14</v>
      </c>
      <c r="B76" s="4">
        <f>SUM(B75:K75)</f>
        <v>89534603.398352906</v>
      </c>
      <c r="C76" s="35"/>
      <c r="D76" s="4"/>
      <c r="E76" s="4"/>
      <c r="F76" s="4"/>
      <c r="G76" s="4"/>
      <c r="H76" s="4"/>
      <c r="I76" s="4"/>
      <c r="J76" s="4"/>
      <c r="K76" s="4"/>
    </row>
    <row r="77" spans="1:11" x14ac:dyDescent="0.25">
      <c r="A77" s="3" t="s">
        <v>10</v>
      </c>
      <c r="B77" s="4">
        <f t="shared" ref="B77:K77" si="15">B65-B75</f>
        <v>-10977960.739832588</v>
      </c>
      <c r="C77" s="4">
        <f t="shared" si="15"/>
        <v>-5712047.5268953275</v>
      </c>
      <c r="D77" s="4">
        <f t="shared" si="15"/>
        <v>-1434297.1435086001</v>
      </c>
      <c r="E77" s="4">
        <f t="shared" si="15"/>
        <v>-1093787.7186795473</v>
      </c>
      <c r="F77" s="4">
        <f t="shared" si="15"/>
        <v>-961128.83820513636</v>
      </c>
      <c r="G77" s="4">
        <f t="shared" si="15"/>
        <v>9725374.6811505146</v>
      </c>
      <c r="H77" s="4">
        <f t="shared" si="15"/>
        <v>8695790.8075573537</v>
      </c>
      <c r="I77" s="4">
        <f t="shared" si="15"/>
        <v>7774428.1102288933</v>
      </c>
      <c r="J77" s="4">
        <f t="shared" si="15"/>
        <v>6949508.2736721262</v>
      </c>
      <c r="K77" s="4">
        <f t="shared" si="15"/>
        <v>6212819.4364859564</v>
      </c>
    </row>
    <row r="78" spans="1:11" x14ac:dyDescent="0.25">
      <c r="A78" s="11" t="s">
        <v>11</v>
      </c>
      <c r="B78" s="12">
        <f>SUM(B77:K77)</f>
        <v>19178699.341973647</v>
      </c>
    </row>
    <row r="79" spans="1:11" x14ac:dyDescent="0.25">
      <c r="A79" s="11" t="s">
        <v>11</v>
      </c>
      <c r="B79" s="13">
        <f>NPV(B50,B74:K74)</f>
        <v>19178699.34197364</v>
      </c>
    </row>
    <row r="80" spans="1:11" x14ac:dyDescent="0.25">
      <c r="A80" s="11" t="s">
        <v>12</v>
      </c>
      <c r="B80" s="12">
        <f>B66/B76</f>
        <v>1.2142043256353603</v>
      </c>
    </row>
    <row r="81" spans="1:2" x14ac:dyDescent="0.25">
      <c r="A81" s="11" t="s">
        <v>15</v>
      </c>
      <c r="B81" s="37">
        <f>IRR(B74:K74)</f>
        <v>0.25299440936132789</v>
      </c>
    </row>
  </sheetData>
  <mergeCells count="8">
    <mergeCell ref="A31:A33"/>
    <mergeCell ref="A36:B36"/>
    <mergeCell ref="A1:D2"/>
    <mergeCell ref="P7:Q7"/>
    <mergeCell ref="R7:S7"/>
    <mergeCell ref="A8:A13"/>
    <mergeCell ref="A15:A20"/>
    <mergeCell ref="A26:A28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tabSelected="1" workbookViewId="0">
      <selection activeCell="B63" sqref="B63:K63"/>
    </sheetView>
  </sheetViews>
  <sheetFormatPr defaultColWidth="9.140625" defaultRowHeight="15" x14ac:dyDescent="0.25"/>
  <cols>
    <col min="1" max="1" width="88.42578125" bestFit="1" customWidth="1"/>
    <col min="2" max="2" width="17.28515625" style="1" customWidth="1"/>
    <col min="3" max="3" width="18.42578125" style="1" customWidth="1"/>
    <col min="4" max="4" width="19.5703125" style="1" customWidth="1"/>
    <col min="5" max="5" width="20.7109375" style="1" customWidth="1"/>
    <col min="6" max="6" width="18.7109375" style="1" customWidth="1"/>
    <col min="7" max="7" width="22.5703125" style="1" customWidth="1"/>
    <col min="8" max="8" width="29.140625" style="1" customWidth="1"/>
    <col min="9" max="11" width="15.28515625" style="1" customWidth="1"/>
    <col min="12" max="12" width="10.28515625" customWidth="1"/>
    <col min="14" max="14" width="11.7109375" customWidth="1"/>
    <col min="15" max="15" width="18.85546875" customWidth="1"/>
    <col min="22" max="22" width="18.140625" customWidth="1"/>
    <col min="26" max="26" width="14.140625" customWidth="1"/>
    <col min="27" max="28" width="10" customWidth="1"/>
    <col min="29" max="29" width="10.85546875" customWidth="1"/>
    <col min="30" max="30" width="10.42578125" customWidth="1"/>
    <col min="31" max="31" width="11" customWidth="1"/>
    <col min="32" max="33" width="11.42578125" customWidth="1"/>
    <col min="34" max="34" width="10.140625" customWidth="1"/>
    <col min="35" max="35" width="11" customWidth="1"/>
    <col min="36" max="36" width="10.7109375" customWidth="1"/>
    <col min="37" max="37" width="13.42578125" customWidth="1"/>
  </cols>
  <sheetData>
    <row r="1" spans="1:24" x14ac:dyDescent="0.25">
      <c r="A1" s="69" t="s">
        <v>108</v>
      </c>
      <c r="B1" s="69"/>
      <c r="C1" s="69"/>
      <c r="D1" s="69"/>
    </row>
    <row r="2" spans="1:24" x14ac:dyDescent="0.25">
      <c r="A2" s="69"/>
      <c r="B2" s="69"/>
      <c r="C2" s="69"/>
      <c r="D2" s="69"/>
    </row>
    <row r="7" spans="1:24" x14ac:dyDescent="0.25">
      <c r="B7"/>
      <c r="C7"/>
      <c r="D7" t="s">
        <v>40</v>
      </c>
      <c r="E7" t="s">
        <v>41</v>
      </c>
      <c r="F7"/>
      <c r="G7"/>
      <c r="H7" t="s">
        <v>81</v>
      </c>
      <c r="I7" s="23" t="s">
        <v>42</v>
      </c>
      <c r="J7" s="23" t="s">
        <v>82</v>
      </c>
      <c r="K7" s="23" t="s">
        <v>79</v>
      </c>
      <c r="L7" s="23" t="s">
        <v>83</v>
      </c>
      <c r="O7" s="33"/>
      <c r="P7" s="70" t="s">
        <v>84</v>
      </c>
      <c r="Q7" s="70"/>
      <c r="R7" s="70" t="s">
        <v>90</v>
      </c>
      <c r="S7" s="70"/>
    </row>
    <row r="8" spans="1:24" x14ac:dyDescent="0.25">
      <c r="A8" s="73" t="s">
        <v>42</v>
      </c>
      <c r="B8" t="s">
        <v>43</v>
      </c>
      <c r="C8" t="s">
        <v>43</v>
      </c>
      <c r="D8">
        <v>2</v>
      </c>
      <c r="E8">
        <v>2</v>
      </c>
      <c r="F8"/>
      <c r="G8"/>
      <c r="H8" s="1" t="s">
        <v>80</v>
      </c>
      <c r="I8" s="1" t="s">
        <v>50</v>
      </c>
      <c r="J8" s="1" t="s">
        <v>41</v>
      </c>
      <c r="K8" s="1" t="s">
        <v>50</v>
      </c>
      <c r="L8" s="1" t="s">
        <v>41</v>
      </c>
      <c r="N8" s="1"/>
      <c r="O8" s="24"/>
      <c r="P8" s="25" t="s">
        <v>50</v>
      </c>
      <c r="Q8" s="25" t="s">
        <v>41</v>
      </c>
      <c r="R8" s="25" t="s">
        <v>50</v>
      </c>
      <c r="S8" s="26" t="s">
        <v>41</v>
      </c>
      <c r="V8" s="34" t="s">
        <v>101</v>
      </c>
      <c r="W8">
        <v>13.95</v>
      </c>
      <c r="X8">
        <v>8</v>
      </c>
    </row>
    <row r="9" spans="1:24" x14ac:dyDescent="0.25">
      <c r="A9" s="73"/>
      <c r="B9" t="s">
        <v>44</v>
      </c>
      <c r="C9" t="s">
        <v>44</v>
      </c>
      <c r="D9">
        <v>8</v>
      </c>
      <c r="E9">
        <v>6</v>
      </c>
      <c r="F9"/>
      <c r="G9"/>
      <c r="H9" t="s">
        <v>43</v>
      </c>
      <c r="I9">
        <v>2</v>
      </c>
      <c r="J9">
        <v>2</v>
      </c>
      <c r="K9">
        <v>2</v>
      </c>
      <c r="L9">
        <v>2</v>
      </c>
      <c r="O9" s="27" t="s">
        <v>43</v>
      </c>
      <c r="P9" s="28">
        <v>2</v>
      </c>
      <c r="Q9" s="28">
        <v>2</v>
      </c>
      <c r="R9" s="28">
        <v>2</v>
      </c>
      <c r="S9" s="29">
        <v>2</v>
      </c>
      <c r="V9" t="s">
        <v>107</v>
      </c>
      <c r="W9">
        <f>W8-X8</f>
        <v>5.9499999999999993</v>
      </c>
    </row>
    <row r="10" spans="1:24" x14ac:dyDescent="0.25">
      <c r="A10" s="73"/>
      <c r="B10" t="s">
        <v>45</v>
      </c>
      <c r="C10" t="s">
        <v>45</v>
      </c>
      <c r="D10">
        <v>6</v>
      </c>
      <c r="E10">
        <v>8</v>
      </c>
      <c r="F10"/>
      <c r="G10"/>
      <c r="H10" t="s">
        <v>44</v>
      </c>
      <c r="I10">
        <v>30</v>
      </c>
      <c r="J10">
        <v>25</v>
      </c>
      <c r="K10">
        <v>4</v>
      </c>
      <c r="L10">
        <v>3</v>
      </c>
      <c r="O10" s="30" t="s">
        <v>44</v>
      </c>
      <c r="P10" s="31">
        <v>4</v>
      </c>
      <c r="Q10" s="31">
        <v>3</v>
      </c>
      <c r="R10" s="31">
        <v>0</v>
      </c>
      <c r="S10" s="32">
        <v>0</v>
      </c>
      <c r="V10" t="s">
        <v>102</v>
      </c>
      <c r="W10">
        <v>5.7000000000000002E-3</v>
      </c>
    </row>
    <row r="11" spans="1:24" x14ac:dyDescent="0.25">
      <c r="A11" s="73"/>
      <c r="B11" t="s">
        <v>46</v>
      </c>
      <c r="C11"/>
      <c r="D11">
        <v>62</v>
      </c>
      <c r="E11">
        <v>40</v>
      </c>
      <c r="F11"/>
      <c r="G11"/>
      <c r="H11" t="s">
        <v>46</v>
      </c>
      <c r="I11">
        <v>480</v>
      </c>
      <c r="J11">
        <v>400</v>
      </c>
      <c r="K11">
        <v>40</v>
      </c>
      <c r="L11">
        <v>30</v>
      </c>
      <c r="O11" s="27" t="s">
        <v>46</v>
      </c>
      <c r="P11" s="28">
        <v>62</v>
      </c>
      <c r="Q11" s="28">
        <v>40</v>
      </c>
      <c r="R11" s="28">
        <v>0</v>
      </c>
      <c r="S11" s="29">
        <v>0</v>
      </c>
      <c r="V11" t="s">
        <v>103</v>
      </c>
      <c r="W11">
        <v>3</v>
      </c>
    </row>
    <row r="12" spans="1:24" x14ac:dyDescent="0.25">
      <c r="A12" s="73"/>
      <c r="B12" t="s">
        <v>47</v>
      </c>
      <c r="C12"/>
      <c r="D12">
        <v>20</v>
      </c>
      <c r="E12">
        <v>25</v>
      </c>
      <c r="F12"/>
      <c r="G12"/>
      <c r="H12" t="s">
        <v>77</v>
      </c>
      <c r="I12">
        <v>24</v>
      </c>
      <c r="J12">
        <v>24</v>
      </c>
      <c r="K12">
        <v>10</v>
      </c>
      <c r="L12">
        <v>10</v>
      </c>
      <c r="O12" s="30" t="s">
        <v>88</v>
      </c>
      <c r="P12" s="31">
        <v>12</v>
      </c>
      <c r="Q12" s="31">
        <v>12</v>
      </c>
      <c r="R12" s="31">
        <v>0</v>
      </c>
      <c r="S12" s="32">
        <v>0</v>
      </c>
      <c r="V12" t="s">
        <v>104</v>
      </c>
      <c r="W12">
        <v>4732921.1880000001</v>
      </c>
    </row>
    <row r="13" spans="1:24" x14ac:dyDescent="0.25">
      <c r="A13" s="73"/>
      <c r="B13" t="s">
        <v>48</v>
      </c>
      <c r="C13"/>
      <c r="D13">
        <v>30</v>
      </c>
      <c r="E13">
        <v>30</v>
      </c>
      <c r="F13"/>
      <c r="G13"/>
      <c r="H13" t="s">
        <v>78</v>
      </c>
      <c r="I13">
        <v>240</v>
      </c>
      <c r="J13">
        <v>240</v>
      </c>
      <c r="K13">
        <v>10</v>
      </c>
      <c r="L13">
        <v>10</v>
      </c>
      <c r="O13" s="27" t="s">
        <v>89</v>
      </c>
      <c r="P13" s="28">
        <v>10</v>
      </c>
      <c r="Q13" s="28">
        <v>10</v>
      </c>
      <c r="R13" s="28">
        <v>5</v>
      </c>
      <c r="S13" s="29">
        <v>5</v>
      </c>
    </row>
    <row r="14" spans="1:24" x14ac:dyDescent="0.25">
      <c r="B14"/>
      <c r="C14"/>
      <c r="D14" t="s">
        <v>40</v>
      </c>
      <c r="E14" t="s">
        <v>41</v>
      </c>
      <c r="F14"/>
      <c r="G14"/>
      <c r="H14"/>
      <c r="I14"/>
      <c r="J14"/>
      <c r="K14"/>
      <c r="V14" s="5"/>
    </row>
    <row r="15" spans="1:24" x14ac:dyDescent="0.25">
      <c r="A15" s="74" t="s">
        <v>49</v>
      </c>
      <c r="B15" t="s">
        <v>43</v>
      </c>
      <c r="C15" t="s">
        <v>43</v>
      </c>
      <c r="D15">
        <v>2</v>
      </c>
      <c r="E15">
        <v>2</v>
      </c>
      <c r="F15"/>
      <c r="G15"/>
      <c r="H15"/>
      <c r="I15"/>
      <c r="J15"/>
      <c r="K15"/>
    </row>
    <row r="16" spans="1:24" x14ac:dyDescent="0.25">
      <c r="A16" s="74"/>
      <c r="B16" t="s">
        <v>44</v>
      </c>
      <c r="C16" t="s">
        <v>44</v>
      </c>
      <c r="D16">
        <v>8</v>
      </c>
      <c r="E16">
        <v>6</v>
      </c>
      <c r="F16"/>
      <c r="G16"/>
      <c r="H16" t="s">
        <v>85</v>
      </c>
      <c r="I16" s="58">
        <f>(I9*I11*5.5)/60+(I12*I9*5.5)/60+(I10*I9)+(I13*2*5.5)/60</f>
        <v>196.4</v>
      </c>
      <c r="J16" s="58">
        <f>(J9*J11*5.5)/60+(J12*J9*5.5)/60+(J10*J9)+(J13*2*5.5)/60</f>
        <v>171.73333333333335</v>
      </c>
      <c r="K16" s="57">
        <f>(K9*K11*5.5)/60+(K12*K9*5.5)/60+(K10*K9)+(K13*2*5.5)/60</f>
        <v>18.999999999999996</v>
      </c>
      <c r="L16" s="57">
        <f>(L9*L11*5.5)/60+(L12*L9*5.5)/60+(L10*L9)+(L13*2*5.5)/60</f>
        <v>15.166666666666666</v>
      </c>
      <c r="O16" t="s">
        <v>85</v>
      </c>
      <c r="P16">
        <f>(P9*P10)+(P11*C24*P9)/60+ (P12*P9*C24)/60+(P13*P9*C24)/60</f>
        <v>27.067999999999998</v>
      </c>
      <c r="Q16">
        <f>(Q9*Q10)+(Q11*D24*Q9)/60+ (Q12*Q9*D24)/60+(Q13*Q9*D24)/60</f>
        <v>15.423999999999998</v>
      </c>
      <c r="R16">
        <f>(R9*R10)+(R11*C24*R9)/60+ (R12*R9*C24)/60+(R13*R9*C24)/60</f>
        <v>1.135</v>
      </c>
      <c r="S16">
        <f>(S9*S10)+(S11*D24*S9)/60+ (S12*S9*D24)/60+(S13*S9*D24)/60</f>
        <v>0.7599999999999999</v>
      </c>
    </row>
    <row r="17" spans="1:37" x14ac:dyDescent="0.25">
      <c r="A17" s="74"/>
      <c r="B17" t="s">
        <v>45</v>
      </c>
      <c r="C17" t="s">
        <v>45</v>
      </c>
      <c r="D17">
        <v>0</v>
      </c>
      <c r="E17">
        <v>0</v>
      </c>
      <c r="F17"/>
      <c r="G17"/>
      <c r="H17" t="s">
        <v>86</v>
      </c>
      <c r="I17" s="58">
        <f>I16-K16</f>
        <v>177.4</v>
      </c>
      <c r="J17"/>
      <c r="K17"/>
      <c r="O17" t="s">
        <v>86</v>
      </c>
      <c r="P17">
        <f>P16-R16</f>
        <v>25.932999999999996</v>
      </c>
    </row>
    <row r="18" spans="1:37" x14ac:dyDescent="0.25">
      <c r="A18" s="74"/>
      <c r="B18" t="s">
        <v>46</v>
      </c>
      <c r="C18"/>
      <c r="D18">
        <v>62</v>
      </c>
      <c r="E18">
        <v>40</v>
      </c>
      <c r="F18"/>
      <c r="G18"/>
      <c r="H18" t="s">
        <v>87</v>
      </c>
      <c r="I18" s="58">
        <f>J16-L16</f>
        <v>156.56666666666669</v>
      </c>
      <c r="J18"/>
      <c r="K18"/>
      <c r="O18" t="s">
        <v>87</v>
      </c>
      <c r="P18">
        <f>Q16-S16</f>
        <v>14.663999999999998</v>
      </c>
    </row>
    <row r="19" spans="1:37" x14ac:dyDescent="0.25">
      <c r="A19" s="74"/>
      <c r="B19" t="s">
        <v>47</v>
      </c>
      <c r="C19"/>
      <c r="D19">
        <v>10</v>
      </c>
      <c r="E19">
        <v>10</v>
      </c>
      <c r="F19"/>
      <c r="G19"/>
      <c r="H19"/>
      <c r="I19"/>
      <c r="J19"/>
      <c r="K19"/>
    </row>
    <row r="20" spans="1:37" x14ac:dyDescent="0.25">
      <c r="A20" s="74"/>
      <c r="B20" t="s">
        <v>48</v>
      </c>
      <c r="C20"/>
      <c r="D20">
        <v>0</v>
      </c>
      <c r="E20">
        <v>0</v>
      </c>
      <c r="F20"/>
      <c r="G20"/>
      <c r="H20"/>
      <c r="I20"/>
      <c r="J20"/>
      <c r="K20"/>
    </row>
    <row r="21" spans="1:37" x14ac:dyDescent="0.25">
      <c r="B21"/>
      <c r="C21"/>
      <c r="D21"/>
      <c r="E21"/>
      <c r="F21"/>
      <c r="G21"/>
      <c r="H21"/>
      <c r="I21"/>
      <c r="J21"/>
      <c r="K21"/>
    </row>
    <row r="22" spans="1:37" x14ac:dyDescent="0.25">
      <c r="B22"/>
      <c r="C22"/>
      <c r="D22"/>
      <c r="E22"/>
      <c r="F22"/>
      <c r="G22"/>
      <c r="H22"/>
      <c r="I22"/>
      <c r="J22"/>
      <c r="K22"/>
    </row>
    <row r="23" spans="1:37" x14ac:dyDescent="0.25">
      <c r="B23"/>
      <c r="C23" t="s">
        <v>50</v>
      </c>
      <c r="D23" t="s">
        <v>41</v>
      </c>
      <c r="E23"/>
      <c r="F23"/>
      <c r="G23"/>
      <c r="H23">
        <v>2018</v>
      </c>
      <c r="I23">
        <v>2019</v>
      </c>
      <c r="J23">
        <v>2020</v>
      </c>
      <c r="K23">
        <v>2021</v>
      </c>
      <c r="L23">
        <v>2022</v>
      </c>
      <c r="M23">
        <v>2023</v>
      </c>
      <c r="N23">
        <v>2024</v>
      </c>
      <c r="O23">
        <v>2025</v>
      </c>
      <c r="P23">
        <v>2026</v>
      </c>
      <c r="Q23">
        <v>2027</v>
      </c>
    </row>
    <row r="24" spans="1:37" x14ac:dyDescent="0.25">
      <c r="B24" t="s">
        <v>51</v>
      </c>
      <c r="C24">
        <v>6.81</v>
      </c>
      <c r="D24">
        <v>4.5599999999999996</v>
      </c>
      <c r="E24"/>
      <c r="F24"/>
      <c r="G24"/>
      <c r="H24" s="20">
        <f>base!H22*1.25</f>
        <v>197296.25</v>
      </c>
      <c r="I24" s="20">
        <f>base!I22*1.25</f>
        <v>394593.75</v>
      </c>
      <c r="J24" s="20">
        <f>base!J22*1.25</f>
        <v>591890</v>
      </c>
      <c r="K24" s="20">
        <f>base!K22*1.25</f>
        <v>591890</v>
      </c>
      <c r="L24" s="20">
        <f>base!L22*1.25</f>
        <v>591890</v>
      </c>
      <c r="M24" s="20">
        <f>base!M22*1.25</f>
        <v>591890</v>
      </c>
      <c r="N24" s="20">
        <f>base!N22*1.25</f>
        <v>591890</v>
      </c>
      <c r="O24" s="20">
        <f>base!O22*1.25</f>
        <v>591890</v>
      </c>
      <c r="P24" s="20">
        <f>base!P22*1.25</f>
        <v>591890</v>
      </c>
      <c r="Q24" s="20">
        <f>base!Q22*1.25</f>
        <v>591890</v>
      </c>
    </row>
    <row r="25" spans="1:37" x14ac:dyDescent="0.25">
      <c r="B25"/>
      <c r="C25"/>
      <c r="D25"/>
      <c r="E25"/>
      <c r="F25"/>
      <c r="G25"/>
      <c r="H25"/>
      <c r="I25"/>
      <c r="J25"/>
      <c r="K25"/>
    </row>
    <row r="26" spans="1:37" x14ac:dyDescent="0.25">
      <c r="A26" s="73" t="s">
        <v>42</v>
      </c>
      <c r="B26" t="s">
        <v>52</v>
      </c>
      <c r="C26">
        <f>( D11+D12+D13)/60</f>
        <v>1.8666666666666667</v>
      </c>
      <c r="D26">
        <f xml:space="preserve"> (E11+E12+E13)/60</f>
        <v>1.5833333333333333</v>
      </c>
      <c r="E26"/>
      <c r="F26"/>
      <c r="G26"/>
      <c r="H26"/>
      <c r="I26"/>
      <c r="J26"/>
      <c r="K26"/>
    </row>
    <row r="27" spans="1:37" x14ac:dyDescent="0.25">
      <c r="A27" s="73"/>
      <c r="B27" t="s">
        <v>53</v>
      </c>
      <c r="C27">
        <f>(D9*D8)+D10</f>
        <v>22</v>
      </c>
      <c r="D27">
        <f>(E9*E8)+E10</f>
        <v>20</v>
      </c>
      <c r="E27"/>
      <c r="F27"/>
      <c r="G27"/>
      <c r="H27"/>
      <c r="I27"/>
      <c r="J27"/>
      <c r="K27"/>
      <c r="P27" t="s">
        <v>91</v>
      </c>
      <c r="Q27" t="s">
        <v>92</v>
      </c>
      <c r="R27" t="s">
        <v>93</v>
      </c>
      <c r="S27" t="s">
        <v>94</v>
      </c>
      <c r="T27" t="s">
        <v>95</v>
      </c>
      <c r="U27" t="s">
        <v>96</v>
      </c>
      <c r="V27" t="s">
        <v>97</v>
      </c>
      <c r="W27" t="s">
        <v>98</v>
      </c>
      <c r="X27" t="s">
        <v>99</v>
      </c>
      <c r="Y27" t="s">
        <v>100</v>
      </c>
    </row>
    <row r="28" spans="1:37" x14ac:dyDescent="0.25">
      <c r="A28" s="73"/>
      <c r="B28" t="s">
        <v>54</v>
      </c>
      <c r="C28">
        <f>(C26*C24)+C27</f>
        <v>34.712000000000003</v>
      </c>
      <c r="D28">
        <f>(D26*D24)+D27</f>
        <v>27.22</v>
      </c>
      <c r="E28"/>
      <c r="F28"/>
      <c r="G28"/>
      <c r="H28"/>
      <c r="I28"/>
      <c r="J28"/>
      <c r="K28"/>
      <c r="O28" s="20"/>
      <c r="P28" s="20">
        <f>base!H39*1.25</f>
        <v>319332.5</v>
      </c>
      <c r="Q28" s="20">
        <f>base!I39*1.25</f>
        <v>324185</v>
      </c>
      <c r="R28" s="20">
        <f>base!J39*1.25</f>
        <v>328586.25</v>
      </c>
      <c r="S28" s="20">
        <f>base!K39*1.25</f>
        <v>332957.5</v>
      </c>
      <c r="T28" s="20">
        <f>base!L39*1.25</f>
        <v>337292.5</v>
      </c>
      <c r="U28" s="20">
        <f>base!M39*1.25</f>
        <v>341592.5</v>
      </c>
      <c r="V28" s="20">
        <f>base!N39*1.25</f>
        <v>345861.25</v>
      </c>
      <c r="W28" s="20">
        <f>base!O39*1.25</f>
        <v>350095</v>
      </c>
      <c r="X28" s="20">
        <f>base!P39*1.25</f>
        <v>354277.5</v>
      </c>
      <c r="Y28" s="20">
        <f>base!Q39*1.25</f>
        <v>358397.5</v>
      </c>
    </row>
    <row r="29" spans="1:37" x14ac:dyDescent="0.25">
      <c r="B29"/>
      <c r="C29"/>
      <c r="D29"/>
      <c r="E29"/>
      <c r="F29"/>
      <c r="G29"/>
      <c r="H29"/>
      <c r="I29"/>
      <c r="J29"/>
      <c r="K29"/>
      <c r="O29" s="20"/>
    </row>
    <row r="30" spans="1:37" x14ac:dyDescent="0.25">
      <c r="B30"/>
      <c r="C30"/>
      <c r="D30"/>
      <c r="E30"/>
      <c r="F30"/>
      <c r="G30"/>
      <c r="H30" s="20"/>
      <c r="I30"/>
      <c r="J30"/>
      <c r="K30"/>
      <c r="O30" s="20"/>
    </row>
    <row r="31" spans="1:37" x14ac:dyDescent="0.25">
      <c r="A31" s="72" t="s">
        <v>55</v>
      </c>
      <c r="B31" t="s">
        <v>52</v>
      </c>
      <c r="C31">
        <f>(D18+D19+D20)/60</f>
        <v>1.2</v>
      </c>
      <c r="D31">
        <f>( E19+E20+E18)/60</f>
        <v>0.83333333333333337</v>
      </c>
      <c r="E31"/>
      <c r="F31"/>
      <c r="G31"/>
      <c r="H31" s="20"/>
      <c r="I31"/>
      <c r="J31"/>
      <c r="K31"/>
      <c r="O31" s="20"/>
      <c r="AB31" t="s">
        <v>91</v>
      </c>
      <c r="AC31" t="s">
        <v>92</v>
      </c>
      <c r="AD31" t="s">
        <v>93</v>
      </c>
      <c r="AE31" t="s">
        <v>94</v>
      </c>
      <c r="AF31" t="s">
        <v>95</v>
      </c>
      <c r="AG31" t="s">
        <v>96</v>
      </c>
      <c r="AH31" t="s">
        <v>97</v>
      </c>
      <c r="AI31" t="s">
        <v>98</v>
      </c>
      <c r="AJ31" t="s">
        <v>99</v>
      </c>
      <c r="AK31" t="s">
        <v>100</v>
      </c>
    </row>
    <row r="32" spans="1:37" x14ac:dyDescent="0.25">
      <c r="A32" s="72"/>
      <c r="B32" t="s">
        <v>53</v>
      </c>
      <c r="C32">
        <f>D16*D15</f>
        <v>16</v>
      </c>
      <c r="D32">
        <f xml:space="preserve"> E16*E15</f>
        <v>12</v>
      </c>
      <c r="E32"/>
      <c r="F32"/>
      <c r="G32"/>
      <c r="H32" s="20"/>
      <c r="I32"/>
      <c r="J32"/>
      <c r="K32"/>
      <c r="O32" s="20"/>
      <c r="Z32" s="20"/>
      <c r="AA32" t="s">
        <v>105</v>
      </c>
      <c r="AB32" s="20">
        <v>6006579</v>
      </c>
      <c r="AC32" s="20">
        <v>6085323</v>
      </c>
      <c r="AD32" s="20">
        <v>6163428</v>
      </c>
      <c r="AE32" s="20">
        <v>6241146</v>
      </c>
      <c r="AF32" s="20">
        <v>6318183</v>
      </c>
      <c r="AG32" s="20">
        <v>6394545</v>
      </c>
      <c r="AH32" s="20">
        <v>6470333</v>
      </c>
      <c r="AI32" s="20">
        <v>6545453</v>
      </c>
      <c r="AJ32" s="20">
        <v>6619656</v>
      </c>
      <c r="AK32" s="20">
        <v>6692706</v>
      </c>
    </row>
    <row r="33" spans="1:37" x14ac:dyDescent="0.25">
      <c r="A33" s="72"/>
      <c r="B33" t="s">
        <v>54</v>
      </c>
      <c r="C33">
        <f>(C31*C24)+C32</f>
        <v>24.171999999999997</v>
      </c>
      <c r="D33">
        <f>( D31*D24)+D32</f>
        <v>15.8</v>
      </c>
      <c r="E33"/>
      <c r="F33"/>
      <c r="G33"/>
      <c r="H33" s="20"/>
      <c r="I33"/>
      <c r="J33"/>
      <c r="K33"/>
      <c r="O33" s="20"/>
      <c r="Z33" s="20"/>
      <c r="AA33" t="s">
        <v>106</v>
      </c>
      <c r="AB33" s="20">
        <f>base!T18*1.25</f>
        <v>127715</v>
      </c>
      <c r="AC33" s="20">
        <f>base!U18*1.25</f>
        <v>129388.75</v>
      </c>
      <c r="AD33" s="20">
        <f>base!V18*1.25</f>
        <v>131050</v>
      </c>
      <c r="AE33" s="20">
        <f>base!W18*1.25</f>
        <v>132702.5</v>
      </c>
      <c r="AF33" s="20">
        <f>base!X18*1.25</f>
        <v>134340</v>
      </c>
      <c r="AG33" s="20">
        <f>base!Y18*1.25</f>
        <v>135963.75</v>
      </c>
      <c r="AH33" s="20">
        <f>base!Z18*1.25</f>
        <v>137575</v>
      </c>
      <c r="AI33" s="20">
        <f>base!AA18*1.25</f>
        <v>139172.5</v>
      </c>
      <c r="AJ33" s="20">
        <f>base!AB18*1.25</f>
        <v>140750</v>
      </c>
      <c r="AK33" s="20">
        <f>base!AC18*1.25</f>
        <v>142303.75</v>
      </c>
    </row>
    <row r="34" spans="1:37" x14ac:dyDescent="0.25">
      <c r="B34"/>
      <c r="C34"/>
      <c r="D34"/>
      <c r="E34"/>
      <c r="F34"/>
      <c r="G34"/>
      <c r="H34" s="20"/>
      <c r="I34"/>
      <c r="J34"/>
      <c r="K34"/>
      <c r="O34" s="20"/>
      <c r="Z34" s="20"/>
    </row>
    <row r="35" spans="1:37" x14ac:dyDescent="0.25">
      <c r="B35"/>
      <c r="C35"/>
      <c r="D35"/>
      <c r="E35"/>
      <c r="F35"/>
      <c r="G35"/>
      <c r="H35" s="20"/>
      <c r="I35"/>
      <c r="J35"/>
      <c r="K35"/>
      <c r="O35" s="20"/>
      <c r="Z35" s="20"/>
    </row>
    <row r="36" spans="1:37" x14ac:dyDescent="0.25">
      <c r="A36" s="66" t="s">
        <v>56</v>
      </c>
      <c r="B36" s="66"/>
      <c r="C36">
        <f>C28-C33</f>
        <v>10.540000000000006</v>
      </c>
      <c r="D36">
        <f>D28-D33</f>
        <v>11.419999999999998</v>
      </c>
      <c r="E36"/>
      <c r="F36"/>
      <c r="G36"/>
      <c r="H36" s="20"/>
      <c r="I36"/>
      <c r="J36"/>
      <c r="K36"/>
      <c r="O36" s="20"/>
      <c r="Z36" s="20"/>
    </row>
    <row r="37" spans="1:37" x14ac:dyDescent="0.25">
      <c r="B37" t="s">
        <v>57</v>
      </c>
      <c r="C37">
        <f>C41*0.75</f>
        <v>850757.25</v>
      </c>
      <c r="D37">
        <f>C41*0.35</f>
        <v>397020.05</v>
      </c>
      <c r="E37"/>
      <c r="F37"/>
      <c r="G37"/>
      <c r="H37" s="20"/>
      <c r="I37"/>
      <c r="J37"/>
      <c r="K37"/>
      <c r="O37" s="20"/>
      <c r="Z37" s="20"/>
    </row>
    <row r="38" spans="1:37" x14ac:dyDescent="0.25">
      <c r="B38" t="s">
        <v>58</v>
      </c>
      <c r="C38" s="5">
        <f>C36*C37</f>
        <v>8966981.4150000047</v>
      </c>
      <c r="D38" s="5">
        <f>D36*D37</f>
        <v>4533968.970999999</v>
      </c>
      <c r="E38" s="19">
        <f>C38+D38</f>
        <v>13500950.386000004</v>
      </c>
      <c r="F38"/>
      <c r="G38"/>
      <c r="H38" s="20"/>
      <c r="I38"/>
      <c r="J38"/>
      <c r="K38"/>
      <c r="Z38" s="20"/>
    </row>
    <row r="39" spans="1:37" x14ac:dyDescent="0.25">
      <c r="B39" t="s">
        <v>57</v>
      </c>
      <c r="C39">
        <v>557315</v>
      </c>
      <c r="D39"/>
      <c r="E39"/>
      <c r="F39"/>
      <c r="G39"/>
      <c r="H39" s="20"/>
      <c r="I39"/>
      <c r="J39"/>
      <c r="K39"/>
      <c r="Z39" s="20"/>
    </row>
    <row r="40" spans="1:37" x14ac:dyDescent="0.25">
      <c r="B40"/>
      <c r="C40">
        <v>577028</v>
      </c>
      <c r="D40"/>
      <c r="E40"/>
      <c r="F40"/>
      <c r="G40"/>
      <c r="H40"/>
      <c r="I40"/>
      <c r="J40"/>
      <c r="K40"/>
      <c r="Z40" s="20"/>
    </row>
    <row r="41" spans="1:37" x14ac:dyDescent="0.25">
      <c r="B41"/>
      <c r="C41">
        <f>C39+C40</f>
        <v>1134343</v>
      </c>
      <c r="D41"/>
      <c r="E41"/>
      <c r="F41"/>
      <c r="G41"/>
      <c r="H41"/>
      <c r="I41"/>
      <c r="J41"/>
      <c r="K41"/>
    </row>
    <row r="42" spans="1:37" x14ac:dyDescent="0.25">
      <c r="B42"/>
      <c r="C42"/>
      <c r="D42"/>
      <c r="E42"/>
      <c r="F42"/>
      <c r="G42"/>
      <c r="H42"/>
      <c r="I42"/>
      <c r="J42"/>
      <c r="K42"/>
      <c r="Z42" s="20"/>
    </row>
    <row r="43" spans="1:37" x14ac:dyDescent="0.25">
      <c r="B43"/>
      <c r="C43"/>
      <c r="D43"/>
      <c r="E43"/>
      <c r="F43"/>
      <c r="G43"/>
      <c r="H43"/>
      <c r="I43"/>
      <c r="J43"/>
      <c r="K43"/>
      <c r="Z43" s="20"/>
    </row>
    <row r="44" spans="1:37" x14ac:dyDescent="0.25">
      <c r="B44" t="s">
        <v>59</v>
      </c>
      <c r="C44" t="s">
        <v>60</v>
      </c>
      <c r="D44" t="s">
        <v>61</v>
      </c>
      <c r="E44" t="s">
        <v>62</v>
      </c>
      <c r="F44" t="s">
        <v>63</v>
      </c>
      <c r="G44" t="s">
        <v>64</v>
      </c>
      <c r="H44" t="s">
        <v>65</v>
      </c>
      <c r="I44" t="s">
        <v>66</v>
      </c>
      <c r="J44" t="s">
        <v>67</v>
      </c>
      <c r="K44" t="s">
        <v>68</v>
      </c>
      <c r="L44" t="s">
        <v>69</v>
      </c>
      <c r="M44" t="s">
        <v>70</v>
      </c>
      <c r="N44" t="s">
        <v>71</v>
      </c>
      <c r="O44" t="s">
        <v>72</v>
      </c>
      <c r="P44" t="s">
        <v>73</v>
      </c>
      <c r="Q44" t="s">
        <v>74</v>
      </c>
      <c r="Z44" s="20"/>
    </row>
    <row r="45" spans="1:37" x14ac:dyDescent="0.25">
      <c r="B45" s="20" t="s">
        <v>75</v>
      </c>
      <c r="C45" s="20">
        <v>569385</v>
      </c>
      <c r="D45" s="20">
        <v>566198</v>
      </c>
      <c r="E45" s="20">
        <v>563692</v>
      </c>
      <c r="F45" s="20">
        <v>561564</v>
      </c>
      <c r="G45" s="20">
        <v>559536</v>
      </c>
      <c r="H45" s="20">
        <v>557315</v>
      </c>
      <c r="I45" s="20">
        <v>554901</v>
      </c>
      <c r="J45" s="20">
        <v>552485</v>
      </c>
      <c r="K45" s="20">
        <v>550071</v>
      </c>
      <c r="L45" s="20">
        <v>547667</v>
      </c>
      <c r="M45" s="20">
        <v>545273</v>
      </c>
      <c r="N45" s="20">
        <v>542919</v>
      </c>
      <c r="O45" s="20">
        <v>540575</v>
      </c>
      <c r="P45" s="20">
        <v>538241</v>
      </c>
      <c r="Q45" s="20">
        <v>535917</v>
      </c>
      <c r="Z45" s="20"/>
    </row>
    <row r="46" spans="1:37" x14ac:dyDescent="0.25">
      <c r="B46" s="20" t="s">
        <v>76</v>
      </c>
      <c r="C46" s="20">
        <f>Table3[[#This Row],[2015]]*1.25</f>
        <v>721720</v>
      </c>
      <c r="D46" s="20">
        <f>Table3[[#This Row],[2016]]*1.25</f>
        <v>721343.75</v>
      </c>
      <c r="E46" s="20">
        <f>Table3[[#This Row],[2017]]*1.25</f>
        <v>721155</v>
      </c>
      <c r="F46" s="20">
        <f>Table3[[#This Row],[2018]]*1.25</f>
        <v>721111.25</v>
      </c>
      <c r="G46" s="20">
        <f>Table3[[#This Row],[2019]]*1.25</f>
        <v>721167.5</v>
      </c>
      <c r="H46" s="20">
        <f>Table3[[#This Row],[2020]]*1.25</f>
        <v>721285</v>
      </c>
      <c r="I46" s="20">
        <f>Table3[[#This Row],[2021]]*1.25</f>
        <v>721895</v>
      </c>
      <c r="J46" s="20">
        <f>Table3[[#This Row],[2022]]*1.25</f>
        <v>723030</v>
      </c>
      <c r="K46" s="20">
        <f>Table3[[#This Row],[2023]]*1.25</f>
        <v>724033.75</v>
      </c>
      <c r="L46" s="20">
        <f>Table3[[#This Row],[2024]]*1.25</f>
        <v>724255</v>
      </c>
      <c r="M46" s="20">
        <f>Table3[[#This Row],[2025]]*1.25</f>
        <v>723037.5</v>
      </c>
      <c r="N46" s="20">
        <f>Table3[[#This Row],[2026]]*1.25</f>
        <v>723170</v>
      </c>
      <c r="O46" s="20">
        <f>Table3[[#This Row],[2027]]*1.25</f>
        <v>723301.25</v>
      </c>
      <c r="P46" s="20">
        <f>Table3[[#This Row],[2028]]*1.25</f>
        <v>723433.75</v>
      </c>
      <c r="Q46" s="20">
        <f>Table3[[#This Row],[2029]]*1.25</f>
        <v>723566.25</v>
      </c>
      <c r="Z46" s="20"/>
    </row>
    <row r="47" spans="1:37" x14ac:dyDescent="0.25">
      <c r="B47" s="20"/>
      <c r="C47"/>
      <c r="D47"/>
      <c r="E47"/>
      <c r="F47"/>
      <c r="G47"/>
      <c r="H47"/>
      <c r="I47"/>
      <c r="J47"/>
      <c r="K47"/>
      <c r="Z47" s="20"/>
    </row>
    <row r="48" spans="1:37" ht="15" customHeight="1" x14ac:dyDescent="0.25">
      <c r="E48" s="4"/>
      <c r="F48" s="14" t="s">
        <v>28</v>
      </c>
      <c r="G48" s="14" t="s">
        <v>29</v>
      </c>
      <c r="H48" s="14" t="s">
        <v>3</v>
      </c>
      <c r="Z48" s="20"/>
    </row>
    <row r="49" spans="1:26" ht="15" customHeight="1" x14ac:dyDescent="0.25">
      <c r="A49" t="s">
        <v>6</v>
      </c>
      <c r="B49" s="1">
        <v>0.3</v>
      </c>
      <c r="E49" s="14" t="s">
        <v>30</v>
      </c>
      <c r="F49" s="4">
        <v>40000000</v>
      </c>
      <c r="G49" s="4">
        <v>23748642</v>
      </c>
      <c r="H49" s="4">
        <f>F49+G49</f>
        <v>63748642</v>
      </c>
      <c r="Z49" s="20"/>
    </row>
    <row r="50" spans="1:26" ht="15" customHeight="1" x14ac:dyDescent="0.25">
      <c r="A50" t="s">
        <v>2</v>
      </c>
      <c r="B50" s="2">
        <v>0.12</v>
      </c>
      <c r="E50" s="14" t="s">
        <v>31</v>
      </c>
      <c r="F50" s="4">
        <v>21500000</v>
      </c>
      <c r="G50" s="4">
        <v>14761475</v>
      </c>
      <c r="H50" s="4">
        <f t="shared" ref="H50:H52" si="0">F50+G50</f>
        <v>36261475</v>
      </c>
      <c r="Z50" s="20"/>
    </row>
    <row r="51" spans="1:26" ht="15" customHeight="1" x14ac:dyDescent="0.25">
      <c r="A51" t="s">
        <v>17</v>
      </c>
      <c r="B51" s="5">
        <f>23748642+14761475</f>
        <v>38510117</v>
      </c>
      <c r="E51" s="14" t="s">
        <v>32</v>
      </c>
      <c r="F51" s="4">
        <v>3440457</v>
      </c>
      <c r="G51" s="4">
        <v>860114</v>
      </c>
      <c r="H51" s="4">
        <f t="shared" si="0"/>
        <v>4300571</v>
      </c>
      <c r="Z51" s="20"/>
    </row>
    <row r="52" spans="1:26" ht="15" customHeight="1" x14ac:dyDescent="0.25">
      <c r="A52" t="s">
        <v>25</v>
      </c>
      <c r="B52" s="5">
        <f>40000000+21500000</f>
        <v>61500000</v>
      </c>
      <c r="E52" s="14" t="s">
        <v>3</v>
      </c>
      <c r="F52" s="4">
        <f>SUM(F49:F51)</f>
        <v>64940457</v>
      </c>
      <c r="G52" s="4">
        <f>SUM(G49:G51)</f>
        <v>39370231</v>
      </c>
      <c r="H52" s="15">
        <f t="shared" si="0"/>
        <v>104310688</v>
      </c>
    </row>
    <row r="53" spans="1:26" ht="15" customHeight="1" x14ac:dyDescent="0.25">
      <c r="A53" t="s">
        <v>27</v>
      </c>
      <c r="B53" s="5">
        <f>B51+B52</f>
        <v>100010117</v>
      </c>
    </row>
    <row r="54" spans="1:26" ht="15" customHeight="1" x14ac:dyDescent="0.25"/>
    <row r="55" spans="1:26" ht="15" customHeight="1" x14ac:dyDescent="0.25">
      <c r="B55" s="2"/>
    </row>
    <row r="56" spans="1:26" ht="15" customHeight="1" x14ac:dyDescent="0.25">
      <c r="B56" s="1" t="s">
        <v>1</v>
      </c>
    </row>
    <row r="57" spans="1:26" ht="15" customHeight="1" x14ac:dyDescent="0.25">
      <c r="A57" s="8" t="s">
        <v>26</v>
      </c>
      <c r="B57" s="9">
        <v>1</v>
      </c>
      <c r="C57" s="9">
        <v>2</v>
      </c>
      <c r="D57" s="9">
        <v>3</v>
      </c>
      <c r="E57" s="9">
        <v>4</v>
      </c>
      <c r="F57" s="9">
        <v>5</v>
      </c>
      <c r="G57" s="9">
        <v>6</v>
      </c>
      <c r="H57" s="9">
        <v>7</v>
      </c>
      <c r="I57" s="9">
        <v>8</v>
      </c>
      <c r="J57" s="9">
        <v>9</v>
      </c>
      <c r="K57" s="9">
        <v>10</v>
      </c>
    </row>
    <row r="58" spans="1:26" x14ac:dyDescent="0.25">
      <c r="A58" s="3" t="s">
        <v>39</v>
      </c>
      <c r="B58" s="4">
        <f>($C$36*E45)*0.75+ ($D$36*E45)*0.25+ ($C$36*E46)*0.75+ ($D$36*E46)*0.25</f>
        <v>13824953.720000006</v>
      </c>
      <c r="C58" s="4">
        <f t="shared" ref="C58:K58" si="1">($C$36*F45)*0.75+ ($D$36*F45)*0.25+ ($C$36*F46)*0.75+ ($D$36*F46)*0.25</f>
        <v>13801585.690000007</v>
      </c>
      <c r="D58" s="4">
        <f t="shared" si="1"/>
        <v>13780369.660000006</v>
      </c>
      <c r="E58" s="4">
        <f t="shared" si="1"/>
        <v>13757736.000000004</v>
      </c>
      <c r="F58" s="4">
        <f t="shared" si="1"/>
        <v>13738324.960000006</v>
      </c>
      <c r="G58" s="4">
        <f t="shared" si="1"/>
        <v>13724541.400000008</v>
      </c>
      <c r="H58" s="4">
        <f t="shared" si="1"/>
        <v>13709367.110000005</v>
      </c>
      <c r="I58" s="4">
        <f>($C$36*L45)*0.75+ ($D$36*L45)*0.25+ ($C$36*L46)*0.75+ ($D$36*L46)*0.25</f>
        <v>13685880.720000006</v>
      </c>
      <c r="J58" s="4">
        <f t="shared" si="1"/>
        <v>13647020.980000008</v>
      </c>
      <c r="K58" s="4">
        <f t="shared" si="1"/>
        <v>13623117.640000004</v>
      </c>
    </row>
    <row r="59" spans="1:26" x14ac:dyDescent="0.25">
      <c r="A59" s="39" t="s">
        <v>114</v>
      </c>
      <c r="B59" s="4">
        <f>+base!B59*1.25</f>
        <v>35692500</v>
      </c>
      <c r="C59" s="4">
        <f>+base!C59*1.25</f>
        <v>64098750</v>
      </c>
      <c r="D59" s="4">
        <f>+base!D59*1.25</f>
        <v>92623750</v>
      </c>
      <c r="E59" s="4">
        <f>+base!E59*1.25</f>
        <v>92691250</v>
      </c>
      <c r="F59" s="4">
        <f>+base!F59*1.25</f>
        <v>92758750</v>
      </c>
      <c r="G59" s="4">
        <f>+base!G59*1.25</f>
        <v>92825000</v>
      </c>
      <c r="H59" s="4">
        <f>+base!H59*1.25</f>
        <v>92891250</v>
      </c>
      <c r="I59" s="4">
        <f>+base!I59*1.25</f>
        <v>92956250</v>
      </c>
      <c r="J59" s="4">
        <f>+base!J59*1.25</f>
        <v>93020000</v>
      </c>
      <c r="K59" s="4">
        <f>+base!K59*1.25</f>
        <v>93082500</v>
      </c>
    </row>
    <row r="60" spans="1:26" x14ac:dyDescent="0.25">
      <c r="A60" s="3" t="s">
        <v>22</v>
      </c>
      <c r="B60" s="4">
        <f>($P$17*P28)*0.75+($P$18*P28)*0.25</f>
        <v>7381610.2368749995</v>
      </c>
      <c r="C60" s="4">
        <f t="shared" ref="C60:K60" si="2">($P$17*Q28)*0.75+($P$18*Q28)*0.25</f>
        <v>7493779.4137499994</v>
      </c>
      <c r="D60" s="4">
        <f t="shared" si="2"/>
        <v>7595517.6084375</v>
      </c>
      <c r="E60" s="4">
        <f t="shared" si="2"/>
        <v>7696562.3306249995</v>
      </c>
      <c r="F60" s="4">
        <f t="shared" si="2"/>
        <v>7796769.1068749987</v>
      </c>
      <c r="G60" s="4">
        <f t="shared" si="2"/>
        <v>7896166.8318749983</v>
      </c>
      <c r="H60" s="4">
        <f t="shared" si="2"/>
        <v>7994842.1896874979</v>
      </c>
      <c r="I60" s="4">
        <f t="shared" si="2"/>
        <v>8092708.496249998</v>
      </c>
      <c r="J60" s="4">
        <f t="shared" si="2"/>
        <v>8189390.1206249986</v>
      </c>
      <c r="K60" s="4">
        <f t="shared" si="2"/>
        <v>8284627.0106249973</v>
      </c>
    </row>
    <row r="61" spans="1:26" ht="15" customHeight="1" x14ac:dyDescent="0.25">
      <c r="A61" s="3" t="s">
        <v>23</v>
      </c>
      <c r="B61" s="4">
        <f>$W$9*AB33</f>
        <v>759904.24999999988</v>
      </c>
      <c r="C61" s="4">
        <f t="shared" ref="C61:K61" si="3">$W$9*AC33</f>
        <v>769863.06249999988</v>
      </c>
      <c r="D61" s="4">
        <f t="shared" si="3"/>
        <v>779747.49999999988</v>
      </c>
      <c r="E61" s="4">
        <f t="shared" si="3"/>
        <v>789579.87499999988</v>
      </c>
      <c r="F61" s="4">
        <f t="shared" si="3"/>
        <v>799322.99999999988</v>
      </c>
      <c r="G61" s="4">
        <f t="shared" si="3"/>
        <v>808984.31249999988</v>
      </c>
      <c r="H61" s="4">
        <f t="shared" si="3"/>
        <v>818571.24999999988</v>
      </c>
      <c r="I61" s="4">
        <f t="shared" si="3"/>
        <v>828076.37499999988</v>
      </c>
      <c r="J61" s="4">
        <f t="shared" si="3"/>
        <v>837462.49999999988</v>
      </c>
      <c r="K61" s="4">
        <f t="shared" si="3"/>
        <v>846707.31249999988</v>
      </c>
    </row>
    <row r="62" spans="1:26" ht="15" customHeight="1" x14ac:dyDescent="0.25">
      <c r="A62" s="3" t="s">
        <v>121</v>
      </c>
      <c r="B62" s="4">
        <v>947145.89456000004</v>
      </c>
      <c r="C62" s="4">
        <v>959561.76828000008</v>
      </c>
      <c r="D62" s="4">
        <v>971880.85902000009</v>
      </c>
      <c r="E62" s="4">
        <v>984130.81906000001</v>
      </c>
      <c r="F62" s="4">
        <v>996283.99612000003</v>
      </c>
      <c r="G62" s="4">
        <v>1008326.56406</v>
      </c>
      <c r="H62" s="4">
        <v>1020272.3490200001</v>
      </c>
      <c r="I62" s="4">
        <v>1032121.351</v>
      </c>
      <c r="J62" s="4">
        <v>1043818.26544</v>
      </c>
      <c r="K62" s="4">
        <v>1055335.4400599999</v>
      </c>
    </row>
    <row r="63" spans="1:26" ht="15" customHeight="1" x14ac:dyDescent="0.25">
      <c r="A63" s="3" t="s">
        <v>4</v>
      </c>
      <c r="B63" s="4">
        <f>SUM(B58:B62)</f>
        <v>58606114.101435006</v>
      </c>
      <c r="C63" s="4">
        <f t="shared" ref="C63:K63" si="4">SUM(C58:C62)</f>
        <v>87123539.934530005</v>
      </c>
      <c r="D63" s="4">
        <f t="shared" si="4"/>
        <v>115751265.6274575</v>
      </c>
      <c r="E63" s="4">
        <f t="shared" si="4"/>
        <v>115919259.024685</v>
      </c>
      <c r="F63" s="4">
        <f t="shared" si="4"/>
        <v>116089451.06299502</v>
      </c>
      <c r="G63" s="4">
        <f t="shared" si="4"/>
        <v>116263019.108435</v>
      </c>
      <c r="H63" s="4">
        <f t="shared" si="4"/>
        <v>116434302.89870751</v>
      </c>
      <c r="I63" s="4">
        <f t="shared" si="4"/>
        <v>116595036.94225</v>
      </c>
      <c r="J63" s="4">
        <f t="shared" si="4"/>
        <v>116737691.86606501</v>
      </c>
      <c r="K63" s="4">
        <f t="shared" si="4"/>
        <v>116892287.403185</v>
      </c>
    </row>
    <row r="64" spans="1:26" ht="15" customHeight="1" x14ac:dyDescent="0.25">
      <c r="A64" s="3" t="s">
        <v>5</v>
      </c>
      <c r="B64" s="4">
        <f>B63*$B$49</f>
        <v>17581834.230430502</v>
      </c>
      <c r="C64" s="4">
        <f t="shared" ref="C64:K64" si="5">C63*$B$49</f>
        <v>26137061.980358999</v>
      </c>
      <c r="D64" s="4">
        <f t="shared" si="5"/>
        <v>34725379.68823725</v>
      </c>
      <c r="E64" s="4">
        <f t="shared" si="5"/>
        <v>34775777.7074055</v>
      </c>
      <c r="F64" s="4">
        <f t="shared" si="5"/>
        <v>34826835.318898506</v>
      </c>
      <c r="G64" s="4">
        <f t="shared" si="5"/>
        <v>34878905.732530497</v>
      </c>
      <c r="H64" s="4">
        <f t="shared" si="5"/>
        <v>34930290.869612254</v>
      </c>
      <c r="I64" s="4">
        <f t="shared" si="5"/>
        <v>34978511.082674995</v>
      </c>
      <c r="J64" s="4">
        <f t="shared" si="5"/>
        <v>35021307.559819505</v>
      </c>
      <c r="K64" s="4">
        <f t="shared" si="5"/>
        <v>35067686.220955499</v>
      </c>
    </row>
    <row r="65" spans="1:11" ht="15" customHeight="1" x14ac:dyDescent="0.25">
      <c r="A65" s="3" t="s">
        <v>8</v>
      </c>
      <c r="B65" s="4">
        <f t="shared" ref="B65:K65" si="6">B64/(1+$B$50)^B57</f>
        <v>15698066.27717009</v>
      </c>
      <c r="C65" s="4">
        <f t="shared" si="6"/>
        <v>20836305.78791374</v>
      </c>
      <c r="D65" s="4">
        <f t="shared" si="6"/>
        <v>24716839.359908294</v>
      </c>
      <c r="E65" s="4">
        <f t="shared" si="6"/>
        <v>22100635.423643909</v>
      </c>
      <c r="F65" s="4">
        <f t="shared" si="6"/>
        <v>19761681.659632038</v>
      </c>
      <c r="G65" s="4">
        <f t="shared" si="6"/>
        <v>17670739.116710003</v>
      </c>
      <c r="H65" s="4">
        <f t="shared" si="6"/>
        <v>15800689.666358557</v>
      </c>
      <c r="I65" s="4">
        <f t="shared" si="6"/>
        <v>14127233.965982914</v>
      </c>
      <c r="J65" s="4">
        <f t="shared" si="6"/>
        <v>12629034.594034093</v>
      </c>
      <c r="K65" s="4">
        <f t="shared" si="6"/>
        <v>11290856.432307996</v>
      </c>
    </row>
    <row r="66" spans="1:11" ht="15" customHeight="1" x14ac:dyDescent="0.25">
      <c r="A66" s="3" t="s">
        <v>13</v>
      </c>
      <c r="B66" s="4">
        <f>SUM(B65:K65)</f>
        <v>174632082.28366163</v>
      </c>
      <c r="C66" s="35"/>
      <c r="D66" s="4"/>
      <c r="E66" s="4"/>
      <c r="F66" s="4"/>
      <c r="G66" s="4"/>
      <c r="H66" s="4"/>
      <c r="I66" s="4"/>
      <c r="J66" s="4"/>
      <c r="K66" s="4"/>
    </row>
    <row r="67" spans="1:11" ht="15" customHeight="1" x14ac:dyDescent="0.25">
      <c r="A67" s="8" t="s">
        <v>19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ht="15" customHeight="1" x14ac:dyDescent="0.25">
      <c r="A68" s="3" t="s">
        <v>36</v>
      </c>
      <c r="B68" s="4">
        <f>($F$49+$F$50)/5</f>
        <v>12300000</v>
      </c>
      <c r="C68" s="4">
        <f t="shared" ref="C68:F68" si="7">($F$49+$F$50)/5</f>
        <v>12300000</v>
      </c>
      <c r="D68" s="4">
        <f t="shared" si="7"/>
        <v>12300000</v>
      </c>
      <c r="E68" s="4">
        <f t="shared" si="7"/>
        <v>12300000</v>
      </c>
      <c r="F68" s="4">
        <f t="shared" si="7"/>
        <v>12300000</v>
      </c>
      <c r="G68" s="4">
        <v>0</v>
      </c>
      <c r="H68" s="4"/>
      <c r="I68" s="4"/>
      <c r="J68" s="4"/>
      <c r="K68" s="4"/>
    </row>
    <row r="69" spans="1:11" ht="15" customHeight="1" x14ac:dyDescent="0.25">
      <c r="A69" s="3" t="s">
        <v>34</v>
      </c>
      <c r="B69" s="4">
        <v>8966134</v>
      </c>
      <c r="C69" s="4">
        <v>8966134</v>
      </c>
      <c r="D69" s="4">
        <v>8966134</v>
      </c>
      <c r="E69" s="4">
        <v>8076534</v>
      </c>
      <c r="F69" s="4">
        <v>8076534</v>
      </c>
      <c r="G69" s="4">
        <v>8076534</v>
      </c>
      <c r="H69" s="4">
        <v>8076534</v>
      </c>
      <c r="I69" s="4">
        <v>8076534</v>
      </c>
      <c r="J69" s="4">
        <v>8076534</v>
      </c>
      <c r="K69" s="4">
        <v>8076534</v>
      </c>
    </row>
    <row r="70" spans="1:11" x14ac:dyDescent="0.25">
      <c r="A70" s="3" t="s">
        <v>16</v>
      </c>
      <c r="B70" s="4">
        <f>B69*$B$49</f>
        <v>2689840.1999999997</v>
      </c>
      <c r="C70" s="4">
        <f t="shared" ref="C70:K70" si="8">C69*$B$49</f>
        <v>2689840.1999999997</v>
      </c>
      <c r="D70" s="4">
        <f t="shared" si="8"/>
        <v>2689840.1999999997</v>
      </c>
      <c r="E70" s="4">
        <f t="shared" si="8"/>
        <v>2422960.1999999997</v>
      </c>
      <c r="F70" s="4">
        <f t="shared" si="8"/>
        <v>2422960.1999999997</v>
      </c>
      <c r="G70" s="4">
        <f t="shared" si="8"/>
        <v>2422960.1999999997</v>
      </c>
      <c r="H70" s="4">
        <f t="shared" si="8"/>
        <v>2422960.1999999997</v>
      </c>
      <c r="I70" s="4">
        <f t="shared" si="8"/>
        <v>2422960.1999999997</v>
      </c>
      <c r="J70" s="4">
        <f t="shared" si="8"/>
        <v>2422960.1999999997</v>
      </c>
      <c r="K70" s="4">
        <f t="shared" si="8"/>
        <v>2422960.1999999997</v>
      </c>
    </row>
    <row r="71" spans="1:11" x14ac:dyDescent="0.25">
      <c r="A71" s="3" t="s">
        <v>35</v>
      </c>
      <c r="B71" s="4">
        <f>($G$49+$G$50)/5</f>
        <v>7702023.4000000004</v>
      </c>
      <c r="C71" s="4">
        <f t="shared" ref="C71:F71" si="9">($G$49+$G$50)/5</f>
        <v>7702023.4000000004</v>
      </c>
      <c r="D71" s="4">
        <f t="shared" si="9"/>
        <v>7702023.4000000004</v>
      </c>
      <c r="E71" s="4">
        <f t="shared" si="9"/>
        <v>7702023.4000000004</v>
      </c>
      <c r="F71" s="4">
        <f t="shared" si="9"/>
        <v>7702023.4000000004</v>
      </c>
      <c r="G71" s="4"/>
      <c r="H71" s="4"/>
      <c r="I71" s="4"/>
      <c r="J71" s="4"/>
      <c r="K71" s="4"/>
    </row>
    <row r="72" spans="1:11" x14ac:dyDescent="0.25">
      <c r="A72" s="3" t="s">
        <v>37</v>
      </c>
      <c r="B72" s="4">
        <f>($H$51)/5</f>
        <v>860114.2</v>
      </c>
      <c r="C72" s="4">
        <f t="shared" ref="C72:F72" si="10">($H$51)/5</f>
        <v>860114.2</v>
      </c>
      <c r="D72" s="4">
        <f t="shared" si="10"/>
        <v>860114.2</v>
      </c>
      <c r="E72" s="4">
        <f t="shared" si="10"/>
        <v>860114.2</v>
      </c>
      <c r="F72" s="4">
        <f t="shared" si="10"/>
        <v>860114.2</v>
      </c>
      <c r="G72" s="4"/>
      <c r="H72" s="4"/>
      <c r="I72" s="4"/>
      <c r="J72" s="4"/>
      <c r="K72" s="4"/>
    </row>
    <row r="73" spans="1:11" x14ac:dyDescent="0.25">
      <c r="A73" s="3" t="s">
        <v>18</v>
      </c>
      <c r="B73" s="4">
        <f>B68+B70+B71+B72</f>
        <v>23551977.800000001</v>
      </c>
      <c r="C73" s="4">
        <f t="shared" ref="C73:K73" si="11">C68+C70+C71+C72</f>
        <v>23551977.800000001</v>
      </c>
      <c r="D73" s="4">
        <f t="shared" si="11"/>
        <v>23551977.800000001</v>
      </c>
      <c r="E73" s="4">
        <f t="shared" si="11"/>
        <v>23285097.800000001</v>
      </c>
      <c r="F73" s="4">
        <f t="shared" si="11"/>
        <v>23285097.800000001</v>
      </c>
      <c r="G73" s="4">
        <f t="shared" si="11"/>
        <v>2422960.1999999997</v>
      </c>
      <c r="H73" s="4">
        <f t="shared" si="11"/>
        <v>2422960.1999999997</v>
      </c>
      <c r="I73" s="4">
        <f t="shared" si="11"/>
        <v>2422960.1999999997</v>
      </c>
      <c r="J73" s="4">
        <f t="shared" si="11"/>
        <v>2422960.1999999997</v>
      </c>
      <c r="K73" s="4">
        <f t="shared" si="11"/>
        <v>2422960.1999999997</v>
      </c>
    </row>
    <row r="74" spans="1:11" x14ac:dyDescent="0.25">
      <c r="A74" s="3" t="s">
        <v>7</v>
      </c>
      <c r="B74" s="6">
        <f>B64-B73</f>
        <v>-5970143.5695694983</v>
      </c>
      <c r="C74" s="6">
        <f t="shared" ref="C74:K74" si="12">C64-C73</f>
        <v>2585084.1803589985</v>
      </c>
      <c r="D74" s="6">
        <f t="shared" si="12"/>
        <v>11173401.888237249</v>
      </c>
      <c r="E74" s="6">
        <f t="shared" si="12"/>
        <v>11490679.907405499</v>
      </c>
      <c r="F74" s="6">
        <f t="shared" si="12"/>
        <v>11541737.518898506</v>
      </c>
      <c r="G74" s="6">
        <f t="shared" si="12"/>
        <v>32455945.532530498</v>
      </c>
      <c r="H74" s="6">
        <f t="shared" si="12"/>
        <v>32507330.669612255</v>
      </c>
      <c r="I74" s="6">
        <f t="shared" si="12"/>
        <v>32555550.882674996</v>
      </c>
      <c r="J74" s="6">
        <f t="shared" si="12"/>
        <v>32598347.359819505</v>
      </c>
      <c r="K74" s="6">
        <f t="shared" si="12"/>
        <v>32644726.020955499</v>
      </c>
    </row>
    <row r="75" spans="1:11" x14ac:dyDescent="0.25">
      <c r="A75" s="3" t="s">
        <v>9</v>
      </c>
      <c r="B75" s="4">
        <f t="shared" ref="B75:K75" si="13">B73/(1+$B$50)^B57</f>
        <v>21028551.607142854</v>
      </c>
      <c r="C75" s="4">
        <f t="shared" si="13"/>
        <v>18775492.506377548</v>
      </c>
      <c r="D75" s="4">
        <f t="shared" si="13"/>
        <v>16763832.594979951</v>
      </c>
      <c r="E75" s="4">
        <f t="shared" si="13"/>
        <v>14798100.609324561</v>
      </c>
      <c r="F75" s="4">
        <f t="shared" si="13"/>
        <v>13212589.829754073</v>
      </c>
      <c r="G75" s="4">
        <f t="shared" si="13"/>
        <v>1227547.042694025</v>
      </c>
      <c r="H75" s="4">
        <f t="shared" si="13"/>
        <v>1096024.1452625224</v>
      </c>
      <c r="I75" s="4">
        <f t="shared" si="13"/>
        <v>978592.98684153764</v>
      </c>
      <c r="J75" s="4">
        <f t="shared" si="13"/>
        <v>873743.73825137294</v>
      </c>
      <c r="K75" s="4">
        <f t="shared" si="13"/>
        <v>780128.33772444003</v>
      </c>
    </row>
    <row r="76" spans="1:11" x14ac:dyDescent="0.25">
      <c r="A76" s="3" t="s">
        <v>14</v>
      </c>
      <c r="B76" s="4">
        <f>SUM(B75:K75)</f>
        <v>89534603.398352906</v>
      </c>
      <c r="C76" s="35"/>
      <c r="D76" s="4"/>
      <c r="E76" s="4"/>
      <c r="F76" s="4"/>
      <c r="G76" s="4"/>
      <c r="H76" s="4"/>
      <c r="I76" s="4"/>
      <c r="J76" s="4"/>
      <c r="K76" s="4"/>
    </row>
    <row r="77" spans="1:11" x14ac:dyDescent="0.25">
      <c r="A77" s="3" t="s">
        <v>10</v>
      </c>
      <c r="B77" s="4">
        <f t="shared" ref="B77:K77" si="14">B65-B75</f>
        <v>-5330485.3299727645</v>
      </c>
      <c r="C77" s="4">
        <f t="shared" si="14"/>
        <v>2060813.2815361917</v>
      </c>
      <c r="D77" s="4">
        <f t="shared" si="14"/>
        <v>7953006.7649283428</v>
      </c>
      <c r="E77" s="4">
        <f t="shared" si="14"/>
        <v>7302534.814319348</v>
      </c>
      <c r="F77" s="4">
        <f t="shared" si="14"/>
        <v>6549091.8298779652</v>
      </c>
      <c r="G77" s="4">
        <f t="shared" si="14"/>
        <v>16443192.074015979</v>
      </c>
      <c r="H77" s="4">
        <f t="shared" si="14"/>
        <v>14704665.521096034</v>
      </c>
      <c r="I77" s="4">
        <f t="shared" si="14"/>
        <v>13148640.979141377</v>
      </c>
      <c r="J77" s="4">
        <f t="shared" si="14"/>
        <v>11755290.855782719</v>
      </c>
      <c r="K77" s="4">
        <f t="shared" si="14"/>
        <v>10510728.094583556</v>
      </c>
    </row>
    <row r="78" spans="1:11" x14ac:dyDescent="0.25">
      <c r="A78" s="11" t="s">
        <v>11</v>
      </c>
      <c r="B78" s="12">
        <f>SUM(B77:K77)</f>
        <v>85097478.885308757</v>
      </c>
    </row>
    <row r="79" spans="1:11" x14ac:dyDescent="0.25">
      <c r="A79" s="11" t="s">
        <v>11</v>
      </c>
      <c r="B79" s="13">
        <f>NPV(B50,B74:K74)</f>
        <v>85097478.885308728</v>
      </c>
    </row>
    <row r="80" spans="1:11" x14ac:dyDescent="0.25">
      <c r="A80" s="11" t="s">
        <v>12</v>
      </c>
      <c r="B80" s="12">
        <f>B66/B76</f>
        <v>1.950442350279894</v>
      </c>
    </row>
    <row r="81" spans="1:2" x14ac:dyDescent="0.25">
      <c r="A81" s="11" t="s">
        <v>15</v>
      </c>
      <c r="B81" s="37">
        <f>IRR(B74:K74)</f>
        <v>1.2283464901042729</v>
      </c>
    </row>
  </sheetData>
  <mergeCells count="8">
    <mergeCell ref="A31:A33"/>
    <mergeCell ref="A36:B36"/>
    <mergeCell ref="A1:D2"/>
    <mergeCell ref="P7:Q7"/>
    <mergeCell ref="R7:S7"/>
    <mergeCell ref="A8:A13"/>
    <mergeCell ref="A15:A20"/>
    <mergeCell ref="A26:A28"/>
  </mergeCells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25" sqref="A25"/>
    </sheetView>
  </sheetViews>
  <sheetFormatPr defaultColWidth="9.140625" defaultRowHeight="15" x14ac:dyDescent="0.25"/>
  <cols>
    <col min="1" max="1" width="25.7109375" bestFit="1" customWidth="1"/>
    <col min="2" max="4" width="12" bestFit="1" customWidth="1"/>
  </cols>
  <sheetData>
    <row r="1" spans="1:4" s="49" customFormat="1" x14ac:dyDescent="0.25">
      <c r="A1" s="46"/>
      <c r="B1" s="47" t="s">
        <v>115</v>
      </c>
      <c r="C1" s="47" t="s">
        <v>116</v>
      </c>
      <c r="D1" s="48" t="s">
        <v>117</v>
      </c>
    </row>
    <row r="2" spans="1:4" s="50" customFormat="1" x14ac:dyDescent="0.25">
      <c r="A2" s="43" t="s">
        <v>118</v>
      </c>
      <c r="B2" s="53">
        <f>+base!B66</f>
        <v>142044983.09590569</v>
      </c>
      <c r="C2" s="53">
        <f>+conservador!B66</f>
        <v>108713302.74032652</v>
      </c>
      <c r="D2" s="54">
        <f>+optimista!B66</f>
        <v>174632082.28366163</v>
      </c>
    </row>
    <row r="3" spans="1:4" s="50" customFormat="1" x14ac:dyDescent="0.25">
      <c r="A3" s="43" t="s">
        <v>119</v>
      </c>
      <c r="B3" s="53">
        <f>+base!B76</f>
        <v>89462507.874306023</v>
      </c>
      <c r="C3" s="53">
        <f>+conservador!B76</f>
        <v>89534603.398352906</v>
      </c>
      <c r="D3" s="54">
        <f>+optimista!B76</f>
        <v>89534603.398352906</v>
      </c>
    </row>
    <row r="4" spans="1:4" x14ac:dyDescent="0.25">
      <c r="A4" s="43" t="s">
        <v>120</v>
      </c>
      <c r="B4" s="55">
        <f>+base!B79</f>
        <v>52582475.221599683</v>
      </c>
      <c r="C4" s="55">
        <f>+conservador!B79</f>
        <v>19178699.34197364</v>
      </c>
      <c r="D4" s="56">
        <f>+optimista!B79</f>
        <v>85097478.885308728</v>
      </c>
    </row>
    <row r="5" spans="1:4" x14ac:dyDescent="0.25">
      <c r="A5" s="43" t="s">
        <v>12</v>
      </c>
      <c r="B5" s="42">
        <f>+base!B80</f>
        <v>1.5877599060321175</v>
      </c>
      <c r="C5" s="42">
        <f>+conservador!B80</f>
        <v>1.2142043256353603</v>
      </c>
      <c r="D5" s="44">
        <f>+optimista!B80</f>
        <v>1.950442350279894</v>
      </c>
    </row>
    <row r="6" spans="1:4" ht="15.75" thickBot="1" x14ac:dyDescent="0.3">
      <c r="A6" s="45" t="s">
        <v>15</v>
      </c>
      <c r="B6" s="51">
        <f>+base!B81</f>
        <v>0.57785834119861845</v>
      </c>
      <c r="C6" s="51">
        <f>+conservador!B81</f>
        <v>0.25299440936132789</v>
      </c>
      <c r="D6" s="52">
        <f>+optimista!B81</f>
        <v>1.2283464901042729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5"/>
  <sheetViews>
    <sheetView workbookViewId="0">
      <selection activeCell="E39" sqref="E39"/>
    </sheetView>
  </sheetViews>
  <sheetFormatPr defaultColWidth="9.140625" defaultRowHeight="15" x14ac:dyDescent="0.25"/>
  <cols>
    <col min="2" max="2" width="14.140625" customWidth="1"/>
    <col min="3" max="15" width="7.7109375" customWidth="1"/>
  </cols>
  <sheetData>
    <row r="3" spans="2:15" ht="30" x14ac:dyDescent="0.25">
      <c r="B3" s="21" t="s">
        <v>59</v>
      </c>
      <c r="C3" t="s">
        <v>62</v>
      </c>
      <c r="D3" t="s">
        <v>63</v>
      </c>
      <c r="E3" t="s">
        <v>64</v>
      </c>
      <c r="F3" t="s">
        <v>65</v>
      </c>
      <c r="G3" t="s">
        <v>66</v>
      </c>
      <c r="H3" t="s">
        <v>67</v>
      </c>
      <c r="I3" t="s">
        <v>68</v>
      </c>
      <c r="J3" t="s">
        <v>69</v>
      </c>
      <c r="K3" t="s">
        <v>70</v>
      </c>
      <c r="L3" t="s">
        <v>71</v>
      </c>
      <c r="M3" t="s">
        <v>72</v>
      </c>
      <c r="N3" t="s">
        <v>73</v>
      </c>
      <c r="O3" t="s">
        <v>74</v>
      </c>
    </row>
    <row r="4" spans="2:15" ht="30" x14ac:dyDescent="0.25">
      <c r="B4" s="22" t="s">
        <v>75</v>
      </c>
      <c r="C4" s="20">
        <v>563692</v>
      </c>
      <c r="D4" s="20">
        <v>561564</v>
      </c>
      <c r="E4" s="20">
        <v>559536</v>
      </c>
      <c r="F4" s="20">
        <v>557315</v>
      </c>
      <c r="G4" s="20">
        <v>554901</v>
      </c>
      <c r="H4" s="20">
        <v>552485</v>
      </c>
      <c r="I4" s="20">
        <v>550071</v>
      </c>
      <c r="J4" s="20">
        <v>547667</v>
      </c>
      <c r="K4" s="20">
        <v>545273</v>
      </c>
      <c r="L4" s="20">
        <v>542919</v>
      </c>
      <c r="M4" s="20">
        <v>540575</v>
      </c>
      <c r="N4" s="20">
        <v>538241</v>
      </c>
      <c r="O4" s="20">
        <v>535917</v>
      </c>
    </row>
    <row r="5" spans="2:15" ht="30" x14ac:dyDescent="0.25">
      <c r="B5" s="22" t="s">
        <v>76</v>
      </c>
      <c r="C5" s="20">
        <v>576924</v>
      </c>
      <c r="D5" s="20">
        <v>576889</v>
      </c>
      <c r="E5" s="20">
        <v>576934</v>
      </c>
      <c r="F5" s="20">
        <v>577028</v>
      </c>
      <c r="G5" s="20">
        <v>577516</v>
      </c>
      <c r="H5" s="20">
        <v>578424</v>
      </c>
      <c r="I5" s="20">
        <v>579227</v>
      </c>
      <c r="J5" s="20">
        <v>579404</v>
      </c>
      <c r="K5" s="20">
        <v>578430</v>
      </c>
      <c r="L5" s="20">
        <v>578536</v>
      </c>
      <c r="M5" s="20">
        <v>578641</v>
      </c>
      <c r="N5" s="20">
        <v>578747</v>
      </c>
      <c r="O5" s="20">
        <v>578853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14" sqref="B14"/>
    </sheetView>
  </sheetViews>
  <sheetFormatPr defaultColWidth="9.140625" defaultRowHeight="15" x14ac:dyDescent="0.25"/>
  <cols>
    <col min="1" max="1" width="88.42578125" customWidth="1"/>
    <col min="2" max="2" width="16.28515625" style="1" customWidth="1"/>
    <col min="3" max="11" width="15.28515625" style="1" customWidth="1"/>
  </cols>
  <sheetData>
    <row r="1" spans="1:11" x14ac:dyDescent="0.25">
      <c r="A1" t="s">
        <v>0</v>
      </c>
      <c r="E1" s="4"/>
      <c r="F1" s="75" t="s">
        <v>33</v>
      </c>
      <c r="G1" s="76"/>
      <c r="H1" s="77"/>
    </row>
    <row r="2" spans="1:11" x14ac:dyDescent="0.25">
      <c r="E2" s="4"/>
      <c r="F2" s="14" t="s">
        <v>28</v>
      </c>
      <c r="G2" s="14" t="s">
        <v>29</v>
      </c>
      <c r="H2" s="14" t="s">
        <v>3</v>
      </c>
    </row>
    <row r="3" spans="1:11" x14ac:dyDescent="0.25">
      <c r="A3" t="s">
        <v>6</v>
      </c>
      <c r="B3" s="1">
        <v>0.3</v>
      </c>
      <c r="E3" s="14" t="s">
        <v>30</v>
      </c>
      <c r="F3" s="4">
        <v>40000000</v>
      </c>
      <c r="G3" s="4">
        <v>23748642</v>
      </c>
      <c r="H3" s="4">
        <f>F3+G3</f>
        <v>63748642</v>
      </c>
    </row>
    <row r="4" spans="1:11" x14ac:dyDescent="0.25">
      <c r="A4" t="s">
        <v>2</v>
      </c>
      <c r="B4" s="18">
        <v>0.16</v>
      </c>
      <c r="E4" s="14" t="s">
        <v>31</v>
      </c>
      <c r="F4" s="4">
        <v>21500000</v>
      </c>
      <c r="G4" s="4">
        <v>14761475</v>
      </c>
      <c r="H4" s="4">
        <f t="shared" ref="H4:H6" si="0">F4+G4</f>
        <v>36261475</v>
      </c>
    </row>
    <row r="5" spans="1:11" x14ac:dyDescent="0.25">
      <c r="A5" t="s">
        <v>17</v>
      </c>
      <c r="B5" s="5">
        <f>23748642+14761475</f>
        <v>38510117</v>
      </c>
      <c r="E5" s="14" t="s">
        <v>32</v>
      </c>
      <c r="F5" s="4">
        <v>3440457</v>
      </c>
      <c r="G5" s="4">
        <v>860114</v>
      </c>
      <c r="H5" s="4">
        <f t="shared" si="0"/>
        <v>4300571</v>
      </c>
    </row>
    <row r="6" spans="1:11" x14ac:dyDescent="0.25">
      <c r="A6" t="s">
        <v>25</v>
      </c>
      <c r="B6" s="5">
        <f>40000000+21500000</f>
        <v>61500000</v>
      </c>
      <c r="E6" s="14" t="s">
        <v>3</v>
      </c>
      <c r="F6" s="4">
        <f>SUM(F3:F5)</f>
        <v>64940457</v>
      </c>
      <c r="G6" s="4">
        <f>SUM(G3:G5)</f>
        <v>39370231</v>
      </c>
      <c r="H6" s="15">
        <f t="shared" si="0"/>
        <v>104310688</v>
      </c>
    </row>
    <row r="7" spans="1:11" x14ac:dyDescent="0.25">
      <c r="B7" s="5"/>
    </row>
    <row r="8" spans="1:11" x14ac:dyDescent="0.25">
      <c r="A8" t="s">
        <v>27</v>
      </c>
      <c r="B8" s="5">
        <f>B5+B6</f>
        <v>100010117</v>
      </c>
    </row>
    <row r="9" spans="1:11" x14ac:dyDescent="0.25">
      <c r="B9" s="2"/>
    </row>
    <row r="10" spans="1:11" x14ac:dyDescent="0.25">
      <c r="B10" s="1" t="s">
        <v>1</v>
      </c>
    </row>
    <row r="11" spans="1:11" x14ac:dyDescent="0.25">
      <c r="A11" s="8" t="s">
        <v>38</v>
      </c>
      <c r="B11" s="9">
        <v>1</v>
      </c>
      <c r="C11" s="9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9">
        <v>9</v>
      </c>
      <c r="K11" s="9">
        <v>10</v>
      </c>
    </row>
    <row r="12" spans="1:11" x14ac:dyDescent="0.25">
      <c r="A12" s="3" t="s">
        <v>20</v>
      </c>
      <c r="B12" s="4">
        <v>14518889</v>
      </c>
      <c r="C12" s="4">
        <v>14494238</v>
      </c>
      <c r="D12" s="4">
        <v>14474936</v>
      </c>
      <c r="E12" s="4">
        <v>14454316</v>
      </c>
      <c r="F12" s="4">
        <v>14425812</v>
      </c>
      <c r="G12" s="4">
        <v>14382704</v>
      </c>
      <c r="H12" s="4">
        <v>14353924</v>
      </c>
      <c r="I12" s="4">
        <v>14325275</v>
      </c>
      <c r="J12" s="4">
        <v>14296756</v>
      </c>
      <c r="K12" s="4">
        <v>14268366</v>
      </c>
    </row>
    <row r="13" spans="1:11" x14ac:dyDescent="0.25">
      <c r="A13" s="3" t="s">
        <v>21</v>
      </c>
      <c r="B13" s="4">
        <v>28553951</v>
      </c>
      <c r="C13" s="4">
        <v>51278572</v>
      </c>
      <c r="D13" s="4">
        <v>74098920</v>
      </c>
      <c r="E13" s="4">
        <v>74153460</v>
      </c>
      <c r="F13" s="4">
        <v>74207285</v>
      </c>
      <c r="G13" s="4">
        <v>74260411</v>
      </c>
      <c r="H13" s="4">
        <v>74312917</v>
      </c>
      <c r="I13" s="4">
        <v>74364745</v>
      </c>
      <c r="J13" s="4">
        <v>74415734</v>
      </c>
      <c r="K13" s="4">
        <v>74465725</v>
      </c>
    </row>
    <row r="14" spans="1:11" x14ac:dyDescent="0.25">
      <c r="A14" s="3" t="s">
        <v>22</v>
      </c>
      <c r="B14" s="4">
        <v>2414457</v>
      </c>
      <c r="C14" s="4">
        <v>2451146</v>
      </c>
      <c r="D14" s="4">
        <v>2484425</v>
      </c>
      <c r="E14" s="4">
        <v>2517477</v>
      </c>
      <c r="F14" s="4">
        <v>2550254</v>
      </c>
      <c r="G14" s="4">
        <v>2582761</v>
      </c>
      <c r="H14" s="4">
        <v>2615038</v>
      </c>
      <c r="I14" s="4">
        <v>2647045</v>
      </c>
      <c r="J14" s="4">
        <v>2678677</v>
      </c>
      <c r="K14" s="4">
        <v>2709828</v>
      </c>
    </row>
    <row r="15" spans="1:11" x14ac:dyDescent="0.25">
      <c r="A15" s="3" t="s">
        <v>23</v>
      </c>
      <c r="B15" s="4">
        <v>595262</v>
      </c>
      <c r="C15" s="4">
        <v>603066</v>
      </c>
      <c r="D15" s="4">
        <v>610806</v>
      </c>
      <c r="E15" s="4">
        <v>618508</v>
      </c>
      <c r="F15" s="4">
        <v>626143</v>
      </c>
      <c r="G15" s="4">
        <v>633711</v>
      </c>
      <c r="H15" s="4">
        <v>641221</v>
      </c>
      <c r="I15" s="4">
        <v>648666</v>
      </c>
      <c r="J15" s="4">
        <v>656019</v>
      </c>
      <c r="K15" s="4">
        <v>663259</v>
      </c>
    </row>
    <row r="16" spans="1:11" x14ac:dyDescent="0.25">
      <c r="A16" s="3" t="s">
        <v>24</v>
      </c>
      <c r="B16" s="4">
        <v>5649072</v>
      </c>
      <c r="C16" s="4">
        <v>5823836</v>
      </c>
      <c r="D16" s="4">
        <v>5994325</v>
      </c>
      <c r="E16" s="4">
        <v>6162804</v>
      </c>
      <c r="F16" s="4">
        <v>6329452</v>
      </c>
      <c r="G16" s="4">
        <v>6494392</v>
      </c>
      <c r="H16" s="4">
        <v>6657848</v>
      </c>
      <c r="I16" s="4">
        <v>6818863</v>
      </c>
      <c r="J16" s="4">
        <v>6965421</v>
      </c>
      <c r="K16" s="4">
        <v>7108278</v>
      </c>
    </row>
    <row r="17" spans="1:11" x14ac:dyDescent="0.25">
      <c r="A17" s="3" t="s">
        <v>4</v>
      </c>
      <c r="B17" s="4">
        <f>SUM(B12:B16)</f>
        <v>51731631</v>
      </c>
      <c r="C17" s="4">
        <f t="shared" ref="C17:K17" si="1">SUM(C12:C16)</f>
        <v>74650858</v>
      </c>
      <c r="D17" s="4">
        <f t="shared" si="1"/>
        <v>97663412</v>
      </c>
      <c r="E17" s="4">
        <f t="shared" si="1"/>
        <v>97906565</v>
      </c>
      <c r="F17" s="4">
        <f t="shared" si="1"/>
        <v>98138946</v>
      </c>
      <c r="G17" s="4">
        <f t="shared" si="1"/>
        <v>98353979</v>
      </c>
      <c r="H17" s="4">
        <f t="shared" si="1"/>
        <v>98580948</v>
      </c>
      <c r="I17" s="4">
        <f t="shared" si="1"/>
        <v>98804594</v>
      </c>
      <c r="J17" s="4">
        <f t="shared" si="1"/>
        <v>99012607</v>
      </c>
      <c r="K17" s="4">
        <f t="shared" si="1"/>
        <v>99215456</v>
      </c>
    </row>
    <row r="18" spans="1:11" x14ac:dyDescent="0.25">
      <c r="A18" s="3" t="s">
        <v>5</v>
      </c>
      <c r="B18" s="4">
        <f>B17*$B$3</f>
        <v>15519489.299999999</v>
      </c>
      <c r="C18" s="4">
        <f t="shared" ref="C18:K18" si="2">C17*$B$3</f>
        <v>22395257.399999999</v>
      </c>
      <c r="D18" s="4">
        <f t="shared" si="2"/>
        <v>29299023.599999998</v>
      </c>
      <c r="E18" s="4">
        <f t="shared" si="2"/>
        <v>29371969.5</v>
      </c>
      <c r="F18" s="4">
        <f t="shared" si="2"/>
        <v>29441683.800000001</v>
      </c>
      <c r="G18" s="4">
        <f t="shared" si="2"/>
        <v>29506193.699999999</v>
      </c>
      <c r="H18" s="4">
        <f t="shared" si="2"/>
        <v>29574284.399999999</v>
      </c>
      <c r="I18" s="4">
        <f t="shared" si="2"/>
        <v>29641378.199999999</v>
      </c>
      <c r="J18" s="4">
        <f t="shared" si="2"/>
        <v>29703782.099999998</v>
      </c>
      <c r="K18" s="4">
        <f t="shared" si="2"/>
        <v>29764636.800000001</v>
      </c>
    </row>
    <row r="19" spans="1:11" x14ac:dyDescent="0.25">
      <c r="A19" s="3" t="s">
        <v>8</v>
      </c>
      <c r="B19" s="4">
        <f>B18/(1+$B$4)^B11</f>
        <v>13378870.086206896</v>
      </c>
      <c r="C19" s="4">
        <f t="shared" ref="C19:K19" si="3">C18/(1+$B$4)^C11</f>
        <v>16643324.464922711</v>
      </c>
      <c r="D19" s="4">
        <f t="shared" si="3"/>
        <v>18770644.296609126</v>
      </c>
      <c r="E19" s="4">
        <f t="shared" si="3"/>
        <v>16221877.282066818</v>
      </c>
      <c r="F19" s="4">
        <f t="shared" si="3"/>
        <v>14017568.852889473</v>
      </c>
      <c r="G19" s="4">
        <f t="shared" si="3"/>
        <v>12110588.6688815</v>
      </c>
      <c r="H19" s="4">
        <f t="shared" si="3"/>
        <v>10464255.14595809</v>
      </c>
      <c r="I19" s="4">
        <f t="shared" si="3"/>
        <v>9041374.9255778752</v>
      </c>
      <c r="J19" s="4">
        <f t="shared" si="3"/>
        <v>7810698.0204149596</v>
      </c>
      <c r="K19" s="4">
        <f t="shared" si="3"/>
        <v>6747155.1251093643</v>
      </c>
    </row>
    <row r="20" spans="1:11" x14ac:dyDescent="0.25">
      <c r="A20" s="3" t="s">
        <v>13</v>
      </c>
      <c r="B20" s="4">
        <f>SUM(B19:K19)</f>
        <v>125206356.86863683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8" t="s">
        <v>19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25">
      <c r="A22" s="3" t="s">
        <v>36</v>
      </c>
      <c r="B22" s="16">
        <f>($F$3+$F$4)</f>
        <v>61500000</v>
      </c>
      <c r="C22" s="4"/>
      <c r="D22" s="4"/>
      <c r="E22" s="4"/>
      <c r="F22" s="4"/>
      <c r="G22" s="4">
        <v>0</v>
      </c>
      <c r="H22" s="4"/>
      <c r="I22" s="4"/>
      <c r="J22" s="4"/>
      <c r="K22" s="4"/>
    </row>
    <row r="23" spans="1:11" x14ac:dyDescent="0.25">
      <c r="A23" s="3" t="s">
        <v>34</v>
      </c>
      <c r="B23" s="4">
        <v>8966134</v>
      </c>
      <c r="C23" s="4">
        <v>8966134</v>
      </c>
      <c r="D23" s="4">
        <v>8966134</v>
      </c>
      <c r="E23" s="4">
        <v>8076534</v>
      </c>
      <c r="F23" s="4">
        <v>8076534</v>
      </c>
      <c r="G23" s="4">
        <v>8076534</v>
      </c>
      <c r="H23" s="4">
        <v>8076534</v>
      </c>
      <c r="I23" s="4">
        <v>8076534</v>
      </c>
      <c r="J23" s="4">
        <v>8076534</v>
      </c>
      <c r="K23" s="4">
        <v>8076534</v>
      </c>
    </row>
    <row r="24" spans="1:11" x14ac:dyDescent="0.25">
      <c r="A24" s="3" t="s">
        <v>16</v>
      </c>
      <c r="B24" s="4">
        <f>B23*$B$3</f>
        <v>2689840.1999999997</v>
      </c>
      <c r="C24" s="4">
        <f t="shared" ref="C24:K24" si="4">C23*$B$3</f>
        <v>2689840.1999999997</v>
      </c>
      <c r="D24" s="4">
        <f t="shared" si="4"/>
        <v>2689840.1999999997</v>
      </c>
      <c r="E24" s="4">
        <f t="shared" si="4"/>
        <v>2422960.1999999997</v>
      </c>
      <c r="F24" s="4">
        <f t="shared" si="4"/>
        <v>2422960.1999999997</v>
      </c>
      <c r="G24" s="4">
        <f t="shared" si="4"/>
        <v>2422960.1999999997</v>
      </c>
      <c r="H24" s="4">
        <f t="shared" si="4"/>
        <v>2422960.1999999997</v>
      </c>
      <c r="I24" s="4">
        <f t="shared" si="4"/>
        <v>2422960.1999999997</v>
      </c>
      <c r="J24" s="4">
        <f t="shared" si="4"/>
        <v>2422960.1999999997</v>
      </c>
      <c r="K24" s="4">
        <f t="shared" si="4"/>
        <v>2422960.1999999997</v>
      </c>
    </row>
    <row r="25" spans="1:11" x14ac:dyDescent="0.25">
      <c r="A25" s="3" t="s">
        <v>35</v>
      </c>
      <c r="B25" s="16">
        <f>($G$3+$G$4)</f>
        <v>38510117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3" t="s">
        <v>37</v>
      </c>
      <c r="B26" s="4">
        <f>($H$5)/5</f>
        <v>860114.2</v>
      </c>
      <c r="C26" s="4">
        <f t="shared" ref="C26:F26" si="5">($H$5)/5</f>
        <v>860114.2</v>
      </c>
      <c r="D26" s="4">
        <f t="shared" si="5"/>
        <v>860114.2</v>
      </c>
      <c r="E26" s="4">
        <f t="shared" si="5"/>
        <v>860114.2</v>
      </c>
      <c r="F26" s="4">
        <f t="shared" si="5"/>
        <v>860114.2</v>
      </c>
      <c r="G26" s="4"/>
      <c r="H26" s="4"/>
      <c r="I26" s="4"/>
      <c r="J26" s="4"/>
      <c r="K26" s="4"/>
    </row>
    <row r="27" spans="1:11" x14ac:dyDescent="0.25">
      <c r="A27" s="3" t="s">
        <v>18</v>
      </c>
      <c r="B27" s="4">
        <f>B22+B24+B25+B26</f>
        <v>103560071.40000001</v>
      </c>
      <c r="C27" s="4">
        <f t="shared" ref="C27:K27" si="6">C22+C24+C25+C26</f>
        <v>3549954.3999999994</v>
      </c>
      <c r="D27" s="4">
        <f t="shared" si="6"/>
        <v>3549954.3999999994</v>
      </c>
      <c r="E27" s="4">
        <f t="shared" si="6"/>
        <v>3283074.3999999994</v>
      </c>
      <c r="F27" s="4">
        <f t="shared" si="6"/>
        <v>3283074.3999999994</v>
      </c>
      <c r="G27" s="4">
        <f t="shared" si="6"/>
        <v>2422960.1999999997</v>
      </c>
      <c r="H27" s="4">
        <f t="shared" si="6"/>
        <v>2422960.1999999997</v>
      </c>
      <c r="I27" s="4">
        <f t="shared" si="6"/>
        <v>2422960.1999999997</v>
      </c>
      <c r="J27" s="4">
        <f t="shared" si="6"/>
        <v>2422960.1999999997</v>
      </c>
      <c r="K27" s="4">
        <f t="shared" si="6"/>
        <v>2422960.1999999997</v>
      </c>
    </row>
    <row r="28" spans="1:11" x14ac:dyDescent="0.25">
      <c r="A28" s="3" t="s">
        <v>7</v>
      </c>
      <c r="B28" s="6">
        <f>B18-B27</f>
        <v>-88040582.100000009</v>
      </c>
      <c r="C28" s="6">
        <f t="shared" ref="C28:K28" si="7">C18-C27</f>
        <v>18845303</v>
      </c>
      <c r="D28" s="6">
        <f t="shared" si="7"/>
        <v>25749069.199999999</v>
      </c>
      <c r="E28" s="6">
        <f t="shared" si="7"/>
        <v>26088895.100000001</v>
      </c>
      <c r="F28" s="6">
        <f t="shared" si="7"/>
        <v>26158609.400000002</v>
      </c>
      <c r="G28" s="6">
        <f t="shared" si="7"/>
        <v>27083233.5</v>
      </c>
      <c r="H28" s="6">
        <f t="shared" si="7"/>
        <v>27151324.199999999</v>
      </c>
      <c r="I28" s="6">
        <f t="shared" si="7"/>
        <v>27218418</v>
      </c>
      <c r="J28" s="6">
        <f t="shared" si="7"/>
        <v>27280821.899999999</v>
      </c>
      <c r="K28" s="6">
        <f t="shared" si="7"/>
        <v>27341676.600000001</v>
      </c>
    </row>
    <row r="29" spans="1:11" x14ac:dyDescent="0.25">
      <c r="A29" s="3" t="s">
        <v>9</v>
      </c>
      <c r="B29" s="4">
        <f>B27/(1+$B$4)^B11</f>
        <v>89275923.62068966</v>
      </c>
      <c r="C29" s="4">
        <f t="shared" ref="C29:K29" si="8">C27/(1+$B$4)^C11</f>
        <v>2638194.4114149818</v>
      </c>
      <c r="D29" s="4">
        <f t="shared" si="8"/>
        <v>2274305.5270818812</v>
      </c>
      <c r="E29" s="4">
        <f t="shared" si="8"/>
        <v>1813212.7647992806</v>
      </c>
      <c r="F29" s="4">
        <f t="shared" si="8"/>
        <v>1563114.4524131729</v>
      </c>
      <c r="G29" s="4">
        <f t="shared" si="8"/>
        <v>994485.24745741277</v>
      </c>
      <c r="H29" s="4">
        <f t="shared" si="8"/>
        <v>857314.8684977697</v>
      </c>
      <c r="I29" s="4">
        <f t="shared" si="8"/>
        <v>739064.54180842219</v>
      </c>
      <c r="J29" s="4">
        <f t="shared" si="8"/>
        <v>637124.60500726046</v>
      </c>
      <c r="K29" s="4">
        <f t="shared" si="8"/>
        <v>549245.34914419008</v>
      </c>
    </row>
    <row r="30" spans="1:11" x14ac:dyDescent="0.25">
      <c r="A30" s="3" t="s">
        <v>14</v>
      </c>
      <c r="B30" s="4">
        <f>SUM(B29:K29)</f>
        <v>101341985.38831404</v>
      </c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5">
      <c r="A31" s="3" t="s">
        <v>10</v>
      </c>
      <c r="B31" s="4">
        <f t="shared" ref="B31:K31" si="9">B19-B29</f>
        <v>-75897053.534482762</v>
      </c>
      <c r="C31" s="4">
        <f t="shared" si="9"/>
        <v>14005130.05350773</v>
      </c>
      <c r="D31" s="4">
        <f t="shared" si="9"/>
        <v>16496338.769527245</v>
      </c>
      <c r="E31" s="4">
        <f t="shared" si="9"/>
        <v>14408664.517267538</v>
      </c>
      <c r="F31" s="4">
        <f t="shared" si="9"/>
        <v>12454454.400476299</v>
      </c>
      <c r="G31" s="4">
        <f t="shared" si="9"/>
        <v>11116103.421424087</v>
      </c>
      <c r="H31" s="4">
        <f t="shared" si="9"/>
        <v>9606940.2774603199</v>
      </c>
      <c r="I31" s="4">
        <f t="shared" si="9"/>
        <v>8302310.3837694526</v>
      </c>
      <c r="J31" s="4">
        <f t="shared" si="9"/>
        <v>7173573.4154076995</v>
      </c>
      <c r="K31" s="4">
        <f t="shared" si="9"/>
        <v>6197909.7759651747</v>
      </c>
    </row>
    <row r="32" spans="1:11" x14ac:dyDescent="0.25">
      <c r="A32" s="11" t="s">
        <v>11</v>
      </c>
      <c r="B32" s="12">
        <f>SUM(B31:K31)</f>
        <v>23864371.480322786</v>
      </c>
    </row>
    <row r="33" spans="1:2" x14ac:dyDescent="0.25">
      <c r="A33" s="11" t="s">
        <v>11</v>
      </c>
      <c r="B33" s="13">
        <f>NPV(B4,B28:K28)</f>
        <v>23864371.480322778</v>
      </c>
    </row>
    <row r="34" spans="1:2" x14ac:dyDescent="0.25">
      <c r="A34" s="11" t="s">
        <v>12</v>
      </c>
      <c r="B34" s="12">
        <f>B20/B30</f>
        <v>1.235483559838316</v>
      </c>
    </row>
    <row r="35" spans="1:2" x14ac:dyDescent="0.25">
      <c r="A35" s="11" t="s">
        <v>15</v>
      </c>
      <c r="B35" s="17">
        <f>IRR(B28:K28)</f>
        <v>0.24080807805095605</v>
      </c>
    </row>
  </sheetData>
  <mergeCells count="1">
    <mergeCell ref="F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0:F25"/>
  <sheetViews>
    <sheetView workbookViewId="0">
      <selection activeCell="C24" sqref="C24"/>
    </sheetView>
  </sheetViews>
  <sheetFormatPr defaultColWidth="9.140625" defaultRowHeight="15" x14ac:dyDescent="0.25"/>
  <cols>
    <col min="6" max="6" width="15.28515625" bestFit="1" customWidth="1"/>
  </cols>
  <sheetData>
    <row r="20" spans="6:6" x14ac:dyDescent="0.25">
      <c r="F20" s="1">
        <v>5716499</v>
      </c>
    </row>
    <row r="21" spans="6:6" x14ac:dyDescent="0.25">
      <c r="F21" s="1">
        <v>164948749</v>
      </c>
    </row>
    <row r="22" spans="6:6" x14ac:dyDescent="0.25">
      <c r="F22" s="1">
        <v>72022741</v>
      </c>
    </row>
    <row r="23" spans="6:6" x14ac:dyDescent="0.25">
      <c r="F23" s="1">
        <v>59212671</v>
      </c>
    </row>
    <row r="24" spans="6:6" x14ac:dyDescent="0.25">
      <c r="F24" s="7">
        <f>SUM(F20:F23)</f>
        <v>301900660</v>
      </c>
    </row>
    <row r="25" spans="6:6" x14ac:dyDescent="0.25">
      <c r="F25" s="7">
        <f>F24*0.3</f>
        <v>90570198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0A5070AE71FCC4396AD852C28860A58" ma:contentTypeVersion="27" ma:contentTypeDescription="A content type to manage public (operations) IDB documents" ma:contentTypeScope="" ma:versionID="24999bd6bffd9fbc19ed195443e456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CIVIL REGISTRIES</TermName>
          <TermId xmlns="http://schemas.microsoft.com/office/infopath/2007/PartnerControls">11fc3bf8-452c-407f-bf4a-ce83f763cb8c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34</Value>
      <Value>3</Value>
      <Value>44</Value>
      <Value>57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PE-L1171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R0000150175</Record_x0020_Number>
    <_dlc_DocId xmlns="cdc7663a-08f0-4737-9e8c-148ce897a09c">EZSHARE-1061213459-17</_dlc_DocId>
    <_dlc_DocIdUrl xmlns="cdc7663a-08f0-4737-9e8c-148ce897a09c">
      <Url>https://idbg.sharepoint.com/teams/EZ-PE-LON/PE-L1171/_layouts/15/DocIdRedir.aspx?ID=EZSHARE-1061213459-17</Url>
      <Description>EZSHARE-1061213459-17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724AB5B-C7DE-4930-8A55-DB2D1EFB2029}"/>
</file>

<file path=customXml/itemProps2.xml><?xml version="1.0" encoding="utf-8"?>
<ds:datastoreItem xmlns:ds="http://schemas.openxmlformats.org/officeDocument/2006/customXml" ds:itemID="{0C929092-259D-474F-A20D-05F1BD602A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4152BA-2344-49DA-B608-C6F09F7B218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8D7305A-4C4E-46BB-9F88-2C3AC08DC206}"/>
</file>

<file path=customXml/itemProps5.xml><?xml version="1.0" encoding="utf-8"?>
<ds:datastoreItem xmlns:ds="http://schemas.openxmlformats.org/officeDocument/2006/customXml" ds:itemID="{50943175-B258-4F60-A8D2-E8570B441779}"/>
</file>

<file path=customXml/itemProps6.xml><?xml version="1.0" encoding="utf-8"?>
<ds:datastoreItem xmlns:ds="http://schemas.openxmlformats.org/officeDocument/2006/customXml" ds:itemID="{DB938F8B-E95E-4A86-B4F0-C714D25CE3D4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cdc7663a-08f0-4737-9e8c-148ce897a09c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</vt:lpstr>
      <vt:lpstr>conservador</vt:lpstr>
      <vt:lpstr>optimista</vt:lpstr>
      <vt:lpstr>Resumen</vt:lpstr>
      <vt:lpstr>Sheet1</vt:lpstr>
      <vt:lpstr> RENIEC - aprox</vt:lpstr>
      <vt:lpstr>estudio factibilidad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keywords/>
  <cp:lastModifiedBy>Hoffman, Nathalie Alexandra</cp:lastModifiedBy>
  <dcterms:created xsi:type="dcterms:W3CDTF">2017-03-09T16:06:58Z</dcterms:created>
  <dcterms:modified xsi:type="dcterms:W3CDTF">2017-05-22T20:22:03Z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3;#Monitoring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57;#CIVIL REGISTRIES|11fc3bf8-452c-407f-bf4a-ce83f763cb8c</vt:lpwstr>
  </property>
  <property fmtid="{D5CDD505-2E9C-101B-9397-08002B2CF9AE}" pid="8" name="Fund IDB">
    <vt:lpwstr>34;#ORC|c028a4b2-ad8b-4cf4-9cac-a2ae6a778e23</vt:lpwstr>
  </property>
  <property fmtid="{D5CDD505-2E9C-101B-9397-08002B2CF9AE}" pid="9" name="Country">
    <vt:lpwstr>31;#Peru|c988f60b-81f1-4c24-8da7-d5473741c5b0</vt:lpwstr>
  </property>
  <property fmtid="{D5CDD505-2E9C-101B-9397-08002B2CF9AE}" pid="10" name="Sector IDB">
    <vt:lpwstr>44;#REFORM / MODERNIZATION OF THE STATE|c8fda4a7-691a-4c65-b227-9825197b5cd2</vt:lpwstr>
  </property>
  <property fmtid="{D5CDD505-2E9C-101B-9397-08002B2CF9AE}" pid="11" name="_dlc_DocIdItemGuid">
    <vt:lpwstr>d1477f73-b7ab-4cea-abce-39dda52714d5</vt:lpwstr>
  </property>
  <property fmtid="{D5CDD505-2E9C-101B-9397-08002B2CF9AE}" pid="12" name="ContentTypeId">
    <vt:lpwstr>0x0101001A458A224826124E8B45B1D613300CFC0080A5070AE71FCC4396AD852C28860A58</vt:lpwstr>
  </property>
</Properties>
</file>