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519"/>
  <workbookPr defaultThemeVersion="166925"/>
  <mc:AlternateContent xmlns:mc="http://schemas.openxmlformats.org/markup-compatibility/2006">
    <mc:Choice Requires="x15">
      <x15ac:absPath xmlns:x15ac="http://schemas.microsoft.com/office/spreadsheetml/2010/11/ac" url="https://idbg-my.sharepoint.com/personal/gmahfouz_iadb_org1/Documents/ICS/ICS/1  PROYECTOS 2017/HA-L1131/POD/POD POST QRR/"/>
    </mc:Choice>
  </mc:AlternateContent>
  <xr:revisionPtr revIDLastSave="1" documentId="102_{BB218FFB-F9B1-45AD-82C9-441456749C96}" xr6:coauthVersionLast="43" xr6:coauthVersionMax="43" xr10:uidLastSave="{50B6C0AD-DB7D-4F2A-AC3A-549DACB6C91C}"/>
  <bookViews>
    <workbookView xWindow="0" yWindow="0" windowWidth="14400" windowHeight="6090" xr2:uid="{1B6DC1AA-0ED6-453A-959C-CCFDC32543C0}"/>
  </bookViews>
  <sheets>
    <sheet name="PEP-Budget par produit" sheetId="1" r:id="rId1"/>
    <sheet name="Sheet1" sheetId="2" r:id="rId2"/>
  </sheets>
  <definedNames>
    <definedName name="_xlnm._FilterDatabase" localSheetId="0" hidden="1">'PEP-Budget par produit'!$A$2:$S$210</definedName>
    <definedName name="_xlnm.Print_Area" localSheetId="0">'PEP-Budget par produit'!$A$1:$Q$210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7" i="1" l="1"/>
  <c r="O36" i="1"/>
  <c r="M37" i="1"/>
  <c r="M36" i="1"/>
  <c r="L37" i="1"/>
  <c r="L36" i="1"/>
  <c r="K37" i="1"/>
  <c r="O59" i="1"/>
  <c r="N59" i="1"/>
  <c r="M59" i="1"/>
  <c r="L59" i="1"/>
  <c r="K59" i="1"/>
  <c r="O119" i="1"/>
  <c r="O118" i="1"/>
  <c r="N119" i="1"/>
  <c r="N118" i="1"/>
  <c r="M119" i="1"/>
  <c r="L119" i="1"/>
  <c r="L118" i="1"/>
  <c r="K119" i="1"/>
  <c r="P180" i="1"/>
  <c r="Q180" i="1"/>
  <c r="R180" i="1"/>
  <c r="O179" i="1"/>
  <c r="N179" i="1"/>
  <c r="M179" i="1"/>
  <c r="L179" i="1"/>
  <c r="K179" i="1"/>
  <c r="P179" i="1"/>
  <c r="Q179" i="1"/>
  <c r="I147" i="1"/>
  <c r="H147" i="1"/>
  <c r="H146" i="1"/>
  <c r="G147" i="1"/>
  <c r="G146" i="1"/>
  <c r="I146" i="1"/>
  <c r="E146" i="1"/>
  <c r="M159" i="1"/>
  <c r="L159" i="1"/>
  <c r="K159" i="1"/>
  <c r="I159" i="1"/>
  <c r="H159" i="1"/>
  <c r="G159" i="1"/>
  <c r="F159" i="1"/>
  <c r="E159" i="1"/>
  <c r="O198" i="1"/>
  <c r="N198" i="1"/>
  <c r="M198" i="1"/>
  <c r="K198" i="1"/>
  <c r="I198" i="1"/>
  <c r="H198" i="1"/>
  <c r="G198" i="1"/>
  <c r="F198" i="1"/>
  <c r="E198" i="1"/>
  <c r="J198" i="1"/>
  <c r="O221" i="1"/>
  <c r="O218" i="1"/>
  <c r="O217" i="1"/>
  <c r="N221" i="1"/>
  <c r="N218" i="1"/>
  <c r="N217" i="1"/>
  <c r="L221" i="1"/>
  <c r="L218" i="1"/>
  <c r="K221" i="1"/>
  <c r="K218" i="1"/>
  <c r="I218" i="1"/>
  <c r="H218" i="1"/>
  <c r="G218" i="1"/>
  <c r="F218" i="1"/>
  <c r="E218" i="1"/>
  <c r="L217" i="1"/>
  <c r="K217" i="1"/>
  <c r="O222" i="1"/>
  <c r="N222" i="1"/>
  <c r="M222" i="1"/>
  <c r="L222" i="1"/>
  <c r="K222" i="1"/>
  <c r="M221" i="1"/>
  <c r="M218" i="1"/>
  <c r="M217" i="1"/>
  <c r="J221" i="1"/>
  <c r="P219" i="1"/>
  <c r="Q219" i="1"/>
  <c r="P220" i="1"/>
  <c r="Q220" i="1"/>
  <c r="P210" i="1"/>
  <c r="Q210" i="1"/>
  <c r="J210" i="1"/>
  <c r="J112" i="1"/>
  <c r="J110" i="1"/>
  <c r="L108" i="1"/>
  <c r="K108" i="1"/>
  <c r="J108" i="1"/>
  <c r="L107" i="1"/>
  <c r="J107" i="1"/>
  <c r="L200" i="1"/>
  <c r="P200" i="1"/>
  <c r="Q200" i="1"/>
  <c r="J200" i="1"/>
  <c r="P199" i="1"/>
  <c r="Q199" i="1"/>
  <c r="J199" i="1"/>
  <c r="G201" i="1"/>
  <c r="H201" i="1"/>
  <c r="I201" i="1"/>
  <c r="K201" i="1"/>
  <c r="L201" i="1"/>
  <c r="M201" i="1"/>
  <c r="N201" i="1"/>
  <c r="O201" i="1"/>
  <c r="O184" i="1"/>
  <c r="N184" i="1"/>
  <c r="M184" i="1"/>
  <c r="L184" i="1"/>
  <c r="I184" i="1"/>
  <c r="H184" i="1"/>
  <c r="G184" i="1"/>
  <c r="F184" i="1"/>
  <c r="E184" i="1"/>
  <c r="Q181" i="1"/>
  <c r="Q182" i="1"/>
  <c r="P158" i="1"/>
  <c r="Q158" i="1"/>
  <c r="J158" i="1"/>
  <c r="P160" i="1"/>
  <c r="Q160" i="1"/>
  <c r="J160" i="1"/>
  <c r="I157" i="1"/>
  <c r="H157" i="1"/>
  <c r="G157" i="1"/>
  <c r="F157" i="1"/>
  <c r="P155" i="1"/>
  <c r="Q155" i="1"/>
  <c r="P154" i="1"/>
  <c r="Q154" i="1"/>
  <c r="J154" i="1"/>
  <c r="O157" i="1"/>
  <c r="N157" i="1"/>
  <c r="P157" i="1"/>
  <c r="Q157" i="1"/>
  <c r="M118" i="1"/>
  <c r="L117" i="1"/>
  <c r="L113" i="1"/>
  <c r="O117" i="1"/>
  <c r="O116" i="1"/>
  <c r="N117" i="1"/>
  <c r="N116" i="1"/>
  <c r="M117" i="1"/>
  <c r="M116" i="1"/>
  <c r="K117" i="1"/>
  <c r="K116" i="1"/>
  <c r="L116" i="1"/>
  <c r="P115" i="1"/>
  <c r="Q115" i="1"/>
  <c r="O35" i="1"/>
  <c r="N35" i="1"/>
  <c r="M35" i="1"/>
  <c r="M19" i="1"/>
  <c r="O19" i="1"/>
  <c r="O18" i="1"/>
  <c r="L19" i="1"/>
  <c r="K19" i="1"/>
  <c r="K18" i="1"/>
  <c r="L18" i="1"/>
  <c r="I18" i="1"/>
  <c r="H18" i="1"/>
  <c r="G18" i="1"/>
  <c r="F18" i="1"/>
  <c r="E18" i="1"/>
  <c r="K15" i="1"/>
  <c r="K14" i="1"/>
  <c r="J15" i="1"/>
  <c r="O14" i="1"/>
  <c r="N14" i="1"/>
  <c r="M14" i="1"/>
  <c r="L14" i="1"/>
  <c r="I14" i="1"/>
  <c r="H14" i="1"/>
  <c r="G14" i="1"/>
  <c r="F14" i="1"/>
  <c r="E14" i="1"/>
  <c r="J13" i="1"/>
  <c r="P114" i="1"/>
  <c r="Q114" i="1"/>
  <c r="P45" i="1"/>
  <c r="Q45" i="1"/>
  <c r="J45" i="1"/>
  <c r="P44" i="1"/>
  <c r="Q44" i="1"/>
  <c r="J44" i="1"/>
  <c r="P43" i="1"/>
  <c r="Q43" i="1"/>
  <c r="P42" i="1"/>
  <c r="Q42" i="1"/>
  <c r="O41" i="1"/>
  <c r="N41" i="1"/>
  <c r="M41" i="1"/>
  <c r="L41" i="1"/>
  <c r="K41" i="1"/>
  <c r="L198" i="1"/>
  <c r="P198" i="1"/>
  <c r="Q198" i="1"/>
  <c r="J218" i="1"/>
  <c r="J217" i="1"/>
  <c r="P218" i="1"/>
  <c r="Q218" i="1"/>
  <c r="Q217" i="1"/>
  <c r="J159" i="1"/>
  <c r="P119" i="1"/>
  <c r="Q119" i="1"/>
  <c r="K118" i="1"/>
  <c r="P221" i="1"/>
  <c r="Q221" i="1"/>
  <c r="J147" i="1"/>
  <c r="J146" i="1"/>
  <c r="P59" i="1"/>
  <c r="P159" i="1"/>
  <c r="Q159" i="1"/>
  <c r="K36" i="1"/>
  <c r="R179" i="1"/>
  <c r="I156" i="1"/>
  <c r="M18" i="1"/>
  <c r="P201" i="1"/>
  <c r="Q201" i="1"/>
  <c r="M113" i="1"/>
  <c r="J184" i="1"/>
  <c r="E156" i="1"/>
  <c r="J157" i="1"/>
  <c r="H156" i="1"/>
  <c r="J156" i="1"/>
  <c r="F156" i="1"/>
  <c r="G156" i="1"/>
  <c r="P35" i="1"/>
  <c r="Q35" i="1"/>
  <c r="N19" i="1"/>
  <c r="N18" i="1"/>
  <c r="P118" i="1"/>
  <c r="Q118" i="1"/>
  <c r="P116" i="1"/>
  <c r="Q116" i="1"/>
  <c r="N113" i="1"/>
  <c r="P117" i="1"/>
  <c r="Q117" i="1"/>
  <c r="K113" i="1"/>
  <c r="O113" i="1"/>
  <c r="P14" i="1"/>
  <c r="Q14" i="1"/>
  <c r="P15" i="1"/>
  <c r="Q15" i="1"/>
  <c r="J14" i="1"/>
  <c r="P41" i="1"/>
  <c r="Q41" i="1"/>
  <c r="O153" i="1"/>
  <c r="N153" i="1"/>
  <c r="M153" i="1"/>
  <c r="L153" i="1"/>
  <c r="P152" i="1"/>
  <c r="P217" i="1"/>
  <c r="P18" i="1"/>
  <c r="Q18" i="1"/>
  <c r="P19" i="1"/>
  <c r="Q19" i="1"/>
  <c r="R198" i="1"/>
  <c r="P113" i="1"/>
  <c r="Q113" i="1"/>
  <c r="P64" i="1"/>
  <c r="Q64" i="1"/>
  <c r="P164" i="1"/>
  <c r="Q164" i="1"/>
  <c r="P161" i="1"/>
  <c r="Q161" i="1"/>
  <c r="P225" i="1"/>
  <c r="Q225" i="1"/>
  <c r="P216" i="1"/>
  <c r="Q216" i="1"/>
  <c r="K215" i="1"/>
  <c r="P215" i="1"/>
  <c r="Q215" i="1"/>
  <c r="P214" i="1"/>
  <c r="Q214" i="1"/>
  <c r="P224" i="1"/>
  <c r="Q224" i="1"/>
  <c r="J73" i="1"/>
  <c r="K75" i="1"/>
  <c r="N40" i="1"/>
  <c r="N37" i="1"/>
  <c r="E22" i="1"/>
  <c r="N36" i="1"/>
  <c r="P37" i="1"/>
  <c r="Q37" i="1"/>
  <c r="O207" i="1"/>
  <c r="E204" i="1"/>
  <c r="F204" i="1"/>
  <c r="G204" i="1"/>
  <c r="H204" i="1"/>
  <c r="I204" i="1"/>
  <c r="J205" i="1"/>
  <c r="P205" i="1"/>
  <c r="Q205" i="1"/>
  <c r="L204" i="1"/>
  <c r="M204" i="1"/>
  <c r="N204" i="1"/>
  <c r="O204" i="1"/>
  <c r="L149" i="1"/>
  <c r="L151" i="1"/>
  <c r="K153" i="1"/>
  <c r="K152" i="1"/>
  <c r="P107" i="1"/>
  <c r="Q107" i="1"/>
  <c r="O144" i="1"/>
  <c r="N144" i="1"/>
  <c r="M144" i="1"/>
  <c r="L144" i="1"/>
  <c r="K144" i="1"/>
  <c r="F105" i="1"/>
  <c r="G105" i="1"/>
  <c r="H105" i="1"/>
  <c r="E105" i="1"/>
  <c r="J101" i="1"/>
  <c r="J103" i="1"/>
  <c r="K86" i="1"/>
  <c r="L86" i="1"/>
  <c r="L58" i="1"/>
  <c r="L54" i="1"/>
  <c r="K53" i="1"/>
  <c r="O50" i="1"/>
  <c r="N50" i="1"/>
  <c r="M50" i="1"/>
  <c r="L50" i="1"/>
  <c r="O49" i="1"/>
  <c r="N49" i="1"/>
  <c r="M49" i="1"/>
  <c r="L49" i="1"/>
  <c r="F47" i="1"/>
  <c r="G47" i="1"/>
  <c r="H47" i="1"/>
  <c r="I47" i="1"/>
  <c r="E47" i="1"/>
  <c r="M17" i="1"/>
  <c r="M16" i="1"/>
  <c r="L17" i="1"/>
  <c r="L16" i="1"/>
  <c r="K17" i="1"/>
  <c r="K16" i="1"/>
  <c r="M83" i="1"/>
  <c r="L83" i="1"/>
  <c r="O132" i="1"/>
  <c r="N132" i="1"/>
  <c r="N106" i="1"/>
  <c r="M106" i="1"/>
  <c r="L106" i="1"/>
  <c r="K106" i="1"/>
  <c r="M108" i="1"/>
  <c r="L85" i="1"/>
  <c r="K74" i="1"/>
  <c r="K72" i="1"/>
  <c r="L134" i="1"/>
  <c r="O121" i="1"/>
  <c r="O120" i="1"/>
  <c r="N121" i="1"/>
  <c r="N120" i="1"/>
  <c r="M121" i="1"/>
  <c r="M120" i="1"/>
  <c r="L121" i="1"/>
  <c r="L120" i="1"/>
  <c r="F121" i="1"/>
  <c r="F120" i="1"/>
  <c r="G121" i="1"/>
  <c r="G120" i="1"/>
  <c r="H121" i="1"/>
  <c r="H120" i="1"/>
  <c r="I121" i="1"/>
  <c r="I120" i="1"/>
  <c r="K123" i="1"/>
  <c r="K122" i="1"/>
  <c r="P36" i="1"/>
  <c r="Q36" i="1"/>
  <c r="P153" i="1"/>
  <c r="Q153" i="1"/>
  <c r="J204" i="1"/>
  <c r="K204" i="1"/>
  <c r="K121" i="1"/>
  <c r="K120" i="1"/>
  <c r="Q152" i="1"/>
  <c r="P121" i="1"/>
  <c r="P204" i="1"/>
  <c r="Q204" i="1"/>
  <c r="O102" i="1"/>
  <c r="N102" i="1"/>
  <c r="M102" i="1"/>
  <c r="L102" i="1"/>
  <c r="K102" i="1"/>
  <c r="N32" i="1"/>
  <c r="F153" i="1"/>
  <c r="E153" i="1"/>
  <c r="E152" i="1"/>
  <c r="K78" i="1"/>
  <c r="J152" i="1"/>
  <c r="J153" i="1"/>
  <c r="O147" i="1"/>
  <c r="O146" i="1"/>
  <c r="K227" i="1"/>
  <c r="M227" i="1"/>
  <c r="N227" i="1"/>
  <c r="O227" i="1"/>
  <c r="L227" i="1"/>
  <c r="O230" i="1"/>
  <c r="O229" i="1"/>
  <c r="O226" i="1"/>
  <c r="N230" i="1"/>
  <c r="N229" i="1"/>
  <c r="N226" i="1"/>
  <c r="M230" i="1"/>
  <c r="M229" i="1"/>
  <c r="M226" i="1"/>
  <c r="J231" i="1"/>
  <c r="P228" i="1"/>
  <c r="Q228" i="1"/>
  <c r="J228" i="1"/>
  <c r="K226" i="1"/>
  <c r="O213" i="1"/>
  <c r="O212" i="1"/>
  <c r="N213" i="1"/>
  <c r="N212" i="1"/>
  <c r="M213" i="1"/>
  <c r="M212" i="1"/>
  <c r="L213" i="1"/>
  <c r="L212" i="1"/>
  <c r="K213" i="1"/>
  <c r="J216" i="1"/>
  <c r="J214" i="1"/>
  <c r="N105" i="1"/>
  <c r="N89" i="1"/>
  <c r="M47" i="1"/>
  <c r="N47" i="1"/>
  <c r="O47" i="1"/>
  <c r="K47" i="1"/>
  <c r="L47" i="1"/>
  <c r="P48" i="1"/>
  <c r="Q48" i="1"/>
  <c r="J50" i="1"/>
  <c r="J48" i="1"/>
  <c r="M29" i="1"/>
  <c r="L29" i="1"/>
  <c r="K29" i="1"/>
  <c r="O20" i="1"/>
  <c r="N20" i="1"/>
  <c r="M20" i="1"/>
  <c r="L20" i="1"/>
  <c r="O28" i="1"/>
  <c r="L33" i="1"/>
  <c r="K12" i="1"/>
  <c r="K8" i="1"/>
  <c r="K7" i="1"/>
  <c r="K21" i="1"/>
  <c r="K20" i="1"/>
  <c r="O17" i="1"/>
  <c r="O16" i="1"/>
  <c r="K11" i="1"/>
  <c r="K61" i="1"/>
  <c r="P60" i="1"/>
  <c r="Q60" i="1"/>
  <c r="L57" i="1"/>
  <c r="O33" i="1"/>
  <c r="N33" i="1"/>
  <c r="M34" i="1"/>
  <c r="K33" i="1"/>
  <c r="N31" i="1"/>
  <c r="M31" i="1"/>
  <c r="M30" i="1"/>
  <c r="K30" i="1"/>
  <c r="L30" i="1"/>
  <c r="N100" i="1"/>
  <c r="N98" i="1"/>
  <c r="P84" i="1"/>
  <c r="Q84" i="1"/>
  <c r="J84" i="1"/>
  <c r="L81" i="1"/>
  <c r="K69" i="1"/>
  <c r="O211" i="1"/>
  <c r="M211" i="1"/>
  <c r="N211" i="1"/>
  <c r="M33" i="1"/>
  <c r="Q231" i="1"/>
  <c r="L230" i="1"/>
  <c r="L229" i="1"/>
  <c r="K212" i="1"/>
  <c r="K229" i="1"/>
  <c r="J230" i="1"/>
  <c r="P227" i="1"/>
  <c r="P226" i="1"/>
  <c r="J227" i="1"/>
  <c r="L226" i="1"/>
  <c r="P223" i="1"/>
  <c r="P222" i="1"/>
  <c r="J213" i="1"/>
  <c r="J212" i="1"/>
  <c r="P213" i="1"/>
  <c r="P20" i="1"/>
  <c r="N17" i="1"/>
  <c r="Q16" i="1"/>
  <c r="N16" i="1"/>
  <c r="K211" i="1"/>
  <c r="Q20" i="1"/>
  <c r="Q230" i="1"/>
  <c r="Q229" i="1"/>
  <c r="Q227" i="1"/>
  <c r="Q226" i="1"/>
  <c r="Q223" i="1"/>
  <c r="Q222" i="1"/>
  <c r="L211" i="1"/>
  <c r="P212" i="1"/>
  <c r="Q213" i="1"/>
  <c r="Q212" i="1"/>
  <c r="I209" i="1"/>
  <c r="I208" i="1"/>
  <c r="H209" i="1"/>
  <c r="H208" i="1"/>
  <c r="G209" i="1"/>
  <c r="G208" i="1"/>
  <c r="F209" i="1"/>
  <c r="F208" i="1"/>
  <c r="E209" i="1"/>
  <c r="E208" i="1"/>
  <c r="L209" i="1"/>
  <c r="M209" i="1"/>
  <c r="N209" i="1"/>
  <c r="O209" i="1"/>
  <c r="K209" i="1"/>
  <c r="P207" i="1"/>
  <c r="Q207" i="1"/>
  <c r="O206" i="1"/>
  <c r="O203" i="1"/>
  <c r="N206" i="1"/>
  <c r="N203" i="1"/>
  <c r="M206" i="1"/>
  <c r="M203" i="1"/>
  <c r="L206" i="1"/>
  <c r="L203" i="1"/>
  <c r="K206" i="1"/>
  <c r="K203" i="1"/>
  <c r="F206" i="1"/>
  <c r="G206" i="1"/>
  <c r="H206" i="1"/>
  <c r="I206" i="1"/>
  <c r="E206" i="1"/>
  <c r="J207" i="1"/>
  <c r="N147" i="1"/>
  <c r="N146" i="1"/>
  <c r="M147" i="1"/>
  <c r="M146" i="1"/>
  <c r="L147" i="1"/>
  <c r="L146" i="1"/>
  <c r="K147" i="1"/>
  <c r="K146" i="1"/>
  <c r="O166" i="1"/>
  <c r="O165" i="1"/>
  <c r="N166" i="1"/>
  <c r="N165" i="1"/>
  <c r="M166" i="1"/>
  <c r="M165" i="1"/>
  <c r="L166" i="1"/>
  <c r="L165" i="1"/>
  <c r="K166" i="1"/>
  <c r="K165" i="1"/>
  <c r="J165" i="1"/>
  <c r="K162" i="1"/>
  <c r="I162" i="1"/>
  <c r="G162" i="1"/>
  <c r="F162" i="1"/>
  <c r="E162" i="1"/>
  <c r="E161" i="1"/>
  <c r="O141" i="1"/>
  <c r="N141" i="1"/>
  <c r="M141" i="1"/>
  <c r="L141" i="1"/>
  <c r="K141" i="1"/>
  <c r="I141" i="1"/>
  <c r="H141" i="1"/>
  <c r="G141" i="1"/>
  <c r="F141" i="1"/>
  <c r="E141" i="1"/>
  <c r="O138" i="1"/>
  <c r="O137" i="1"/>
  <c r="N138" i="1"/>
  <c r="N137" i="1"/>
  <c r="K138" i="1"/>
  <c r="K137" i="1"/>
  <c r="F138" i="1"/>
  <c r="F137" i="1"/>
  <c r="G138" i="1"/>
  <c r="G137" i="1"/>
  <c r="H138" i="1"/>
  <c r="H137" i="1"/>
  <c r="I138" i="1"/>
  <c r="I137" i="1"/>
  <c r="E138" i="1"/>
  <c r="E137" i="1"/>
  <c r="O143" i="1"/>
  <c r="N143" i="1"/>
  <c r="M143" i="1"/>
  <c r="L143" i="1"/>
  <c r="K143" i="1"/>
  <c r="I143" i="1"/>
  <c r="H143" i="1"/>
  <c r="G143" i="1"/>
  <c r="F143" i="1"/>
  <c r="E143" i="1"/>
  <c r="O128" i="1"/>
  <c r="L128" i="1"/>
  <c r="K128" i="1"/>
  <c r="O135" i="1"/>
  <c r="N135" i="1"/>
  <c r="M135" i="1"/>
  <c r="L135" i="1"/>
  <c r="K135" i="1"/>
  <c r="O133" i="1"/>
  <c r="N133" i="1"/>
  <c r="M133" i="1"/>
  <c r="L133" i="1"/>
  <c r="K133" i="1"/>
  <c r="I133" i="1"/>
  <c r="H133" i="1"/>
  <c r="G133" i="1"/>
  <c r="E133" i="1"/>
  <c r="O125" i="1"/>
  <c r="O124" i="1"/>
  <c r="N125" i="1"/>
  <c r="N124" i="1"/>
  <c r="I125" i="1"/>
  <c r="I124" i="1"/>
  <c r="H125" i="1"/>
  <c r="P108" i="1"/>
  <c r="Q108" i="1"/>
  <c r="O111" i="1"/>
  <c r="N111" i="1"/>
  <c r="M111" i="1"/>
  <c r="L111" i="1"/>
  <c r="K111" i="1"/>
  <c r="I111" i="1"/>
  <c r="H111" i="1"/>
  <c r="G111" i="1"/>
  <c r="F111" i="1"/>
  <c r="E111" i="1"/>
  <c r="O109" i="1"/>
  <c r="N109" i="1"/>
  <c r="M109" i="1"/>
  <c r="L109" i="1"/>
  <c r="K109" i="1"/>
  <c r="I109" i="1"/>
  <c r="H109" i="1"/>
  <c r="G109" i="1"/>
  <c r="F109" i="1"/>
  <c r="E109" i="1"/>
  <c r="O105" i="1"/>
  <c r="M105" i="1"/>
  <c r="I105" i="1"/>
  <c r="O79" i="1"/>
  <c r="N79" i="1"/>
  <c r="K79" i="1"/>
  <c r="E79" i="1"/>
  <c r="O98" i="1"/>
  <c r="M98" i="1"/>
  <c r="L98" i="1"/>
  <c r="K98" i="1"/>
  <c r="O96" i="1"/>
  <c r="N96" i="1"/>
  <c r="M96" i="1"/>
  <c r="L96" i="1"/>
  <c r="K96" i="1"/>
  <c r="O94" i="1"/>
  <c r="N94" i="1"/>
  <c r="M94" i="1"/>
  <c r="L94" i="1"/>
  <c r="K94" i="1"/>
  <c r="O89" i="1"/>
  <c r="M89" i="1"/>
  <c r="L89" i="1"/>
  <c r="K89" i="1"/>
  <c r="G94" i="1"/>
  <c r="I98" i="1"/>
  <c r="G98" i="1"/>
  <c r="F98" i="1"/>
  <c r="E98" i="1"/>
  <c r="O86" i="1"/>
  <c r="N86" i="1"/>
  <c r="O76" i="1"/>
  <c r="N76" i="1"/>
  <c r="M76" i="1"/>
  <c r="L76" i="1"/>
  <c r="I76" i="1"/>
  <c r="O73" i="1"/>
  <c r="N73" i="1"/>
  <c r="M73" i="1"/>
  <c r="L73" i="1"/>
  <c r="O70" i="1"/>
  <c r="N70" i="1"/>
  <c r="M70" i="1"/>
  <c r="L70" i="1"/>
  <c r="K70" i="1"/>
  <c r="O67" i="1"/>
  <c r="N67" i="1"/>
  <c r="M67" i="1"/>
  <c r="L67" i="1"/>
  <c r="K67" i="1"/>
  <c r="O56" i="1"/>
  <c r="N56" i="1"/>
  <c r="M56" i="1"/>
  <c r="L56" i="1"/>
  <c r="O52" i="1"/>
  <c r="N52" i="1"/>
  <c r="M52" i="1"/>
  <c r="L52" i="1"/>
  <c r="O46" i="1"/>
  <c r="N46" i="1"/>
  <c r="M46" i="1"/>
  <c r="E46" i="1"/>
  <c r="L46" i="1"/>
  <c r="J151" i="1"/>
  <c r="J150" i="1"/>
  <c r="J149" i="1"/>
  <c r="J148" i="1"/>
  <c r="J136" i="1"/>
  <c r="J134" i="1"/>
  <c r="J132" i="1"/>
  <c r="J131" i="1"/>
  <c r="J130" i="1"/>
  <c r="J129" i="1"/>
  <c r="J126" i="1"/>
  <c r="J123" i="1"/>
  <c r="J122" i="1"/>
  <c r="J106" i="1"/>
  <c r="J104" i="1"/>
  <c r="J100" i="1"/>
  <c r="J99" i="1"/>
  <c r="J97" i="1"/>
  <c r="J95" i="1"/>
  <c r="J93" i="1"/>
  <c r="J92" i="1"/>
  <c r="J91" i="1"/>
  <c r="J90" i="1"/>
  <c r="J88" i="1"/>
  <c r="J87" i="1"/>
  <c r="J85" i="1"/>
  <c r="J83" i="1"/>
  <c r="J82" i="1"/>
  <c r="J81" i="1"/>
  <c r="J80" i="1"/>
  <c r="J78" i="1"/>
  <c r="J77" i="1"/>
  <c r="J75" i="1"/>
  <c r="J74" i="1"/>
  <c r="J72" i="1"/>
  <c r="J69" i="1"/>
  <c r="J68" i="1"/>
  <c r="J58" i="1"/>
  <c r="J57" i="1"/>
  <c r="J55" i="1"/>
  <c r="J54" i="1"/>
  <c r="J53" i="1"/>
  <c r="J49" i="1"/>
  <c r="J40" i="1"/>
  <c r="J39" i="1"/>
  <c r="J38" i="1"/>
  <c r="J35" i="1"/>
  <c r="J34" i="1"/>
  <c r="J32" i="1"/>
  <c r="J31" i="1"/>
  <c r="J30" i="1"/>
  <c r="J29" i="1"/>
  <c r="J26" i="1"/>
  <c r="J23" i="1"/>
  <c r="J21" i="1"/>
  <c r="P151" i="1"/>
  <c r="Q151" i="1"/>
  <c r="P150" i="1"/>
  <c r="Q150" i="1"/>
  <c r="P149" i="1"/>
  <c r="Q149" i="1"/>
  <c r="P148" i="1"/>
  <c r="Q148" i="1"/>
  <c r="P144" i="1"/>
  <c r="Q144" i="1"/>
  <c r="P142" i="1"/>
  <c r="Q142" i="1"/>
  <c r="P136" i="1"/>
  <c r="Q136" i="1"/>
  <c r="P134" i="1"/>
  <c r="Q134" i="1"/>
  <c r="P129" i="1"/>
  <c r="Q129" i="1"/>
  <c r="P126" i="1"/>
  <c r="Q126" i="1"/>
  <c r="P123" i="1"/>
  <c r="Q123" i="1"/>
  <c r="P122" i="1"/>
  <c r="Q122" i="1"/>
  <c r="P112" i="1"/>
  <c r="Q112" i="1"/>
  <c r="P110" i="1"/>
  <c r="Q110" i="1"/>
  <c r="P104" i="1"/>
  <c r="Q104" i="1"/>
  <c r="P106" i="1"/>
  <c r="Q106" i="1"/>
  <c r="P99" i="1"/>
  <c r="Q99" i="1"/>
  <c r="P97" i="1"/>
  <c r="Q97" i="1"/>
  <c r="P95" i="1"/>
  <c r="Q95" i="1"/>
  <c r="P93" i="1"/>
  <c r="Q93" i="1"/>
  <c r="P92" i="1"/>
  <c r="Q92" i="1"/>
  <c r="P91" i="1"/>
  <c r="Q91" i="1"/>
  <c r="P90" i="1"/>
  <c r="Q90" i="1"/>
  <c r="P88" i="1"/>
  <c r="Q88" i="1"/>
  <c r="P85" i="1"/>
  <c r="Q85" i="1"/>
  <c r="P81" i="1"/>
  <c r="Q81" i="1"/>
  <c r="P80" i="1"/>
  <c r="Q80" i="1"/>
  <c r="P77" i="1"/>
  <c r="Q77" i="1"/>
  <c r="P72" i="1"/>
  <c r="Q72" i="1"/>
  <c r="P71" i="1"/>
  <c r="Q71" i="1"/>
  <c r="P69" i="1"/>
  <c r="Q69" i="1"/>
  <c r="P68" i="1"/>
  <c r="Q68" i="1"/>
  <c r="P57" i="1"/>
  <c r="Q57" i="1"/>
  <c r="P55" i="1"/>
  <c r="Q55" i="1"/>
  <c r="P50" i="1"/>
  <c r="Q50" i="1"/>
  <c r="P49" i="1"/>
  <c r="Q49" i="1"/>
  <c r="P39" i="1"/>
  <c r="Q39" i="1"/>
  <c r="P38" i="1"/>
  <c r="Q38" i="1"/>
  <c r="P34" i="1"/>
  <c r="Q34" i="1"/>
  <c r="P32" i="1"/>
  <c r="Q32" i="1"/>
  <c r="P31" i="1"/>
  <c r="Q31" i="1"/>
  <c r="P29" i="1"/>
  <c r="Q29" i="1"/>
  <c r="P11" i="1"/>
  <c r="Q11" i="1"/>
  <c r="P17" i="1"/>
  <c r="Q17" i="1"/>
  <c r="L139" i="1"/>
  <c r="M138" i="1"/>
  <c r="M137" i="1"/>
  <c r="P63" i="1"/>
  <c r="Q63" i="1"/>
  <c r="P61" i="1"/>
  <c r="Q61" i="1"/>
  <c r="K22" i="1"/>
  <c r="K13" i="1"/>
  <c r="N28" i="1"/>
  <c r="M28" i="1"/>
  <c r="I25" i="1"/>
  <c r="H25" i="1"/>
  <c r="G25" i="1"/>
  <c r="I20" i="1"/>
  <c r="H20" i="1"/>
  <c r="G20" i="1"/>
  <c r="F20" i="1"/>
  <c r="L10" i="1"/>
  <c r="L9" i="1"/>
  <c r="M10" i="1"/>
  <c r="M9" i="1"/>
  <c r="N10" i="1"/>
  <c r="N9" i="1"/>
  <c r="O10" i="1"/>
  <c r="O9" i="1"/>
  <c r="O6" i="1"/>
  <c r="O5" i="1"/>
  <c r="N6" i="1"/>
  <c r="N5" i="1"/>
  <c r="M6" i="1"/>
  <c r="M5" i="1"/>
  <c r="L6" i="1"/>
  <c r="L5" i="1"/>
  <c r="J111" i="1"/>
  <c r="Q59" i="1"/>
  <c r="J109" i="1"/>
  <c r="K161" i="1"/>
  <c r="P162" i="1"/>
  <c r="Q162" i="1"/>
  <c r="P211" i="1"/>
  <c r="Q211" i="1"/>
  <c r="J125" i="1"/>
  <c r="J203" i="1"/>
  <c r="P203" i="1"/>
  <c r="Q203" i="1"/>
  <c r="N140" i="1"/>
  <c r="O127" i="1"/>
  <c r="K127" i="1"/>
  <c r="L127" i="1"/>
  <c r="O101" i="1"/>
  <c r="N101" i="1"/>
  <c r="L101" i="1"/>
  <c r="K101" i="1"/>
  <c r="M101" i="1"/>
  <c r="M51" i="1"/>
  <c r="P124" i="1"/>
  <c r="Q124" i="1"/>
  <c r="N51" i="1"/>
  <c r="P111" i="1"/>
  <c r="Q111" i="1"/>
  <c r="N156" i="1"/>
  <c r="F140" i="1"/>
  <c r="J124" i="1"/>
  <c r="L140" i="1"/>
  <c r="J98" i="1"/>
  <c r="J89" i="1"/>
  <c r="E140" i="1"/>
  <c r="J105" i="1"/>
  <c r="J121" i="1"/>
  <c r="Q121" i="1"/>
  <c r="J79" i="1"/>
  <c r="I140" i="1"/>
  <c r="L51" i="1"/>
  <c r="J67" i="1"/>
  <c r="O140" i="1"/>
  <c r="J33" i="1"/>
  <c r="J135" i="1"/>
  <c r="G140" i="1"/>
  <c r="O156" i="1"/>
  <c r="M156" i="1"/>
  <c r="J36" i="1"/>
  <c r="O51" i="1"/>
  <c r="J86" i="1"/>
  <c r="P109" i="1"/>
  <c r="Q109" i="1"/>
  <c r="P133" i="1"/>
  <c r="Q133" i="1"/>
  <c r="H140" i="1"/>
  <c r="M140" i="1"/>
  <c r="J22" i="1"/>
  <c r="O208" i="1"/>
  <c r="L208" i="1"/>
  <c r="N208" i="1"/>
  <c r="K208" i="1"/>
  <c r="M208" i="1"/>
  <c r="J208" i="1"/>
  <c r="J70" i="1"/>
  <c r="J28" i="1"/>
  <c r="P141" i="1"/>
  <c r="K140" i="1"/>
  <c r="J52" i="1"/>
  <c r="J59" i="1"/>
  <c r="J10" i="1"/>
  <c r="J9" i="1"/>
  <c r="N27" i="1"/>
  <c r="P139" i="1"/>
  <c r="Q139" i="1"/>
  <c r="L138" i="1"/>
  <c r="L137" i="1"/>
  <c r="P135" i="1"/>
  <c r="J143" i="1"/>
  <c r="J166" i="1"/>
  <c r="K156" i="1"/>
  <c r="J25" i="1"/>
  <c r="J24" i="1"/>
  <c r="J37" i="1"/>
  <c r="J47" i="1"/>
  <c r="J56" i="1"/>
  <c r="P67" i="1"/>
  <c r="O66" i="1"/>
  <c r="J76" i="1"/>
  <c r="P89" i="1"/>
  <c r="Q89" i="1"/>
  <c r="P105" i="1"/>
  <c r="P143" i="1"/>
  <c r="Q143" i="1"/>
  <c r="L156" i="1"/>
  <c r="J20" i="1"/>
  <c r="M27" i="1"/>
  <c r="P86" i="1"/>
  <c r="Q86" i="1"/>
  <c r="P125" i="1"/>
  <c r="Q125" i="1"/>
  <c r="P47" i="1"/>
  <c r="P70" i="1"/>
  <c r="Q70" i="1"/>
  <c r="J133" i="1"/>
  <c r="P147" i="1"/>
  <c r="K46" i="1"/>
  <c r="P46" i="1"/>
  <c r="Q46" i="1"/>
  <c r="J128" i="1"/>
  <c r="P166" i="1"/>
  <c r="P206" i="1"/>
  <c r="J209" i="1"/>
  <c r="J206" i="1"/>
  <c r="P96" i="1"/>
  <c r="Q96" i="1"/>
  <c r="J94" i="1"/>
  <c r="J96" i="1"/>
  <c r="P94" i="1"/>
  <c r="Q94" i="1"/>
  <c r="J46" i="1"/>
  <c r="O65" i="1"/>
  <c r="Q206" i="1"/>
  <c r="Q141" i="1"/>
  <c r="Q105" i="1"/>
  <c r="Q135" i="1"/>
  <c r="Q67" i="1"/>
  <c r="Q47" i="1"/>
  <c r="P120" i="1"/>
  <c r="Q120" i="1"/>
  <c r="J120" i="1"/>
  <c r="Q166" i="1"/>
  <c r="P165" i="1"/>
  <c r="Q165" i="1"/>
  <c r="P140" i="1"/>
  <c r="Q140" i="1"/>
  <c r="J127" i="1"/>
  <c r="J137" i="1"/>
  <c r="J27" i="1"/>
  <c r="P208" i="1"/>
  <c r="Q208" i="1"/>
  <c r="P209" i="1"/>
  <c r="Q156" i="1"/>
  <c r="P156" i="1"/>
  <c r="P138" i="1"/>
  <c r="P137" i="1"/>
  <c r="Q137" i="1"/>
  <c r="Q147" i="1"/>
  <c r="Q146" i="1"/>
  <c r="P146" i="1"/>
  <c r="J51" i="1"/>
  <c r="J66" i="1"/>
  <c r="Q209" i="1"/>
  <c r="Q138" i="1"/>
  <c r="P202" i="1"/>
  <c r="Q202" i="1"/>
  <c r="J202" i="1"/>
  <c r="F201" i="1"/>
  <c r="E201" i="1"/>
  <c r="J201" i="1"/>
  <c r="L195" i="1"/>
  <c r="M195" i="1"/>
  <c r="N195" i="1"/>
  <c r="O195" i="1"/>
  <c r="K195" i="1"/>
  <c r="L194" i="1"/>
  <c r="P194" i="1"/>
  <c r="Q194" i="1"/>
  <c r="L187" i="1"/>
  <c r="M187" i="1"/>
  <c r="N187" i="1"/>
  <c r="O187" i="1"/>
  <c r="O190" i="1"/>
  <c r="O192" i="1"/>
  <c r="O183" i="1"/>
  <c r="K192" i="1"/>
  <c r="E192" i="1"/>
  <c r="F187" i="1"/>
  <c r="G187" i="1"/>
  <c r="H187" i="1"/>
  <c r="I187" i="1"/>
  <c r="P197" i="1"/>
  <c r="Q197" i="1"/>
  <c r="J197" i="1"/>
  <c r="E195" i="1"/>
  <c r="G195" i="1"/>
  <c r="H195" i="1"/>
  <c r="I195" i="1"/>
  <c r="J196" i="1"/>
  <c r="J194" i="1"/>
  <c r="L190" i="1"/>
  <c r="M190" i="1"/>
  <c r="N190" i="1"/>
  <c r="K190" i="1"/>
  <c r="F190" i="1"/>
  <c r="G190" i="1"/>
  <c r="H190" i="1"/>
  <c r="I190" i="1"/>
  <c r="E190" i="1"/>
  <c r="E183" i="1"/>
  <c r="P193" i="1"/>
  <c r="Q193" i="1"/>
  <c r="J193" i="1"/>
  <c r="N192" i="1"/>
  <c r="M192" i="1"/>
  <c r="I192" i="1"/>
  <c r="H192" i="1"/>
  <c r="G192" i="1"/>
  <c r="P191" i="1"/>
  <c r="Q191" i="1"/>
  <c r="J191" i="1"/>
  <c r="K189" i="1"/>
  <c r="K187" i="1"/>
  <c r="K186" i="1"/>
  <c r="K184" i="1"/>
  <c r="J188" i="1"/>
  <c r="J189" i="1"/>
  <c r="P188" i="1"/>
  <c r="Q188" i="1"/>
  <c r="P184" i="1"/>
  <c r="Q184" i="1"/>
  <c r="K183" i="1"/>
  <c r="G183" i="1"/>
  <c r="F183" i="1"/>
  <c r="N183" i="1"/>
  <c r="I183" i="1"/>
  <c r="M183" i="1"/>
  <c r="H183" i="1"/>
  <c r="P189" i="1"/>
  <c r="Q189" i="1"/>
  <c r="J195" i="1"/>
  <c r="L192" i="1"/>
  <c r="P192" i="1"/>
  <c r="Q192" i="1"/>
  <c r="J192" i="1"/>
  <c r="P190" i="1"/>
  <c r="P195" i="1"/>
  <c r="Q195" i="1"/>
  <c r="P196" i="1"/>
  <c r="Q196" i="1"/>
  <c r="J187" i="1"/>
  <c r="J190" i="1"/>
  <c r="J183" i="1"/>
  <c r="L183" i="1"/>
  <c r="P183" i="1"/>
  <c r="Q183" i="1"/>
  <c r="Q190" i="1"/>
  <c r="P187" i="1"/>
  <c r="Q187" i="1"/>
  <c r="P186" i="1"/>
  <c r="Q186" i="1"/>
  <c r="J186" i="1"/>
  <c r="P185" i="1"/>
  <c r="Q185" i="1"/>
  <c r="J185" i="1"/>
  <c r="O174" i="1"/>
  <c r="N174" i="1"/>
  <c r="M174" i="1"/>
  <c r="L174" i="1"/>
  <c r="K174" i="1"/>
  <c r="E174" i="1"/>
  <c r="I174" i="1"/>
  <c r="O170" i="1"/>
  <c r="N170" i="1"/>
  <c r="M170" i="1"/>
  <c r="L170" i="1"/>
  <c r="K170" i="1"/>
  <c r="G170" i="1"/>
  <c r="H170" i="1"/>
  <c r="I170" i="1"/>
  <c r="P176" i="1"/>
  <c r="Q176" i="1"/>
  <c r="P177" i="1"/>
  <c r="Q177" i="1"/>
  <c r="P178" i="1"/>
  <c r="Q178" i="1"/>
  <c r="J176" i="1"/>
  <c r="J177" i="1"/>
  <c r="J178" i="1"/>
  <c r="J173" i="1"/>
  <c r="P173" i="1"/>
  <c r="Q173" i="1"/>
  <c r="P175" i="1"/>
  <c r="Q175" i="1"/>
  <c r="J175" i="1"/>
  <c r="P172" i="1"/>
  <c r="Q172" i="1"/>
  <c r="J172" i="1"/>
  <c r="P171" i="1"/>
  <c r="Q171" i="1"/>
  <c r="J171" i="1"/>
  <c r="P168" i="1"/>
  <c r="Q168" i="1"/>
  <c r="J168" i="1"/>
  <c r="P167" i="1"/>
  <c r="Q167" i="1"/>
  <c r="J167" i="1"/>
  <c r="P163" i="1"/>
  <c r="Q163" i="1"/>
  <c r="J164" i="1"/>
  <c r="O169" i="1"/>
  <c r="O145" i="1"/>
  <c r="N169" i="1"/>
  <c r="N145" i="1"/>
  <c r="L169" i="1"/>
  <c r="L145" i="1"/>
  <c r="J174" i="1"/>
  <c r="J170" i="1"/>
  <c r="M169" i="1"/>
  <c r="M145" i="1"/>
  <c r="P170" i="1"/>
  <c r="Q170" i="1"/>
  <c r="P174" i="1"/>
  <c r="Q174" i="1"/>
  <c r="K169" i="1"/>
  <c r="K145" i="1"/>
  <c r="P145" i="1"/>
  <c r="Q145" i="1"/>
  <c r="J169" i="1"/>
  <c r="P169" i="1"/>
  <c r="Q169" i="1"/>
  <c r="P132" i="1"/>
  <c r="Q132" i="1"/>
  <c r="M131" i="1"/>
  <c r="P131" i="1"/>
  <c r="Q131" i="1"/>
  <c r="N130" i="1"/>
  <c r="M130" i="1"/>
  <c r="M79" i="1"/>
  <c r="P75" i="1"/>
  <c r="Q75" i="1"/>
  <c r="P83" i="1"/>
  <c r="Q83" i="1"/>
  <c r="M128" i="1"/>
  <c r="M127" i="1"/>
  <c r="M65" i="1"/>
  <c r="P130" i="1"/>
  <c r="Q130" i="1"/>
  <c r="P100" i="1"/>
  <c r="Q100" i="1"/>
  <c r="N128" i="1"/>
  <c r="N127" i="1"/>
  <c r="P7" i="1"/>
  <c r="Q7" i="1"/>
  <c r="J7" i="1"/>
  <c r="P98" i="1"/>
  <c r="Q98" i="1"/>
  <c r="N66" i="1"/>
  <c r="N65" i="1"/>
  <c r="P128" i="1"/>
  <c r="Q128" i="1"/>
  <c r="J61" i="1"/>
  <c r="L28" i="1"/>
  <c r="P127" i="1"/>
  <c r="Q127" i="1"/>
  <c r="L27" i="1"/>
  <c r="P30" i="1"/>
  <c r="Q30" i="1"/>
  <c r="K28" i="1"/>
  <c r="P58" i="1"/>
  <c r="Q58" i="1"/>
  <c r="K56" i="1"/>
  <c r="P56" i="1"/>
  <c r="Q56" i="1"/>
  <c r="P40" i="1"/>
  <c r="Q40" i="1"/>
  <c r="P28" i="1"/>
  <c r="O22" i="1"/>
  <c r="O13" i="1"/>
  <c r="N22" i="1"/>
  <c r="M22" i="1"/>
  <c r="L22" i="1"/>
  <c r="J12" i="1"/>
  <c r="J11" i="1"/>
  <c r="J8" i="1"/>
  <c r="P54" i="1"/>
  <c r="Q54" i="1"/>
  <c r="L13" i="1"/>
  <c r="L3" i="1"/>
  <c r="M13" i="1"/>
  <c r="M3" i="1"/>
  <c r="N13" i="1"/>
  <c r="N3" i="1"/>
  <c r="Q28" i="1"/>
  <c r="P8" i="1"/>
  <c r="Q8" i="1"/>
  <c r="K6" i="1"/>
  <c r="P21" i="1"/>
  <c r="Q21" i="1"/>
  <c r="P22" i="1"/>
  <c r="K52" i="1"/>
  <c r="P53" i="1"/>
  <c r="Q53" i="1"/>
  <c r="K10" i="1"/>
  <c r="P12" i="1"/>
  <c r="Q12" i="1"/>
  <c r="P23" i="1"/>
  <c r="Q23" i="1"/>
  <c r="J6" i="1"/>
  <c r="P13" i="1"/>
  <c r="Q13" i="1"/>
  <c r="J5" i="1"/>
  <c r="Q22" i="1"/>
  <c r="K9" i="1"/>
  <c r="P10" i="1"/>
  <c r="O27" i="1"/>
  <c r="O3" i="1"/>
  <c r="K27" i="1"/>
  <c r="P6" i="1"/>
  <c r="K5" i="1"/>
  <c r="P52" i="1"/>
  <c r="Q52" i="1"/>
  <c r="K51" i="1"/>
  <c r="P51" i="1"/>
  <c r="Q51" i="1"/>
  <c r="L82" i="1"/>
  <c r="Q4" i="1"/>
  <c r="K3" i="1"/>
  <c r="P3" i="1"/>
  <c r="Q3" i="1"/>
  <c r="P9" i="1"/>
  <c r="Q9" i="1"/>
  <c r="Q10" i="1"/>
  <c r="P33" i="1"/>
  <c r="Q33" i="1"/>
  <c r="P27" i="1"/>
  <c r="Q27" i="1"/>
  <c r="P74" i="1"/>
  <c r="Q74" i="1"/>
  <c r="K73" i="1"/>
  <c r="K76" i="1"/>
  <c r="P76" i="1"/>
  <c r="P78" i="1"/>
  <c r="Q78" i="1"/>
  <c r="L79" i="1"/>
  <c r="P82" i="1"/>
  <c r="Q82" i="1"/>
  <c r="P5" i="1"/>
  <c r="Q6" i="1"/>
  <c r="Q5" i="1"/>
  <c r="Q76" i="1"/>
  <c r="P73" i="1"/>
  <c r="K66" i="1"/>
  <c r="P79" i="1"/>
  <c r="Q79" i="1"/>
  <c r="L66" i="1"/>
  <c r="L65" i="1"/>
  <c r="K65" i="1"/>
  <c r="P65" i="1"/>
  <c r="Q65" i="1"/>
  <c r="Q73" i="1"/>
  <c r="P66" i="1"/>
  <c r="Q66" i="1"/>
  <c r="K232" i="1"/>
  <c r="P101" i="1"/>
  <c r="Q101" i="1"/>
  <c r="P102" i="1"/>
  <c r="Q102" i="1"/>
  <c r="J102" i="1"/>
  <c r="P232" i="1"/>
  <c r="Q232" i="1"/>
  <c r="L232" i="1"/>
  <c r="M232" i="1"/>
  <c r="N232" i="1"/>
  <c r="O2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Baron, Marie Edwige</author>
    <author>Catherine Alexis</author>
  </authors>
  <commentList>
    <comment ref="E71" authorId="0" shapeId="0" xr:uid="{55DF4A11-393C-46CC-AA77-FAA77D6172AC}">
      <text>
        <r>
          <rPr>
            <b/>
            <sz val="9"/>
            <color indexed="81"/>
            <rFont val="Tahoma"/>
            <family val="2"/>
          </rPr>
          <t>Baron, Marie Edwige:</t>
        </r>
        <r>
          <rPr>
            <sz val="9"/>
            <color indexed="81"/>
            <rFont val="Tahoma"/>
            <family val="2"/>
          </rPr>
          <t xml:space="preserve">
Pas de cout associe</t>
        </r>
      </text>
    </comment>
    <comment ref="C73" authorId="0" shapeId="0" xr:uid="{9222323E-2A9E-4762-A861-BF4DA20AFE7F}">
      <text>
        <r>
          <rPr>
            <b/>
            <sz val="9"/>
            <color indexed="81"/>
            <rFont val="Tahoma"/>
            <family val="2"/>
          </rPr>
          <t>Baron, Marie Edwige:</t>
        </r>
        <r>
          <rPr>
            <sz val="9"/>
            <color indexed="81"/>
            <rFont val="Tahoma"/>
            <family val="2"/>
          </rPr>
          <t xml:space="preserve">
Cahier de charge fonctionnel et Techniques</t>
        </r>
      </text>
    </comment>
    <comment ref="C74" authorId="0" shapeId="0" xr:uid="{372BA76C-D50D-4ADE-A260-61071A779908}">
      <text>
        <r>
          <rPr>
            <b/>
            <sz val="9"/>
            <color indexed="81"/>
            <rFont val="Tahoma"/>
            <family val="2"/>
          </rPr>
          <t>Baron, Marie Edwige:</t>
        </r>
        <r>
          <rPr>
            <sz val="9"/>
            <color indexed="81"/>
            <rFont val="Tahoma"/>
            <family val="2"/>
          </rPr>
          <t xml:space="preserve">
Cahier de charge fonctionnel et Techniques</t>
        </r>
      </text>
    </comment>
    <comment ref="B82" authorId="0" shapeId="0" xr:uid="{53E4385F-1369-4C07-A46D-4A7C7402E79D}">
      <text>
        <r>
          <rPr>
            <b/>
            <sz val="9"/>
            <color indexed="81"/>
            <rFont val="Tahoma"/>
            <family val="2"/>
          </rPr>
          <t>Baron, Marie Edwige:</t>
        </r>
        <r>
          <rPr>
            <sz val="9"/>
            <color indexed="81"/>
            <rFont val="Tahoma"/>
            <family val="2"/>
          </rPr>
          <t xml:space="preserve">
Eventuellenent recruter un consultant externe: Proposition 15 jrs a $ 400</t>
        </r>
      </text>
    </comment>
    <comment ref="B86" authorId="0" shapeId="0" xr:uid="{B9414B99-E660-49B9-AAB0-011882068C25}">
      <text>
        <r>
          <rPr>
            <b/>
            <sz val="9"/>
            <color indexed="81"/>
            <rFont val="Tahoma"/>
            <family val="2"/>
          </rPr>
          <t>Baron, Marie Edwige:</t>
        </r>
        <r>
          <rPr>
            <sz val="9"/>
            <color indexed="81"/>
            <rFont val="Tahoma"/>
            <family val="2"/>
          </rPr>
          <t xml:space="preserve">
Listes de Mat et D'equipements seront elaborees par le consultant qui aura a elaborer le cahier de charges 90 000 US</t>
        </r>
      </text>
    </comment>
    <comment ref="N100" authorId="1" shapeId="0" xr:uid="{989D5E56-A889-4DD0-BFE7-EA84EA0158C8}">
      <text>
        <r>
          <rPr>
            <b/>
            <sz val="9"/>
            <color indexed="81"/>
            <rFont val="Tahoma"/>
            <family val="2"/>
          </rPr>
          <t>Catherine Alexis:</t>
        </r>
        <r>
          <rPr>
            <sz val="9"/>
            <color indexed="81"/>
            <rFont val="Tahoma"/>
            <family val="2"/>
          </rPr>
          <t xml:space="preserve">
25 personnes au total sur 2 jours</t>
        </r>
      </text>
    </comment>
    <comment ref="B106" authorId="1" shapeId="0" xr:uid="{4B4156AF-3B00-4025-93D3-A95D4674D5DB}">
      <text>
        <r>
          <rPr>
            <b/>
            <sz val="9"/>
            <color indexed="81"/>
            <rFont val="Tahoma"/>
            <family val="2"/>
          </rPr>
          <t>Catherine Alexis:</t>
        </r>
        <r>
          <rPr>
            <sz val="9"/>
            <color indexed="81"/>
            <rFont val="Tahoma"/>
            <family val="2"/>
          </rPr>
          <t xml:space="preserve">
Les fonctionnaires sont consideres pas les contractuels car pas de base de donnees fiables. Suite a l'implementation du SIGRH, tout contractuel devra se faire enregistrer biometriquement/confirmer identite pour l'emission du contrat et recevoir un paiement</t>
        </r>
      </text>
    </comment>
    <comment ref="J138" authorId="1" shapeId="0" xr:uid="{AFC95D0C-01BE-4882-82B4-D5CB254B4245}">
      <text>
        <r>
          <rPr>
            <b/>
            <sz val="9"/>
            <color indexed="81"/>
            <rFont val="Tahoma"/>
            <family val="2"/>
          </rPr>
          <t>Catherine Alexis:</t>
        </r>
        <r>
          <rPr>
            <sz val="9"/>
            <color indexed="81"/>
            <rFont val="Tahoma"/>
            <family val="2"/>
          </rPr>
          <t xml:space="preserve">
not cumulative</t>
        </r>
      </text>
    </comment>
    <comment ref="J139" authorId="1" shapeId="0" xr:uid="{7A3897D8-AB43-45E6-B19D-173D6A664AB9}">
      <text>
        <r>
          <rPr>
            <b/>
            <sz val="9"/>
            <color indexed="81"/>
            <rFont val="Tahoma"/>
            <family val="2"/>
          </rPr>
          <t>Catherine Alexis:</t>
        </r>
        <r>
          <rPr>
            <sz val="9"/>
            <color indexed="81"/>
            <rFont val="Tahoma"/>
            <family val="2"/>
          </rPr>
          <t xml:space="preserve">
not cumulative</t>
        </r>
      </text>
    </comment>
    <comment ref="J141" authorId="1" shapeId="0" xr:uid="{D7EC37F0-FC25-43D3-B92A-4F26DE8C7A37}">
      <text>
        <r>
          <rPr>
            <b/>
            <sz val="9"/>
            <color indexed="81"/>
            <rFont val="Tahoma"/>
            <family val="2"/>
          </rPr>
          <t>Catherine Alexis:</t>
        </r>
        <r>
          <rPr>
            <sz val="9"/>
            <color indexed="81"/>
            <rFont val="Tahoma"/>
            <family val="2"/>
          </rPr>
          <t xml:space="preserve">
not cumulative</t>
        </r>
      </text>
    </comment>
    <comment ref="J142" authorId="1" shapeId="0" xr:uid="{1F8E1F85-894E-4EEC-8E37-074EFE27A1F5}">
      <text>
        <r>
          <rPr>
            <b/>
            <sz val="9"/>
            <color indexed="81"/>
            <rFont val="Tahoma"/>
            <family val="2"/>
          </rPr>
          <t>Catherine Alexis:</t>
        </r>
        <r>
          <rPr>
            <sz val="9"/>
            <color indexed="81"/>
            <rFont val="Tahoma"/>
            <family val="2"/>
          </rPr>
          <t xml:space="preserve">
not cumulative</t>
        </r>
      </text>
    </comment>
    <comment ref="J161" authorId="1" shapeId="0" xr:uid="{99569429-B48C-4BB5-ADD2-F30BED542B83}">
      <text>
        <r>
          <rPr>
            <b/>
            <sz val="9"/>
            <color indexed="81"/>
            <rFont val="Tahoma"/>
            <family val="2"/>
          </rPr>
          <t>Catherine Alexis:</t>
        </r>
        <r>
          <rPr>
            <sz val="9"/>
            <color indexed="81"/>
            <rFont val="Tahoma"/>
            <family val="2"/>
          </rPr>
          <t xml:space="preserve">
non cumulatif
</t>
        </r>
      </text>
    </comment>
  </commentList>
</comments>
</file>

<file path=xl/sharedStrings.xml><?xml version="1.0" encoding="utf-8"?>
<sst xmlns="http://schemas.openxmlformats.org/spreadsheetml/2006/main" count="805" uniqueCount="561">
  <si>
    <t>Physique</t>
  </si>
  <si>
    <t>Financier</t>
  </si>
  <si>
    <t>BID</t>
  </si>
  <si>
    <t>Unit</t>
  </si>
  <si>
    <t>Unit Cost</t>
  </si>
  <si>
    <t>Year 1</t>
  </si>
  <si>
    <t>Year 2</t>
  </si>
  <si>
    <t>Year 3</t>
  </si>
  <si>
    <t>Year 4</t>
  </si>
  <si>
    <t>Year 5</t>
  </si>
  <si>
    <t>Total</t>
  </si>
  <si>
    <t>year 5</t>
  </si>
  <si>
    <t>TOTAL</t>
  </si>
  <si>
    <t>Budget Notes</t>
  </si>
  <si>
    <t>Component 1</t>
  </si>
  <si>
    <t xml:space="preserve">Strengthening the OMRH's transversal management of human resources </t>
  </si>
  <si>
    <t>Composition of 3 Task Forces to do this (1p from OMRH, 2p from the Tresor Inspection Directorate, 1p DSalaries, 1p DPC, 2p ONI, 1 DRH institution concerned, 3 police officers) with 2 drivers for data collection</t>
  </si>
  <si>
    <t>Activity 1.1</t>
  </si>
  <si>
    <t>Development and implementation of an HR management policy</t>
  </si>
  <si>
    <t>Policy</t>
  </si>
  <si>
    <t>Product</t>
  </si>
  <si>
    <t>HR management policy developed and validated</t>
  </si>
  <si>
    <t>Activity 1.1.1</t>
  </si>
  <si>
    <t>Recruitment of specialists who:
1) Evaluate the human resources function (structures, standards, procedures, practices)
2) Provide recommendations
3) Develop HRM policy and implementation plan</t>
  </si>
  <si>
    <t>Contract</t>
  </si>
  <si>
    <t>90 days of work; 2 local consultants @$360/d</t>
  </si>
  <si>
    <t>Activity 1.1.2</t>
  </si>
  <si>
    <t>Validation workshops</t>
  </si>
  <si>
    <t>Workshops</t>
  </si>
  <si>
    <t xml:space="preserve">2 validation worskhops of 100people each with meals @$25pp and conf. room rental </t>
  </si>
  <si>
    <t>Activity 1.2</t>
  </si>
  <si>
    <t>Strengthening the legal and regulatory framework</t>
  </si>
  <si>
    <t>Strengthening</t>
  </si>
  <si>
    <t xml:space="preserve">Product </t>
  </si>
  <si>
    <t>Human resources management standards, procedures and tools established and approved by the OMRH</t>
  </si>
  <si>
    <t>Package</t>
  </si>
  <si>
    <t>Activity 1.2.1</t>
  </si>
  <si>
    <t>Recruitment of specialists that: 1) Will evaluate the human ressources function (structures, normes, procedures, practices), 2) Provide recommendations, 3) Elaborate the policy and plan of implementation of the HRM</t>
  </si>
  <si>
    <t>90d for 2 local consultants @$360/d and 60d for 1 int. consultant @$760/d with 2 travels to Haiti @$2.5Keach with 40days of perdiem and car rentar @$386/d</t>
  </si>
  <si>
    <t>Activity 1.2.2</t>
  </si>
  <si>
    <t>Valdation workshops</t>
  </si>
  <si>
    <t>2 validation worskhops of 100people each with meals @$25pp and conf. room rental ($600/d)</t>
  </si>
  <si>
    <t>Activity 1.3</t>
  </si>
  <si>
    <t xml:space="preserve">Strengthening the managerial and technical capacities of the OMRH </t>
  </si>
  <si>
    <t>Report on the HR Gap assessment o the OMRH</t>
  </si>
  <si>
    <t>Report</t>
  </si>
  <si>
    <t>Activity 1.3.1</t>
  </si>
  <si>
    <t>Recruitment of a specialist to perform:
1) Analysis of the human resources gap at the OMRH in order to provide the necessary staff for its new functional organization
2) Develop job profiles for the OMRH
3) Design a technical training program and motivation programs</t>
  </si>
  <si>
    <t xml:space="preserve">60d of 1 int. consultant @$360/d </t>
  </si>
  <si>
    <t>Recruitment of new personnel at the OMRH</t>
  </si>
  <si>
    <t>Activity 1.3.2</t>
  </si>
  <si>
    <t>Recruitment of staff for the OMRH</t>
  </si>
  <si>
    <t>Estimation for the recruitment of 15 new employees for the OMRH (10 hired in 2019 and 5 more in 2020), @HTG 150K/m each ($2K/m; average salary of technical, professional and direction personnel in IADB wage bill). Reduction in year 4 and 5 of amount to be paid (half of total in year 4 and 1/3 in year 5) for government absorption</t>
  </si>
  <si>
    <t xml:space="preserve">Funding of salary supplements at the OMRH </t>
  </si>
  <si>
    <t>Complements</t>
  </si>
  <si>
    <t>Activity 1.3.3</t>
  </si>
  <si>
    <t>Funding of salary supplements at the OMRH</t>
  </si>
  <si>
    <t xml:space="preserve">Salary complement estimated for 7 people from the category A and 8 from category B of direction personnel. Eliibibility criteria to be defined; those who meet the criteria will then be selected and will need to meet specific conditions before they receive a salary complement. Estimation of HTG100K/m ($1.4K/m) for category A personnel and HTG120K/m ($1.7K/m) for category B personnel (circa difference between max actual salary and max IADB salary for specific category).
</t>
  </si>
  <si>
    <t>OMRH Trainers Forms on HR Management Standards, Procedures and Tools</t>
  </si>
  <si>
    <t>Trainers</t>
  </si>
  <si>
    <t>Activity 1.3.4</t>
  </si>
  <si>
    <t>Training of OMRH trainers by specialists recruited in component 1.2 activity 1, on HR management procedures and tools</t>
  </si>
  <si>
    <t>Workshop for 15 OMRH personnel (food @$25pp) includes cost for document printing (@$30pp)</t>
  </si>
  <si>
    <t>Technical training workshops and incentive programs for retirement for current and new OMRH staff</t>
  </si>
  <si>
    <t>Activity 1.3.5</t>
  </si>
  <si>
    <t>Conduct of training sessions and incentive programmes for retirement based on the recruitment of specialists to develop human resources management standards, procedures and tools (component 1.2 activity 1)</t>
  </si>
  <si>
    <t>Training</t>
  </si>
  <si>
    <t xml:space="preserve">Estimation for trainings and motivation programs for OMRH. Currently has 90 employees.  See Annex of component budget notes </t>
  </si>
  <si>
    <t>Activity 1.4</t>
  </si>
  <si>
    <t>Adaptation of offices, office supplies, computer and communication equipment to strengthen the OMRH</t>
  </si>
  <si>
    <t xml:space="preserve">Equipped Office </t>
  </si>
  <si>
    <t>Equipped offices, operating IT equipment, energy security, communication service and operational internet</t>
  </si>
  <si>
    <t>Activity 1.4.1</t>
  </si>
  <si>
    <t>Acquisition of equipment, minor computer equipment, installation equipment, reliable internet service and office furniture</t>
  </si>
  <si>
    <t>Materials</t>
  </si>
  <si>
    <t>See Annex of component budget notes</t>
  </si>
  <si>
    <t>Activity 1.5</t>
  </si>
  <si>
    <t>Design of a new job structure and review of the salary scale</t>
  </si>
  <si>
    <t>Position and salary structure</t>
  </si>
  <si>
    <t>Job and Competency Repository with levels, classification and job profiles developed and valid</t>
  </si>
  <si>
    <t>Frame of Reference</t>
  </si>
  <si>
    <t>Activity 1.5.1</t>
  </si>
  <si>
    <t xml:space="preserve">Recruitment of a firm for:
1) Make an inventory of what already exists
2) Establish the job and skills reference framework (REC) by institution
3) Develop job profiles and classify them
4) Evaluate, classify and categorize jobs
5) Identify and create job corps and their special status
6) Development of an electronic personnel evaluation module
7) Accompanying the OMRH and the PS institutions in the evaluation of public servants
</t>
  </si>
  <si>
    <t xml:space="preserve">Based on experience from European Union </t>
  </si>
  <si>
    <t>Activity 1.5.2</t>
  </si>
  <si>
    <t xml:space="preserve">Exchange and validation workshop (that includes the experiences of females at the Public Service) </t>
  </si>
  <si>
    <t>25 workshops in total estimated (18 ministries and 7 among the Autonomous Agencies) with 150 people, food @$25pp and room rental @$600/d</t>
  </si>
  <si>
    <t>Activity 1.5.3</t>
  </si>
  <si>
    <t>Evaluation of the personnel of governmental entities by the institutions and the OMRH with the support of the firm of the activity 1</t>
  </si>
  <si>
    <t>Evaluations completed</t>
  </si>
  <si>
    <t>Evaluation of all governmental personnel. Estimation for work to be done in PaP and outside PaP.  
Total of 102 governmental institutions (18 ministires and 84 Autonomous Agencies) 42 communes to be visited (10 year 3 then 32 year 4); Printing costs of $10/copy for 2 people per DRH and per institution
Outisde PaP: 4 days travel of 3 people with average per diem of $208.25/d/p</t>
  </si>
  <si>
    <t>Activity 1.5.4</t>
  </si>
  <si>
    <t>Recruitment of two experts for the development of a personnel reclassification plan (right-sizing)</t>
  </si>
  <si>
    <t>Estimation for salary of 1 international consultant for 30days @$760/d with 40 days of per diem @$386/d (car rental, M&amp;I, hotel) and 60 days of nat. consultant at @$360/d</t>
  </si>
  <si>
    <t>Elaboration and implementation of the new salary scale</t>
  </si>
  <si>
    <t>Scale</t>
  </si>
  <si>
    <t>Activity 1.5.6</t>
  </si>
  <si>
    <t>Recruitment of specialists to support the sub-committee in the establishment of the salary grid and the preparation of a plan for the implementation of the grid</t>
  </si>
  <si>
    <t>60d of 2 int. consultants @$760/d/p with 2 travels pp to Haiti @$2.5Keach with 40days of perdiem and car rentar @$386/d/p</t>
  </si>
  <si>
    <t>Activity 1.5.7</t>
  </si>
  <si>
    <t>Funding of gratuities to members of the sub-commission</t>
  </si>
  <si>
    <t>-</t>
  </si>
  <si>
    <t>10 members in commission. Incentive of HTG30K ($429) per member per month. Elibigility criteria and conditions to receive amount to be defined</t>
  </si>
  <si>
    <t>Activity 1.6</t>
  </si>
  <si>
    <t>Design a retirement incentive program for public servants</t>
  </si>
  <si>
    <t>Incentive Program Design</t>
  </si>
  <si>
    <t>Program conditions reviewed and approved</t>
  </si>
  <si>
    <t>Approved Conditions</t>
  </si>
  <si>
    <t>Activity 1.6.1</t>
  </si>
  <si>
    <t xml:space="preserve">Revision of modalities of the program of voluntary retirement of public servants </t>
  </si>
  <si>
    <t>Revised Conditions</t>
  </si>
  <si>
    <t>No cost part of OMRH and MEF general activities</t>
  </si>
  <si>
    <t>Activity 1.6.2</t>
  </si>
  <si>
    <t xml:space="preserve">Identification of personnel eligible for retirement in ministries and public institutions </t>
  </si>
  <si>
    <t>Staff identified</t>
  </si>
  <si>
    <t>Activity 1.6.3</t>
  </si>
  <si>
    <t xml:space="preserve">Awareness and inTraining on the process </t>
  </si>
  <si>
    <t>Awareness raising</t>
  </si>
  <si>
    <t>Estimation for awareness raising</t>
  </si>
  <si>
    <t>Activity 1.7</t>
  </si>
  <si>
    <t>Design of a payroll audit to identify officials to voluntary retirement and total employees</t>
  </si>
  <si>
    <t xml:space="preserve">Payroll design </t>
  </si>
  <si>
    <t>Payroll audit to identify officials by voluntary retirement</t>
  </si>
  <si>
    <t>Audit</t>
  </si>
  <si>
    <t>Activity 1.7.1</t>
  </si>
  <si>
    <t>Recruitment of the company for the design of the payroll audit</t>
  </si>
  <si>
    <t xml:space="preserve">Salary audit to Identify total officials </t>
  </si>
  <si>
    <t>Activity 1.7.2</t>
  </si>
  <si>
    <t>Recruitment of the company for the design of the salary audit</t>
  </si>
  <si>
    <t>Contrat</t>
  </si>
  <si>
    <t>Activity 1.8</t>
  </si>
  <si>
    <t xml:space="preserve">Strengthening the gender dimension in the public service </t>
  </si>
  <si>
    <t>Gender Reinforcement</t>
  </si>
  <si>
    <t>Activities to reinforce the gender aspect in the Public Service</t>
  </si>
  <si>
    <t>Activities</t>
  </si>
  <si>
    <t>Activity 1.8.1</t>
  </si>
  <si>
    <t>Forum of women civil service executives to gather their experiences, share in training and recommendations</t>
  </si>
  <si>
    <t>Forum</t>
  </si>
  <si>
    <t>Estimation for forum</t>
  </si>
  <si>
    <t>Activity 1.8.2</t>
  </si>
  <si>
    <t>Extension of existing programs and launch of awareness campaigns for women to participate in competitions (implementation of the MCFDF plan, Validation of Professional Knowledge and Experience)</t>
  </si>
  <si>
    <t>Campaign</t>
  </si>
  <si>
    <t>Activity 1.8.3</t>
  </si>
  <si>
    <t>Accompanying and mentoring women for their professional development and supporting them in the submission of final dissertations</t>
  </si>
  <si>
    <t>Mentorship</t>
  </si>
  <si>
    <t>Estimation for support to women to finish their thesis</t>
  </si>
  <si>
    <t>Activity 1.9</t>
  </si>
  <si>
    <t>Training and skills development and career development plan</t>
  </si>
  <si>
    <t>Training Plan</t>
  </si>
  <si>
    <t>HRD staff training on human resource management standards, procedures and tools established and approved by the OMRH (Component 1.1)</t>
  </si>
  <si>
    <t>Trained Staff</t>
  </si>
  <si>
    <t>Activity 1.9.1</t>
  </si>
  <si>
    <t>Training offered to HR departments of government entities on HRM policy in PaP</t>
  </si>
  <si>
    <t xml:space="preserve">Total of 3 trainings of 5 days that includes 2 DRH people from the 102 institutions </t>
  </si>
  <si>
    <t>Activity 1.9.2</t>
  </si>
  <si>
    <t>Training offered to HR Departments of government entities on HRM policy at the SD level</t>
  </si>
  <si>
    <t>40 people training of 5 days for 9 other departments; 3 people travel (incl driver) for 7 day mission. Room rental at $450/d</t>
  </si>
  <si>
    <t>Activity 1.9.3</t>
  </si>
  <si>
    <t>Coaching of HRDs by the OMRH</t>
  </si>
  <si>
    <t>Coaching</t>
  </si>
  <si>
    <t>No cost part of OMRH usual activities</t>
  </si>
  <si>
    <t>Development and validation of a training and development plan</t>
  </si>
  <si>
    <t xml:space="preserve">plan </t>
  </si>
  <si>
    <t>Activity 1.9.4</t>
  </si>
  <si>
    <t>Recruitment of experts to develop a training and development plan</t>
  </si>
  <si>
    <t>Two national experts for 60 days @360/d</t>
  </si>
  <si>
    <t>Activity 1.9.5</t>
  </si>
  <si>
    <t>Validation workshop</t>
  </si>
  <si>
    <t>Validation Workshop</t>
  </si>
  <si>
    <t>2 x 2day workshops for 100 people with $30 printing cost/person</t>
  </si>
  <si>
    <t>Activity  1.10</t>
  </si>
  <si>
    <t>Design and Implementation of change management and communication strategy</t>
  </si>
  <si>
    <t>campaigns</t>
  </si>
  <si>
    <t>Elaboration of a change management strategy</t>
  </si>
  <si>
    <t>strategy</t>
  </si>
  <si>
    <t>Activity 1.10.1</t>
  </si>
  <si>
    <t>Recruitment to develop a change management strategy </t>
  </si>
  <si>
    <t>1 national consultant working 40 days at $360/d</t>
  </si>
  <si>
    <t>Promotion and awareness campaigns</t>
  </si>
  <si>
    <t>Campaigns</t>
  </si>
  <si>
    <t>Activity 1.10.2</t>
  </si>
  <si>
    <t xml:space="preserve">Estimation </t>
  </si>
  <si>
    <t>Activity 1.10.3</t>
  </si>
  <si>
    <t xml:space="preserve">Design and implementation of a communication strategy </t>
  </si>
  <si>
    <t xml:space="preserve">Plan </t>
  </si>
  <si>
    <t>Component 2</t>
  </si>
  <si>
    <t>Improvement of cross-cutting human resources management systems (HRMIS)</t>
  </si>
  <si>
    <t>Activity 2.1</t>
  </si>
  <si>
    <t>Public Administration Integrated Human Resources Management System (HRMIS/ SIGRH) including pay and pension management modules</t>
  </si>
  <si>
    <t>SIGRH</t>
  </si>
  <si>
    <t>Post-Implementation Review Document - Implementation of the current HRMIS/ SIGRH</t>
  </si>
  <si>
    <t>Activity 2.1.1</t>
  </si>
  <si>
    <t>Review and validation of the Terms of Reference</t>
  </si>
  <si>
    <t>Terms of ref</t>
  </si>
  <si>
    <t>No cost</t>
  </si>
  <si>
    <t>Activity 2.1.2</t>
  </si>
  <si>
    <t>Appraiser Recruitment</t>
  </si>
  <si>
    <t>60 days of national consultant</t>
  </si>
  <si>
    <t>Recruitment of the AMOA</t>
  </si>
  <si>
    <t>AMOA</t>
  </si>
  <si>
    <t>Activity 2.1.3</t>
  </si>
  <si>
    <t>Preparation of the TOR which includes that the AMOA will have to prepare the DAO among others</t>
  </si>
  <si>
    <t xml:space="preserve"> -</t>
  </si>
  <si>
    <t>Activity 2.1.4</t>
  </si>
  <si>
    <t>Recruitment of consultants</t>
  </si>
  <si>
    <t>120 of international consultant and 240 days of national consultant</t>
  </si>
  <si>
    <t>Specifications drawn up and validated</t>
  </si>
  <si>
    <t>Specifications</t>
  </si>
  <si>
    <t>Activity 2.1.5</t>
  </si>
  <si>
    <t xml:space="preserve">Recruitment of a consultant to elaborate the specifications </t>
  </si>
  <si>
    <t>CDCFT</t>
  </si>
  <si>
    <t>60 days of international consultant with corresponding expenses (see component 1 for more inTraining on corresponding int. cons. expenses)</t>
  </si>
  <si>
    <t>Activity 2.1.6</t>
  </si>
  <si>
    <t>Workshops to validate the specifications</t>
  </si>
  <si>
    <t>2 day workshop with 50 ppl</t>
  </si>
  <si>
    <t>Licitation for the HRMIS/ SIGRH elaborated and validated with specifications</t>
  </si>
  <si>
    <t>Licitation validaded</t>
  </si>
  <si>
    <t>Activity 2.1.7</t>
  </si>
  <si>
    <t xml:space="preserve">Licitation finalized for the MEF, OMRH, BID based on the AMOA </t>
  </si>
  <si>
    <t>Licitation finalized</t>
  </si>
  <si>
    <t>Activity 2.1.8</t>
  </si>
  <si>
    <t>Workshops of validation of the licitation</t>
  </si>
  <si>
    <t>Integrator for the implementation of the solution, recruited</t>
  </si>
  <si>
    <t>Self-powered integrator</t>
  </si>
  <si>
    <t>Activity 2.1.9</t>
  </si>
  <si>
    <t>Launching of proposals based on the validated licitation</t>
  </si>
  <si>
    <t>Call for proposals launched</t>
  </si>
  <si>
    <t>Activity 2.1.10</t>
  </si>
  <si>
    <t>Specific assistance during the evaluation of tenders</t>
  </si>
  <si>
    <t>15 days of international consultant with corresponding expenses</t>
  </si>
  <si>
    <t>Activity 2.1.11</t>
  </si>
  <si>
    <t>Legal assistance to finalize the Contract model</t>
  </si>
  <si>
    <t>15 days of national consultant at $400/d in case needed. For IFMIS, was added to WB budget</t>
  </si>
  <si>
    <t>Activity 2.1.12</t>
  </si>
  <si>
    <t>Selection of the integrator for supply, installation, deployment and maintenance plan of the HRMIS (integrator will also have to provide the list of equipment to be purchased for the HRMIS)</t>
  </si>
  <si>
    <t>Estimation for SIGRH as system expansion and training to be added to integrator's contract</t>
  </si>
  <si>
    <t>Activity 2.1.13</t>
  </si>
  <si>
    <t>Acquisition of 400 licenses</t>
  </si>
  <si>
    <t>Licences</t>
  </si>
  <si>
    <t>Estimation</t>
  </si>
  <si>
    <t>Activity 2.1.14</t>
  </si>
  <si>
    <t xml:space="preserve"> Recruit 1 consultant to define the "Business Process Model" (macro-process)</t>
  </si>
  <si>
    <t>30 days of international consultant with corresponding expenses</t>
  </si>
  <si>
    <t>Hardware and equipment and software infrastructure acquired</t>
  </si>
  <si>
    <t>Activity 2.1.15</t>
  </si>
  <si>
    <t>Acquisition of hardware, software and equipment based on the integrator's specifications and recommendations</t>
  </si>
  <si>
    <t>Activity 2.1.16</t>
  </si>
  <si>
    <t>Installation and Deployment of Hardware, Equipment and Infrastructure Software</t>
  </si>
  <si>
    <t>Installation</t>
  </si>
  <si>
    <t>Acquired and functional HRMIS</t>
  </si>
  <si>
    <t>SIGRH acquis et fonctionnel</t>
  </si>
  <si>
    <t>Activity 2.1.17</t>
  </si>
  <si>
    <t>Validation of the integration process proposed by the integrator</t>
  </si>
  <si>
    <t>Validation</t>
  </si>
  <si>
    <t>No cost here as included in integrator contract</t>
  </si>
  <si>
    <t>Activity 2.1.18</t>
  </si>
  <si>
    <t>Parameterization of the solution</t>
  </si>
  <si>
    <t>Setting</t>
  </si>
  <si>
    <t>Activity 2.1.19</t>
  </si>
  <si>
    <t>Implementation of test procedures</t>
  </si>
  <si>
    <t>Test</t>
  </si>
  <si>
    <t>Activity 2.1.20</t>
  </si>
  <si>
    <t>Realizations of specific developments</t>
  </si>
  <si>
    <t>Developments</t>
  </si>
  <si>
    <t>System deployed within OMRH, DPC/MEF,Salaries/MEF</t>
  </si>
  <si>
    <t>Deployment</t>
  </si>
  <si>
    <t>Activity 2.1.21</t>
  </si>
  <si>
    <t>Deployment of hardware, equipment and infrastructure software</t>
  </si>
  <si>
    <t>System extended to the various ministries and other institutions concerned</t>
  </si>
  <si>
    <t>Extension</t>
  </si>
  <si>
    <t>Activity 2.1.22</t>
  </si>
  <si>
    <t>extension of hardware, equipment and infrastructure software to other institutions concerned</t>
  </si>
  <si>
    <t>System maintenance over the life of the project and implementation of a maintenance plan beyond the project</t>
  </si>
  <si>
    <t>Maintenance Plan</t>
  </si>
  <si>
    <t>Activity 2.1.23</t>
  </si>
  <si>
    <t>Development of a Maintenance Plan by the integrator beyond the project (preventive and curative)</t>
  </si>
  <si>
    <t>Maintenance Plan developed</t>
  </si>
  <si>
    <t>Activity 2.1.24</t>
  </si>
  <si>
    <t>Training of DSI/MEF and DSI/OMRH technicians in system maintenance (system support)</t>
  </si>
  <si>
    <t xml:space="preserve">Training </t>
  </si>
  <si>
    <t>5 day workshop for 25 people</t>
  </si>
  <si>
    <t>Activity 2.2</t>
  </si>
  <si>
    <t>Mandatory Biometric Register of Public Servants that will identify them and purge the government compensation database</t>
  </si>
  <si>
    <t>Registration</t>
  </si>
  <si>
    <t>Biometric census action plan developed</t>
  </si>
  <si>
    <t>Action Plan</t>
  </si>
  <si>
    <t>Activity 2.2.1</t>
  </si>
  <si>
    <t>Discussions with ONI to develop an action plan and identify opportunities for collaboration</t>
  </si>
  <si>
    <t>Action Plan developed</t>
  </si>
  <si>
    <t>No cost associated</t>
  </si>
  <si>
    <t>Activity 2.2.2</t>
  </si>
  <si>
    <t>Preparation and departmental support of the methodology and action plan for identifying public servants</t>
  </si>
  <si>
    <t>Action Plan granted</t>
  </si>
  <si>
    <t>Data Collection and Salary Database Sanitization by Government Institution</t>
  </si>
  <si>
    <t>Governmental Institution</t>
  </si>
  <si>
    <t>Activity 2.2.3</t>
  </si>
  <si>
    <t>Data collection</t>
  </si>
  <si>
    <t>MEF confirmed in meeting of 17 AUG that they have completed the work for the MENFP (30K) but not yet its Autonomous Organism. 
Out of the 90K civil servants, 60K would be left to be verified. 1 TF can verify inTraining for 20K civil servants in 1 year. 3 Task Force in total are therefore needed due to possible risks, estimated that it will take 1yr 1/2 starting in May 2019 (Ministry of Health to take one year because of complexity). 3 verifications per month estimated during 11 months/year (December not counted). Out of 102 institutions, some civil servants do not get paid through National Treasury but own institution's funds. Therefore not counted
One TF is composed of 13 people total given complexity of work. Collaboration to be made with ONI to use their biometric equipment purchased. 
The TF will have the support of the Direction Inspection Tresor (DIT)'s back office in PaP. Civil servants would be added to the DIT to complete the work and the IDB would finance salary complements. The DIT would have a total of 28 pp (2per Task Force, 4 people per Task Force to prepare the file of checks to be given before each missions and 8 people for the constant analysis and treatment of inTraining after missions). The 8 pp in back office would be compensated 12 months compared to the others who would work over 11 months and also need to be paid 1 year after completion of data collection so that they can continue to clean the database. 3 DIT coordinators also needed to coordinate work.
Salary complement: 
- OMRH, DPC/MEF, DIT/MEF, DSolde/MEF and ONI personnel to receive 1/3 of technical personnel salary of HTG15K/m each ($214/m)
- 3 coordinators at the DIT/MEF to coordinate the three task forces to receive  max HTG20K/m each ($286/m). 
- 2 drivers and 3 police officers to receive each HTG7.5K/m ($107/m)
- One time bonus for collaboration for 3 people/ DRH of HTG18K e ($257e)</t>
  </si>
  <si>
    <t>Activity 2.2.4</t>
  </si>
  <si>
    <t>Acquisition d'equipements additionnels a ceux de l'ONI + entretien de ceux de l'ONI</t>
  </si>
  <si>
    <t>Acquisition</t>
  </si>
  <si>
    <t>Activity 2.2.5</t>
  </si>
  <si>
    <t>Travel budget to regions</t>
  </si>
  <si>
    <t>Deplacement</t>
  </si>
  <si>
    <t>8 day missions; 2 missions outside of PaP expected for 2 out of the 3 TF. Average of 208.25/d per diem for 13 TF members *2</t>
  </si>
  <si>
    <t>Sanitization Biometric Census Repository</t>
  </si>
  <si>
    <t>Repertoire assaini</t>
  </si>
  <si>
    <t>Activity 2.2.6</t>
  </si>
  <si>
    <t>Work within MEF to clean up the database</t>
  </si>
  <si>
    <t>Sanitation</t>
  </si>
  <si>
    <t>Maintenance of the database during the life of the project and launch of a maintenance plan beyond the project</t>
  </si>
  <si>
    <t>Entretien</t>
  </si>
  <si>
    <t>Activity 2.2.7</t>
  </si>
  <si>
    <t>Collaboration between government entities, OMRH and MEF</t>
  </si>
  <si>
    <t>Activity 2.3</t>
  </si>
  <si>
    <t>Strengthening of the managerial and technical capacities of the MEF</t>
  </si>
  <si>
    <t>Report about the gap evaluation of HR of the MEF</t>
  </si>
  <si>
    <t xml:space="preserve">Report </t>
  </si>
  <si>
    <t xml:space="preserve">Activity 2.3.1 </t>
  </si>
  <si>
    <t xml:space="preserve">Recruitment of a specialist to perform:                                                                                                                           1) Analysis of the gap in human resources of the MEF to provide the necessary staff for its new functional organization                                                                                                                                                                          2) Design of employment profiles for the MEF                                                                                                               3) Design of a technical training and motivational programs </t>
  </si>
  <si>
    <t>Recruitment of new people within the MEF</t>
  </si>
  <si>
    <t xml:space="preserve">We are estimated a hiring of 10 more employees for the MEF (5to be hired in 2019 and another 5 in 2020). We will reduced the salary paid by the project in year 4 and 5 (50% for year 4 and 33% for year 5), to be absorbed by the government. </t>
  </si>
  <si>
    <t xml:space="preserve">Activity 2.3.2 </t>
  </si>
  <si>
    <t>Non cumulatif.</t>
  </si>
  <si>
    <t xml:space="preserve">Financing of salary complements </t>
  </si>
  <si>
    <t>Salary complement. For MEF, salary complement estimated for 10 people. Estimation of HTG122K/m.</t>
  </si>
  <si>
    <t>Activity 2.3.3</t>
  </si>
  <si>
    <t>Financing of the salary complements for the MEF</t>
  </si>
  <si>
    <t>Salary complement</t>
  </si>
  <si>
    <t>Activity 2.4</t>
  </si>
  <si>
    <t>Budget Process Re-engineering Project, Procedures Manuals for Treasury Payments</t>
  </si>
  <si>
    <t>Document</t>
  </si>
  <si>
    <t xml:space="preserve">Payment Procedures Manuals </t>
  </si>
  <si>
    <t>Manual</t>
  </si>
  <si>
    <t>Activity 2.4.1</t>
  </si>
  <si>
    <t>Recruitment of an expert for: 
1) The updating of the payment procedures manual taking into account the LEELF
2) Elaboration of the budget nomenclature of the state and the didactic guide
3) Elaboration of the charter and procedures for managing budgetary programmes
4) Drafting of methodological guides (CDMT, PAP, RAP, CHD...)</t>
  </si>
  <si>
    <t>120 days of international consultant with corresponding expenses</t>
  </si>
  <si>
    <t>Activity 2.4.2</t>
  </si>
  <si>
    <t>50people 4 day workshop</t>
  </si>
  <si>
    <t>Activity 2.5</t>
  </si>
  <si>
    <t>Equipment for interdepartmental connection and computer data security (for Directorate of Information Systems (DSI) / MEF, DPC / MEF etc.)</t>
  </si>
  <si>
    <t>Equipements</t>
  </si>
  <si>
    <t>Hardware and equipment acquired and installed</t>
  </si>
  <si>
    <t>This includes maintenance and updates during the execution of the project.</t>
  </si>
  <si>
    <t>Activity 2.5.1</t>
  </si>
  <si>
    <t>Acquisition of materials and equipment</t>
  </si>
  <si>
    <t>Activity 2.6</t>
  </si>
  <si>
    <t xml:space="preserve">Setting up Training Workshops to ensure the continuous development of skills (in IT, HRMIS, biometric identification, etc.) </t>
  </si>
  <si>
    <t>SIGRH users trained (2.1)</t>
  </si>
  <si>
    <t>Certifications</t>
  </si>
  <si>
    <t>Activity 2.6.1</t>
  </si>
  <si>
    <t>Training plan and support documents, prepared by the SIGRH integrator</t>
  </si>
  <si>
    <t>Plan de Training</t>
  </si>
  <si>
    <t>Included in Integrator contract</t>
  </si>
  <si>
    <t>Activity 2.6.2</t>
  </si>
  <si>
    <t>Printing Supporting Documents</t>
  </si>
  <si>
    <t>Impression</t>
  </si>
  <si>
    <t>Estimation for 400 people</t>
  </si>
  <si>
    <t>Activity 2.6.3</t>
  </si>
  <si>
    <t>Training provided to OMRH, DPC/MEF and Pay/MEF by the integrator</t>
  </si>
  <si>
    <t>100 people workshop for 4 days</t>
  </si>
  <si>
    <t>Activity 2.6.4</t>
  </si>
  <si>
    <t>Training provided to other government institutions</t>
  </si>
  <si>
    <t>Estimation for total of 15 workshops of 4 day each, with 20 people/workshop, with room rental and computer rental/p at $80/d as all might not have laptop to bring to workshop</t>
  </si>
  <si>
    <t>MEF team trained on budget processes, programming and macroeconomic framework (2.3)</t>
  </si>
  <si>
    <t>Activity 2.6.5</t>
  </si>
  <si>
    <t>Training on Component 2.3, Activity 1</t>
  </si>
  <si>
    <t>5 workshops total 4 days for 200 people in total</t>
  </si>
  <si>
    <t>Teams trained on existing and acquired specialized equipment</t>
  </si>
  <si>
    <t>Activity 2.6.6</t>
  </si>
  <si>
    <t xml:space="preserve">Staff training on existing and acquired specialized equipment </t>
  </si>
  <si>
    <t>Estimation (travel of trainers etc…)</t>
  </si>
  <si>
    <t>Activity 2.7</t>
  </si>
  <si>
    <t>Strengthening the DSI/MEF team</t>
  </si>
  <si>
    <t>DSI/MEF positions covered</t>
  </si>
  <si>
    <t>Positions</t>
  </si>
  <si>
    <t>Activity 2.7.1</t>
  </si>
  <si>
    <t>Financing the salary of the DSI / MEF team</t>
  </si>
  <si>
    <t>Activity 2.8</t>
  </si>
  <si>
    <t>Strengthening of the team of the DSI / OMRH</t>
  </si>
  <si>
    <t>DSI/OMRH positions covered</t>
  </si>
  <si>
    <t>Activity 2.8.1</t>
  </si>
  <si>
    <t>Funding the salary of the DSI/OMRH team</t>
  </si>
  <si>
    <t>Strengthening  of the team of the DSI / OMRH</t>
  </si>
  <si>
    <t>Activity 2.8.2</t>
  </si>
  <si>
    <t>Technical Assistance(s)</t>
  </si>
  <si>
    <t>Component 3</t>
  </si>
  <si>
    <t xml:space="preserve">Strengthening the institutional capacity of selected entities for service improvement </t>
  </si>
  <si>
    <t>Activity 3.1</t>
  </si>
  <si>
    <t>Preparation and/or updating of functional and operational analysis of selected departments and services (functional analysis, job descriptions, recruitment plan, gap analysis, organizational models</t>
  </si>
  <si>
    <t>Functional Analysis</t>
  </si>
  <si>
    <t>Functional analysis of MARNDR and MTPTC updated with proposals for :
1. Organizational Model
2. Gap analysis in technical and superior human resources
3. Required job profiles
4. Recruitment plans
5. Training Plans</t>
  </si>
  <si>
    <t>Activity 3.1.1</t>
  </si>
  <si>
    <t>Firm recruitment for the MARNDR who will perform:
- Preparation of functional and operational reviews;
- The review of the human resources composition</t>
  </si>
  <si>
    <t>Activity 3.1.2</t>
  </si>
  <si>
    <t>2 day workshop with 100ppl</t>
  </si>
  <si>
    <t>Activity 3.1.3</t>
  </si>
  <si>
    <t>Firm recruitment for MTPTC to perform:
- Preparation of functional and operational reviews;
- The review of the human resources composition</t>
  </si>
  <si>
    <t>Activity 3.1.4</t>
  </si>
  <si>
    <t>Activity 3.2</t>
  </si>
  <si>
    <t>Implementation of the Training Program</t>
  </si>
  <si>
    <t>Training based on what has been proposed at Component 3.1 level</t>
  </si>
  <si>
    <t>Activity 3.2.1</t>
  </si>
  <si>
    <t>Selection of experts to carry out the Trainings</t>
  </si>
  <si>
    <t>Activity .2.2</t>
  </si>
  <si>
    <t>Training Offered</t>
  </si>
  <si>
    <t>Activity 3.3</t>
  </si>
  <si>
    <t>Implementation of the incentive for voluntary retirement program</t>
  </si>
  <si>
    <t>Number of incentive packages</t>
  </si>
  <si>
    <t>Payment of incentives to ministry staff based on functional evaluations Payment of incentives to ministry staff based on functional evaluations</t>
  </si>
  <si>
    <t>Payment</t>
  </si>
  <si>
    <t xml:space="preserve">Estimation de fonctionnaires a la retraite pour année 2:  278 fonctionnaires et pour l'année 3:  647 fonctionnaires  pour avoir un total de 925 fonctionnaires. </t>
  </si>
  <si>
    <t>Activity 3.3.1</t>
  </si>
  <si>
    <t>Payment of incentives to departmental staff based on functional assessments MARNDR</t>
  </si>
  <si>
    <t>Payment of incentives to staff of other ministries</t>
  </si>
  <si>
    <t>Activity 3.3.2</t>
  </si>
  <si>
    <t>Activity 3.4</t>
  </si>
  <si>
    <t xml:space="preserve">Recruitment Payment of salaries of new civil servants recruited and additional salaries for existing civil servants.* For year 2 with a salary of 100%, year 3 a salary of 75%, year 4 with a salary of 50% and year 5 with a salary of 25%. </t>
  </si>
  <si>
    <t xml:space="preserve">Recruitment </t>
  </si>
  <si>
    <t>Prioritization of middle and senior managers to be recruited</t>
  </si>
  <si>
    <t>Priorization</t>
  </si>
  <si>
    <t>Activity 3.4.1</t>
  </si>
  <si>
    <t>Identification of priority positions to be covered (managerial and technical)</t>
  </si>
  <si>
    <t>Activity 3.4.2</t>
  </si>
  <si>
    <t>Competitive recruitment with and gender approach based on improving public service standards as a project product</t>
  </si>
  <si>
    <t>Recruitment</t>
  </si>
  <si>
    <t>Estimation based on average monthly salary of USD 750. In Year 2 is paid for this project to 200 officials 100% of the salary. In Year 3 is paid to 400 officials 75% of the salary. In Year 4 to 400 officials 50% of the salary, and in Year 5, 25%. Assumption: Average monthly salary: US$750.</t>
  </si>
  <si>
    <t>Activity 3.5</t>
  </si>
  <si>
    <t>UEP MARNDR : Acquisition and deployment of an IT solution for the development, implementation and evaluation of MARNDR's public investment programs.</t>
  </si>
  <si>
    <t>Software (IT Solution)</t>
  </si>
  <si>
    <t>International licitation for the acquisition of an IT solution for the design, execution and evaluation of MARNDR's public investment programmes</t>
  </si>
  <si>
    <t>IT Solution</t>
  </si>
  <si>
    <t>Activity 3.5.1</t>
  </si>
  <si>
    <t>Elaboration of a complete licitation meeting the expectations of the MARNDR, the Government, the TFPs in terms of services rendered by the IT solution</t>
  </si>
  <si>
    <t>Elaborated DAO</t>
  </si>
  <si>
    <t>Activity 3.5.2</t>
  </si>
  <si>
    <t>Recruitment of the firm</t>
  </si>
  <si>
    <t>Activity 3.6</t>
  </si>
  <si>
    <t>Rehabilitation and equipment of Municipal Agricultural Offices (BAC) and Training Schools</t>
  </si>
  <si>
    <t>Rehabilitation and equipment of BAC and Training Schools</t>
  </si>
  <si>
    <t xml:space="preserve">Structural evaluation of existing BACs and training schools </t>
  </si>
  <si>
    <t>Structural Evaluation</t>
  </si>
  <si>
    <t>Activity 3.6.1</t>
  </si>
  <si>
    <t>Elaboration of a DAO for the selection of a company which will carry out the structural evaluation of the existing BAC and schools of Trainings and will transmit an estimate of the costs of rehabilitation and the necessary equipments</t>
  </si>
  <si>
    <t>Activity 3.6.2</t>
  </si>
  <si>
    <t>Launch of the call for tender</t>
  </si>
  <si>
    <t>Launched DAO</t>
  </si>
  <si>
    <t>Activity 3.6.3</t>
  </si>
  <si>
    <t>BACs and training schools selected, rehabilitated and equipped</t>
  </si>
  <si>
    <t>Activity 3.6.4</t>
  </si>
  <si>
    <t>Priorization by the MARNDR of the BAC to rehabilitate and equip on the base:
- the Report of the firm that carried out the structural evaluation and made a cost proposal 
- services that have been selected by MARNDR</t>
  </si>
  <si>
    <t>Priorization by the MARNDR</t>
  </si>
  <si>
    <t>Activity 3.6.5</t>
  </si>
  <si>
    <t>Elaboration of a DAO for the selection of company(ies) that will carry out the rehabilitation of the centers and provide a PGES</t>
  </si>
  <si>
    <t>Activity 3.6.6</t>
  </si>
  <si>
    <t>Activity 3.6.7</t>
  </si>
  <si>
    <t>Recruitment of the firm(s)</t>
  </si>
  <si>
    <t xml:space="preserve">Activity 3.7 </t>
  </si>
  <si>
    <t>Support to farmers with services of extension and technical assistance</t>
  </si>
  <si>
    <t>Assistance</t>
  </si>
  <si>
    <t xml:space="preserve">Farmers that received services of extension or technical assistance </t>
  </si>
  <si>
    <t>Farmers</t>
  </si>
  <si>
    <t xml:space="preserve">Activity 3.8 </t>
  </si>
  <si>
    <t>Design and implementation of Integrated Statistical Platform for the MARNDR</t>
  </si>
  <si>
    <t xml:space="preserve">platform </t>
  </si>
  <si>
    <t>Integrated statistical platform for the MARNDR designed and implemented</t>
  </si>
  <si>
    <t>Activity 3.9</t>
  </si>
  <si>
    <t>Strengthening road network surveillance</t>
  </si>
  <si>
    <t>Reinforcement of road surveillance</t>
  </si>
  <si>
    <t>Conceptual Model Document</t>
  </si>
  <si>
    <t>Conceptual model</t>
  </si>
  <si>
    <t>Activity 3.9.1</t>
  </si>
  <si>
    <t>Development of ToRs for the conceptual model of road network monitoring</t>
  </si>
  <si>
    <t>Elaborated TOR</t>
  </si>
  <si>
    <t>Activity 3.9.2</t>
  </si>
  <si>
    <t>Recruitment of an expert on the basis of ToRs</t>
  </si>
  <si>
    <t>30 days of work of national consultant</t>
  </si>
  <si>
    <t>Process re-engineering document with updated rules and procedures</t>
  </si>
  <si>
    <t>Re- engineering Documents</t>
  </si>
  <si>
    <t>Activity 3.9.3</t>
  </si>
  <si>
    <t xml:space="preserve">Elaboration of TdRs for the Recruitment of an expert who will reengineer the processes, update the rules and procedures and propose the software to be acquired </t>
  </si>
  <si>
    <t>Activity 3.9.4</t>
  </si>
  <si>
    <t>60 days of work of national consultant</t>
  </si>
  <si>
    <t>Software acquisition in connection with the database</t>
  </si>
  <si>
    <t>Software</t>
  </si>
  <si>
    <t>Activity 3.9.5</t>
  </si>
  <si>
    <t>On the basis of the expert's recommendations, acquire the software</t>
  </si>
  <si>
    <t>purchased software</t>
  </si>
  <si>
    <t>Road network monitoring system developed</t>
  </si>
  <si>
    <t>Systeme de surveillance routier</t>
  </si>
  <si>
    <t>Activity 3.9.6</t>
  </si>
  <si>
    <t>Development of ToRs for Recruitment of an expert who will develop a road network monitoring system and provide a Training Plan</t>
  </si>
  <si>
    <t>Logiciel acquis</t>
  </si>
  <si>
    <t>Activity 3.9.7</t>
  </si>
  <si>
    <t>Road network monitoring system implemented</t>
  </si>
  <si>
    <t>Road surveillance system</t>
  </si>
  <si>
    <t>Activity 3.9.8</t>
  </si>
  <si>
    <t>Acquisition of the system on the basis of the expert's recommendations</t>
  </si>
  <si>
    <t>Activity 3.9.9</t>
  </si>
  <si>
    <t>Deployment at the DD level</t>
  </si>
  <si>
    <t>Software deployed</t>
  </si>
  <si>
    <t>MTPTC Staff Training</t>
  </si>
  <si>
    <t>Activity 3.9.10</t>
  </si>
  <si>
    <t>Staff training at PaP by the expert</t>
  </si>
  <si>
    <t>Training for 7 people at UE during 2 day workshop</t>
  </si>
  <si>
    <t>Activity 3.9.11</t>
  </si>
  <si>
    <t>Staff training in the DDs with the expert</t>
  </si>
  <si>
    <t>Acquisition of EU equipment from the MTPTC</t>
  </si>
  <si>
    <t>Equipments</t>
  </si>
  <si>
    <t>Activity 3.9.12</t>
  </si>
  <si>
    <t>Acquisition of equipment for the EU from the MTPTC</t>
  </si>
  <si>
    <t>Activity 3.10</t>
  </si>
  <si>
    <t>Equipment for selected MTPTC services</t>
  </si>
  <si>
    <t>Visits of drainage and construction works</t>
  </si>
  <si>
    <t>Visits</t>
  </si>
  <si>
    <t>Activity 3.10.1</t>
  </si>
  <si>
    <t>Regular field visits</t>
  </si>
  <si>
    <t>Raising the awareness of the population and engineers on the protection of works / constructions</t>
  </si>
  <si>
    <t>Activity 3.10.2</t>
  </si>
  <si>
    <t>Engineer and public awareness activities</t>
  </si>
  <si>
    <t>Activity 3.11</t>
  </si>
  <si>
    <t>Strengthening the CSC/CA</t>
  </si>
  <si>
    <t>Strengthening judicial review, simplification of control procedures, training of judges and support to CSC/CA employees for the issuance of annual accountability reports</t>
  </si>
  <si>
    <t>Activity 3.11.1</t>
  </si>
  <si>
    <t>Financing of activities</t>
  </si>
  <si>
    <t>To finalize with CSCCA sequence of activities to be financed at $1M</t>
  </si>
  <si>
    <t>Project Management</t>
  </si>
  <si>
    <t>Strengthening of the fiduciary support of the Project (UCP/MEF)/Operation/audit</t>
  </si>
  <si>
    <t>Strengthening of the fiduciary support of the Project (UCP/MEF)/ Functioning/ audit</t>
  </si>
  <si>
    <t>Activity 4.1.1</t>
  </si>
  <si>
    <t>Financing of salaries for the fiduciary management of the project</t>
  </si>
  <si>
    <t>Salaries</t>
  </si>
  <si>
    <t>Activity 4.1.2</t>
  </si>
  <si>
    <t>Operating expenses</t>
  </si>
  <si>
    <t>Activity 4.1.3</t>
  </si>
  <si>
    <t>Strengthening Project Administration (OMRH)/Functioning</t>
  </si>
  <si>
    <t>Stengthening</t>
  </si>
  <si>
    <t>Activity 4.2.1</t>
  </si>
  <si>
    <t xml:space="preserve">
Salary funding for project management and monitoring and evaluation</t>
  </si>
  <si>
    <t>Activité 4.2.2</t>
  </si>
  <si>
    <t>Activités de planification et de suivi de l'OMRH</t>
  </si>
  <si>
    <t>Monitoring activities</t>
  </si>
  <si>
    <t>Activity 4.2.3</t>
  </si>
  <si>
    <t>Design of a project baseline and implementation of a performance monitoring and evaluation system</t>
  </si>
  <si>
    <t>Monitoring and evaluation of results</t>
  </si>
  <si>
    <t>Baseline available, Plan finalized, monitoring and evaluation activities for the project</t>
  </si>
  <si>
    <t>Activity 4.3.1</t>
  </si>
  <si>
    <t>Salary funding for project management and monitoring and evaluation</t>
  </si>
  <si>
    <t>Activity 4.3.2</t>
  </si>
  <si>
    <t xml:space="preserve">Consultancies for different activities of evaluation </t>
  </si>
  <si>
    <t>consultancy</t>
  </si>
  <si>
    <t>Monitoring and Evaluation / CRFP</t>
  </si>
  <si>
    <t>Monitoring and evaluation of the RFP</t>
  </si>
  <si>
    <t xml:space="preserve">Monitoring and Evaluation of the Reform of the Public Finance </t>
  </si>
  <si>
    <t>Activity 4.4.1</t>
  </si>
  <si>
    <t>Financing of salaries of the personnel of the CRFP</t>
  </si>
  <si>
    <t>Development of a risk mitigation plan</t>
  </si>
  <si>
    <t>Mitigation risk plan</t>
  </si>
  <si>
    <t>Risk probability matrix developed;
Risk mitigation plan developed</t>
  </si>
  <si>
    <t>Activity 4.5.1</t>
  </si>
  <si>
    <t>Financing of salaries to elaborate the risk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</si>
</sst>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USD]\ #,##0.00"/>
    <numFmt numFmtId="165" formatCode="_(* #,##0_);_(* \(#,##0\);_(* &quot;-&quot;??_);_(@_)"/>
    <numFmt numFmtId="166" formatCode="0.000"/>
  </numFmts>
  <fonts count="2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i/>
      <sz val="10"/>
      <color theme="1"/>
      <name val="Calibri"/>
      <family val="2"/>
      <scheme val="minor"/>
    </font>
    <font>
      <sz val="12"/>
      <color theme="1"/>
      <name val="Calibri"/>
      <family val="2"/>
      <scheme val="minor"/>
    </font>
    <font>
      <b/>
      <sz val="9"/>
      <color indexed="81"/>
      <name val="Tahoma"/>
      <family val="2"/>
    </font>
    <font>
      <sz val="9"/>
      <color indexed="81"/>
      <name val="Tahoma"/>
      <family val="2"/>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sz val="10"/>
      <color theme="1"/>
      <name val="Calibri"/>
      <family val="2"/>
      <scheme val="minor"/>
    </font>
    <font>
      <i/>
      <sz val="11"/>
      <color theme="1"/>
      <name val="Calibri"/>
      <family val="2"/>
      <scheme val="minor"/>
    </font>
    <font>
      <b/>
      <sz val="14"/>
      <color theme="1"/>
      <name val="Calibri"/>
      <family val="2"/>
      <scheme val="minor"/>
    </font>
    <font>
      <sz val="14"/>
      <color theme="1"/>
      <name val="Calibri"/>
      <family val="2"/>
      <scheme val="minor"/>
    </font>
    <font>
      <sz val="9"/>
      <color theme="1"/>
      <name val="Calibri"/>
      <family val="2"/>
      <scheme val="minor"/>
    </font>
    <font>
      <sz val="11"/>
      <name val="Calibri"/>
      <family val="2"/>
      <scheme val="minor"/>
    </font>
    <font>
      <sz val="10"/>
      <name val="Calibri"/>
      <family val="2"/>
      <scheme val="minor"/>
    </font>
    <font>
      <b/>
      <sz val="10"/>
      <name val="Calibri"/>
      <family val="2"/>
      <scheme val="minor"/>
    </font>
  </fonts>
  <fills count="25">
    <fill>
      <patternFill patternType="none"/>
    </fill>
    <fill>
      <patternFill patternType="gray125"/>
    </fill>
    <fill>
      <patternFill patternType="solid">
        <fgColor theme="4"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indexed="4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48">
    <xf numFmtId="0" fontId="0" fillId="0" borderId="0"/>
    <xf numFmtId="0" fontId="3" fillId="0" borderId="0"/>
    <xf numFmtId="43" fontId="3" fillId="0" borderId="0" applyFont="0" applyFill="0" applyBorder="0" applyAlignment="0" applyProtection="0"/>
    <xf numFmtId="0" fontId="1" fillId="0" borderId="0"/>
    <xf numFmtId="44" fontId="1" fillId="0" borderId="0" applyFont="0" applyFill="0" applyBorder="0" applyAlignment="0" applyProtection="0"/>
    <xf numFmtId="0" fontId="6" fillId="0" borderId="0"/>
    <xf numFmtId="0" fontId="3" fillId="0" borderId="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1" fillId="0" borderId="0" applyNumberFormat="0" applyFill="0" applyBorder="0" applyAlignment="0" applyProtection="0"/>
    <xf numFmtId="0" fontId="12" fillId="0" borderId="4" applyNumberFormat="0" applyFill="0" applyAlignment="0" applyProtection="0"/>
    <xf numFmtId="43" fontId="9"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xf numFmtId="0" fontId="13" fillId="11" borderId="5" applyNumberFormat="0" applyAlignment="0" applyProtection="0"/>
    <xf numFmtId="0" fontId="14" fillId="5" borderId="0" applyNumberFormat="0" applyBorder="0" applyAlignment="0" applyProtection="0"/>
    <xf numFmtId="43" fontId="9" fillId="0" borderId="0" applyFont="0" applyFill="0" applyBorder="0" applyAlignment="0" applyProtection="0"/>
    <xf numFmtId="0" fontId="1" fillId="0" borderId="0"/>
    <xf numFmtId="0" fontId="3" fillId="0" borderId="0"/>
    <xf numFmtId="0" fontId="1" fillId="0" borderId="0"/>
    <xf numFmtId="0" fontId="1" fillId="0" borderId="0"/>
    <xf numFmtId="164" fontId="15" fillId="0" borderId="0"/>
    <xf numFmtId="0" fontId="1" fillId="0" borderId="0"/>
    <xf numFmtId="0" fontId="1" fillId="0" borderId="0"/>
    <xf numFmtId="0" fontId="16" fillId="0" borderId="6" applyNumberFormat="0" applyFill="0" applyAlignment="0" applyProtection="0"/>
    <xf numFmtId="0" fontId="17" fillId="0" borderId="0" applyNumberFormat="0" applyFill="0" applyBorder="0" applyAlignment="0" applyProtection="0"/>
    <xf numFmtId="0" fontId="18" fillId="20" borderId="7" applyNumberFormat="0" applyAlignment="0" applyProtection="0"/>
    <xf numFmtId="0" fontId="9" fillId="0" borderId="0"/>
    <xf numFmtId="0" fontId="13" fillId="11" borderId="8" applyNumberFormat="0" applyAlignment="0" applyProtection="0"/>
    <xf numFmtId="43" fontId="1" fillId="0" borderId="0" applyFont="0" applyFill="0" applyBorder="0" applyAlignment="0" applyProtection="0"/>
  </cellStyleXfs>
  <cellXfs count="141">
    <xf numFmtId="0" fontId="0" fillId="0" borderId="0" xfId="0"/>
    <xf numFmtId="0" fontId="0" fillId="0" borderId="0" xfId="0" applyAlignment="1">
      <alignment vertical="center" wrapText="1"/>
    </xf>
    <xf numFmtId="0" fontId="0" fillId="0" borderId="9" xfId="0" applyFill="1" applyBorder="1" applyAlignment="1">
      <alignment vertical="center" wrapText="1"/>
    </xf>
    <xf numFmtId="0" fontId="0" fillId="0" borderId="9" xfId="0" applyBorder="1" applyAlignment="1">
      <alignment vertical="center" wrapText="1"/>
    </xf>
    <xf numFmtId="0" fontId="0" fillId="0" borderId="9" xfId="0" applyFont="1" applyBorder="1" applyAlignment="1">
      <alignment vertical="center" wrapText="1"/>
    </xf>
    <xf numFmtId="0" fontId="2" fillId="4" borderId="1" xfId="0" applyFont="1" applyFill="1" applyBorder="1" applyAlignment="1">
      <alignment vertical="center" wrapText="1"/>
    </xf>
    <xf numFmtId="0" fontId="2" fillId="4" borderId="0" xfId="0" applyFont="1" applyFill="1" applyAlignment="1">
      <alignment vertical="center" wrapText="1"/>
    </xf>
    <xf numFmtId="0" fontId="0" fillId="0" borderId="9" xfId="0" applyFont="1" applyFill="1" applyBorder="1" applyAlignment="1">
      <alignment vertical="center" wrapText="1"/>
    </xf>
    <xf numFmtId="0" fontId="0" fillId="0" borderId="0" xfId="0" applyFont="1" applyAlignment="1">
      <alignment vertical="center" wrapText="1"/>
    </xf>
    <xf numFmtId="0" fontId="2" fillId="21" borderId="9" xfId="0" applyFont="1" applyFill="1" applyBorder="1" applyAlignment="1">
      <alignment vertical="center" wrapText="1"/>
    </xf>
    <xf numFmtId="0" fontId="2" fillId="21" borderId="2" xfId="0" applyFont="1" applyFill="1" applyBorder="1" applyAlignment="1">
      <alignment vertical="center" wrapText="1"/>
    </xf>
    <xf numFmtId="0" fontId="2" fillId="22" borderId="0" xfId="0" applyFont="1" applyFill="1" applyAlignment="1">
      <alignment vertical="center" wrapText="1"/>
    </xf>
    <xf numFmtId="0" fontId="0" fillId="21" borderId="0" xfId="0" applyFill="1" applyAlignment="1">
      <alignment vertical="center" wrapText="1"/>
    </xf>
    <xf numFmtId="0" fontId="0" fillId="4" borderId="0" xfId="0" applyFill="1" applyAlignment="1">
      <alignment vertical="center" wrapText="1"/>
    </xf>
    <xf numFmtId="0" fontId="0" fillId="21" borderId="0" xfId="0" applyFont="1" applyFill="1" applyAlignment="1">
      <alignment vertical="center" wrapText="1"/>
    </xf>
    <xf numFmtId="0" fontId="0" fillId="4" borderId="0" xfId="0" applyFont="1" applyFill="1" applyAlignment="1">
      <alignment vertical="center" wrapText="1"/>
    </xf>
    <xf numFmtId="165" fontId="1" fillId="0" borderId="9" xfId="47" applyNumberFormat="1" applyFont="1" applyFill="1" applyBorder="1" applyAlignment="1">
      <alignment vertical="center" wrapText="1"/>
    </xf>
    <xf numFmtId="0" fontId="0" fillId="0" borderId="0" xfId="0" applyFont="1" applyFill="1" applyAlignment="1">
      <alignment vertical="center" wrapText="1"/>
    </xf>
    <xf numFmtId="3" fontId="0" fillId="0" borderId="9" xfId="0" applyNumberFormat="1" applyFill="1" applyBorder="1" applyAlignment="1">
      <alignment vertical="center" wrapText="1"/>
    </xf>
    <xf numFmtId="0" fontId="0" fillId="0" borderId="0" xfId="0" applyFill="1" applyAlignment="1">
      <alignment vertical="center" wrapText="1"/>
    </xf>
    <xf numFmtId="3" fontId="0" fillId="0" borderId="9" xfId="0" applyNumberFormat="1" applyBorder="1" applyAlignment="1">
      <alignment vertical="center" wrapText="1"/>
    </xf>
    <xf numFmtId="3" fontId="0" fillId="0" borderId="9" xfId="0" applyNumberFormat="1" applyFont="1" applyFill="1" applyBorder="1" applyAlignment="1">
      <alignment vertical="center" wrapText="1"/>
    </xf>
    <xf numFmtId="3" fontId="0" fillId="4" borderId="9" xfId="0" applyNumberFormat="1" applyFont="1" applyFill="1" applyBorder="1" applyAlignment="1">
      <alignment vertical="center" wrapText="1"/>
    </xf>
    <xf numFmtId="3" fontId="0" fillId="0" borderId="9" xfId="0" applyNumberFormat="1" applyFont="1" applyBorder="1" applyAlignment="1">
      <alignment vertical="center" wrapText="1"/>
    </xf>
    <xf numFmtId="165" fontId="0" fillId="0" borderId="0" xfId="47" applyNumberFormat="1" applyFont="1" applyAlignment="1">
      <alignment vertical="center" wrapText="1"/>
    </xf>
    <xf numFmtId="3" fontId="2" fillId="0" borderId="9" xfId="0" applyNumberFormat="1" applyFont="1" applyFill="1" applyBorder="1" applyAlignment="1">
      <alignment vertical="center" wrapText="1"/>
    </xf>
    <xf numFmtId="3" fontId="0" fillId="0" borderId="10" xfId="0" applyNumberFormat="1" applyBorder="1" applyAlignment="1">
      <alignment vertical="center" wrapText="1"/>
    </xf>
    <xf numFmtId="0" fontId="0" fillId="0" borderId="10" xfId="0" applyBorder="1" applyAlignment="1">
      <alignment vertical="center" wrapText="1"/>
    </xf>
    <xf numFmtId="0" fontId="2" fillId="4" borderId="9" xfId="0" applyFont="1" applyFill="1" applyBorder="1" applyAlignment="1">
      <alignment horizontal="justify" vertical="center" wrapText="1"/>
    </xf>
    <xf numFmtId="0" fontId="0" fillId="0" borderId="9" xfId="0" applyFont="1" applyFill="1" applyBorder="1" applyAlignment="1">
      <alignment horizontal="justify" vertical="center" wrapText="1"/>
    </xf>
    <xf numFmtId="0" fontId="19" fillId="0" borderId="9" xfId="0" applyFont="1" applyBorder="1" applyAlignment="1">
      <alignment vertical="center" wrapText="1"/>
    </xf>
    <xf numFmtId="0" fontId="20" fillId="0" borderId="9" xfId="0" applyFont="1" applyFill="1" applyBorder="1" applyAlignment="1">
      <alignment vertical="center" wrapText="1"/>
    </xf>
    <xf numFmtId="165" fontId="2" fillId="22" borderId="3" xfId="47" applyNumberFormat="1" applyFont="1" applyFill="1" applyBorder="1" applyAlignment="1">
      <alignment vertical="center" wrapText="1"/>
    </xf>
    <xf numFmtId="0" fontId="20" fillId="0" borderId="9" xfId="0" applyFont="1" applyBorder="1" applyAlignment="1">
      <alignment vertical="center" wrapText="1"/>
    </xf>
    <xf numFmtId="165" fontId="0" fillId="0" borderId="0" xfId="47" applyNumberFormat="1" applyFont="1" applyFill="1" applyAlignment="1">
      <alignment vertical="center" wrapText="1"/>
    </xf>
    <xf numFmtId="165" fontId="0" fillId="0" borderId="10" xfId="47" applyNumberFormat="1" applyFont="1" applyFill="1" applyBorder="1" applyAlignment="1">
      <alignment vertical="center" wrapText="1"/>
    </xf>
    <xf numFmtId="165" fontId="0" fillId="0" borderId="10" xfId="47" applyNumberFormat="1" applyFont="1" applyBorder="1" applyAlignment="1">
      <alignment vertical="center" wrapText="1"/>
    </xf>
    <xf numFmtId="3" fontId="0" fillId="0" borderId="10" xfId="0" applyNumberFormat="1" applyFont="1" applyBorder="1" applyAlignment="1">
      <alignment vertical="center" wrapText="1"/>
    </xf>
    <xf numFmtId="0" fontId="2" fillId="21" borderId="0" xfId="0" applyFont="1" applyFill="1" applyAlignment="1">
      <alignment vertical="center" wrapText="1"/>
    </xf>
    <xf numFmtId="0" fontId="0" fillId="0" borderId="10" xfId="0" applyFill="1" applyBorder="1" applyAlignment="1">
      <alignment vertical="center" wrapText="1"/>
    </xf>
    <xf numFmtId="0" fontId="0" fillId="0" borderId="9" xfId="0" applyFill="1" applyBorder="1" applyAlignment="1">
      <alignment horizontal="left" vertical="center" wrapText="1"/>
    </xf>
    <xf numFmtId="0" fontId="2" fillId="23" borderId="0" xfId="0" applyFont="1" applyFill="1" applyAlignment="1">
      <alignment vertical="center" wrapText="1"/>
    </xf>
    <xf numFmtId="0" fontId="4" fillId="21" borderId="9" xfId="0" applyFont="1" applyFill="1" applyBorder="1" applyAlignment="1">
      <alignment vertical="center" wrapText="1"/>
    </xf>
    <xf numFmtId="0" fontId="4" fillId="4" borderId="9" xfId="0" applyFont="1" applyFill="1" applyBorder="1" applyAlignment="1">
      <alignment vertical="center" wrapText="1"/>
    </xf>
    <xf numFmtId="0" fontId="4" fillId="0" borderId="9" xfId="0" applyFont="1" applyFill="1" applyBorder="1" applyAlignment="1">
      <alignment vertical="center" wrapText="1"/>
    </xf>
    <xf numFmtId="0" fontId="19" fillId="0" borderId="0" xfId="0" applyFont="1" applyAlignment="1">
      <alignment vertical="center" wrapText="1"/>
    </xf>
    <xf numFmtId="0" fontId="5" fillId="0" borderId="9" xfId="0" applyFont="1" applyBorder="1" applyAlignment="1">
      <alignment vertical="center" wrapText="1"/>
    </xf>
    <xf numFmtId="0" fontId="19" fillId="0" borderId="9" xfId="0" applyFont="1" applyFill="1" applyBorder="1" applyAlignment="1">
      <alignment horizontal="justify" vertical="center" wrapText="1"/>
    </xf>
    <xf numFmtId="0" fontId="4" fillId="22" borderId="3" xfId="0" applyFont="1" applyFill="1" applyBorder="1" applyAlignment="1">
      <alignment vertical="center" wrapText="1"/>
    </xf>
    <xf numFmtId="165" fontId="0" fillId="0" borderId="0" xfId="0" applyNumberFormat="1" applyFont="1" applyAlignment="1">
      <alignment vertical="center" wrapText="1"/>
    </xf>
    <xf numFmtId="0" fontId="0" fillId="0" borderId="0" xfId="0"/>
    <xf numFmtId="165" fontId="0" fillId="0" borderId="9" xfId="0" applyNumberFormat="1" applyFill="1" applyBorder="1" applyAlignment="1">
      <alignment horizontal="left" vertical="center"/>
    </xf>
    <xf numFmtId="0" fontId="4" fillId="4" borderId="11" xfId="0" applyFont="1" applyFill="1" applyBorder="1" applyAlignment="1">
      <alignment vertical="center" wrapText="1"/>
    </xf>
    <xf numFmtId="0" fontId="2" fillId="4" borderId="11" xfId="0" applyFont="1" applyFill="1" applyBorder="1" applyAlignment="1">
      <alignment vertical="center" wrapText="1"/>
    </xf>
    <xf numFmtId="0" fontId="0" fillId="0" borderId="9" xfId="0" applyBorder="1"/>
    <xf numFmtId="3" fontId="0" fillId="4" borderId="11" xfId="0" applyNumberFormat="1" applyFont="1" applyFill="1" applyBorder="1" applyAlignment="1">
      <alignment vertical="center" wrapText="1"/>
    </xf>
    <xf numFmtId="3" fontId="2" fillId="4" borderId="11" xfId="0" applyNumberFormat="1" applyFont="1" applyFill="1" applyBorder="1" applyAlignment="1">
      <alignment vertical="center" wrapText="1"/>
    </xf>
    <xf numFmtId="165" fontId="2" fillId="4" borderId="11" xfId="47" applyNumberFormat="1" applyFont="1" applyFill="1" applyBorder="1" applyAlignment="1">
      <alignment vertical="center" wrapText="1"/>
    </xf>
    <xf numFmtId="0" fontId="0" fillId="0" borderId="9" xfId="0" applyBorder="1" applyAlignment="1">
      <alignment wrapText="1"/>
    </xf>
    <xf numFmtId="0" fontId="22" fillId="0" borderId="0" xfId="0" applyFont="1" applyAlignment="1">
      <alignment vertical="center" wrapText="1"/>
    </xf>
    <xf numFmtId="165" fontId="19" fillId="0" borderId="9" xfId="47" applyNumberFormat="1" applyFont="1" applyBorder="1" applyAlignment="1">
      <alignment vertical="center" wrapText="1"/>
    </xf>
    <xf numFmtId="165" fontId="4" fillId="21" borderId="9" xfId="47" applyNumberFormat="1" applyFont="1" applyFill="1" applyBorder="1" applyAlignment="1">
      <alignment vertical="center" wrapText="1"/>
    </xf>
    <xf numFmtId="165" fontId="19" fillId="0" borderId="9" xfId="47" applyNumberFormat="1" applyFont="1" applyFill="1" applyBorder="1" applyAlignment="1">
      <alignment vertical="center" wrapText="1"/>
    </xf>
    <xf numFmtId="165" fontId="4" fillId="22" borderId="3" xfId="47" applyNumberFormat="1" applyFont="1" applyFill="1" applyBorder="1" applyAlignment="1">
      <alignment vertical="center" wrapText="1"/>
    </xf>
    <xf numFmtId="165" fontId="4" fillId="4" borderId="11" xfId="47" applyNumberFormat="1" applyFont="1" applyFill="1" applyBorder="1" applyAlignment="1">
      <alignment vertical="center" wrapText="1"/>
    </xf>
    <xf numFmtId="165" fontId="19" fillId="0" borderId="0" xfId="47" applyNumberFormat="1" applyFont="1" applyAlignment="1">
      <alignment vertical="center" wrapText="1"/>
    </xf>
    <xf numFmtId="49" fontId="19" fillId="0" borderId="9" xfId="47" quotePrefix="1" applyNumberFormat="1" applyFont="1" applyBorder="1" applyAlignment="1">
      <alignment vertical="center" wrapText="1"/>
    </xf>
    <xf numFmtId="43" fontId="2" fillId="22" borderId="0" xfId="47" applyFont="1" applyFill="1" applyAlignment="1">
      <alignment vertical="center" wrapText="1"/>
    </xf>
    <xf numFmtId="49" fontId="19" fillId="0" borderId="9" xfId="47" applyNumberFormat="1" applyFont="1" applyFill="1" applyBorder="1" applyAlignment="1">
      <alignment vertical="center" wrapText="1"/>
    </xf>
    <xf numFmtId="0" fontId="23" fillId="0" borderId="9" xfId="0" applyFont="1" applyFill="1" applyBorder="1" applyAlignment="1">
      <alignment vertical="center" wrapText="1"/>
    </xf>
    <xf numFmtId="49" fontId="19" fillId="0" borderId="9" xfId="47" applyNumberFormat="1" applyFont="1" applyBorder="1" applyAlignment="1">
      <alignment vertical="center" wrapText="1"/>
    </xf>
    <xf numFmtId="3" fontId="4" fillId="4" borderId="9" xfId="0" applyNumberFormat="1" applyFont="1" applyFill="1" applyBorder="1" applyAlignment="1">
      <alignment vertical="center" wrapText="1"/>
    </xf>
    <xf numFmtId="0" fontId="4" fillId="4" borderId="9" xfId="0" applyFont="1" applyFill="1" applyBorder="1" applyAlignment="1">
      <alignment horizontal="justify" vertical="center" wrapText="1"/>
    </xf>
    <xf numFmtId="0" fontId="19" fillId="4" borderId="9" xfId="0" applyFont="1" applyFill="1" applyBorder="1" applyAlignment="1">
      <alignment vertical="center" wrapText="1"/>
    </xf>
    <xf numFmtId="0" fontId="19" fillId="0" borderId="9" xfId="0" applyFont="1" applyFill="1" applyBorder="1" applyAlignment="1">
      <alignment vertical="center" wrapText="1"/>
    </xf>
    <xf numFmtId="0" fontId="2" fillId="4" borderId="0" xfId="0" applyFont="1" applyFill="1" applyAlignment="1">
      <alignment vertical="center" wrapText="1"/>
    </xf>
    <xf numFmtId="3" fontId="2" fillId="3" borderId="9" xfId="0" applyNumberFormat="1" applyFont="1" applyFill="1" applyBorder="1" applyAlignment="1">
      <alignment vertical="center" wrapText="1"/>
    </xf>
    <xf numFmtId="165" fontId="2" fillId="21" borderId="9" xfId="47" applyNumberFormat="1" applyFont="1" applyFill="1" applyBorder="1" applyAlignment="1">
      <alignment vertical="center" wrapText="1"/>
    </xf>
    <xf numFmtId="3" fontId="2" fillId="23" borderId="9" xfId="0" applyNumberFormat="1" applyFont="1" applyFill="1" applyBorder="1" applyAlignment="1">
      <alignment vertical="center" wrapText="1"/>
    </xf>
    <xf numFmtId="165" fontId="2" fillId="23" borderId="9" xfId="47" applyNumberFormat="1" applyFont="1" applyFill="1" applyBorder="1" applyAlignment="1">
      <alignment vertical="center" wrapText="1"/>
    </xf>
    <xf numFmtId="0" fontId="2" fillId="4" borderId="0" xfId="0" applyFont="1" applyFill="1" applyAlignment="1">
      <alignment vertical="center" wrapText="1"/>
    </xf>
    <xf numFmtId="165" fontId="2" fillId="4" borderId="9" xfId="47" applyNumberFormat="1" applyFont="1" applyFill="1" applyBorder="1" applyAlignment="1">
      <alignment vertical="center" wrapText="1"/>
    </xf>
    <xf numFmtId="165" fontId="4" fillId="4" borderId="9" xfId="47" applyNumberFormat="1" applyFont="1" applyFill="1" applyBorder="1" applyAlignment="1">
      <alignment vertical="center" wrapText="1"/>
    </xf>
    <xf numFmtId="3" fontId="2" fillId="22" borderId="9" xfId="0" applyNumberFormat="1" applyFont="1" applyFill="1" applyBorder="1" applyAlignment="1">
      <alignment vertical="center" wrapText="1"/>
    </xf>
    <xf numFmtId="0" fontId="2" fillId="4" borderId="9" xfId="0" applyFont="1" applyFill="1" applyBorder="1" applyAlignment="1">
      <alignment vertical="center" wrapText="1"/>
    </xf>
    <xf numFmtId="3" fontId="2" fillId="4" borderId="9" xfId="0" applyNumberFormat="1" applyFont="1" applyFill="1" applyBorder="1" applyAlignment="1">
      <alignment vertical="center" wrapText="1"/>
    </xf>
    <xf numFmtId="3" fontId="2" fillId="22" borderId="3" xfId="0" applyNumberFormat="1" applyFont="1" applyFill="1" applyBorder="1" applyAlignment="1">
      <alignment vertical="center" wrapText="1"/>
    </xf>
    <xf numFmtId="165" fontId="0" fillId="0" borderId="9" xfId="47" applyNumberFormat="1" applyFont="1" applyBorder="1" applyAlignment="1">
      <alignment vertical="center" wrapText="1"/>
    </xf>
    <xf numFmtId="165" fontId="0" fillId="0" borderId="9" xfId="47" applyNumberFormat="1" applyFont="1" applyFill="1" applyBorder="1" applyAlignment="1">
      <alignment vertical="center" wrapText="1"/>
    </xf>
    <xf numFmtId="3" fontId="2" fillId="21" borderId="9" xfId="0" applyNumberFormat="1" applyFont="1" applyFill="1" applyBorder="1" applyAlignment="1">
      <alignment vertical="center" wrapText="1"/>
    </xf>
    <xf numFmtId="165" fontId="2" fillId="2" borderId="9" xfId="47" applyNumberFormat="1" applyFont="1" applyFill="1" applyBorder="1" applyAlignment="1">
      <alignment vertical="center" wrapText="1"/>
    </xf>
    <xf numFmtId="165" fontId="2" fillId="3" borderId="9" xfId="47" applyNumberFormat="1" applyFont="1" applyFill="1" applyBorder="1" applyAlignment="1">
      <alignment vertical="center" wrapText="1"/>
    </xf>
    <xf numFmtId="0" fontId="2" fillId="0" borderId="9" xfId="0" applyFont="1" applyFill="1" applyBorder="1" applyAlignment="1">
      <alignment vertical="center" wrapText="1"/>
    </xf>
    <xf numFmtId="0" fontId="0" fillId="0" borderId="0" xfId="0" applyFill="1"/>
    <xf numFmtId="0" fontId="0" fillId="0" borderId="11" xfId="0" applyFont="1" applyFill="1" applyBorder="1" applyAlignment="1">
      <alignment vertical="center" wrapText="1"/>
    </xf>
    <xf numFmtId="0" fontId="2" fillId="24" borderId="9" xfId="0" applyFont="1" applyFill="1" applyBorder="1" applyAlignment="1">
      <alignment vertical="center" wrapText="1"/>
    </xf>
    <xf numFmtId="3" fontId="24" fillId="0" borderId="9" xfId="0" applyNumberFormat="1" applyFont="1" applyFill="1" applyBorder="1" applyAlignment="1">
      <alignment vertical="center" wrapText="1"/>
    </xf>
    <xf numFmtId="165" fontId="24" fillId="0" borderId="9" xfId="47" applyNumberFormat="1" applyFont="1" applyFill="1" applyBorder="1" applyAlignment="1">
      <alignment vertical="center" wrapText="1"/>
    </xf>
    <xf numFmtId="165" fontId="24" fillId="0" borderId="9" xfId="47" applyNumberFormat="1" applyFont="1" applyBorder="1" applyAlignment="1">
      <alignment vertical="center" wrapText="1"/>
    </xf>
    <xf numFmtId="165" fontId="25" fillId="0" borderId="9" xfId="47" applyNumberFormat="1" applyFont="1" applyBorder="1" applyAlignment="1">
      <alignment vertical="center" wrapText="1"/>
    </xf>
    <xf numFmtId="43" fontId="24" fillId="0" borderId="9" xfId="47" applyNumberFormat="1" applyFont="1" applyFill="1" applyBorder="1" applyAlignment="1">
      <alignment vertical="center" wrapText="1"/>
    </xf>
    <xf numFmtId="0" fontId="25" fillId="0" borderId="9" xfId="0" applyFont="1" applyFill="1" applyBorder="1" applyAlignment="1">
      <alignment vertical="center" wrapText="1"/>
    </xf>
    <xf numFmtId="0" fontId="0" fillId="0" borderId="9" xfId="0" applyFont="1" applyFill="1" applyBorder="1" applyAlignment="1">
      <alignment horizontal="left" vertical="center" wrapText="1"/>
    </xf>
    <xf numFmtId="165" fontId="26" fillId="0" borderId="9" xfId="47" applyNumberFormat="1" applyFont="1" applyFill="1" applyBorder="1" applyAlignment="1">
      <alignment vertical="center" wrapText="1"/>
    </xf>
    <xf numFmtId="0" fontId="19" fillId="0" borderId="0" xfId="0" applyFont="1" applyFill="1" applyAlignment="1">
      <alignment horizontal="left" vertical="center" wrapText="1"/>
    </xf>
    <xf numFmtId="166" fontId="2" fillId="4" borderId="9" xfId="0" applyNumberFormat="1" applyFont="1" applyFill="1" applyBorder="1" applyAlignment="1">
      <alignment vertical="center" wrapText="1"/>
    </xf>
    <xf numFmtId="2" fontId="2" fillId="4" borderId="9" xfId="0" applyNumberFormat="1" applyFont="1" applyFill="1" applyBorder="1" applyAlignment="1">
      <alignment vertical="center" wrapText="1"/>
    </xf>
    <xf numFmtId="165" fontId="2" fillId="22" borderId="9" xfId="47" applyNumberFormat="1" applyFont="1" applyFill="1" applyBorder="1" applyAlignment="1">
      <alignment vertical="center" wrapText="1"/>
    </xf>
    <xf numFmtId="166" fontId="2" fillId="0" borderId="9" xfId="0" applyNumberFormat="1" applyFont="1" applyFill="1" applyBorder="1" applyAlignment="1">
      <alignment vertical="center" wrapText="1"/>
    </xf>
    <xf numFmtId="2" fontId="2" fillId="0" borderId="9" xfId="0" applyNumberFormat="1" applyFont="1" applyFill="1" applyBorder="1" applyAlignment="1">
      <alignment vertical="center" wrapText="1"/>
    </xf>
    <xf numFmtId="165" fontId="2" fillId="2" borderId="9" xfId="47" applyNumberFormat="1" applyFont="1" applyFill="1" applyBorder="1" applyAlignment="1">
      <alignment horizontal="center" vertical="center" wrapText="1"/>
    </xf>
    <xf numFmtId="165" fontId="4" fillId="2" borderId="9" xfId="47"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165" fontId="2" fillId="3" borderId="9" xfId="47" applyNumberFormat="1" applyFont="1" applyFill="1" applyBorder="1" applyAlignment="1">
      <alignment horizontal="center" vertical="center" wrapText="1"/>
    </xf>
    <xf numFmtId="0" fontId="2" fillId="3" borderId="9" xfId="0" applyFont="1" applyFill="1" applyBorder="1" applyAlignment="1">
      <alignment vertical="center" wrapText="1"/>
    </xf>
    <xf numFmtId="0" fontId="4" fillId="3" borderId="9" xfId="0" applyFont="1" applyFill="1" applyBorder="1" applyAlignment="1">
      <alignment vertical="center" wrapText="1"/>
    </xf>
    <xf numFmtId="165" fontId="4" fillId="2" borderId="9" xfId="47" applyNumberFormat="1" applyFont="1" applyFill="1" applyBorder="1" applyAlignment="1">
      <alignment vertical="center" wrapText="1"/>
    </xf>
    <xf numFmtId="0" fontId="4" fillId="0" borderId="9" xfId="0" applyFont="1" applyBorder="1" applyAlignment="1">
      <alignment vertical="center" wrapText="1"/>
    </xf>
    <xf numFmtId="0" fontId="2" fillId="0" borderId="9" xfId="0" applyFont="1" applyBorder="1" applyAlignment="1">
      <alignment vertical="center" wrapText="1"/>
    </xf>
    <xf numFmtId="0" fontId="2" fillId="23" borderId="9" xfId="0" applyFont="1" applyFill="1" applyBorder="1" applyAlignment="1">
      <alignment vertical="center" wrapText="1"/>
    </xf>
    <xf numFmtId="3" fontId="4" fillId="23" borderId="9" xfId="0" applyNumberFormat="1" applyFont="1" applyFill="1" applyBorder="1" applyAlignment="1">
      <alignment vertical="center" wrapText="1"/>
    </xf>
    <xf numFmtId="165" fontId="4" fillId="23" borderId="9" xfId="47" applyNumberFormat="1" applyFont="1" applyFill="1" applyBorder="1" applyAlignment="1">
      <alignment vertical="center" wrapText="1"/>
    </xf>
    <xf numFmtId="3" fontId="0" fillId="21" borderId="9" xfId="0" applyNumberFormat="1" applyFont="1" applyFill="1" applyBorder="1" applyAlignment="1">
      <alignment vertical="center" wrapText="1"/>
    </xf>
    <xf numFmtId="3" fontId="4" fillId="21" borderId="9" xfId="0" applyNumberFormat="1" applyFont="1" applyFill="1" applyBorder="1" applyAlignment="1">
      <alignment vertical="center" wrapText="1"/>
    </xf>
    <xf numFmtId="0" fontId="4" fillId="22" borderId="9" xfId="0" applyFont="1" applyFill="1" applyBorder="1" applyAlignment="1">
      <alignment vertical="center" wrapText="1"/>
    </xf>
    <xf numFmtId="165" fontId="4" fillId="22" borderId="9" xfId="47" applyNumberFormat="1" applyFont="1" applyFill="1" applyBorder="1" applyAlignment="1">
      <alignment vertical="center" wrapText="1"/>
    </xf>
    <xf numFmtId="2" fontId="2" fillId="21" borderId="9" xfId="0" applyNumberFormat="1" applyFont="1" applyFill="1" applyBorder="1" applyAlignment="1">
      <alignment vertical="center" wrapText="1"/>
    </xf>
    <xf numFmtId="166" fontId="2" fillId="21" borderId="9" xfId="0" applyNumberFormat="1" applyFont="1" applyFill="1" applyBorder="1" applyAlignment="1">
      <alignment vertical="center" wrapText="1"/>
    </xf>
    <xf numFmtId="0" fontId="19" fillId="21" borderId="9" xfId="0" applyFont="1" applyFill="1" applyBorder="1" applyAlignment="1">
      <alignment vertical="center" wrapText="1"/>
    </xf>
    <xf numFmtId="165" fontId="2" fillId="0" borderId="9" xfId="47" applyNumberFormat="1" applyFont="1" applyFill="1" applyBorder="1" applyAlignment="1">
      <alignment vertical="center" wrapText="1"/>
    </xf>
    <xf numFmtId="165" fontId="0" fillId="4" borderId="9" xfId="47" applyNumberFormat="1" applyFont="1" applyFill="1" applyBorder="1" applyAlignment="1">
      <alignment vertical="center" wrapText="1"/>
    </xf>
    <xf numFmtId="165" fontId="19" fillId="4" borderId="9" xfId="47" applyNumberFormat="1" applyFont="1" applyFill="1" applyBorder="1" applyAlignment="1">
      <alignment vertical="center" wrapText="1"/>
    </xf>
    <xf numFmtId="165" fontId="4" fillId="0" borderId="9" xfId="47" applyNumberFormat="1" applyFont="1" applyFill="1" applyBorder="1" applyAlignment="1">
      <alignment vertical="center" wrapText="1"/>
    </xf>
    <xf numFmtId="3" fontId="19" fillId="4" borderId="9" xfId="0" applyNumberFormat="1" applyFont="1" applyFill="1" applyBorder="1" applyAlignment="1">
      <alignment vertical="center" wrapText="1"/>
    </xf>
    <xf numFmtId="0" fontId="21" fillId="3" borderId="9" xfId="0" applyFont="1" applyFill="1" applyBorder="1" applyAlignment="1">
      <alignment vertical="center" wrapText="1"/>
    </xf>
    <xf numFmtId="3" fontId="21" fillId="3" borderId="9" xfId="0" applyNumberFormat="1" applyFont="1" applyFill="1" applyBorder="1" applyAlignment="1">
      <alignment vertical="center" wrapText="1"/>
    </xf>
    <xf numFmtId="165" fontId="21" fillId="3" borderId="9" xfId="47" applyNumberFormat="1" applyFont="1" applyFill="1" applyBorder="1" applyAlignment="1">
      <alignment vertical="center" wrapText="1"/>
    </xf>
    <xf numFmtId="165" fontId="21" fillId="2" borderId="9" xfId="47" applyNumberFormat="1" applyFont="1" applyFill="1" applyBorder="1" applyAlignment="1">
      <alignment vertical="center" wrapText="1"/>
    </xf>
    <xf numFmtId="0" fontId="2" fillId="3" borderId="9" xfId="0" applyFont="1" applyFill="1" applyBorder="1" applyAlignment="1">
      <alignment horizontal="center" vertical="center" wrapText="1"/>
    </xf>
    <xf numFmtId="165" fontId="2" fillId="3" borderId="9" xfId="47" applyNumberFormat="1" applyFont="1" applyFill="1" applyBorder="1" applyAlignment="1">
      <alignment horizontal="center" vertical="center" wrapText="1"/>
    </xf>
  </cellXfs>
  <cellStyles count="48">
    <cellStyle name="20æ% - Accent1" xfId="7" xr:uid="{00000000-0005-0000-0000-000000000000}"/>
    <cellStyle name="20æ% - Accent2" xfId="8" xr:uid="{00000000-0005-0000-0000-000001000000}"/>
    <cellStyle name="20æ% - Accent3" xfId="9" xr:uid="{00000000-0005-0000-0000-000002000000}"/>
    <cellStyle name="20æ% - Accent4" xfId="10" xr:uid="{00000000-0005-0000-0000-000003000000}"/>
    <cellStyle name="20æ% - Accent5" xfId="11" xr:uid="{00000000-0005-0000-0000-000004000000}"/>
    <cellStyle name="20æ% - Accent6" xfId="12" xr:uid="{00000000-0005-0000-0000-000005000000}"/>
    <cellStyle name="40æ% - Accent1" xfId="13" xr:uid="{00000000-0005-0000-0000-000006000000}"/>
    <cellStyle name="40æ% - Accent2" xfId="14" xr:uid="{00000000-0005-0000-0000-000007000000}"/>
    <cellStyle name="40æ% - Accent3" xfId="15" xr:uid="{00000000-0005-0000-0000-000008000000}"/>
    <cellStyle name="40æ% - Accent4" xfId="16" xr:uid="{00000000-0005-0000-0000-000009000000}"/>
    <cellStyle name="40æ% - Accent5" xfId="17" xr:uid="{00000000-0005-0000-0000-00000A000000}"/>
    <cellStyle name="40æ% - Accent6" xfId="18" xr:uid="{00000000-0005-0000-0000-00000B000000}"/>
    <cellStyle name="60æ% - Accent1" xfId="19" xr:uid="{00000000-0005-0000-0000-00000C000000}"/>
    <cellStyle name="60æ% - Accent2" xfId="20" xr:uid="{00000000-0005-0000-0000-00000D000000}"/>
    <cellStyle name="60æ% - Accent3" xfId="21" xr:uid="{00000000-0005-0000-0000-00000E000000}"/>
    <cellStyle name="60æ% - Accent4" xfId="22" xr:uid="{00000000-0005-0000-0000-00000F000000}"/>
    <cellStyle name="60æ% - Accent5" xfId="23" xr:uid="{00000000-0005-0000-0000-000010000000}"/>
    <cellStyle name="60æ% - Accent6" xfId="24" xr:uid="{00000000-0005-0000-0000-000011000000}"/>
    <cellStyle name="Avertissement 2" xfId="25" xr:uid="{00000000-0005-0000-0000-000012000000}"/>
    <cellStyle name="Cellule lie" xfId="26" xr:uid="{00000000-0005-0000-0000-000013000000}"/>
    <cellStyle name="Comma" xfId="47" builtinId="3"/>
    <cellStyle name="Comma 2" xfId="2" xr:uid="{00000000-0005-0000-0000-000015000000}"/>
    <cellStyle name="Comma 3" xfId="27" xr:uid="{00000000-0005-0000-0000-000016000000}"/>
    <cellStyle name="Comma 4" xfId="28" xr:uid="{00000000-0005-0000-0000-000017000000}"/>
    <cellStyle name="Currency 2" xfId="29" xr:uid="{00000000-0005-0000-0000-000019000000}"/>
    <cellStyle name="Currency 2 2" xfId="30" xr:uid="{00000000-0005-0000-0000-00001A000000}"/>
    <cellStyle name="Currency 3" xfId="31" xr:uid="{00000000-0005-0000-0000-00001B000000}"/>
    <cellStyle name="Currency 4" xfId="4" xr:uid="{00000000-0005-0000-0000-00001C000000}"/>
    <cellStyle name="Entre" xfId="32" xr:uid="{00000000-0005-0000-0000-00001D000000}"/>
    <cellStyle name="Entre 2" xfId="46" xr:uid="{00000000-0005-0000-0000-00001D000000}"/>
    <cellStyle name="Insatisfaisant 2" xfId="33" xr:uid="{00000000-0005-0000-0000-00001E000000}"/>
    <cellStyle name="Milliers 2" xfId="34" xr:uid="{00000000-0005-0000-0000-00001F000000}"/>
    <cellStyle name="Normal" xfId="0" builtinId="0"/>
    <cellStyle name="Normal 10" xfId="35" xr:uid="{00000000-0005-0000-0000-000021000000}"/>
    <cellStyle name="Normal 11" xfId="3" xr:uid="{00000000-0005-0000-0000-000022000000}"/>
    <cellStyle name="Normal 12" xfId="45" xr:uid="{00000000-0005-0000-0000-000023000000}"/>
    <cellStyle name="Normal 2" xfId="1" xr:uid="{00000000-0005-0000-0000-000024000000}"/>
    <cellStyle name="Normal 2 2" xfId="36" xr:uid="{00000000-0005-0000-0000-000025000000}"/>
    <cellStyle name="Normal 3" xfId="37" xr:uid="{00000000-0005-0000-0000-000026000000}"/>
    <cellStyle name="Normal 4" xfId="38" xr:uid="{00000000-0005-0000-0000-000027000000}"/>
    <cellStyle name="Normal 5" xfId="5" xr:uid="{00000000-0005-0000-0000-000028000000}"/>
    <cellStyle name="Normal 6" xfId="6" xr:uid="{00000000-0005-0000-0000-000029000000}"/>
    <cellStyle name="Normal 7" xfId="39" xr:uid="{00000000-0005-0000-0000-00002A000000}"/>
    <cellStyle name="Normal 8" xfId="40" xr:uid="{00000000-0005-0000-0000-00002B000000}"/>
    <cellStyle name="Normal 9" xfId="41" xr:uid="{00000000-0005-0000-0000-00002C000000}"/>
    <cellStyle name="Titre 1 2" xfId="42" xr:uid="{00000000-0005-0000-0000-00002D000000}"/>
    <cellStyle name="Titreæ" xfId="43" xr:uid="{00000000-0005-0000-0000-00002E000000}"/>
    <cellStyle name="Vrification de cellule" xfId="44"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8.xml"/><Relationship Id="rId3" Type="http://schemas.openxmlformats.org/officeDocument/2006/relationships/theme" Target="theme/theme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14" Type="http://schemas.openxmlformats.org/officeDocument/2006/relationships/customXml" Target="../customXml/item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1EDE6-230A-437E-B485-ED42FF6527F2}">
  <sheetPr>
    <tabColor theme="6" tint="0.39997558519241921"/>
    <pageSetUpPr fitToPage="1"/>
  </sheetPr>
  <dimension ref="A1:S232"/>
  <sheetViews>
    <sheetView zoomScaleNormal="100" workbookViewId="0" xr3:uid="{6E61CC12-74DC-525D-BED5-FAB592271E67}">
      <pane xSplit="2" ySplit="3" topLeftCell="O4" activePane="bottomRight" state="frozen"/>
      <selection pane="bottomRight" activeCell="R125" sqref="R125"/>
      <selection pane="bottomLeft" activeCell="A4" sqref="A4"/>
      <selection pane="topRight" activeCell="C1" sqref="C1"/>
    </sheetView>
  </sheetViews>
  <sheetFormatPr defaultColWidth="9.140625" defaultRowHeight="15" outlineLevelRow="1"/>
  <cols>
    <col min="1" max="1" width="17.28515625" style="19" customWidth="1"/>
    <col min="2" max="2" width="105.28515625" style="1" customWidth="1"/>
    <col min="3" max="3" width="15.7109375" style="45" customWidth="1"/>
    <col min="4" max="4" width="11.28515625" style="1" bestFit="1" customWidth="1"/>
    <col min="5" max="9" width="9.42578125" style="1" bestFit="1" customWidth="1"/>
    <col min="10" max="10" width="8.42578125" style="1" bestFit="1" customWidth="1"/>
    <col min="11" max="11" width="14.42578125" style="24" bestFit="1" customWidth="1"/>
    <col min="12" max="12" width="24.140625" style="24" customWidth="1"/>
    <col min="13" max="13" width="15.7109375" style="24" customWidth="1"/>
    <col min="14" max="14" width="15.42578125" style="24" customWidth="1"/>
    <col min="15" max="15" width="17" style="24" customWidth="1"/>
    <col min="16" max="16" width="19.140625" style="24" bestFit="1" customWidth="1"/>
    <col min="17" max="17" width="16" style="24" bestFit="1" customWidth="1"/>
    <col min="18" max="18" width="62.140625" style="65" customWidth="1"/>
    <col min="19" max="19" width="14.140625" style="1" bestFit="1" customWidth="1"/>
    <col min="20" max="16384" width="9.140625" style="1"/>
  </cols>
  <sheetData>
    <row r="1" spans="1:18">
      <c r="A1" s="2"/>
      <c r="B1" s="3"/>
      <c r="C1" s="30"/>
      <c r="D1" s="3"/>
      <c r="E1" s="139" t="s">
        <v>0</v>
      </c>
      <c r="F1" s="139"/>
      <c r="G1" s="139"/>
      <c r="H1" s="139"/>
      <c r="I1" s="139"/>
      <c r="J1" s="139"/>
      <c r="K1" s="140" t="s">
        <v>1</v>
      </c>
      <c r="L1" s="140"/>
      <c r="M1" s="140"/>
      <c r="N1" s="140"/>
      <c r="O1" s="140"/>
      <c r="P1" s="140"/>
      <c r="Q1" s="110" t="s">
        <v>2</v>
      </c>
      <c r="R1" s="111"/>
    </row>
    <row r="2" spans="1:18">
      <c r="A2" s="2"/>
      <c r="B2" s="3"/>
      <c r="C2" s="112" t="s">
        <v>3</v>
      </c>
      <c r="D2" s="113" t="s">
        <v>4</v>
      </c>
      <c r="E2" s="113" t="s">
        <v>5</v>
      </c>
      <c r="F2" s="113" t="s">
        <v>6</v>
      </c>
      <c r="G2" s="113" t="s">
        <v>7</v>
      </c>
      <c r="H2" s="113" t="s">
        <v>8</v>
      </c>
      <c r="I2" s="113" t="s">
        <v>9</v>
      </c>
      <c r="J2" s="113" t="s">
        <v>10</v>
      </c>
      <c r="K2" s="114" t="s">
        <v>5</v>
      </c>
      <c r="L2" s="114" t="s">
        <v>6</v>
      </c>
      <c r="M2" s="114" t="s">
        <v>7</v>
      </c>
      <c r="N2" s="114" t="s">
        <v>8</v>
      </c>
      <c r="O2" s="114" t="s">
        <v>11</v>
      </c>
      <c r="P2" s="114" t="s">
        <v>12</v>
      </c>
      <c r="Q2" s="110"/>
      <c r="R2" s="110" t="s">
        <v>13</v>
      </c>
    </row>
    <row r="3" spans="1:18">
      <c r="A3" s="92" t="s">
        <v>14</v>
      </c>
      <c r="B3" s="115" t="s">
        <v>15</v>
      </c>
      <c r="C3" s="116"/>
      <c r="D3" s="76"/>
      <c r="E3" s="76"/>
      <c r="F3" s="76"/>
      <c r="G3" s="76"/>
      <c r="H3" s="76"/>
      <c r="I3" s="76"/>
      <c r="J3" s="76"/>
      <c r="K3" s="76">
        <f>K5+K9+K13+K24+K27+K36+K41+K46+K51+K59</f>
        <v>2698595</v>
      </c>
      <c r="L3" s="76">
        <f>L5+L9+L13+L24+L27+L36+L41+L46+L51+L59</f>
        <v>2751024.9642857146</v>
      </c>
      <c r="M3" s="76">
        <f>M5+M9+M13+M24+M27+M36+M41+M46+M51+M59</f>
        <v>2362340.2857142854</v>
      </c>
      <c r="N3" s="76">
        <f>N5+N9+N13+N24+N27+N36+N41+N46+N51+N59</f>
        <v>718685.42857142864</v>
      </c>
      <c r="O3" s="76">
        <f>O5+O9+O13+O24+O27+O36+O41+O46+O51+O59</f>
        <v>412343.14285714284</v>
      </c>
      <c r="P3" s="91">
        <f>SUM(K3:O3)</f>
        <v>8942988.8214285728</v>
      </c>
      <c r="Q3" s="90">
        <f>P3</f>
        <v>8942988.8214285728</v>
      </c>
      <c r="R3" s="117"/>
    </row>
    <row r="4" spans="1:18" ht="30">
      <c r="A4" s="2"/>
      <c r="B4" s="4" t="s">
        <v>16</v>
      </c>
      <c r="C4" s="118"/>
      <c r="D4" s="119"/>
      <c r="E4" s="119"/>
      <c r="F4" s="119"/>
      <c r="G4" s="119"/>
      <c r="H4" s="119"/>
      <c r="I4" s="119"/>
      <c r="J4" s="119"/>
      <c r="K4" s="87"/>
      <c r="L4" s="87"/>
      <c r="M4" s="87"/>
      <c r="N4" s="87"/>
      <c r="O4" s="87"/>
      <c r="P4" s="87"/>
      <c r="Q4" s="87">
        <f>P4</f>
        <v>0</v>
      </c>
      <c r="R4" s="60"/>
    </row>
    <row r="5" spans="1:18" s="12" customFormat="1">
      <c r="A5" s="92" t="s">
        <v>17</v>
      </c>
      <c r="B5" s="9" t="s">
        <v>18</v>
      </c>
      <c r="C5" s="42" t="s">
        <v>19</v>
      </c>
      <c r="D5" s="9"/>
      <c r="E5" s="9">
        <v>1</v>
      </c>
      <c r="F5" s="9"/>
      <c r="G5" s="9"/>
      <c r="H5" s="9"/>
      <c r="I5" s="9"/>
      <c r="J5" s="9">
        <f t="shared" ref="J5:Q5" si="0">J6</f>
        <v>1</v>
      </c>
      <c r="K5" s="77">
        <f t="shared" si="0"/>
        <v>71000</v>
      </c>
      <c r="L5" s="77">
        <f t="shared" si="0"/>
        <v>0</v>
      </c>
      <c r="M5" s="77">
        <f t="shared" si="0"/>
        <v>0</v>
      </c>
      <c r="N5" s="77">
        <f t="shared" si="0"/>
        <v>0</v>
      </c>
      <c r="O5" s="77">
        <f t="shared" si="0"/>
        <v>0</v>
      </c>
      <c r="P5" s="77">
        <f t="shared" si="0"/>
        <v>71000</v>
      </c>
      <c r="Q5" s="77">
        <f t="shared" si="0"/>
        <v>71000</v>
      </c>
      <c r="R5" s="61"/>
    </row>
    <row r="6" spans="1:18" s="13" customFormat="1">
      <c r="A6" s="92" t="s">
        <v>20</v>
      </c>
      <c r="B6" s="84" t="s">
        <v>21</v>
      </c>
      <c r="C6" s="43" t="s">
        <v>19</v>
      </c>
      <c r="D6" s="84"/>
      <c r="E6" s="84">
        <v>1</v>
      </c>
      <c r="F6" s="84"/>
      <c r="G6" s="84"/>
      <c r="H6" s="84"/>
      <c r="I6" s="84"/>
      <c r="J6" s="84">
        <f>SUM(E6:I6)</f>
        <v>1</v>
      </c>
      <c r="K6" s="81">
        <f>K7+K8</f>
        <v>71000</v>
      </c>
      <c r="L6" s="81">
        <f>L7+L8</f>
        <v>0</v>
      </c>
      <c r="M6" s="81">
        <f>M7+M8</f>
        <v>0</v>
      </c>
      <c r="N6" s="81">
        <f>N7+N8</f>
        <v>0</v>
      </c>
      <c r="O6" s="81">
        <f>O7+O8</f>
        <v>0</v>
      </c>
      <c r="P6" s="81">
        <f>SUM(K6:O6)</f>
        <v>71000</v>
      </c>
      <c r="Q6" s="81">
        <f t="shared" ref="Q6:Q23" si="1">P6</f>
        <v>71000</v>
      </c>
      <c r="R6" s="82"/>
    </row>
    <row r="7" spans="1:18" s="8" customFormat="1" ht="60">
      <c r="A7" s="7" t="s">
        <v>22</v>
      </c>
      <c r="B7" s="4" t="s">
        <v>23</v>
      </c>
      <c r="C7" s="30" t="s">
        <v>24</v>
      </c>
      <c r="D7" s="4"/>
      <c r="E7" s="4">
        <v>2</v>
      </c>
      <c r="F7" s="4">
        <v>0</v>
      </c>
      <c r="G7" s="4">
        <v>0</v>
      </c>
      <c r="H7" s="4">
        <v>0</v>
      </c>
      <c r="I7" s="4">
        <v>0</v>
      </c>
      <c r="J7" s="88">
        <f>SUM(E7:I7)</f>
        <v>2</v>
      </c>
      <c r="K7" s="34">
        <f>360*2*90</f>
        <v>64800</v>
      </c>
      <c r="L7" s="87"/>
      <c r="M7" s="87"/>
      <c r="N7" s="87"/>
      <c r="O7" s="87"/>
      <c r="P7" s="87">
        <f>SUM(K7:O7)</f>
        <v>64800</v>
      </c>
      <c r="Q7" s="87">
        <f t="shared" si="1"/>
        <v>64800</v>
      </c>
      <c r="R7" s="60" t="s">
        <v>25</v>
      </c>
    </row>
    <row r="8" spans="1:18" s="8" customFormat="1" ht="25.5">
      <c r="A8" s="7" t="s">
        <v>26</v>
      </c>
      <c r="B8" s="4" t="s">
        <v>27</v>
      </c>
      <c r="C8" s="30" t="s">
        <v>28</v>
      </c>
      <c r="D8" s="4"/>
      <c r="E8" s="4">
        <v>2</v>
      </c>
      <c r="F8" s="4">
        <v>0</v>
      </c>
      <c r="G8" s="4">
        <v>0</v>
      </c>
      <c r="H8" s="4">
        <v>0</v>
      </c>
      <c r="I8" s="4">
        <v>0</v>
      </c>
      <c r="J8" s="88">
        <f>SUM(E8:I8)</f>
        <v>2</v>
      </c>
      <c r="K8" s="88">
        <f>(25*2*100)+(600*2)</f>
        <v>6200</v>
      </c>
      <c r="L8" s="87"/>
      <c r="M8" s="87"/>
      <c r="N8" s="87"/>
      <c r="O8" s="87"/>
      <c r="P8" s="87">
        <f>SUM(K8:O8)</f>
        <v>6200</v>
      </c>
      <c r="Q8" s="87">
        <f t="shared" si="1"/>
        <v>6200</v>
      </c>
      <c r="R8" s="60" t="s">
        <v>29</v>
      </c>
    </row>
    <row r="9" spans="1:18" s="38" customFormat="1">
      <c r="A9" s="92" t="s">
        <v>30</v>
      </c>
      <c r="B9" s="9" t="s">
        <v>31</v>
      </c>
      <c r="C9" s="42" t="s">
        <v>32</v>
      </c>
      <c r="D9" s="9"/>
      <c r="E9" s="9">
        <v>1</v>
      </c>
      <c r="F9" s="9">
        <v>0</v>
      </c>
      <c r="G9" s="9">
        <v>0</v>
      </c>
      <c r="H9" s="9">
        <v>0</v>
      </c>
      <c r="I9" s="9">
        <v>0</v>
      </c>
      <c r="J9" s="9">
        <f t="shared" ref="J9:P9" si="2">J10</f>
        <v>1</v>
      </c>
      <c r="K9" s="77">
        <f t="shared" si="2"/>
        <v>136440</v>
      </c>
      <c r="L9" s="77">
        <f t="shared" si="2"/>
        <v>0</v>
      </c>
      <c r="M9" s="77">
        <f t="shared" si="2"/>
        <v>0</v>
      </c>
      <c r="N9" s="77">
        <f t="shared" si="2"/>
        <v>0</v>
      </c>
      <c r="O9" s="77">
        <f t="shared" si="2"/>
        <v>0</v>
      </c>
      <c r="P9" s="77">
        <f t="shared" si="2"/>
        <v>136440</v>
      </c>
      <c r="Q9" s="77">
        <f t="shared" si="1"/>
        <v>136440</v>
      </c>
      <c r="R9" s="61"/>
    </row>
    <row r="10" spans="1:18" s="6" customFormat="1">
      <c r="A10" s="92" t="s">
        <v>33</v>
      </c>
      <c r="B10" s="84" t="s">
        <v>34</v>
      </c>
      <c r="C10" s="43" t="s">
        <v>35</v>
      </c>
      <c r="D10" s="84"/>
      <c r="E10" s="84">
        <v>1</v>
      </c>
      <c r="F10" s="84"/>
      <c r="G10" s="84"/>
      <c r="H10" s="84"/>
      <c r="I10" s="84"/>
      <c r="J10" s="84">
        <f t="shared" ref="J10:J14" si="3">SUM(E10:I10)</f>
        <v>1</v>
      </c>
      <c r="K10" s="81">
        <f>SUM(K11:K12)</f>
        <v>136440</v>
      </c>
      <c r="L10" s="81">
        <f>SUM(L11:L12)</f>
        <v>0</v>
      </c>
      <c r="M10" s="81">
        <f>SUM(M11:M12)</f>
        <v>0</v>
      </c>
      <c r="N10" s="81">
        <f>SUM(N11:N12)</f>
        <v>0</v>
      </c>
      <c r="O10" s="81">
        <f>SUM(O11:O12)</f>
        <v>0</v>
      </c>
      <c r="P10" s="81">
        <f>SUM(K10:O10)</f>
        <v>136440</v>
      </c>
      <c r="Q10" s="81">
        <f t="shared" si="1"/>
        <v>136440</v>
      </c>
      <c r="R10" s="82"/>
    </row>
    <row r="11" spans="1:18" s="8" customFormat="1" ht="38.25">
      <c r="A11" s="7" t="s">
        <v>36</v>
      </c>
      <c r="B11" s="4" t="s">
        <v>37</v>
      </c>
      <c r="C11" s="30" t="s">
        <v>24</v>
      </c>
      <c r="D11" s="4"/>
      <c r="E11" s="4">
        <v>3</v>
      </c>
      <c r="F11" s="4"/>
      <c r="G11" s="4"/>
      <c r="H11" s="4"/>
      <c r="I11" s="4"/>
      <c r="J11" s="88">
        <f t="shared" si="3"/>
        <v>3</v>
      </c>
      <c r="K11" s="34">
        <f>(2*90*360)+(60*750)+266*40+120*40+2500*2</f>
        <v>130240</v>
      </c>
      <c r="L11" s="87"/>
      <c r="M11" s="87"/>
      <c r="N11" s="87"/>
      <c r="O11" s="87"/>
      <c r="P11" s="87">
        <f>SUM(K11:O11)</f>
        <v>130240</v>
      </c>
      <c r="Q11" s="87">
        <f t="shared" si="1"/>
        <v>130240</v>
      </c>
      <c r="R11" s="60" t="s">
        <v>38</v>
      </c>
    </row>
    <row r="12" spans="1:18" s="17" customFormat="1" ht="25.5">
      <c r="A12" s="7" t="s">
        <v>39</v>
      </c>
      <c r="B12" s="4" t="s">
        <v>40</v>
      </c>
      <c r="C12" s="30" t="s">
        <v>28</v>
      </c>
      <c r="D12" s="7"/>
      <c r="E12" s="7">
        <v>2</v>
      </c>
      <c r="F12" s="7"/>
      <c r="G12" s="7"/>
      <c r="H12" s="7"/>
      <c r="I12" s="7"/>
      <c r="J12" s="88">
        <f t="shared" si="3"/>
        <v>2</v>
      </c>
      <c r="K12" s="88">
        <f>(25*2*100)+(600*2)</f>
        <v>6200</v>
      </c>
      <c r="L12" s="16"/>
      <c r="M12" s="16"/>
      <c r="N12" s="16"/>
      <c r="O12" s="16"/>
      <c r="P12" s="87">
        <f>SUM(K12:O12)</f>
        <v>6200</v>
      </c>
      <c r="Q12" s="87">
        <f t="shared" si="1"/>
        <v>6200</v>
      </c>
      <c r="R12" s="60" t="s">
        <v>41</v>
      </c>
    </row>
    <row r="13" spans="1:18" s="38" customFormat="1" outlineLevel="1">
      <c r="A13" s="92" t="s">
        <v>42</v>
      </c>
      <c r="B13" s="9" t="s">
        <v>43</v>
      </c>
      <c r="C13" s="42" t="s">
        <v>32</v>
      </c>
      <c r="D13" s="89"/>
      <c r="E13" s="89">
        <v>1</v>
      </c>
      <c r="F13" s="89"/>
      <c r="G13" s="89"/>
      <c r="H13" s="89"/>
      <c r="I13" s="89"/>
      <c r="J13" s="89">
        <f t="shared" si="3"/>
        <v>1</v>
      </c>
      <c r="K13" s="89">
        <f>K14+K16+K20+K22+K18</f>
        <v>408925</v>
      </c>
      <c r="L13" s="89">
        <f t="shared" ref="L13:O13" si="4">L14+L16+L20+L22+L18</f>
        <v>744285.71428571432</v>
      </c>
      <c r="M13" s="89">
        <f t="shared" si="4"/>
        <v>744285.71428571432</v>
      </c>
      <c r="N13" s="89">
        <f t="shared" si="4"/>
        <v>397142.85714285716</v>
      </c>
      <c r="O13" s="89">
        <f t="shared" si="4"/>
        <v>281428.57142857142</v>
      </c>
      <c r="P13" s="89">
        <f t="shared" ref="P13:P14" si="5">SUM(K13:O13)</f>
        <v>2576067.8571428573</v>
      </c>
      <c r="Q13" s="77">
        <f t="shared" si="1"/>
        <v>2576067.8571428573</v>
      </c>
      <c r="R13" s="61"/>
    </row>
    <row r="14" spans="1:18" s="6" customFormat="1" outlineLevel="1">
      <c r="A14" s="92" t="s">
        <v>20</v>
      </c>
      <c r="B14" s="84" t="s">
        <v>44</v>
      </c>
      <c r="C14" s="43" t="s">
        <v>45</v>
      </c>
      <c r="D14" s="85"/>
      <c r="E14" s="85">
        <f>E15</f>
        <v>1</v>
      </c>
      <c r="F14" s="85">
        <f t="shared" ref="F14:I14" si="6">F15</f>
        <v>0</v>
      </c>
      <c r="G14" s="85">
        <f t="shared" si="6"/>
        <v>0</v>
      </c>
      <c r="H14" s="85">
        <f t="shared" si="6"/>
        <v>0</v>
      </c>
      <c r="I14" s="85">
        <f t="shared" si="6"/>
        <v>0</v>
      </c>
      <c r="J14" s="85">
        <f t="shared" si="3"/>
        <v>1</v>
      </c>
      <c r="K14" s="85">
        <f>K15</f>
        <v>21600</v>
      </c>
      <c r="L14" s="85">
        <f t="shared" ref="L14:N14" si="7">L15</f>
        <v>0</v>
      </c>
      <c r="M14" s="85">
        <f t="shared" si="7"/>
        <v>0</v>
      </c>
      <c r="N14" s="85">
        <f t="shared" si="7"/>
        <v>0</v>
      </c>
      <c r="O14" s="85">
        <f>O15</f>
        <v>0</v>
      </c>
      <c r="P14" s="85">
        <f t="shared" si="5"/>
        <v>21600</v>
      </c>
      <c r="Q14" s="81">
        <f t="shared" si="1"/>
        <v>21600</v>
      </c>
      <c r="R14" s="82"/>
    </row>
    <row r="15" spans="1:18" s="19" customFormat="1" ht="70.5" customHeight="1" outlineLevel="1">
      <c r="A15" s="7" t="s">
        <v>46</v>
      </c>
      <c r="B15" s="7" t="s">
        <v>47</v>
      </c>
      <c r="C15" s="74" t="s">
        <v>24</v>
      </c>
      <c r="D15" s="18"/>
      <c r="E15" s="96">
        <v>1</v>
      </c>
      <c r="F15" s="96"/>
      <c r="G15" s="96"/>
      <c r="H15" s="96"/>
      <c r="I15" s="96"/>
      <c r="J15" s="97">
        <f>SUM(M15)</f>
        <v>0</v>
      </c>
      <c r="K15" s="97">
        <f>(60*360)</f>
        <v>21600</v>
      </c>
      <c r="L15" s="97"/>
      <c r="M15" s="97"/>
      <c r="N15" s="97"/>
      <c r="O15" s="97"/>
      <c r="P15" s="98">
        <f>SUM(K15:O15)</f>
        <v>21600</v>
      </c>
      <c r="Q15" s="98">
        <f>P15</f>
        <v>21600</v>
      </c>
      <c r="R15" s="99" t="s">
        <v>48</v>
      </c>
    </row>
    <row r="16" spans="1:18" s="6" customFormat="1" outlineLevel="1">
      <c r="A16" s="92" t="s">
        <v>20</v>
      </c>
      <c r="B16" s="84" t="s">
        <v>49</v>
      </c>
      <c r="C16" s="43" t="s">
        <v>24</v>
      </c>
      <c r="D16" s="85"/>
      <c r="E16" s="85">
        <v>10</v>
      </c>
      <c r="F16" s="85">
        <v>15</v>
      </c>
      <c r="G16" s="85">
        <v>15</v>
      </c>
      <c r="H16" s="85">
        <v>15</v>
      </c>
      <c r="I16" s="85">
        <v>15</v>
      </c>
      <c r="J16" s="85">
        <v>15</v>
      </c>
      <c r="K16" s="85">
        <f>+K17</f>
        <v>128571.42857142857</v>
      </c>
      <c r="L16" s="85">
        <f>+L17</f>
        <v>385714.28571428574</v>
      </c>
      <c r="M16" s="85">
        <f>+M17</f>
        <v>385714.28571428574</v>
      </c>
      <c r="N16" s="85">
        <f>+N17</f>
        <v>192857.14285714287</v>
      </c>
      <c r="O16" s="85">
        <f>+O17</f>
        <v>128571.42857142858</v>
      </c>
      <c r="P16" s="85">
        <v>1221429</v>
      </c>
      <c r="Q16" s="81">
        <f t="shared" si="1"/>
        <v>1221429</v>
      </c>
      <c r="R16" s="82"/>
    </row>
    <row r="17" spans="1:18" s="19" customFormat="1" ht="63.75" outlineLevel="1">
      <c r="A17" s="7" t="s">
        <v>50</v>
      </c>
      <c r="B17" s="7" t="s">
        <v>51</v>
      </c>
      <c r="C17" s="74" t="s">
        <v>24</v>
      </c>
      <c r="D17" s="88"/>
      <c r="E17" s="88">
        <v>10</v>
      </c>
      <c r="F17" s="88">
        <v>15</v>
      </c>
      <c r="G17" s="88">
        <v>15</v>
      </c>
      <c r="H17" s="88">
        <v>15</v>
      </c>
      <c r="I17" s="88">
        <v>15</v>
      </c>
      <c r="J17" s="88">
        <v>15</v>
      </c>
      <c r="K17" s="88">
        <f>(((150000*10*6)/70))</f>
        <v>128571.42857142857</v>
      </c>
      <c r="L17" s="88">
        <f>(((150000*15)*12)/70)</f>
        <v>385714.28571428574</v>
      </c>
      <c r="M17" s="88">
        <f>(((150000*15)*12)/70)</f>
        <v>385714.28571428574</v>
      </c>
      <c r="N17" s="88">
        <f>M17/2</f>
        <v>192857.14285714287</v>
      </c>
      <c r="O17" s="88">
        <f>M17/3</f>
        <v>128571.42857142858</v>
      </c>
      <c r="P17" s="88">
        <f t="shared" ref="P17:P23" si="8">SUM(K17:O17)</f>
        <v>1221428.5714285716</v>
      </c>
      <c r="Q17" s="88">
        <f t="shared" si="1"/>
        <v>1221428.5714285716</v>
      </c>
      <c r="R17" s="66" t="s">
        <v>52</v>
      </c>
    </row>
    <row r="18" spans="1:18" s="75" customFormat="1" outlineLevel="1">
      <c r="A18" s="92" t="s">
        <v>20</v>
      </c>
      <c r="B18" s="84" t="s">
        <v>53</v>
      </c>
      <c r="C18" s="73" t="s">
        <v>54</v>
      </c>
      <c r="D18" s="85"/>
      <c r="E18" s="85">
        <f>E19</f>
        <v>15</v>
      </c>
      <c r="F18" s="85">
        <f t="shared" ref="F18:I18" si="9">F19</f>
        <v>15</v>
      </c>
      <c r="G18" s="85">
        <f t="shared" si="9"/>
        <v>15</v>
      </c>
      <c r="H18" s="85">
        <f t="shared" si="9"/>
        <v>15</v>
      </c>
      <c r="I18" s="85">
        <f t="shared" si="9"/>
        <v>15</v>
      </c>
      <c r="J18" s="85">
        <v>15</v>
      </c>
      <c r="K18" s="85">
        <f>K19</f>
        <v>231428.57142857142</v>
      </c>
      <c r="L18" s="85">
        <f t="shared" ref="L18:O18" si="10">L19</f>
        <v>308571.42857142858</v>
      </c>
      <c r="M18" s="85">
        <f t="shared" si="10"/>
        <v>308571.42857142858</v>
      </c>
      <c r="N18" s="85">
        <f t="shared" si="10"/>
        <v>154285.71428571429</v>
      </c>
      <c r="O18" s="85">
        <f t="shared" si="10"/>
        <v>102857.14285714286</v>
      </c>
      <c r="P18" s="85">
        <f t="shared" si="8"/>
        <v>1105714.2857142859</v>
      </c>
      <c r="Q18" s="81">
        <f t="shared" si="1"/>
        <v>1105714.2857142859</v>
      </c>
      <c r="R18" s="82"/>
    </row>
    <row r="19" spans="1:18" s="19" customFormat="1" ht="102" outlineLevel="1">
      <c r="A19" s="7" t="s">
        <v>55</v>
      </c>
      <c r="B19" s="7" t="s">
        <v>56</v>
      </c>
      <c r="C19" s="74" t="s">
        <v>54</v>
      </c>
      <c r="D19" s="88"/>
      <c r="E19" s="96">
        <v>15</v>
      </c>
      <c r="F19" s="96">
        <v>15</v>
      </c>
      <c r="G19" s="96">
        <v>15</v>
      </c>
      <c r="H19" s="96">
        <v>15</v>
      </c>
      <c r="I19" s="96">
        <v>15</v>
      </c>
      <c r="J19" s="97">
        <v>15</v>
      </c>
      <c r="K19" s="97">
        <f>((120000*15*9))/70</f>
        <v>231428.57142857142</v>
      </c>
      <c r="L19" s="97">
        <f>((120000*15)*12)/70</f>
        <v>308571.42857142858</v>
      </c>
      <c r="M19" s="97">
        <f>((120000*15)*12)/70</f>
        <v>308571.42857142858</v>
      </c>
      <c r="N19" s="100">
        <f>M19/2</f>
        <v>154285.71428571429</v>
      </c>
      <c r="O19" s="97">
        <f>M19/3</f>
        <v>102857.14285714286</v>
      </c>
      <c r="P19" s="97">
        <f t="shared" si="8"/>
        <v>1105714.2857142859</v>
      </c>
      <c r="Q19" s="97">
        <f t="shared" si="1"/>
        <v>1105714.2857142859</v>
      </c>
      <c r="R19" s="66" t="s">
        <v>57</v>
      </c>
    </row>
    <row r="20" spans="1:18" s="6" customFormat="1">
      <c r="A20" s="92" t="s">
        <v>33</v>
      </c>
      <c r="B20" s="84" t="s">
        <v>58</v>
      </c>
      <c r="C20" s="43" t="s">
        <v>59</v>
      </c>
      <c r="D20" s="84"/>
      <c r="E20" s="85">
        <v>15</v>
      </c>
      <c r="F20" s="85">
        <f>F21</f>
        <v>0</v>
      </c>
      <c r="G20" s="85">
        <f>G21</f>
        <v>0</v>
      </c>
      <c r="H20" s="85">
        <f>H21</f>
        <v>0</v>
      </c>
      <c r="I20" s="85">
        <f>I21</f>
        <v>0</v>
      </c>
      <c r="J20" s="85">
        <f t="shared" ref="J20:J59" si="11">SUM(E20:I20)</f>
        <v>15</v>
      </c>
      <c r="K20" s="81">
        <f>K21</f>
        <v>2325</v>
      </c>
      <c r="L20" s="81">
        <f>L21</f>
        <v>0</v>
      </c>
      <c r="M20" s="81">
        <f>M21</f>
        <v>0</v>
      </c>
      <c r="N20" s="81">
        <f>N21</f>
        <v>0</v>
      </c>
      <c r="O20" s="81">
        <f>O21</f>
        <v>0</v>
      </c>
      <c r="P20" s="85">
        <f t="shared" si="8"/>
        <v>2325</v>
      </c>
      <c r="Q20" s="81">
        <f t="shared" si="1"/>
        <v>2325</v>
      </c>
      <c r="R20" s="82"/>
    </row>
    <row r="21" spans="1:18" s="17" customFormat="1" ht="30">
      <c r="A21" s="7" t="s">
        <v>60</v>
      </c>
      <c r="B21" s="7" t="s">
        <v>61</v>
      </c>
      <c r="C21" s="74" t="s">
        <v>28</v>
      </c>
      <c r="D21" s="7"/>
      <c r="E21" s="7">
        <v>1</v>
      </c>
      <c r="F21" s="7"/>
      <c r="G21" s="7"/>
      <c r="H21" s="7"/>
      <c r="I21" s="7"/>
      <c r="J21" s="88">
        <f t="shared" si="11"/>
        <v>1</v>
      </c>
      <c r="K21" s="88">
        <f>(15*5*25)+30*15</f>
        <v>2325</v>
      </c>
      <c r="L21" s="88"/>
      <c r="M21" s="88"/>
      <c r="N21" s="88"/>
      <c r="O21" s="88"/>
      <c r="P21" s="87">
        <f t="shared" si="8"/>
        <v>2325</v>
      </c>
      <c r="Q21" s="87">
        <f t="shared" si="1"/>
        <v>2325</v>
      </c>
      <c r="R21" s="60" t="s">
        <v>62</v>
      </c>
    </row>
    <row r="22" spans="1:18" s="6" customFormat="1" outlineLevel="1">
      <c r="A22" s="92" t="s">
        <v>33</v>
      </c>
      <c r="B22" s="84" t="s">
        <v>63</v>
      </c>
      <c r="C22" s="43" t="s">
        <v>28</v>
      </c>
      <c r="D22" s="85"/>
      <c r="E22" s="85">
        <f>E23</f>
        <v>2</v>
      </c>
      <c r="F22" s="85">
        <v>2</v>
      </c>
      <c r="G22" s="85">
        <v>2</v>
      </c>
      <c r="H22" s="85">
        <v>2</v>
      </c>
      <c r="I22" s="85">
        <v>2</v>
      </c>
      <c r="J22" s="85">
        <f t="shared" si="11"/>
        <v>10</v>
      </c>
      <c r="K22" s="85">
        <f>SUM(K23)</f>
        <v>25000</v>
      </c>
      <c r="L22" s="85">
        <f>SUM(L23)</f>
        <v>50000</v>
      </c>
      <c r="M22" s="85">
        <f>SUM(M23)</f>
        <v>50000</v>
      </c>
      <c r="N22" s="85">
        <f>SUM(N23)</f>
        <v>50000</v>
      </c>
      <c r="O22" s="85">
        <f>SUM(O23)</f>
        <v>50000</v>
      </c>
      <c r="P22" s="81">
        <f t="shared" si="8"/>
        <v>225000</v>
      </c>
      <c r="Q22" s="81">
        <f t="shared" si="1"/>
        <v>225000</v>
      </c>
      <c r="R22" s="82"/>
    </row>
    <row r="23" spans="1:18" ht="30" outlineLevel="1">
      <c r="A23" s="7" t="s">
        <v>64</v>
      </c>
      <c r="B23" s="3" t="s">
        <v>65</v>
      </c>
      <c r="C23" s="74" t="s">
        <v>66</v>
      </c>
      <c r="D23" s="18"/>
      <c r="E23" s="20">
        <v>2</v>
      </c>
      <c r="F23" s="20">
        <v>2</v>
      </c>
      <c r="G23" s="20">
        <v>2</v>
      </c>
      <c r="H23" s="20">
        <v>2</v>
      </c>
      <c r="I23" s="20">
        <v>2</v>
      </c>
      <c r="J23" s="88">
        <f t="shared" si="11"/>
        <v>10</v>
      </c>
      <c r="K23" s="87">
        <v>25000</v>
      </c>
      <c r="L23" s="87">
        <v>50000</v>
      </c>
      <c r="M23" s="87">
        <v>50000</v>
      </c>
      <c r="N23" s="87">
        <v>50000</v>
      </c>
      <c r="O23" s="87">
        <v>50000</v>
      </c>
      <c r="P23" s="87">
        <f t="shared" si="8"/>
        <v>225000</v>
      </c>
      <c r="Q23" s="87">
        <f t="shared" si="1"/>
        <v>225000</v>
      </c>
      <c r="R23" s="60" t="s">
        <v>67</v>
      </c>
    </row>
    <row r="24" spans="1:18" s="38" customFormat="1" outlineLevel="1">
      <c r="A24" s="92" t="s">
        <v>68</v>
      </c>
      <c r="B24" s="10" t="s">
        <v>69</v>
      </c>
      <c r="C24" s="42" t="s">
        <v>70</v>
      </c>
      <c r="D24" s="89"/>
      <c r="E24" s="89"/>
      <c r="F24" s="89">
        <v>1</v>
      </c>
      <c r="G24" s="89"/>
      <c r="H24" s="89"/>
      <c r="I24" s="89"/>
      <c r="J24" s="89">
        <f t="shared" si="11"/>
        <v>1</v>
      </c>
      <c r="K24" s="77">
        <v>677500</v>
      </c>
      <c r="L24" s="77">
        <v>542800</v>
      </c>
      <c r="M24" s="77">
        <v>7500</v>
      </c>
      <c r="N24" s="77">
        <v>7500</v>
      </c>
      <c r="O24" s="77">
        <v>7500</v>
      </c>
      <c r="P24" s="77">
        <v>1242800</v>
      </c>
      <c r="Q24" s="77">
        <v>1242800</v>
      </c>
      <c r="R24" s="61"/>
    </row>
    <row r="25" spans="1:18" s="41" customFormat="1" outlineLevel="1">
      <c r="A25" s="92" t="s">
        <v>33</v>
      </c>
      <c r="B25" s="120" t="s">
        <v>71</v>
      </c>
      <c r="C25" s="121" t="s">
        <v>70</v>
      </c>
      <c r="D25" s="78"/>
      <c r="E25" s="78"/>
      <c r="F25" s="78">
        <v>1</v>
      </c>
      <c r="G25" s="78">
        <f>G26</f>
        <v>0</v>
      </c>
      <c r="H25" s="78">
        <f>H26</f>
        <v>0</v>
      </c>
      <c r="I25" s="78">
        <f>I26</f>
        <v>0</v>
      </c>
      <c r="J25" s="78">
        <f t="shared" si="11"/>
        <v>1</v>
      </c>
      <c r="K25" s="78">
        <v>677500</v>
      </c>
      <c r="L25" s="78">
        <v>542800</v>
      </c>
      <c r="M25" s="78">
        <v>7500</v>
      </c>
      <c r="N25" s="78">
        <v>7500</v>
      </c>
      <c r="O25" s="78">
        <v>7500</v>
      </c>
      <c r="P25" s="79">
        <v>1242800</v>
      </c>
      <c r="Q25" s="79">
        <v>1242800</v>
      </c>
      <c r="R25" s="122"/>
    </row>
    <row r="26" spans="1:18" s="19" customFormat="1" ht="30" outlineLevel="1">
      <c r="A26" s="7" t="s">
        <v>72</v>
      </c>
      <c r="B26" s="7" t="s">
        <v>73</v>
      </c>
      <c r="C26" s="74" t="s">
        <v>74</v>
      </c>
      <c r="D26" s="18"/>
      <c r="E26" s="18">
        <v>7</v>
      </c>
      <c r="F26" s="18">
        <v>2</v>
      </c>
      <c r="G26" s="18"/>
      <c r="H26" s="18"/>
      <c r="I26" s="18"/>
      <c r="J26" s="88">
        <f t="shared" si="11"/>
        <v>9</v>
      </c>
      <c r="K26" s="88">
        <v>677500</v>
      </c>
      <c r="L26" s="88">
        <v>542800</v>
      </c>
      <c r="M26" s="88">
        <v>7500</v>
      </c>
      <c r="N26" s="88">
        <v>7500</v>
      </c>
      <c r="O26" s="88">
        <v>7500</v>
      </c>
      <c r="P26" s="88">
        <v>1242800</v>
      </c>
      <c r="Q26" s="88">
        <v>1242800</v>
      </c>
      <c r="R26" s="60" t="s">
        <v>75</v>
      </c>
    </row>
    <row r="27" spans="1:18" s="38" customFormat="1" ht="25.5" outlineLevel="1">
      <c r="A27" s="92" t="s">
        <v>76</v>
      </c>
      <c r="B27" s="80" t="s">
        <v>77</v>
      </c>
      <c r="C27" s="42" t="s">
        <v>78</v>
      </c>
      <c r="D27" s="89"/>
      <c r="E27" s="89"/>
      <c r="F27" s="89"/>
      <c r="G27" s="89"/>
      <c r="H27" s="89">
        <v>1</v>
      </c>
      <c r="I27" s="89"/>
      <c r="J27" s="89">
        <f t="shared" si="11"/>
        <v>1</v>
      </c>
      <c r="K27" s="89">
        <f>SUM(K28+K33)</f>
        <v>501750</v>
      </c>
      <c r="L27" s="89">
        <f>SUM(L28+L33)</f>
        <v>425250</v>
      </c>
      <c r="M27" s="89">
        <f>SUM(M28+M33)</f>
        <v>592288.57142857136</v>
      </c>
      <c r="N27" s="89">
        <f>SUM(N28+N33)</f>
        <v>195776.57142857142</v>
      </c>
      <c r="O27" s="89">
        <f>SUM(O28+O33)</f>
        <v>51428.571428571428</v>
      </c>
      <c r="P27" s="89">
        <f>SUM(K27:O27)</f>
        <v>1766493.7142857141</v>
      </c>
      <c r="Q27" s="77">
        <f t="shared" ref="Q27:Q58" si="12">P27</f>
        <v>1766493.7142857141</v>
      </c>
      <c r="R27" s="61"/>
    </row>
    <row r="28" spans="1:18" s="6" customFormat="1" ht="25.5" outlineLevel="1">
      <c r="A28" s="92" t="s">
        <v>20</v>
      </c>
      <c r="B28" s="80" t="s">
        <v>79</v>
      </c>
      <c r="C28" s="43" t="s">
        <v>80</v>
      </c>
      <c r="D28" s="85"/>
      <c r="E28" s="85"/>
      <c r="F28" s="85"/>
      <c r="G28" s="85">
        <v>1</v>
      </c>
      <c r="H28" s="85"/>
      <c r="I28" s="85"/>
      <c r="J28" s="85">
        <f t="shared" si="11"/>
        <v>1</v>
      </c>
      <c r="K28" s="85">
        <f>SUM(K29:K32)</f>
        <v>501750</v>
      </c>
      <c r="L28" s="85">
        <f>SUM(L29:L32)</f>
        <v>425250</v>
      </c>
      <c r="M28" s="85">
        <f>SUM(M29:M32)</f>
        <v>408780</v>
      </c>
      <c r="N28" s="85">
        <f>SUM(N29:N32)</f>
        <v>144348</v>
      </c>
      <c r="O28" s="85">
        <f>SUM(O29:O32)</f>
        <v>0</v>
      </c>
      <c r="P28" s="81">
        <f>SUM(K28:O28)</f>
        <v>1480128</v>
      </c>
      <c r="Q28" s="81">
        <f t="shared" si="12"/>
        <v>1480128</v>
      </c>
      <c r="R28" s="82"/>
    </row>
    <row r="29" spans="1:18" s="17" customFormat="1" ht="150" outlineLevel="1">
      <c r="A29" s="7" t="s">
        <v>81</v>
      </c>
      <c r="B29" s="7" t="s">
        <v>82</v>
      </c>
      <c r="C29" s="74" t="s">
        <v>24</v>
      </c>
      <c r="D29" s="21"/>
      <c r="E29" s="21">
        <v>1</v>
      </c>
      <c r="F29" s="21">
        <v>1</v>
      </c>
      <c r="G29" s="21">
        <v>1</v>
      </c>
      <c r="H29" s="21"/>
      <c r="I29" s="21"/>
      <c r="J29" s="88">
        <f t="shared" si="11"/>
        <v>3</v>
      </c>
      <c r="K29" s="88">
        <f>1200000*0.4</f>
        <v>480000</v>
      </c>
      <c r="L29" s="88">
        <f>1200000*0.3</f>
        <v>360000</v>
      </c>
      <c r="M29" s="88">
        <f>1200000*0.3</f>
        <v>360000</v>
      </c>
      <c r="N29" s="88"/>
      <c r="O29" s="88"/>
      <c r="P29" s="88">
        <f>SUM(K29:O29)</f>
        <v>1200000</v>
      </c>
      <c r="Q29" s="88">
        <f t="shared" si="12"/>
        <v>1200000</v>
      </c>
      <c r="R29" s="62" t="s">
        <v>83</v>
      </c>
    </row>
    <row r="30" spans="1:18" s="17" customFormat="1" ht="38.25" outlineLevel="1">
      <c r="A30" s="7" t="s">
        <v>84</v>
      </c>
      <c r="B30" s="7" t="s">
        <v>85</v>
      </c>
      <c r="C30" s="74" t="s">
        <v>28</v>
      </c>
      <c r="D30" s="21"/>
      <c r="E30" s="21">
        <v>5</v>
      </c>
      <c r="F30" s="21">
        <v>15</v>
      </c>
      <c r="G30" s="21">
        <v>5</v>
      </c>
      <c r="H30" s="21"/>
      <c r="I30" s="21"/>
      <c r="J30" s="88">
        <f t="shared" si="11"/>
        <v>25</v>
      </c>
      <c r="K30" s="88">
        <f>(25*5*150)+(600*5)</f>
        <v>21750</v>
      </c>
      <c r="L30" s="88">
        <f>(25*15*150)+(600*15)</f>
        <v>65250</v>
      </c>
      <c r="M30" s="88">
        <f>(25*5*150)+(600*5)</f>
        <v>21750</v>
      </c>
      <c r="N30" s="88"/>
      <c r="O30" s="88"/>
      <c r="P30" s="87">
        <f>SUM(K30:O30)</f>
        <v>108750</v>
      </c>
      <c r="Q30" s="87">
        <f t="shared" si="12"/>
        <v>108750</v>
      </c>
      <c r="R30" s="60" t="s">
        <v>86</v>
      </c>
    </row>
    <row r="31" spans="1:18" s="17" customFormat="1" ht="89.25" outlineLevel="1">
      <c r="A31" s="7" t="s">
        <v>87</v>
      </c>
      <c r="B31" s="7" t="s">
        <v>88</v>
      </c>
      <c r="C31" s="74" t="s">
        <v>89</v>
      </c>
      <c r="D31" s="21"/>
      <c r="E31" s="21"/>
      <c r="F31" s="21"/>
      <c r="G31" s="21">
        <v>1</v>
      </c>
      <c r="H31" s="21">
        <v>1</v>
      </c>
      <c r="I31" s="21"/>
      <c r="J31" s="88">
        <f t="shared" si="11"/>
        <v>2</v>
      </c>
      <c r="L31" s="88"/>
      <c r="M31" s="88">
        <f>10*102*2+(3*208.25*4*10)</f>
        <v>27030</v>
      </c>
      <c r="N31" s="88">
        <f>10*102*2+(3*208.25*4*32)</f>
        <v>82008</v>
      </c>
      <c r="O31" s="88"/>
      <c r="P31" s="88">
        <f>SUM(L31:O31)</f>
        <v>109038</v>
      </c>
      <c r="Q31" s="88">
        <f t="shared" si="12"/>
        <v>109038</v>
      </c>
      <c r="R31" s="68" t="s">
        <v>90</v>
      </c>
    </row>
    <row r="32" spans="1:18" s="17" customFormat="1" ht="38.25" outlineLevel="1">
      <c r="A32" s="7" t="s">
        <v>91</v>
      </c>
      <c r="B32" s="17" t="s">
        <v>92</v>
      </c>
      <c r="C32" s="74" t="s">
        <v>24</v>
      </c>
      <c r="D32" s="21"/>
      <c r="E32" s="21"/>
      <c r="F32" s="21"/>
      <c r="G32" s="21"/>
      <c r="H32" s="21">
        <v>2</v>
      </c>
      <c r="I32" s="21">
        <v>2</v>
      </c>
      <c r="J32" s="88">
        <f t="shared" si="11"/>
        <v>4</v>
      </c>
      <c r="K32" s="88"/>
      <c r="L32" s="88"/>
      <c r="M32" s="88"/>
      <c r="N32" s="88">
        <f>(760*30+2500+40*386)+60*360</f>
        <v>62340</v>
      </c>
      <c r="O32" s="88"/>
      <c r="P32" s="88">
        <f>SUM(K32:O32)</f>
        <v>62340</v>
      </c>
      <c r="Q32" s="88">
        <f t="shared" si="12"/>
        <v>62340</v>
      </c>
      <c r="R32" s="62" t="s">
        <v>93</v>
      </c>
    </row>
    <row r="33" spans="1:18" s="6" customFormat="1" outlineLevel="1">
      <c r="A33" s="84" t="s">
        <v>33</v>
      </c>
      <c r="B33" s="84" t="s">
        <v>94</v>
      </c>
      <c r="C33" s="43" t="s">
        <v>95</v>
      </c>
      <c r="D33" s="85"/>
      <c r="E33" s="85"/>
      <c r="F33" s="85"/>
      <c r="G33" s="85"/>
      <c r="H33" s="85">
        <v>1</v>
      </c>
      <c r="I33" s="85"/>
      <c r="J33" s="85">
        <f t="shared" si="11"/>
        <v>1</v>
      </c>
      <c r="K33" s="85">
        <f>SUM(K34:K35)</f>
        <v>0</v>
      </c>
      <c r="L33" s="85">
        <f>SUM(L34:L35)</f>
        <v>0</v>
      </c>
      <c r="M33" s="85">
        <f>SUM(M34:M35)</f>
        <v>183508.57142857142</v>
      </c>
      <c r="N33" s="85">
        <f>SUM(N34:N35)</f>
        <v>51428.571428571428</v>
      </c>
      <c r="O33" s="85">
        <f>SUM(O34:O35)</f>
        <v>51428.571428571428</v>
      </c>
      <c r="P33" s="81">
        <f>SUM(K33:O33)</f>
        <v>286365.71428571426</v>
      </c>
      <c r="Q33" s="81">
        <f t="shared" si="12"/>
        <v>286365.71428571426</v>
      </c>
      <c r="R33" s="82"/>
    </row>
    <row r="34" spans="1:18" s="17" customFormat="1" ht="30" outlineLevel="1">
      <c r="A34" s="7" t="s">
        <v>96</v>
      </c>
      <c r="B34" s="7" t="s">
        <v>97</v>
      </c>
      <c r="C34" s="74" t="s">
        <v>24</v>
      </c>
      <c r="D34" s="21"/>
      <c r="E34" s="21"/>
      <c r="F34" s="21"/>
      <c r="G34" s="21">
        <v>2</v>
      </c>
      <c r="H34" s="21"/>
      <c r="I34" s="21"/>
      <c r="J34" s="88">
        <f t="shared" si="11"/>
        <v>2</v>
      </c>
      <c r="L34" s="7"/>
      <c r="M34" s="88">
        <f>60*2*760+2500*4+386*40*2</f>
        <v>132080</v>
      </c>
      <c r="N34" s="88"/>
      <c r="O34" s="88"/>
      <c r="P34" s="87">
        <f>SUM(M34:O34)</f>
        <v>132080</v>
      </c>
      <c r="Q34" s="87">
        <f t="shared" si="12"/>
        <v>132080</v>
      </c>
      <c r="R34" s="60" t="s">
        <v>98</v>
      </c>
    </row>
    <row r="35" spans="1:18" s="17" customFormat="1" ht="31.5" customHeight="1" outlineLevel="1">
      <c r="A35" s="7" t="s">
        <v>99</v>
      </c>
      <c r="B35" s="7" t="s">
        <v>100</v>
      </c>
      <c r="C35" s="74" t="s">
        <v>54</v>
      </c>
      <c r="D35" s="21"/>
      <c r="E35" s="21"/>
      <c r="F35" s="21"/>
      <c r="G35" s="21">
        <v>1</v>
      </c>
      <c r="H35" s="21">
        <v>1</v>
      </c>
      <c r="I35" s="21">
        <v>1</v>
      </c>
      <c r="J35" s="88">
        <f t="shared" si="11"/>
        <v>3</v>
      </c>
      <c r="K35" s="88" t="s">
        <v>101</v>
      </c>
      <c r="L35" s="88" t="s">
        <v>101</v>
      </c>
      <c r="M35" s="97">
        <f>(10*12*30000)/70</f>
        <v>51428.571428571428</v>
      </c>
      <c r="N35" s="97">
        <f>(10*12*30000)/70</f>
        <v>51428.571428571428</v>
      </c>
      <c r="O35" s="97">
        <f>(10*12*30000)/70</f>
        <v>51428.571428571428</v>
      </c>
      <c r="P35" s="98">
        <f t="shared" ref="P35" si="13">SUM(K35:O35)</f>
        <v>154285.71428571429</v>
      </c>
      <c r="Q35" s="98">
        <f t="shared" si="12"/>
        <v>154285.71428571429</v>
      </c>
      <c r="R35" s="99" t="s">
        <v>102</v>
      </c>
    </row>
    <row r="36" spans="1:18" s="38" customFormat="1" ht="25.5" outlineLevel="1">
      <c r="A36" s="9" t="s">
        <v>103</v>
      </c>
      <c r="B36" s="9" t="s">
        <v>104</v>
      </c>
      <c r="C36" s="42" t="s">
        <v>105</v>
      </c>
      <c r="D36" s="89"/>
      <c r="E36" s="89">
        <v>0</v>
      </c>
      <c r="F36" s="89">
        <v>0</v>
      </c>
      <c r="G36" s="89">
        <v>1</v>
      </c>
      <c r="H36" s="89">
        <v>0</v>
      </c>
      <c r="I36" s="89">
        <v>0</v>
      </c>
      <c r="J36" s="89">
        <f t="shared" si="11"/>
        <v>1</v>
      </c>
      <c r="K36" s="89">
        <f>K37</f>
        <v>50000</v>
      </c>
      <c r="L36" s="89">
        <f t="shared" ref="L36:O36" si="14">L37</f>
        <v>50000</v>
      </c>
      <c r="M36" s="89">
        <f t="shared" si="14"/>
        <v>0</v>
      </c>
      <c r="N36" s="89">
        <f t="shared" si="14"/>
        <v>0</v>
      </c>
      <c r="O36" s="89">
        <f t="shared" si="14"/>
        <v>0</v>
      </c>
      <c r="P36" s="89">
        <f>SUM(K36:O36)</f>
        <v>100000</v>
      </c>
      <c r="Q36" s="89">
        <f>P36</f>
        <v>100000</v>
      </c>
      <c r="R36" s="61"/>
    </row>
    <row r="37" spans="1:18" s="6" customFormat="1" ht="25.5" outlineLevel="1">
      <c r="A37" s="84" t="s">
        <v>33</v>
      </c>
      <c r="B37" s="84" t="s">
        <v>106</v>
      </c>
      <c r="C37" s="43" t="s">
        <v>107</v>
      </c>
      <c r="D37" s="85"/>
      <c r="E37" s="85">
        <v>0</v>
      </c>
      <c r="F37" s="85">
        <v>0</v>
      </c>
      <c r="G37" s="85">
        <v>1</v>
      </c>
      <c r="H37" s="85">
        <v>0</v>
      </c>
      <c r="I37" s="85">
        <v>0</v>
      </c>
      <c r="J37" s="85">
        <f t="shared" si="11"/>
        <v>1</v>
      </c>
      <c r="K37" s="89">
        <f>SUM(K38:K40)</f>
        <v>50000</v>
      </c>
      <c r="L37" s="89">
        <f t="shared" ref="L37:O37" si="15">SUM(L38:L40)</f>
        <v>50000</v>
      </c>
      <c r="M37" s="89">
        <f t="shared" si="15"/>
        <v>0</v>
      </c>
      <c r="N37" s="89">
        <f t="shared" si="15"/>
        <v>0</v>
      </c>
      <c r="O37" s="89">
        <f t="shared" si="15"/>
        <v>0</v>
      </c>
      <c r="P37" s="89">
        <f>SUM(K37:O37)</f>
        <v>100000</v>
      </c>
      <c r="Q37" s="89">
        <f>P37</f>
        <v>100000</v>
      </c>
      <c r="R37" s="82"/>
    </row>
    <row r="38" spans="1:18" s="8" customFormat="1" ht="25.5" outlineLevel="1">
      <c r="A38" s="7" t="s">
        <v>108</v>
      </c>
      <c r="B38" s="3" t="s">
        <v>109</v>
      </c>
      <c r="C38" s="30" t="s">
        <v>110</v>
      </c>
      <c r="D38" s="23"/>
      <c r="E38" s="23"/>
      <c r="F38" s="23"/>
      <c r="G38" s="23">
        <v>1</v>
      </c>
      <c r="H38" s="23"/>
      <c r="I38" s="23"/>
      <c r="J38" s="88">
        <f t="shared" si="11"/>
        <v>1</v>
      </c>
      <c r="K38" s="87">
        <v>0</v>
      </c>
      <c r="L38" s="87">
        <v>0</v>
      </c>
      <c r="M38" s="87"/>
      <c r="N38" s="87"/>
      <c r="O38" s="87"/>
      <c r="P38" s="87">
        <f t="shared" ref="P38:P57" si="16">SUM(K38:O38)</f>
        <v>0</v>
      </c>
      <c r="Q38" s="87">
        <f t="shared" si="12"/>
        <v>0</v>
      </c>
      <c r="R38" s="62" t="s">
        <v>111</v>
      </c>
    </row>
    <row r="39" spans="1:18" s="8" customFormat="1" outlineLevel="1">
      <c r="A39" s="7" t="s">
        <v>112</v>
      </c>
      <c r="B39" s="3" t="s">
        <v>113</v>
      </c>
      <c r="C39" s="30" t="s">
        <v>114</v>
      </c>
      <c r="D39" s="23"/>
      <c r="E39" s="23"/>
      <c r="F39" s="23"/>
      <c r="G39" s="23">
        <v>1</v>
      </c>
      <c r="H39" s="23">
        <v>1</v>
      </c>
      <c r="I39" s="23"/>
      <c r="J39" s="88">
        <f t="shared" si="11"/>
        <v>2</v>
      </c>
      <c r="K39" s="87">
        <v>0</v>
      </c>
      <c r="L39" s="87">
        <v>0</v>
      </c>
      <c r="M39" s="87"/>
      <c r="N39" s="87"/>
      <c r="O39" s="87"/>
      <c r="P39" s="87">
        <f t="shared" si="16"/>
        <v>0</v>
      </c>
      <c r="Q39" s="87">
        <f t="shared" si="12"/>
        <v>0</v>
      </c>
      <c r="R39" s="62" t="s">
        <v>111</v>
      </c>
    </row>
    <row r="40" spans="1:18" s="8" customFormat="1" ht="27" customHeight="1" outlineLevel="1">
      <c r="A40" s="94" t="s">
        <v>115</v>
      </c>
      <c r="B40" s="1" t="s">
        <v>116</v>
      </c>
      <c r="C40" s="30" t="s">
        <v>117</v>
      </c>
      <c r="D40" s="23"/>
      <c r="E40" s="23"/>
      <c r="F40" s="23"/>
      <c r="G40" s="23">
        <v>1</v>
      </c>
      <c r="H40" s="23">
        <v>1</v>
      </c>
      <c r="I40" s="23"/>
      <c r="J40" s="88">
        <f t="shared" si="11"/>
        <v>2</v>
      </c>
      <c r="K40" s="87">
        <v>50000</v>
      </c>
      <c r="L40" s="87">
        <v>50000</v>
      </c>
      <c r="M40" s="87">
        <v>0</v>
      </c>
      <c r="N40" s="87">
        <f>M40</f>
        <v>0</v>
      </c>
      <c r="O40" s="87"/>
      <c r="P40" s="87">
        <f t="shared" si="16"/>
        <v>100000</v>
      </c>
      <c r="Q40" s="87">
        <f t="shared" si="12"/>
        <v>100000</v>
      </c>
      <c r="R40" s="62" t="s">
        <v>118</v>
      </c>
    </row>
    <row r="41" spans="1:18" s="8" customFormat="1" ht="33.75" customHeight="1" outlineLevel="1">
      <c r="A41" s="61" t="s">
        <v>119</v>
      </c>
      <c r="B41" s="9" t="s">
        <v>120</v>
      </c>
      <c r="C41" s="61" t="s">
        <v>121</v>
      </c>
      <c r="D41" s="61"/>
      <c r="E41" s="61"/>
      <c r="F41" s="61">
        <v>1</v>
      </c>
      <c r="G41" s="61">
        <v>1</v>
      </c>
      <c r="H41" s="61"/>
      <c r="I41" s="61"/>
      <c r="J41" s="61">
        <v>2</v>
      </c>
      <c r="K41" s="61">
        <f>+K42+K44</f>
        <v>700000</v>
      </c>
      <c r="L41" s="61">
        <f t="shared" ref="L41:O41" si="17">+L42+L44</f>
        <v>750000</v>
      </c>
      <c r="M41" s="61">
        <f t="shared" si="17"/>
        <v>800000</v>
      </c>
      <c r="N41" s="61">
        <f t="shared" si="17"/>
        <v>0</v>
      </c>
      <c r="O41" s="61">
        <f t="shared" si="17"/>
        <v>0</v>
      </c>
      <c r="P41" s="61">
        <f t="shared" si="16"/>
        <v>2250000</v>
      </c>
      <c r="Q41" s="61">
        <f t="shared" si="12"/>
        <v>2250000</v>
      </c>
      <c r="R41" s="84"/>
    </row>
    <row r="42" spans="1:18" s="8" customFormat="1" ht="27" customHeight="1" outlineLevel="1">
      <c r="A42" s="92" t="s">
        <v>33</v>
      </c>
      <c r="B42" s="3" t="s">
        <v>122</v>
      </c>
      <c r="C42" s="74" t="s">
        <v>123</v>
      </c>
      <c r="D42" s="21"/>
      <c r="E42" s="21"/>
      <c r="F42" s="21">
        <v>1</v>
      </c>
      <c r="G42" s="21">
        <v>1</v>
      </c>
      <c r="H42" s="21"/>
      <c r="I42" s="21"/>
      <c r="J42" s="88">
        <v>2</v>
      </c>
      <c r="K42" s="88"/>
      <c r="L42" s="88">
        <v>50000</v>
      </c>
      <c r="M42" s="88">
        <v>100000</v>
      </c>
      <c r="N42" s="88"/>
      <c r="O42" s="88"/>
      <c r="P42" s="88">
        <f t="shared" si="16"/>
        <v>150000</v>
      </c>
      <c r="Q42" s="88">
        <f t="shared" si="12"/>
        <v>150000</v>
      </c>
      <c r="R42" s="62"/>
    </row>
    <row r="43" spans="1:18" s="8" customFormat="1" ht="27" customHeight="1" outlineLevel="1">
      <c r="A43" s="7" t="s">
        <v>124</v>
      </c>
      <c r="B43" s="3" t="s">
        <v>125</v>
      </c>
      <c r="C43" s="30" t="s">
        <v>24</v>
      </c>
      <c r="D43" s="21"/>
      <c r="E43" s="21"/>
      <c r="F43" s="21">
        <v>1</v>
      </c>
      <c r="G43" s="21">
        <v>1</v>
      </c>
      <c r="H43" s="21"/>
      <c r="I43" s="21"/>
      <c r="J43" s="88">
        <v>2</v>
      </c>
      <c r="K43" s="88"/>
      <c r="L43" s="88">
        <v>50000</v>
      </c>
      <c r="M43" s="88">
        <v>100000</v>
      </c>
      <c r="N43" s="88"/>
      <c r="O43" s="88"/>
      <c r="P43" s="88">
        <f t="shared" si="16"/>
        <v>150000</v>
      </c>
      <c r="Q43" s="88">
        <f t="shared" si="12"/>
        <v>150000</v>
      </c>
      <c r="R43" s="62"/>
    </row>
    <row r="44" spans="1:18" s="8" customFormat="1" ht="27" customHeight="1" outlineLevel="1">
      <c r="A44" s="92" t="s">
        <v>33</v>
      </c>
      <c r="B44" s="3" t="s">
        <v>126</v>
      </c>
      <c r="C44" s="74" t="s">
        <v>123</v>
      </c>
      <c r="D44" s="21"/>
      <c r="E44" s="21">
        <v>1</v>
      </c>
      <c r="F44" s="21">
        <v>1</v>
      </c>
      <c r="G44" s="21">
        <v>1</v>
      </c>
      <c r="H44" s="21"/>
      <c r="I44" s="21"/>
      <c r="J44" s="88">
        <f t="shared" ref="J44:J45" si="18">SUM(E44:I44)</f>
        <v>3</v>
      </c>
      <c r="K44" s="88">
        <v>700000</v>
      </c>
      <c r="L44" s="88">
        <v>700000</v>
      </c>
      <c r="M44" s="88">
        <v>700000</v>
      </c>
      <c r="N44" s="88"/>
      <c r="O44" s="88"/>
      <c r="P44" s="88">
        <f t="shared" si="16"/>
        <v>2100000</v>
      </c>
      <c r="Q44" s="88">
        <f t="shared" si="12"/>
        <v>2100000</v>
      </c>
      <c r="R44" s="62"/>
    </row>
    <row r="45" spans="1:18" s="8" customFormat="1" ht="27" customHeight="1" outlineLevel="1">
      <c r="A45" s="7" t="s">
        <v>127</v>
      </c>
      <c r="B45" s="3" t="s">
        <v>128</v>
      </c>
      <c r="C45" s="74" t="s">
        <v>129</v>
      </c>
      <c r="D45" s="21"/>
      <c r="E45" s="21">
        <v>1</v>
      </c>
      <c r="F45" s="21">
        <v>1</v>
      </c>
      <c r="G45" s="21">
        <v>1</v>
      </c>
      <c r="H45" s="21"/>
      <c r="I45" s="21"/>
      <c r="J45" s="88">
        <f t="shared" si="18"/>
        <v>3</v>
      </c>
      <c r="K45" s="88">
        <v>700000</v>
      </c>
      <c r="L45" s="88">
        <v>700000</v>
      </c>
      <c r="M45" s="88">
        <v>700000</v>
      </c>
      <c r="N45" s="88"/>
      <c r="O45" s="88"/>
      <c r="P45" s="88">
        <f t="shared" si="16"/>
        <v>2100000</v>
      </c>
      <c r="Q45" s="88">
        <f t="shared" si="12"/>
        <v>2100000</v>
      </c>
      <c r="R45" s="62"/>
    </row>
    <row r="46" spans="1:18" s="14" customFormat="1" ht="25.5" outlineLevel="1">
      <c r="A46" s="9" t="s">
        <v>130</v>
      </c>
      <c r="B46" s="9" t="s">
        <v>131</v>
      </c>
      <c r="C46" s="42" t="s">
        <v>132</v>
      </c>
      <c r="D46" s="123"/>
      <c r="E46" s="89">
        <f>E47</f>
        <v>1</v>
      </c>
      <c r="F46" s="89">
        <v>1</v>
      </c>
      <c r="G46" s="89">
        <v>1</v>
      </c>
      <c r="H46" s="89">
        <v>1</v>
      </c>
      <c r="I46" s="89">
        <v>1</v>
      </c>
      <c r="J46" s="89">
        <f t="shared" si="11"/>
        <v>5</v>
      </c>
      <c r="K46" s="89">
        <f>K47</f>
        <v>50000</v>
      </c>
      <c r="L46" s="89">
        <f>L47</f>
        <v>18266</v>
      </c>
      <c r="M46" s="89">
        <f>M47</f>
        <v>18266</v>
      </c>
      <c r="N46" s="89">
        <f>N47</f>
        <v>18266</v>
      </c>
      <c r="O46" s="89">
        <f>O47</f>
        <v>18266</v>
      </c>
      <c r="P46" s="89">
        <f t="shared" si="16"/>
        <v>123064</v>
      </c>
      <c r="Q46" s="77">
        <f t="shared" si="12"/>
        <v>123064</v>
      </c>
      <c r="R46" s="61"/>
    </row>
    <row r="47" spans="1:18" s="6" customFormat="1" outlineLevel="1">
      <c r="A47" s="92" t="s">
        <v>33</v>
      </c>
      <c r="B47" s="84" t="s">
        <v>133</v>
      </c>
      <c r="C47" s="43" t="s">
        <v>134</v>
      </c>
      <c r="D47" s="85"/>
      <c r="E47" s="85">
        <f>SUM(E48:E50)</f>
        <v>1</v>
      </c>
      <c r="F47" s="85">
        <f>SUM(F48:F50)</f>
        <v>4</v>
      </c>
      <c r="G47" s="85">
        <f>SUM(G48:G50)</f>
        <v>4</v>
      </c>
      <c r="H47" s="85">
        <f>SUM(H48:H50)</f>
        <v>4</v>
      </c>
      <c r="I47" s="85">
        <f>SUM(I48:I50)</f>
        <v>4</v>
      </c>
      <c r="J47" s="85">
        <f t="shared" si="11"/>
        <v>17</v>
      </c>
      <c r="K47" s="85">
        <f>SUM(K48:K50)</f>
        <v>50000</v>
      </c>
      <c r="L47" s="85">
        <f>SUM(L48:L50)</f>
        <v>18266</v>
      </c>
      <c r="M47" s="85">
        <f>SUM(M48:M50)</f>
        <v>18266</v>
      </c>
      <c r="N47" s="85">
        <f>SUM(N48:N50)</f>
        <v>18266</v>
      </c>
      <c r="O47" s="85">
        <f>SUM(O48:O50)</f>
        <v>18266</v>
      </c>
      <c r="P47" s="85">
        <f t="shared" si="16"/>
        <v>123064</v>
      </c>
      <c r="Q47" s="81">
        <f t="shared" si="12"/>
        <v>123064</v>
      </c>
      <c r="R47" s="82"/>
    </row>
    <row r="48" spans="1:18" s="8" customFormat="1" outlineLevel="1">
      <c r="A48" s="40" t="s">
        <v>135</v>
      </c>
      <c r="B48" s="40" t="s">
        <v>136</v>
      </c>
      <c r="C48" s="74" t="s">
        <v>137</v>
      </c>
      <c r="D48" s="21"/>
      <c r="E48" s="23">
        <v>1</v>
      </c>
      <c r="F48" s="23"/>
      <c r="G48" s="23"/>
      <c r="H48" s="23"/>
      <c r="I48" s="23"/>
      <c r="J48" s="88">
        <f t="shared" si="11"/>
        <v>1</v>
      </c>
      <c r="K48" s="87">
        <v>50000</v>
      </c>
      <c r="L48" s="87"/>
      <c r="M48" s="87"/>
      <c r="N48" s="87"/>
      <c r="O48" s="87"/>
      <c r="P48" s="87">
        <f t="shared" si="16"/>
        <v>50000</v>
      </c>
      <c r="Q48" s="87">
        <f t="shared" si="12"/>
        <v>50000</v>
      </c>
      <c r="R48" s="62" t="s">
        <v>138</v>
      </c>
    </row>
    <row r="49" spans="1:19" s="8" customFormat="1" ht="30" outlineLevel="1">
      <c r="A49" s="40" t="s">
        <v>139</v>
      </c>
      <c r="B49" s="19" t="s">
        <v>140</v>
      </c>
      <c r="C49" s="74" t="s">
        <v>141</v>
      </c>
      <c r="D49" s="21"/>
      <c r="E49" s="23"/>
      <c r="F49" s="23">
        <v>2</v>
      </c>
      <c r="G49" s="23">
        <v>2</v>
      </c>
      <c r="H49" s="23">
        <v>2</v>
      </c>
      <c r="I49" s="23">
        <v>2</v>
      </c>
      <c r="J49" s="88">
        <f t="shared" si="11"/>
        <v>8</v>
      </c>
      <c r="K49" s="87"/>
      <c r="L49" s="87">
        <f>30000/4</f>
        <v>7500</v>
      </c>
      <c r="M49" s="87">
        <f>30000/4</f>
        <v>7500</v>
      </c>
      <c r="N49" s="87">
        <f>30000/4</f>
        <v>7500</v>
      </c>
      <c r="O49" s="87">
        <f>30000/4</f>
        <v>7500</v>
      </c>
      <c r="P49" s="87">
        <f t="shared" si="16"/>
        <v>30000</v>
      </c>
      <c r="Q49" s="87">
        <f t="shared" si="12"/>
        <v>30000</v>
      </c>
      <c r="R49" s="62" t="s">
        <v>118</v>
      </c>
    </row>
    <row r="50" spans="1:19" s="8" customFormat="1" ht="30" outlineLevel="1">
      <c r="A50" s="40" t="s">
        <v>142</v>
      </c>
      <c r="B50" s="40" t="s">
        <v>143</v>
      </c>
      <c r="C50" s="74" t="s">
        <v>144</v>
      </c>
      <c r="D50" s="21"/>
      <c r="E50" s="23"/>
      <c r="F50" s="23">
        <v>2</v>
      </c>
      <c r="G50" s="23">
        <v>2</v>
      </c>
      <c r="H50" s="23">
        <v>2</v>
      </c>
      <c r="I50" s="23">
        <v>2</v>
      </c>
      <c r="J50" s="88">
        <f t="shared" si="11"/>
        <v>8</v>
      </c>
      <c r="K50" s="87"/>
      <c r="L50" s="87">
        <f>(43604-540)/4</f>
        <v>10766</v>
      </c>
      <c r="M50" s="87">
        <f>(43604-540)/4</f>
        <v>10766</v>
      </c>
      <c r="N50" s="87">
        <f>(43604-540)/4</f>
        <v>10766</v>
      </c>
      <c r="O50" s="87">
        <f>(43604-540)/4</f>
        <v>10766</v>
      </c>
      <c r="P50" s="87">
        <f t="shared" si="16"/>
        <v>43064</v>
      </c>
      <c r="Q50" s="87">
        <f t="shared" si="12"/>
        <v>43064</v>
      </c>
      <c r="R50" s="62" t="s">
        <v>145</v>
      </c>
      <c r="S50" s="49"/>
    </row>
    <row r="51" spans="1:19" s="38" customFormat="1" outlineLevel="1">
      <c r="A51" s="9" t="s">
        <v>146</v>
      </c>
      <c r="B51" s="9" t="s">
        <v>147</v>
      </c>
      <c r="C51" s="42" t="s">
        <v>148</v>
      </c>
      <c r="D51" s="89"/>
      <c r="E51" s="89">
        <v>1</v>
      </c>
      <c r="F51" s="89"/>
      <c r="G51" s="89"/>
      <c r="H51" s="89"/>
      <c r="I51" s="89"/>
      <c r="J51" s="89">
        <f t="shared" si="11"/>
        <v>1</v>
      </c>
      <c r="K51" s="89">
        <f>K52+K56</f>
        <v>38580</v>
      </c>
      <c r="L51" s="89">
        <f>L52+L56</f>
        <v>120423.25</v>
      </c>
      <c r="M51" s="89">
        <f>M52+M56</f>
        <v>0</v>
      </c>
      <c r="N51" s="89">
        <f>N52+N56</f>
        <v>0</v>
      </c>
      <c r="O51" s="89">
        <f>O52+O56</f>
        <v>0</v>
      </c>
      <c r="P51" s="89">
        <f t="shared" si="16"/>
        <v>159003.25</v>
      </c>
      <c r="Q51" s="89">
        <f t="shared" si="12"/>
        <v>159003.25</v>
      </c>
      <c r="R51" s="124"/>
    </row>
    <row r="52" spans="1:19" s="6" customFormat="1" ht="30">
      <c r="A52" s="84" t="s">
        <v>20</v>
      </c>
      <c r="B52" s="84" t="s">
        <v>149</v>
      </c>
      <c r="C52" s="43" t="s">
        <v>150</v>
      </c>
      <c r="D52" s="84"/>
      <c r="E52" s="84">
        <v>204</v>
      </c>
      <c r="F52" s="84">
        <v>360</v>
      </c>
      <c r="G52" s="84"/>
      <c r="H52" s="84"/>
      <c r="I52" s="84"/>
      <c r="J52" s="85">
        <f t="shared" si="11"/>
        <v>564</v>
      </c>
      <c r="K52" s="81">
        <f>SUM(K53:K55)</f>
        <v>38580</v>
      </c>
      <c r="L52" s="81">
        <f>SUM(L53:L55)</f>
        <v>58823.25</v>
      </c>
      <c r="M52" s="84">
        <f>SUM(M53:M55)</f>
        <v>0</v>
      </c>
      <c r="N52" s="84">
        <f>SUM(N53:N55)</f>
        <v>0</v>
      </c>
      <c r="O52" s="84">
        <f>SUM(O53:O55)</f>
        <v>0</v>
      </c>
      <c r="P52" s="85">
        <f t="shared" si="16"/>
        <v>97403.25</v>
      </c>
      <c r="Q52" s="81">
        <f t="shared" si="12"/>
        <v>97403.25</v>
      </c>
      <c r="R52" s="82"/>
      <c r="S52" s="80"/>
    </row>
    <row r="53" spans="1:19" s="17" customFormat="1" ht="25.5">
      <c r="A53" s="7" t="s">
        <v>151</v>
      </c>
      <c r="B53" s="7" t="s">
        <v>152</v>
      </c>
      <c r="C53" s="74" t="s">
        <v>66</v>
      </c>
      <c r="D53" s="7"/>
      <c r="E53" s="7">
        <v>3</v>
      </c>
      <c r="F53" s="7"/>
      <c r="G53" s="7"/>
      <c r="H53" s="7"/>
      <c r="I53" s="7"/>
      <c r="J53" s="88">
        <f t="shared" si="11"/>
        <v>3</v>
      </c>
      <c r="K53" s="88">
        <f>(102*2*25*5)+(600*15)+20*204</f>
        <v>38580</v>
      </c>
      <c r="L53" s="88"/>
      <c r="M53" s="88"/>
      <c r="N53" s="88"/>
      <c r="O53" s="88"/>
      <c r="P53" s="88">
        <f t="shared" si="16"/>
        <v>38580</v>
      </c>
      <c r="Q53" s="88">
        <f t="shared" si="12"/>
        <v>38580</v>
      </c>
      <c r="R53" s="62" t="s">
        <v>153</v>
      </c>
    </row>
    <row r="54" spans="1:19" s="17" customFormat="1" ht="25.5">
      <c r="A54" s="7" t="s">
        <v>154</v>
      </c>
      <c r="B54" s="7" t="s">
        <v>155</v>
      </c>
      <c r="C54" s="74" t="s">
        <v>66</v>
      </c>
      <c r="D54" s="7"/>
      <c r="E54" s="7"/>
      <c r="F54" s="7">
        <v>1</v>
      </c>
      <c r="G54" s="7"/>
      <c r="H54" s="7"/>
      <c r="I54" s="7"/>
      <c r="J54" s="88">
        <f t="shared" si="11"/>
        <v>1</v>
      </c>
      <c r="K54" s="88"/>
      <c r="L54" s="88">
        <f>(40*9*15*5)+(450*5*9)+208.25*7*3+20*40*9</f>
        <v>58823.25</v>
      </c>
      <c r="M54" s="88"/>
      <c r="N54" s="88"/>
      <c r="O54" s="88"/>
      <c r="P54" s="88">
        <f t="shared" si="16"/>
        <v>58823.25</v>
      </c>
      <c r="Q54" s="88">
        <f t="shared" si="12"/>
        <v>58823.25</v>
      </c>
      <c r="R54" s="62" t="s">
        <v>156</v>
      </c>
      <c r="S54" s="88"/>
    </row>
    <row r="55" spans="1:19" s="17" customFormat="1">
      <c r="A55" s="7" t="s">
        <v>157</v>
      </c>
      <c r="B55" s="7" t="s">
        <v>158</v>
      </c>
      <c r="C55" s="69" t="s">
        <v>159</v>
      </c>
      <c r="D55" s="7"/>
      <c r="E55" s="7"/>
      <c r="F55" s="7">
        <v>1</v>
      </c>
      <c r="G55" s="7">
        <v>1</v>
      </c>
      <c r="H55" s="7">
        <v>1</v>
      </c>
      <c r="I55" s="7">
        <v>1</v>
      </c>
      <c r="J55" s="88">
        <f t="shared" si="11"/>
        <v>4</v>
      </c>
      <c r="K55" s="88">
        <v>0</v>
      </c>
      <c r="L55" s="88">
        <v>0</v>
      </c>
      <c r="M55" s="88">
        <v>0</v>
      </c>
      <c r="N55" s="88">
        <v>0</v>
      </c>
      <c r="O55" s="88">
        <v>0</v>
      </c>
      <c r="P55" s="88">
        <f t="shared" si="16"/>
        <v>0</v>
      </c>
      <c r="Q55" s="88">
        <f t="shared" si="12"/>
        <v>0</v>
      </c>
      <c r="R55" s="62" t="s">
        <v>160</v>
      </c>
    </row>
    <row r="56" spans="1:19" s="6" customFormat="1" outlineLevel="1">
      <c r="A56" s="84" t="s">
        <v>20</v>
      </c>
      <c r="B56" s="84" t="s">
        <v>161</v>
      </c>
      <c r="C56" s="43" t="s">
        <v>162</v>
      </c>
      <c r="D56" s="85"/>
      <c r="E56" s="84">
        <v>0</v>
      </c>
      <c r="F56" s="84">
        <v>1</v>
      </c>
      <c r="G56" s="84">
        <v>0</v>
      </c>
      <c r="H56" s="84">
        <v>0</v>
      </c>
      <c r="I56" s="84">
        <v>0</v>
      </c>
      <c r="J56" s="85">
        <f t="shared" si="11"/>
        <v>1</v>
      </c>
      <c r="K56" s="81">
        <f>SUM(K57:K58)</f>
        <v>0</v>
      </c>
      <c r="L56" s="84">
        <f>SUM(L57:L58)</f>
        <v>61600</v>
      </c>
      <c r="M56" s="84">
        <f>SUM(M57:M58)</f>
        <v>0</v>
      </c>
      <c r="N56" s="84">
        <f>SUM(N57:N58)</f>
        <v>0</v>
      </c>
      <c r="O56" s="84">
        <f>SUM(O57:O58)</f>
        <v>0</v>
      </c>
      <c r="P56" s="85">
        <f t="shared" si="16"/>
        <v>61600</v>
      </c>
      <c r="Q56" s="81">
        <f t="shared" si="12"/>
        <v>61600</v>
      </c>
      <c r="R56" s="82"/>
      <c r="S56" s="80"/>
    </row>
    <row r="57" spans="1:19" s="17" customFormat="1" outlineLevel="1">
      <c r="A57" s="7" t="s">
        <v>163</v>
      </c>
      <c r="B57" s="7" t="s">
        <v>164</v>
      </c>
      <c r="C57" s="74" t="s">
        <v>148</v>
      </c>
      <c r="D57" s="25"/>
      <c r="E57" s="21"/>
      <c r="F57" s="21">
        <v>1</v>
      </c>
      <c r="G57" s="21"/>
      <c r="H57" s="21"/>
      <c r="I57" s="21"/>
      <c r="J57" s="88">
        <f t="shared" si="11"/>
        <v>1</v>
      </c>
      <c r="K57" s="88"/>
      <c r="L57" s="88">
        <f>60*360*2</f>
        <v>43200</v>
      </c>
      <c r="M57" s="88"/>
      <c r="N57" s="88"/>
      <c r="O57" s="88"/>
      <c r="P57" s="88">
        <f t="shared" si="16"/>
        <v>43200</v>
      </c>
      <c r="Q57" s="88">
        <f t="shared" si="12"/>
        <v>43200</v>
      </c>
      <c r="R57" s="62" t="s">
        <v>165</v>
      </c>
    </row>
    <row r="58" spans="1:19" s="17" customFormat="1" ht="25.5" outlineLevel="1">
      <c r="A58" s="7" t="s">
        <v>166</v>
      </c>
      <c r="B58" s="7" t="s">
        <v>167</v>
      </c>
      <c r="C58" s="74" t="s">
        <v>168</v>
      </c>
      <c r="D58" s="25"/>
      <c r="E58" s="21"/>
      <c r="F58" s="21">
        <v>2</v>
      </c>
      <c r="G58" s="21"/>
      <c r="H58" s="21"/>
      <c r="I58" s="21"/>
      <c r="J58" s="88">
        <f t="shared" si="11"/>
        <v>2</v>
      </c>
      <c r="L58" s="88">
        <f>600*2+(25*100)*2+30*100+(600*2+(25*100)*2+30*100)</f>
        <v>18400</v>
      </c>
      <c r="M58" s="88"/>
      <c r="N58" s="88"/>
      <c r="O58" s="88"/>
      <c r="P58" s="88">
        <f>SUM(L58:O58)</f>
        <v>18400</v>
      </c>
      <c r="Q58" s="88">
        <f t="shared" si="12"/>
        <v>18400</v>
      </c>
      <c r="R58" s="62" t="s">
        <v>169</v>
      </c>
      <c r="S58" s="88"/>
    </row>
    <row r="59" spans="1:19" s="38" customFormat="1" outlineLevel="1">
      <c r="A59" s="9" t="s">
        <v>170</v>
      </c>
      <c r="B59" s="9" t="s">
        <v>171</v>
      </c>
      <c r="C59" s="42" t="s">
        <v>172</v>
      </c>
      <c r="D59" s="9"/>
      <c r="E59" s="89">
        <v>2</v>
      </c>
      <c r="F59" s="89">
        <v>3</v>
      </c>
      <c r="G59" s="89">
        <v>4</v>
      </c>
      <c r="H59" s="89">
        <v>2</v>
      </c>
      <c r="I59" s="89">
        <v>3</v>
      </c>
      <c r="J59" s="89">
        <f t="shared" si="11"/>
        <v>14</v>
      </c>
      <c r="K59" s="89">
        <f>K60+K62</f>
        <v>64400</v>
      </c>
      <c r="L59" s="89">
        <f t="shared" ref="L59:O59" si="19">L60+L62</f>
        <v>100000</v>
      </c>
      <c r="M59" s="89">
        <f t="shared" si="19"/>
        <v>200000</v>
      </c>
      <c r="N59" s="89">
        <f t="shared" si="19"/>
        <v>100000</v>
      </c>
      <c r="O59" s="89">
        <f t="shared" si="19"/>
        <v>53720</v>
      </c>
      <c r="P59" s="77">
        <f t="shared" ref="P59" si="20">SUM(K59:O59)</f>
        <v>518120</v>
      </c>
      <c r="Q59" s="77">
        <f>SUM(Q61:Q63)</f>
        <v>1021840</v>
      </c>
      <c r="R59" s="61"/>
    </row>
    <row r="60" spans="1:19" s="6" customFormat="1" outlineLevel="1">
      <c r="A60" s="84" t="s">
        <v>20</v>
      </c>
      <c r="B60" s="84" t="s">
        <v>173</v>
      </c>
      <c r="C60" s="43" t="s">
        <v>174</v>
      </c>
      <c r="D60" s="85"/>
      <c r="E60" s="85">
        <v>1</v>
      </c>
      <c r="F60" s="85">
        <v>0</v>
      </c>
      <c r="G60" s="85">
        <v>0</v>
      </c>
      <c r="H60" s="85">
        <v>0</v>
      </c>
      <c r="I60" s="85">
        <v>0</v>
      </c>
      <c r="J60" s="85">
        <v>1</v>
      </c>
      <c r="K60" s="81">
        <v>14400</v>
      </c>
      <c r="L60" s="84">
        <v>0</v>
      </c>
      <c r="M60" s="84">
        <v>0</v>
      </c>
      <c r="N60" s="84">
        <v>0</v>
      </c>
      <c r="O60" s="84">
        <v>0</v>
      </c>
      <c r="P60" s="85">
        <f>SUM(K60:O60)</f>
        <v>14400</v>
      </c>
      <c r="Q60" s="81">
        <f>P60</f>
        <v>14400</v>
      </c>
      <c r="R60" s="82"/>
      <c r="S60" s="80"/>
    </row>
    <row r="61" spans="1:19" s="8" customFormat="1" outlineLevel="1">
      <c r="A61" s="3" t="s">
        <v>175</v>
      </c>
      <c r="B61" s="3" t="s">
        <v>176</v>
      </c>
      <c r="C61" s="30" t="s">
        <v>24</v>
      </c>
      <c r="D61" s="23"/>
      <c r="E61" s="23">
        <v>1</v>
      </c>
      <c r="F61" s="23"/>
      <c r="G61" s="23"/>
      <c r="H61" s="23"/>
      <c r="I61" s="23"/>
      <c r="J61" s="23">
        <f>SUM(E61:I61)</f>
        <v>1</v>
      </c>
      <c r="K61" s="87">
        <f>360*40</f>
        <v>14400</v>
      </c>
      <c r="L61" s="87"/>
      <c r="M61" s="87"/>
      <c r="N61" s="87"/>
      <c r="O61" s="87"/>
      <c r="P61" s="87">
        <f>SUM(K61:O61)</f>
        <v>14400</v>
      </c>
      <c r="Q61" s="87">
        <f>P61</f>
        <v>14400</v>
      </c>
      <c r="R61" s="62" t="s">
        <v>177</v>
      </c>
    </row>
    <row r="62" spans="1:19" s="80" customFormat="1" outlineLevel="1">
      <c r="A62" s="84" t="s">
        <v>20</v>
      </c>
      <c r="B62" s="84" t="s">
        <v>178</v>
      </c>
      <c r="C62" s="85" t="s">
        <v>179</v>
      </c>
      <c r="D62" s="85"/>
      <c r="E62" s="85">
        <v>2</v>
      </c>
      <c r="F62" s="85">
        <v>3</v>
      </c>
      <c r="G62" s="85">
        <v>4</v>
      </c>
      <c r="H62" s="85">
        <v>2</v>
      </c>
      <c r="I62" s="85">
        <v>3</v>
      </c>
      <c r="J62" s="85">
        <v>14</v>
      </c>
      <c r="K62" s="81">
        <v>50000</v>
      </c>
      <c r="L62" s="85">
        <v>100000</v>
      </c>
      <c r="M62" s="85">
        <v>200000</v>
      </c>
      <c r="N62" s="85">
        <v>100000</v>
      </c>
      <c r="O62" s="85">
        <v>53720</v>
      </c>
      <c r="P62" s="85">
        <v>503720</v>
      </c>
      <c r="Q62" s="81">
        <v>503720</v>
      </c>
      <c r="R62" s="82"/>
    </row>
    <row r="63" spans="1:19" s="8" customFormat="1" outlineLevel="1">
      <c r="A63" s="3" t="s">
        <v>180</v>
      </c>
      <c r="B63" s="3" t="s">
        <v>178</v>
      </c>
      <c r="C63" s="30" t="s">
        <v>179</v>
      </c>
      <c r="D63" s="23"/>
      <c r="E63" s="23">
        <v>2</v>
      </c>
      <c r="F63" s="23">
        <v>3</v>
      </c>
      <c r="G63" s="23">
        <v>4</v>
      </c>
      <c r="H63" s="23">
        <v>2</v>
      </c>
      <c r="I63" s="23">
        <v>2</v>
      </c>
      <c r="J63" s="23">
        <v>14</v>
      </c>
      <c r="K63" s="87">
        <v>50000</v>
      </c>
      <c r="L63" s="87">
        <v>100000</v>
      </c>
      <c r="M63" s="87">
        <v>200000</v>
      </c>
      <c r="N63" s="87">
        <v>100000</v>
      </c>
      <c r="O63" s="87">
        <v>53720</v>
      </c>
      <c r="P63" s="87">
        <f t="shared" ref="P63:P86" si="21">SUM(K63:O63)</f>
        <v>503720</v>
      </c>
      <c r="Q63" s="87">
        <f t="shared" ref="Q63:Q86" si="22">P63</f>
        <v>503720</v>
      </c>
      <c r="R63" s="62" t="s">
        <v>181</v>
      </c>
    </row>
    <row r="64" spans="1:19" s="80" customFormat="1" outlineLevel="1">
      <c r="A64" s="95" t="s">
        <v>182</v>
      </c>
      <c r="B64" s="89" t="s">
        <v>183</v>
      </c>
      <c r="C64" s="89" t="s">
        <v>184</v>
      </c>
      <c r="D64" s="89"/>
      <c r="E64" s="89">
        <v>1</v>
      </c>
      <c r="F64" s="89">
        <v>1</v>
      </c>
      <c r="G64" s="89">
        <v>0</v>
      </c>
      <c r="H64" s="89">
        <v>0</v>
      </c>
      <c r="I64" s="89">
        <v>0</v>
      </c>
      <c r="J64" s="89">
        <v>2</v>
      </c>
      <c r="K64" s="89">
        <v>100000</v>
      </c>
      <c r="L64" s="89">
        <v>0</v>
      </c>
      <c r="M64" s="89">
        <v>0</v>
      </c>
      <c r="N64" s="89">
        <v>0</v>
      </c>
      <c r="O64" s="89">
        <v>0</v>
      </c>
      <c r="P64" s="89">
        <f>SUM(K64:O64)</f>
        <v>100000</v>
      </c>
      <c r="Q64" s="89">
        <f>P64</f>
        <v>100000</v>
      </c>
      <c r="R64" s="82"/>
    </row>
    <row r="65" spans="1:19" s="11" customFormat="1" ht="21.75" customHeight="1" outlineLevel="1">
      <c r="A65" s="11" t="s">
        <v>185</v>
      </c>
      <c r="B65" s="11" t="s">
        <v>186</v>
      </c>
      <c r="C65" s="125"/>
      <c r="D65" s="83"/>
      <c r="E65" s="83"/>
      <c r="F65" s="83"/>
      <c r="G65" s="83"/>
      <c r="H65" s="83"/>
      <c r="I65" s="83"/>
      <c r="J65" s="83"/>
      <c r="K65" s="83">
        <f>K66+K101+K113+K120+K124+K127+K137+K140</f>
        <v>2459223.1614285712</v>
      </c>
      <c r="L65" s="83">
        <f t="shared" ref="L65:O65" si="23">L66+L101+L113+L120+L124+L127+L137+L140</f>
        <v>4834171.2138095247</v>
      </c>
      <c r="M65" s="83">
        <f t="shared" si="23"/>
        <v>5355664.7662337665</v>
      </c>
      <c r="N65" s="83">
        <f t="shared" si="23"/>
        <v>994397.72727272729</v>
      </c>
      <c r="O65" s="83">
        <f t="shared" si="23"/>
        <v>570285.71274285717</v>
      </c>
      <c r="P65" s="83">
        <f t="shared" ref="P65" si="24">SUM(K65:O65)</f>
        <v>14213742.581487447</v>
      </c>
      <c r="Q65" s="107">
        <f t="shared" ref="Q65" si="25">P65</f>
        <v>14213742.581487447</v>
      </c>
      <c r="R65" s="126"/>
    </row>
    <row r="66" spans="1:19" s="38" customFormat="1" ht="30" outlineLevel="1">
      <c r="A66" s="9" t="s">
        <v>187</v>
      </c>
      <c r="B66" s="9" t="s">
        <v>188</v>
      </c>
      <c r="C66" s="42" t="s">
        <v>189</v>
      </c>
      <c r="D66" s="89"/>
      <c r="E66" s="89"/>
      <c r="F66" s="89"/>
      <c r="G66" s="89"/>
      <c r="H66" s="89">
        <v>1</v>
      </c>
      <c r="I66" s="89"/>
      <c r="J66" s="89">
        <f>SUM(E66:I66)</f>
        <v>1</v>
      </c>
      <c r="K66" s="89">
        <f>K67+K70+K73+K76+K79+K86+K89+K94+K96+K98</f>
        <v>302720</v>
      </c>
      <c r="L66" s="89">
        <f>L67+L70+L73+L76+L79+L86+L89+L94+L96+L98</f>
        <v>2435534.666666667</v>
      </c>
      <c r="M66" s="89">
        <v>3340489</v>
      </c>
      <c r="N66" s="89">
        <f>N67+N70+N73+N76+N79+N86+N89+N94+N96+N98</f>
        <v>3125</v>
      </c>
      <c r="O66" s="89">
        <f>O67+O70+O73+O76+O79+O86+O89+O94+O96+O98</f>
        <v>0</v>
      </c>
      <c r="P66" s="89">
        <f t="shared" si="21"/>
        <v>6081868.666666667</v>
      </c>
      <c r="Q66" s="77">
        <f t="shared" si="22"/>
        <v>6081868.666666667</v>
      </c>
      <c r="R66" s="61"/>
    </row>
    <row r="67" spans="1:19" s="6" customFormat="1" outlineLevel="1">
      <c r="A67" s="9" t="s">
        <v>20</v>
      </c>
      <c r="B67" s="84" t="s">
        <v>190</v>
      </c>
      <c r="C67" s="43" t="s">
        <v>45</v>
      </c>
      <c r="D67" s="85"/>
      <c r="E67" s="85">
        <v>1</v>
      </c>
      <c r="F67" s="85">
        <v>0</v>
      </c>
      <c r="G67" s="85">
        <v>0</v>
      </c>
      <c r="H67" s="85">
        <v>0</v>
      </c>
      <c r="I67" s="85">
        <v>0</v>
      </c>
      <c r="J67" s="85">
        <f>SUM(E67:I67)</f>
        <v>1</v>
      </c>
      <c r="K67" s="85">
        <f>SUM(K68:K69)</f>
        <v>10800</v>
      </c>
      <c r="L67" s="85">
        <f>SUM(L68:L69)</f>
        <v>0</v>
      </c>
      <c r="M67" s="85">
        <f>SUM(M68:M69)</f>
        <v>0</v>
      </c>
      <c r="N67" s="85">
        <f>SUM(N68:N69)</f>
        <v>0</v>
      </c>
      <c r="O67" s="85">
        <f>SUM(O68:O69)</f>
        <v>0</v>
      </c>
      <c r="P67" s="85">
        <f t="shared" si="21"/>
        <v>10800</v>
      </c>
      <c r="Q67" s="81">
        <f t="shared" si="22"/>
        <v>10800</v>
      </c>
      <c r="R67" s="82"/>
      <c r="S67" s="80"/>
    </row>
    <row r="68" spans="1:19" s="8" customFormat="1" outlineLevel="1">
      <c r="A68" s="7" t="s">
        <v>191</v>
      </c>
      <c r="B68" s="7" t="s">
        <v>192</v>
      </c>
      <c r="C68" s="74" t="s">
        <v>193</v>
      </c>
      <c r="D68" s="23"/>
      <c r="E68" s="23">
        <v>1</v>
      </c>
      <c r="F68" s="23"/>
      <c r="G68" s="23"/>
      <c r="H68" s="23"/>
      <c r="I68" s="23"/>
      <c r="J68" s="88">
        <f>SUM(E68:I68)</f>
        <v>1</v>
      </c>
      <c r="K68" s="87">
        <v>0</v>
      </c>
      <c r="L68" s="87"/>
      <c r="M68" s="87"/>
      <c r="N68" s="87"/>
      <c r="O68" s="87"/>
      <c r="P68" s="87">
        <f t="shared" si="21"/>
        <v>0</v>
      </c>
      <c r="Q68" s="87">
        <f t="shared" si="22"/>
        <v>0</v>
      </c>
      <c r="R68" s="60" t="s">
        <v>194</v>
      </c>
      <c r="S68" s="60"/>
    </row>
    <row r="69" spans="1:19" s="8" customFormat="1" outlineLevel="1">
      <c r="A69" s="7" t="s">
        <v>195</v>
      </c>
      <c r="B69" s="7" t="s">
        <v>196</v>
      </c>
      <c r="C69" s="74" t="s">
        <v>24</v>
      </c>
      <c r="D69" s="23"/>
      <c r="E69" s="23">
        <v>1</v>
      </c>
      <c r="F69" s="23"/>
      <c r="G69" s="23"/>
      <c r="H69" s="23"/>
      <c r="I69" s="23"/>
      <c r="J69" s="88">
        <f>SUM(E69:I69)</f>
        <v>1</v>
      </c>
      <c r="K69" s="87">
        <f>360*30</f>
        <v>10800</v>
      </c>
      <c r="L69" s="87"/>
      <c r="M69" s="87"/>
      <c r="N69" s="87"/>
      <c r="O69" s="87"/>
      <c r="P69" s="87">
        <f t="shared" si="21"/>
        <v>10800</v>
      </c>
      <c r="Q69" s="87">
        <f t="shared" si="22"/>
        <v>10800</v>
      </c>
      <c r="R69" s="60" t="s">
        <v>197</v>
      </c>
    </row>
    <row r="70" spans="1:19" s="6" customFormat="1" outlineLevel="1">
      <c r="A70" s="9" t="s">
        <v>20</v>
      </c>
      <c r="B70" s="84" t="s">
        <v>198</v>
      </c>
      <c r="C70" s="43" t="s">
        <v>199</v>
      </c>
      <c r="D70" s="85"/>
      <c r="E70" s="85">
        <v>1</v>
      </c>
      <c r="F70" s="85">
        <v>0</v>
      </c>
      <c r="G70" s="85">
        <v>0</v>
      </c>
      <c r="H70" s="85">
        <v>0</v>
      </c>
      <c r="I70" s="85">
        <v>0</v>
      </c>
      <c r="J70" s="85">
        <f>SUM(E70:I70)</f>
        <v>1</v>
      </c>
      <c r="K70" s="85">
        <f>SUM(K71:K72)</f>
        <v>218480</v>
      </c>
      <c r="L70" s="85">
        <f>SUM(L71:L72)</f>
        <v>0</v>
      </c>
      <c r="M70" s="85">
        <f>SUM(M71:M72)</f>
        <v>0</v>
      </c>
      <c r="N70" s="85">
        <f>SUM(N71:N72)</f>
        <v>0</v>
      </c>
      <c r="O70" s="85">
        <f>SUM(O71:O72)</f>
        <v>0</v>
      </c>
      <c r="P70" s="85">
        <f t="shared" si="21"/>
        <v>218480</v>
      </c>
      <c r="Q70" s="81">
        <f t="shared" si="22"/>
        <v>218480</v>
      </c>
      <c r="R70" s="82"/>
      <c r="S70" s="80"/>
    </row>
    <row r="71" spans="1:19" s="8" customFormat="1" outlineLevel="1">
      <c r="A71" s="7" t="s">
        <v>200</v>
      </c>
      <c r="B71" s="7" t="s">
        <v>201</v>
      </c>
      <c r="C71" s="74" t="s">
        <v>24</v>
      </c>
      <c r="D71" s="23"/>
      <c r="E71" s="23">
        <v>1</v>
      </c>
      <c r="F71" s="23"/>
      <c r="G71" s="23"/>
      <c r="H71" s="23"/>
      <c r="I71" s="23"/>
      <c r="J71" s="88" t="s">
        <v>202</v>
      </c>
      <c r="K71" s="87">
        <v>0</v>
      </c>
      <c r="L71" s="87"/>
      <c r="M71" s="87"/>
      <c r="N71" s="87"/>
      <c r="O71" s="87"/>
      <c r="P71" s="87">
        <f t="shared" si="21"/>
        <v>0</v>
      </c>
      <c r="Q71" s="87">
        <f t="shared" si="22"/>
        <v>0</v>
      </c>
      <c r="R71" s="60" t="s">
        <v>194</v>
      </c>
    </row>
    <row r="72" spans="1:19" s="8" customFormat="1" outlineLevel="1">
      <c r="A72" s="7" t="s">
        <v>203</v>
      </c>
      <c r="B72" s="7" t="s">
        <v>204</v>
      </c>
      <c r="C72" s="74" t="s">
        <v>24</v>
      </c>
      <c r="D72" s="23"/>
      <c r="E72" s="23">
        <v>2</v>
      </c>
      <c r="F72" s="23"/>
      <c r="G72" s="23"/>
      <c r="H72" s="23"/>
      <c r="I72" s="23"/>
      <c r="J72" s="88">
        <f t="shared" ref="J72:J103" si="26">SUM(E72:I72)</f>
        <v>2</v>
      </c>
      <c r="K72" s="88">
        <f>120*760+266*80+120*80+240*360+2500*4</f>
        <v>218480</v>
      </c>
      <c r="L72" s="87"/>
      <c r="M72" s="87"/>
      <c r="N72" s="87"/>
      <c r="O72" s="87"/>
      <c r="P72" s="87">
        <f t="shared" si="21"/>
        <v>218480</v>
      </c>
      <c r="Q72" s="87">
        <f t="shared" si="22"/>
        <v>218480</v>
      </c>
      <c r="R72" s="60" t="s">
        <v>205</v>
      </c>
    </row>
    <row r="73" spans="1:19" s="6" customFormat="1" outlineLevel="1">
      <c r="A73" s="9" t="s">
        <v>20</v>
      </c>
      <c r="B73" s="84" t="s">
        <v>206</v>
      </c>
      <c r="C73" s="43" t="s">
        <v>207</v>
      </c>
      <c r="D73" s="85"/>
      <c r="E73" s="85">
        <v>1</v>
      </c>
      <c r="F73" s="85">
        <v>0</v>
      </c>
      <c r="G73" s="85">
        <v>0</v>
      </c>
      <c r="H73" s="85">
        <v>0</v>
      </c>
      <c r="I73" s="85">
        <v>0</v>
      </c>
      <c r="J73" s="85">
        <f t="shared" si="26"/>
        <v>1</v>
      </c>
      <c r="K73" s="85">
        <f>SUM(K74:K75)</f>
        <v>69740</v>
      </c>
      <c r="L73" s="85">
        <f>SUM(L74:L75)</f>
        <v>0</v>
      </c>
      <c r="M73" s="85">
        <f>SUM(M74:M75)</f>
        <v>0</v>
      </c>
      <c r="N73" s="85">
        <f>SUM(N74:N75)</f>
        <v>0</v>
      </c>
      <c r="O73" s="85">
        <f>SUM(O74:O75)</f>
        <v>0</v>
      </c>
      <c r="P73" s="85">
        <f t="shared" si="21"/>
        <v>69740</v>
      </c>
      <c r="Q73" s="81">
        <f t="shared" si="22"/>
        <v>69740</v>
      </c>
      <c r="R73" s="82"/>
      <c r="S73" s="80"/>
    </row>
    <row r="74" spans="1:19" s="17" customFormat="1" ht="25.5" outlineLevel="1">
      <c r="A74" s="7" t="s">
        <v>208</v>
      </c>
      <c r="B74" s="7" t="s">
        <v>209</v>
      </c>
      <c r="C74" s="74" t="s">
        <v>210</v>
      </c>
      <c r="D74" s="21"/>
      <c r="E74" s="21">
        <v>1</v>
      </c>
      <c r="F74" s="21"/>
      <c r="G74" s="21"/>
      <c r="H74" s="21"/>
      <c r="I74" s="21"/>
      <c r="J74" s="88">
        <f t="shared" si="26"/>
        <v>1</v>
      </c>
      <c r="K74" s="88">
        <f>60*760+40*266+40*120+2500*2</f>
        <v>66040</v>
      </c>
      <c r="L74" s="88"/>
      <c r="M74" s="88"/>
      <c r="N74" s="88"/>
      <c r="O74" s="88"/>
      <c r="P74" s="87">
        <f t="shared" si="21"/>
        <v>66040</v>
      </c>
      <c r="Q74" s="87">
        <f t="shared" si="22"/>
        <v>66040</v>
      </c>
      <c r="R74" s="60" t="s">
        <v>211</v>
      </c>
    </row>
    <row r="75" spans="1:19" s="8" customFormat="1" outlineLevel="1">
      <c r="A75" s="7" t="s">
        <v>212</v>
      </c>
      <c r="B75" s="7" t="s">
        <v>213</v>
      </c>
      <c r="C75" s="74" t="s">
        <v>28</v>
      </c>
      <c r="D75" s="23"/>
      <c r="E75" s="23">
        <v>1</v>
      </c>
      <c r="F75" s="23"/>
      <c r="G75" s="23"/>
      <c r="H75" s="23"/>
      <c r="I75" s="23"/>
      <c r="J75" s="88">
        <f t="shared" si="26"/>
        <v>1</v>
      </c>
      <c r="K75" s="34">
        <f>(2*50*25)+(600*2)</f>
        <v>3700</v>
      </c>
      <c r="L75" s="87"/>
      <c r="M75" s="87"/>
      <c r="N75" s="87"/>
      <c r="O75" s="87"/>
      <c r="P75" s="87">
        <f t="shared" si="21"/>
        <v>3700</v>
      </c>
      <c r="Q75" s="87">
        <f t="shared" si="22"/>
        <v>3700</v>
      </c>
      <c r="R75" s="60" t="s">
        <v>214</v>
      </c>
    </row>
    <row r="76" spans="1:19" s="6" customFormat="1" ht="25.5" outlineLevel="1">
      <c r="A76" s="9" t="s">
        <v>20</v>
      </c>
      <c r="B76" s="84" t="s">
        <v>215</v>
      </c>
      <c r="C76" s="43" t="s">
        <v>216</v>
      </c>
      <c r="D76" s="85"/>
      <c r="E76" s="85">
        <v>1</v>
      </c>
      <c r="F76" s="85">
        <v>0</v>
      </c>
      <c r="G76" s="85">
        <v>0</v>
      </c>
      <c r="H76" s="85">
        <v>0</v>
      </c>
      <c r="I76" s="85">
        <f>SUM(I77:I78)</f>
        <v>0</v>
      </c>
      <c r="J76" s="85">
        <f t="shared" si="26"/>
        <v>1</v>
      </c>
      <c r="K76" s="85">
        <f>SUM(K77:K78)</f>
        <v>3700</v>
      </c>
      <c r="L76" s="85">
        <f>SUM(L77:L78)</f>
        <v>0</v>
      </c>
      <c r="M76" s="85">
        <f>SUM(M77:M78)</f>
        <v>0</v>
      </c>
      <c r="N76" s="85">
        <f>SUM(N77:N78)</f>
        <v>0</v>
      </c>
      <c r="O76" s="85">
        <f>SUM(O77:O78)</f>
        <v>0</v>
      </c>
      <c r="P76" s="85">
        <f t="shared" si="21"/>
        <v>3700</v>
      </c>
      <c r="Q76" s="81">
        <f t="shared" si="22"/>
        <v>3700</v>
      </c>
      <c r="R76" s="82"/>
      <c r="S76" s="80"/>
    </row>
    <row r="77" spans="1:19" s="8" customFormat="1" ht="31.5" customHeight="1" outlineLevel="1">
      <c r="A77" s="7" t="s">
        <v>217</v>
      </c>
      <c r="B77" s="7" t="s">
        <v>218</v>
      </c>
      <c r="C77" s="74" t="s">
        <v>219</v>
      </c>
      <c r="D77" s="23"/>
      <c r="E77" s="23">
        <v>1</v>
      </c>
      <c r="F77" s="23"/>
      <c r="G77" s="23"/>
      <c r="H77" s="23"/>
      <c r="I77" s="23"/>
      <c r="J77" s="88">
        <f t="shared" si="26"/>
        <v>1</v>
      </c>
      <c r="K77" s="87">
        <v>0</v>
      </c>
      <c r="L77" s="87"/>
      <c r="M77" s="87"/>
      <c r="N77" s="87"/>
      <c r="O77" s="87"/>
      <c r="P77" s="87">
        <f t="shared" si="21"/>
        <v>0</v>
      </c>
      <c r="Q77" s="87">
        <f t="shared" si="22"/>
        <v>0</v>
      </c>
      <c r="R77" s="60" t="s">
        <v>194</v>
      </c>
    </row>
    <row r="78" spans="1:19" s="8" customFormat="1" outlineLevel="1">
      <c r="A78" s="7" t="s">
        <v>220</v>
      </c>
      <c r="B78" s="7" t="s">
        <v>221</v>
      </c>
      <c r="C78" s="74" t="s">
        <v>28</v>
      </c>
      <c r="D78" s="23"/>
      <c r="E78" s="23">
        <v>2</v>
      </c>
      <c r="F78" s="23"/>
      <c r="G78" s="23"/>
      <c r="H78" s="23"/>
      <c r="I78" s="23"/>
      <c r="J78" s="88">
        <f t="shared" si="26"/>
        <v>2</v>
      </c>
      <c r="K78" s="34">
        <f>(2*50*25)+(600*2)</f>
        <v>3700</v>
      </c>
      <c r="L78" s="87"/>
      <c r="M78" s="87"/>
      <c r="N78" s="87"/>
      <c r="O78" s="87"/>
      <c r="P78" s="87">
        <f t="shared" si="21"/>
        <v>3700</v>
      </c>
      <c r="Q78" s="87">
        <f t="shared" si="22"/>
        <v>3700</v>
      </c>
      <c r="R78" s="60" t="s">
        <v>214</v>
      </c>
    </row>
    <row r="79" spans="1:19" s="6" customFormat="1" ht="25.5" outlineLevel="1">
      <c r="A79" s="9" t="s">
        <v>20</v>
      </c>
      <c r="B79" s="84" t="s">
        <v>222</v>
      </c>
      <c r="C79" s="43" t="s">
        <v>223</v>
      </c>
      <c r="D79" s="85"/>
      <c r="E79" s="85">
        <f>SUM(E80:E85)</f>
        <v>0</v>
      </c>
      <c r="F79" s="85">
        <v>1</v>
      </c>
      <c r="G79" s="85">
        <v>0</v>
      </c>
      <c r="H79" s="85">
        <v>0</v>
      </c>
      <c r="I79" s="85">
        <v>0</v>
      </c>
      <c r="J79" s="85">
        <f t="shared" si="26"/>
        <v>1</v>
      </c>
      <c r="K79" s="85">
        <f>SUM(K80:K85)</f>
        <v>0</v>
      </c>
      <c r="L79" s="85">
        <f>SUM(L80:L85)</f>
        <v>2435534.666666667</v>
      </c>
      <c r="M79" s="85">
        <f>SUM(M80:M85)</f>
        <v>2730489.3333333335</v>
      </c>
      <c r="N79" s="85">
        <f>SUM(N80:N85)</f>
        <v>0</v>
      </c>
      <c r="O79" s="85">
        <f>SUM(O80:O85)</f>
        <v>0</v>
      </c>
      <c r="P79" s="85">
        <f t="shared" si="21"/>
        <v>5166024</v>
      </c>
      <c r="Q79" s="81">
        <f t="shared" si="22"/>
        <v>5166024</v>
      </c>
      <c r="R79" s="82"/>
      <c r="S79" s="80"/>
    </row>
    <row r="80" spans="1:19" s="17" customFormat="1" ht="25.5" outlineLevel="1">
      <c r="A80" s="93" t="s">
        <v>224</v>
      </c>
      <c r="B80" s="7" t="s">
        <v>225</v>
      </c>
      <c r="C80" s="74" t="s">
        <v>226</v>
      </c>
      <c r="D80" s="21"/>
      <c r="E80" s="21"/>
      <c r="F80" s="21">
        <v>1</v>
      </c>
      <c r="G80" s="21"/>
      <c r="H80" s="21"/>
      <c r="I80" s="21"/>
      <c r="J80" s="88">
        <f t="shared" si="26"/>
        <v>1</v>
      </c>
      <c r="K80" s="88"/>
      <c r="L80" s="34">
        <v>0</v>
      </c>
      <c r="M80" s="88"/>
      <c r="N80" s="88"/>
      <c r="O80" s="88"/>
      <c r="P80" s="87">
        <f t="shared" si="21"/>
        <v>0</v>
      </c>
      <c r="Q80" s="87">
        <f t="shared" si="22"/>
        <v>0</v>
      </c>
      <c r="R80" s="60" t="s">
        <v>194</v>
      </c>
    </row>
    <row r="81" spans="1:18" s="8" customFormat="1" outlineLevel="1">
      <c r="A81" s="7" t="s">
        <v>227</v>
      </c>
      <c r="B81" s="7" t="s">
        <v>228</v>
      </c>
      <c r="C81" s="74" t="s">
        <v>24</v>
      </c>
      <c r="D81" s="23"/>
      <c r="E81" s="23"/>
      <c r="F81" s="23">
        <v>1</v>
      </c>
      <c r="G81" s="23"/>
      <c r="H81" s="23"/>
      <c r="I81" s="23"/>
      <c r="J81" s="88">
        <f t="shared" si="26"/>
        <v>1</v>
      </c>
      <c r="K81" s="87"/>
      <c r="L81" s="88">
        <f>760*15+2500+266*20+120*20</f>
        <v>21620</v>
      </c>
      <c r="M81" s="87"/>
      <c r="N81" s="87"/>
      <c r="O81" s="87"/>
      <c r="P81" s="87">
        <f t="shared" si="21"/>
        <v>21620</v>
      </c>
      <c r="Q81" s="87">
        <f t="shared" si="22"/>
        <v>21620</v>
      </c>
      <c r="R81" s="60" t="s">
        <v>229</v>
      </c>
    </row>
    <row r="82" spans="1:18" s="8" customFormat="1" ht="25.5" outlineLevel="1">
      <c r="A82" s="7" t="s">
        <v>230</v>
      </c>
      <c r="B82" s="7" t="s">
        <v>231</v>
      </c>
      <c r="C82" s="74" t="s">
        <v>24</v>
      </c>
      <c r="D82" s="23"/>
      <c r="E82" s="23"/>
      <c r="F82" s="23">
        <v>1</v>
      </c>
      <c r="G82" s="23"/>
      <c r="H82" s="23"/>
      <c r="I82" s="23"/>
      <c r="J82" s="88">
        <f t="shared" si="26"/>
        <v>1</v>
      </c>
      <c r="K82" s="87"/>
      <c r="L82" s="88">
        <f>400*15</f>
        <v>6000</v>
      </c>
      <c r="M82" s="87"/>
      <c r="N82" s="87"/>
      <c r="O82" s="87"/>
      <c r="P82" s="87">
        <f t="shared" si="21"/>
        <v>6000</v>
      </c>
      <c r="Q82" s="87">
        <f t="shared" si="22"/>
        <v>6000</v>
      </c>
      <c r="R82" s="60" t="s">
        <v>232</v>
      </c>
    </row>
    <row r="83" spans="1:18" s="8" customFormat="1" ht="30" outlineLevel="1">
      <c r="A83" s="7" t="s">
        <v>233</v>
      </c>
      <c r="B83" s="7" t="s">
        <v>234</v>
      </c>
      <c r="C83" s="74" t="s">
        <v>24</v>
      </c>
      <c r="D83" s="23"/>
      <c r="E83" s="23"/>
      <c r="F83" s="23">
        <v>1</v>
      </c>
      <c r="G83" s="23"/>
      <c r="H83" s="23"/>
      <c r="I83" s="23"/>
      <c r="J83" s="88">
        <f t="shared" si="26"/>
        <v>1</v>
      </c>
      <c r="K83" s="87"/>
      <c r="L83" s="87">
        <f>4095734/3</f>
        <v>1365244.6666666667</v>
      </c>
      <c r="M83" s="87">
        <f>(4095734*2)/3</f>
        <v>2730489.3333333335</v>
      </c>
      <c r="N83" s="87"/>
      <c r="O83" s="87"/>
      <c r="P83" s="87">
        <f t="shared" si="21"/>
        <v>4095734</v>
      </c>
      <c r="Q83" s="87">
        <f t="shared" si="22"/>
        <v>4095734</v>
      </c>
      <c r="R83" s="60" t="s">
        <v>235</v>
      </c>
    </row>
    <row r="84" spans="1:18" s="8" customFormat="1" outlineLevel="1">
      <c r="A84" s="7" t="s">
        <v>236</v>
      </c>
      <c r="B84" s="7" t="s">
        <v>237</v>
      </c>
      <c r="C84" s="74" t="s">
        <v>238</v>
      </c>
      <c r="D84" s="23"/>
      <c r="E84" s="23"/>
      <c r="F84" s="23">
        <v>1</v>
      </c>
      <c r="G84" s="23"/>
      <c r="H84" s="23"/>
      <c r="I84" s="23"/>
      <c r="J84" s="88">
        <f t="shared" si="26"/>
        <v>1</v>
      </c>
      <c r="K84" s="87"/>
      <c r="L84" s="87">
        <v>1000000</v>
      </c>
      <c r="M84" s="87"/>
      <c r="N84" s="87"/>
      <c r="O84" s="87"/>
      <c r="P84" s="87">
        <f t="shared" si="21"/>
        <v>1000000</v>
      </c>
      <c r="Q84" s="87">
        <f t="shared" si="22"/>
        <v>1000000</v>
      </c>
      <c r="R84" s="60" t="s">
        <v>239</v>
      </c>
    </row>
    <row r="85" spans="1:18" s="8" customFormat="1" outlineLevel="1">
      <c r="A85" s="7" t="s">
        <v>240</v>
      </c>
      <c r="B85" s="7" t="s">
        <v>241</v>
      </c>
      <c r="C85" s="74" t="s">
        <v>24</v>
      </c>
      <c r="D85" s="23"/>
      <c r="E85" s="23"/>
      <c r="F85" s="23">
        <v>1</v>
      </c>
      <c r="G85" s="23"/>
      <c r="H85" s="23"/>
      <c r="I85" s="23"/>
      <c r="J85" s="88">
        <f t="shared" si="26"/>
        <v>1</v>
      </c>
      <c r="K85" s="87"/>
      <c r="L85" s="87">
        <f>30*760+45*266+2500+120*45</f>
        <v>42670</v>
      </c>
      <c r="M85" s="87"/>
      <c r="N85" s="87"/>
      <c r="O85" s="87"/>
      <c r="P85" s="87">
        <f t="shared" si="21"/>
        <v>42670</v>
      </c>
      <c r="Q85" s="87">
        <f t="shared" si="22"/>
        <v>42670</v>
      </c>
      <c r="R85" s="60" t="s">
        <v>242</v>
      </c>
    </row>
    <row r="86" spans="1:18" s="6" customFormat="1" outlineLevel="1">
      <c r="A86" s="9" t="s">
        <v>20</v>
      </c>
      <c r="B86" s="84" t="s">
        <v>243</v>
      </c>
      <c r="C86" s="43" t="s">
        <v>74</v>
      </c>
      <c r="D86" s="85"/>
      <c r="E86" s="85">
        <v>0</v>
      </c>
      <c r="F86" s="85">
        <v>0</v>
      </c>
      <c r="G86" s="85">
        <v>1</v>
      </c>
      <c r="H86" s="85">
        <v>0</v>
      </c>
      <c r="I86" s="85">
        <v>0</v>
      </c>
      <c r="J86" s="85">
        <f t="shared" si="26"/>
        <v>1</v>
      </c>
      <c r="K86" s="85">
        <f>SUM(K87:K88)</f>
        <v>0</v>
      </c>
      <c r="L86" s="85">
        <f>SUM(L87:L88)</f>
        <v>0</v>
      </c>
      <c r="M86" s="85">
        <v>610000</v>
      </c>
      <c r="N86" s="85">
        <f>SUM(N87:N88)</f>
        <v>0</v>
      </c>
      <c r="O86" s="85">
        <f>SUM(O87:O88)</f>
        <v>0</v>
      </c>
      <c r="P86" s="85">
        <f t="shared" si="21"/>
        <v>610000</v>
      </c>
      <c r="Q86" s="81">
        <f t="shared" si="22"/>
        <v>610000</v>
      </c>
      <c r="R86" s="82"/>
    </row>
    <row r="87" spans="1:18" s="17" customFormat="1" outlineLevel="1">
      <c r="A87" s="7" t="s">
        <v>244</v>
      </c>
      <c r="B87" s="7" t="s">
        <v>245</v>
      </c>
      <c r="C87" s="74" t="s">
        <v>74</v>
      </c>
      <c r="D87" s="21"/>
      <c r="E87" s="21"/>
      <c r="F87" s="23"/>
      <c r="G87" s="21">
        <v>2</v>
      </c>
      <c r="H87" s="21"/>
      <c r="I87" s="21"/>
      <c r="J87" s="88">
        <f t="shared" si="26"/>
        <v>2</v>
      </c>
      <c r="K87" s="88"/>
      <c r="L87" s="88"/>
      <c r="M87" s="88">
        <v>545000</v>
      </c>
      <c r="N87" s="88"/>
      <c r="O87" s="88"/>
      <c r="P87" s="87">
        <v>545000</v>
      </c>
      <c r="Q87" s="87">
        <v>545000</v>
      </c>
      <c r="R87" s="60" t="s">
        <v>239</v>
      </c>
    </row>
    <row r="88" spans="1:18" s="8" customFormat="1" outlineLevel="1">
      <c r="A88" s="7" t="s">
        <v>246</v>
      </c>
      <c r="B88" s="7" t="s">
        <v>247</v>
      </c>
      <c r="C88" s="74" t="s">
        <v>248</v>
      </c>
      <c r="D88" s="23"/>
      <c r="E88" s="23"/>
      <c r="F88" s="23"/>
      <c r="G88" s="23">
        <v>2</v>
      </c>
      <c r="H88" s="23"/>
      <c r="I88" s="23"/>
      <c r="J88" s="88">
        <f t="shared" si="26"/>
        <v>2</v>
      </c>
      <c r="K88" s="24"/>
      <c r="L88" s="87"/>
      <c r="M88" s="87">
        <v>65000</v>
      </c>
      <c r="N88" s="87"/>
      <c r="O88" s="87"/>
      <c r="P88" s="87">
        <f t="shared" ref="P88:P102" si="27">SUM(K88:O88)</f>
        <v>65000</v>
      </c>
      <c r="Q88" s="87">
        <f t="shared" ref="Q88:Q102" si="28">P88</f>
        <v>65000</v>
      </c>
      <c r="R88" s="60" t="s">
        <v>239</v>
      </c>
    </row>
    <row r="89" spans="1:18" s="6" customFormat="1" ht="25.5" outlineLevel="1">
      <c r="A89" s="9" t="s">
        <v>20</v>
      </c>
      <c r="B89" s="84" t="s">
        <v>249</v>
      </c>
      <c r="C89" s="43" t="s">
        <v>250</v>
      </c>
      <c r="D89" s="85"/>
      <c r="E89" s="85">
        <v>0</v>
      </c>
      <c r="F89" s="85">
        <v>0</v>
      </c>
      <c r="G89" s="85">
        <v>1</v>
      </c>
      <c r="H89" s="85">
        <v>0</v>
      </c>
      <c r="I89" s="85">
        <v>0</v>
      </c>
      <c r="J89" s="85">
        <f t="shared" si="26"/>
        <v>1</v>
      </c>
      <c r="K89" s="85">
        <f>SUM(K90:K93)</f>
        <v>0</v>
      </c>
      <c r="L89" s="85">
        <f>SUM(L90:L93)</f>
        <v>0</v>
      </c>
      <c r="M89" s="85">
        <f>SUM(M90:M93)</f>
        <v>0</v>
      </c>
      <c r="N89" s="85">
        <f>SUM(N90:N93)</f>
        <v>0</v>
      </c>
      <c r="O89" s="85">
        <f>SUM(O90:O93)</f>
        <v>0</v>
      </c>
      <c r="P89" s="85">
        <f t="shared" si="27"/>
        <v>0</v>
      </c>
      <c r="Q89" s="81">
        <f t="shared" si="28"/>
        <v>0</v>
      </c>
      <c r="R89" s="82"/>
    </row>
    <row r="90" spans="1:18" s="17" customFormat="1" outlineLevel="1">
      <c r="A90" s="7" t="s">
        <v>251</v>
      </c>
      <c r="B90" s="7" t="s">
        <v>252</v>
      </c>
      <c r="C90" s="74" t="s">
        <v>253</v>
      </c>
      <c r="D90" s="21"/>
      <c r="E90" s="21"/>
      <c r="F90" s="21">
        <v>1</v>
      </c>
      <c r="G90" s="21"/>
      <c r="H90" s="21"/>
      <c r="I90" s="21"/>
      <c r="J90" s="88">
        <f t="shared" si="26"/>
        <v>1</v>
      </c>
      <c r="K90" s="88"/>
      <c r="L90" s="88">
        <v>0</v>
      </c>
      <c r="M90" s="88"/>
      <c r="N90" s="88"/>
      <c r="O90" s="88"/>
      <c r="P90" s="87">
        <f t="shared" si="27"/>
        <v>0</v>
      </c>
      <c r="Q90" s="87">
        <f t="shared" si="28"/>
        <v>0</v>
      </c>
      <c r="R90" s="60" t="s">
        <v>254</v>
      </c>
    </row>
    <row r="91" spans="1:18" s="17" customFormat="1" outlineLevel="1">
      <c r="A91" s="7" t="s">
        <v>255</v>
      </c>
      <c r="B91" s="7" t="s">
        <v>256</v>
      </c>
      <c r="C91" s="74" t="s">
        <v>257</v>
      </c>
      <c r="D91" s="21"/>
      <c r="E91" s="21"/>
      <c r="F91" s="21"/>
      <c r="G91" s="21">
        <v>1</v>
      </c>
      <c r="H91" s="21"/>
      <c r="I91" s="21"/>
      <c r="J91" s="88">
        <f t="shared" si="26"/>
        <v>1</v>
      </c>
      <c r="K91" s="88"/>
      <c r="L91" s="88"/>
      <c r="M91" s="88">
        <v>0</v>
      </c>
      <c r="N91" s="88"/>
      <c r="O91" s="88"/>
      <c r="P91" s="87">
        <f t="shared" si="27"/>
        <v>0</v>
      </c>
      <c r="Q91" s="87">
        <f t="shared" si="28"/>
        <v>0</v>
      </c>
      <c r="R91" s="60" t="s">
        <v>254</v>
      </c>
    </row>
    <row r="92" spans="1:18" s="17" customFormat="1" outlineLevel="1">
      <c r="A92" s="7" t="s">
        <v>258</v>
      </c>
      <c r="B92" s="7" t="s">
        <v>259</v>
      </c>
      <c r="C92" s="74" t="s">
        <v>260</v>
      </c>
      <c r="D92" s="21"/>
      <c r="E92" s="21"/>
      <c r="F92" s="21"/>
      <c r="G92" s="21">
        <v>1</v>
      </c>
      <c r="H92" s="21"/>
      <c r="I92" s="21"/>
      <c r="J92" s="88">
        <f t="shared" si="26"/>
        <v>1</v>
      </c>
      <c r="K92" s="88"/>
      <c r="L92" s="88"/>
      <c r="M92" s="88">
        <v>0</v>
      </c>
      <c r="N92" s="88"/>
      <c r="O92" s="88"/>
      <c r="P92" s="87">
        <f t="shared" si="27"/>
        <v>0</v>
      </c>
      <c r="Q92" s="87">
        <f t="shared" si="28"/>
        <v>0</v>
      </c>
      <c r="R92" s="60" t="s">
        <v>254</v>
      </c>
    </row>
    <row r="93" spans="1:18" s="17" customFormat="1" outlineLevel="1">
      <c r="A93" s="7" t="s">
        <v>261</v>
      </c>
      <c r="B93" s="7" t="s">
        <v>262</v>
      </c>
      <c r="C93" s="74" t="s">
        <v>263</v>
      </c>
      <c r="D93" s="21"/>
      <c r="E93" s="21"/>
      <c r="F93" s="21"/>
      <c r="G93" s="21">
        <v>1</v>
      </c>
      <c r="H93" s="21"/>
      <c r="I93" s="21"/>
      <c r="J93" s="88">
        <f t="shared" si="26"/>
        <v>1</v>
      </c>
      <c r="K93" s="88"/>
      <c r="L93" s="88"/>
      <c r="M93" s="88">
        <v>0</v>
      </c>
      <c r="N93" s="88"/>
      <c r="O93" s="88"/>
      <c r="P93" s="87">
        <f t="shared" si="27"/>
        <v>0</v>
      </c>
      <c r="Q93" s="87">
        <f t="shared" si="28"/>
        <v>0</v>
      </c>
      <c r="R93" s="60" t="s">
        <v>254</v>
      </c>
    </row>
    <row r="94" spans="1:18" s="6" customFormat="1" outlineLevel="1">
      <c r="A94" s="9" t="s">
        <v>20</v>
      </c>
      <c r="B94" s="84" t="s">
        <v>264</v>
      </c>
      <c r="C94" s="71" t="s">
        <v>265</v>
      </c>
      <c r="D94" s="85"/>
      <c r="E94" s="85">
        <v>0</v>
      </c>
      <c r="F94" s="85">
        <v>0</v>
      </c>
      <c r="G94" s="85">
        <f>SUM(G95)</f>
        <v>1</v>
      </c>
      <c r="H94" s="85">
        <v>0</v>
      </c>
      <c r="I94" s="85">
        <v>0</v>
      </c>
      <c r="J94" s="85">
        <f t="shared" si="26"/>
        <v>1</v>
      </c>
      <c r="K94" s="85">
        <f>SUM(K95)</f>
        <v>0</v>
      </c>
      <c r="L94" s="85">
        <f>SUM(L95)</f>
        <v>0</v>
      </c>
      <c r="M94" s="85">
        <f>SUM(M95)</f>
        <v>0</v>
      </c>
      <c r="N94" s="85">
        <f>SUM(N95)</f>
        <v>0</v>
      </c>
      <c r="O94" s="85">
        <f>SUM(O95)</f>
        <v>0</v>
      </c>
      <c r="P94" s="85">
        <f t="shared" si="27"/>
        <v>0</v>
      </c>
      <c r="Q94" s="81">
        <f t="shared" si="28"/>
        <v>0</v>
      </c>
      <c r="R94" s="82"/>
    </row>
    <row r="95" spans="1:18" s="17" customFormat="1" outlineLevel="1">
      <c r="A95" s="7" t="s">
        <v>266</v>
      </c>
      <c r="B95" s="7" t="s">
        <v>267</v>
      </c>
      <c r="C95" s="74" t="s">
        <v>265</v>
      </c>
      <c r="D95" s="21"/>
      <c r="E95" s="21"/>
      <c r="F95" s="21"/>
      <c r="G95" s="21">
        <v>1</v>
      </c>
      <c r="H95" s="21"/>
      <c r="I95" s="21"/>
      <c r="J95" s="88">
        <f t="shared" si="26"/>
        <v>1</v>
      </c>
      <c r="K95" s="88"/>
      <c r="L95" s="88"/>
      <c r="M95" s="88">
        <v>0</v>
      </c>
      <c r="N95" s="88"/>
      <c r="O95" s="88"/>
      <c r="P95" s="87">
        <f t="shared" si="27"/>
        <v>0</v>
      </c>
      <c r="Q95" s="87">
        <f t="shared" si="28"/>
        <v>0</v>
      </c>
      <c r="R95" s="60" t="s">
        <v>254</v>
      </c>
    </row>
    <row r="96" spans="1:18" s="6" customFormat="1" outlineLevel="1">
      <c r="A96" s="9" t="s">
        <v>20</v>
      </c>
      <c r="B96" s="84" t="s">
        <v>268</v>
      </c>
      <c r="C96" s="43" t="s">
        <v>269</v>
      </c>
      <c r="D96" s="85"/>
      <c r="E96" s="85">
        <v>0</v>
      </c>
      <c r="F96" s="85">
        <v>0</v>
      </c>
      <c r="G96" s="85">
        <v>0</v>
      </c>
      <c r="H96" s="85">
        <v>1</v>
      </c>
      <c r="I96" s="85">
        <v>0</v>
      </c>
      <c r="J96" s="85">
        <f t="shared" si="26"/>
        <v>1</v>
      </c>
      <c r="K96" s="85">
        <f>SUM(K97)</f>
        <v>0</v>
      </c>
      <c r="L96" s="85">
        <f>SUM(L97)</f>
        <v>0</v>
      </c>
      <c r="M96" s="85">
        <f>SUM(M97)</f>
        <v>0</v>
      </c>
      <c r="N96" s="85">
        <f>SUM(N97)</f>
        <v>0</v>
      </c>
      <c r="O96" s="85">
        <f>SUM(O97)</f>
        <v>0</v>
      </c>
      <c r="P96" s="85">
        <f t="shared" si="27"/>
        <v>0</v>
      </c>
      <c r="Q96" s="81">
        <f t="shared" si="28"/>
        <v>0</v>
      </c>
      <c r="R96" s="82"/>
    </row>
    <row r="97" spans="1:18" s="17" customFormat="1" outlineLevel="1">
      <c r="A97" s="7" t="s">
        <v>270</v>
      </c>
      <c r="B97" s="7" t="s">
        <v>271</v>
      </c>
      <c r="C97" s="74" t="s">
        <v>269</v>
      </c>
      <c r="D97" s="21"/>
      <c r="E97" s="21"/>
      <c r="F97" s="21"/>
      <c r="G97" s="21"/>
      <c r="H97" s="21">
        <v>1</v>
      </c>
      <c r="I97" s="21"/>
      <c r="J97" s="88">
        <f t="shared" si="26"/>
        <v>1</v>
      </c>
      <c r="K97" s="88"/>
      <c r="L97" s="88"/>
      <c r="M97" s="88">
        <v>0</v>
      </c>
      <c r="N97" s="88"/>
      <c r="O97" s="88"/>
      <c r="P97" s="87">
        <f t="shared" si="27"/>
        <v>0</v>
      </c>
      <c r="Q97" s="87">
        <f t="shared" si="28"/>
        <v>0</v>
      </c>
      <c r="R97" s="60" t="s">
        <v>254</v>
      </c>
    </row>
    <row r="98" spans="1:18" s="6" customFormat="1" outlineLevel="1">
      <c r="A98" s="9" t="s">
        <v>20</v>
      </c>
      <c r="B98" s="84" t="s">
        <v>272</v>
      </c>
      <c r="C98" s="43" t="s">
        <v>273</v>
      </c>
      <c r="D98" s="85"/>
      <c r="E98" s="85">
        <f>SUM(E99:E100)</f>
        <v>0</v>
      </c>
      <c r="F98" s="85">
        <f>SUM(F99:F100)</f>
        <v>0</v>
      </c>
      <c r="G98" s="85">
        <f>SUM(G99:G100)</f>
        <v>0</v>
      </c>
      <c r="H98" s="85">
        <v>1</v>
      </c>
      <c r="I98" s="85">
        <f>SUM(I99:I100)</f>
        <v>0</v>
      </c>
      <c r="J98" s="85">
        <f t="shared" si="26"/>
        <v>1</v>
      </c>
      <c r="K98" s="85">
        <f>SUM(K99:K100)</f>
        <v>0</v>
      </c>
      <c r="L98" s="85">
        <f>SUM(L99:L100)</f>
        <v>0</v>
      </c>
      <c r="M98" s="85">
        <f>SUM(M99:M100)</f>
        <v>0</v>
      </c>
      <c r="N98" s="85">
        <f>SUM(N99:N100)</f>
        <v>3125</v>
      </c>
      <c r="O98" s="85">
        <f>SUM(O99:O100)</f>
        <v>0</v>
      </c>
      <c r="P98" s="85">
        <f t="shared" si="27"/>
        <v>3125</v>
      </c>
      <c r="Q98" s="81">
        <f t="shared" si="28"/>
        <v>3125</v>
      </c>
      <c r="R98" s="82"/>
    </row>
    <row r="99" spans="1:18" s="8" customFormat="1" ht="25.5" outlineLevel="1">
      <c r="A99" s="7" t="s">
        <v>274</v>
      </c>
      <c r="B99" s="7" t="s">
        <v>275</v>
      </c>
      <c r="C99" s="74" t="s">
        <v>276</v>
      </c>
      <c r="D99" s="23"/>
      <c r="E99" s="23"/>
      <c r="F99" s="23"/>
      <c r="G99" s="23"/>
      <c r="H99" s="23">
        <v>1</v>
      </c>
      <c r="I99" s="23"/>
      <c r="J99" s="88">
        <f t="shared" si="26"/>
        <v>1</v>
      </c>
      <c r="K99" s="87"/>
      <c r="L99" s="87"/>
      <c r="M99" s="87"/>
      <c r="N99" s="87"/>
      <c r="O99" s="87"/>
      <c r="P99" s="87">
        <f t="shared" si="27"/>
        <v>0</v>
      </c>
      <c r="Q99" s="87">
        <f t="shared" si="28"/>
        <v>0</v>
      </c>
      <c r="R99" s="60" t="s">
        <v>254</v>
      </c>
    </row>
    <row r="100" spans="1:18" s="8" customFormat="1" outlineLevel="1">
      <c r="A100" s="7" t="s">
        <v>277</v>
      </c>
      <c r="B100" s="7" t="s">
        <v>278</v>
      </c>
      <c r="C100" s="74" t="s">
        <v>279</v>
      </c>
      <c r="D100" s="23"/>
      <c r="E100" s="23"/>
      <c r="F100" s="23"/>
      <c r="G100" s="23"/>
      <c r="H100" s="23">
        <v>1</v>
      </c>
      <c r="I100" s="23"/>
      <c r="J100" s="88">
        <f t="shared" si="26"/>
        <v>1</v>
      </c>
      <c r="K100" s="87"/>
      <c r="L100" s="87"/>
      <c r="M100" s="87"/>
      <c r="N100" s="87">
        <f>25*25*5</f>
        <v>3125</v>
      </c>
      <c r="O100" s="87"/>
      <c r="P100" s="87">
        <f t="shared" si="27"/>
        <v>3125</v>
      </c>
      <c r="Q100" s="87">
        <f t="shared" si="28"/>
        <v>3125</v>
      </c>
      <c r="R100" s="60" t="s">
        <v>280</v>
      </c>
    </row>
    <row r="101" spans="1:18" s="38" customFormat="1" ht="30" outlineLevel="1">
      <c r="A101" s="9" t="s">
        <v>281</v>
      </c>
      <c r="B101" s="9" t="s">
        <v>282</v>
      </c>
      <c r="C101" s="42" t="s">
        <v>283</v>
      </c>
      <c r="D101" s="89"/>
      <c r="E101" s="89">
        <v>1</v>
      </c>
      <c r="F101" s="89">
        <v>1</v>
      </c>
      <c r="G101" s="89">
        <v>1</v>
      </c>
      <c r="H101" s="89"/>
      <c r="I101" s="89"/>
      <c r="J101" s="89">
        <f t="shared" si="26"/>
        <v>3</v>
      </c>
      <c r="K101" s="89">
        <f>K105+K102+K109+K111</f>
        <v>988797.28571428568</v>
      </c>
      <c r="L101" s="89">
        <f>L105+L102+L109+L111</f>
        <v>955220.71428571432</v>
      </c>
      <c r="M101" s="89">
        <f>M105+M102+M109+M111</f>
        <v>774427.71428571432</v>
      </c>
      <c r="N101" s="89">
        <f>N105+N102+N109+N111</f>
        <v>20571.428571428572</v>
      </c>
      <c r="O101" s="89">
        <f>O105+O102+O109+O111</f>
        <v>0</v>
      </c>
      <c r="P101" s="89">
        <f t="shared" si="27"/>
        <v>2739017.1428571432</v>
      </c>
      <c r="Q101" s="77">
        <f t="shared" si="28"/>
        <v>2739017.1428571432</v>
      </c>
      <c r="R101" s="61"/>
    </row>
    <row r="102" spans="1:18" s="15" customFormat="1" outlineLevel="1">
      <c r="A102" s="9" t="s">
        <v>33</v>
      </c>
      <c r="B102" s="84" t="s">
        <v>284</v>
      </c>
      <c r="C102" s="43" t="s">
        <v>285</v>
      </c>
      <c r="D102" s="22"/>
      <c r="E102" s="85">
        <v>1</v>
      </c>
      <c r="F102" s="85">
        <v>0</v>
      </c>
      <c r="G102" s="85">
        <v>0</v>
      </c>
      <c r="H102" s="85">
        <v>0</v>
      </c>
      <c r="I102" s="85">
        <v>0</v>
      </c>
      <c r="J102" s="85">
        <f t="shared" si="26"/>
        <v>1</v>
      </c>
      <c r="K102" s="85">
        <f>SUM(K103:K104)</f>
        <v>0</v>
      </c>
      <c r="L102" s="85">
        <f>SUM(L103:L104)</f>
        <v>0</v>
      </c>
      <c r="M102" s="85">
        <f>SUM(M103:M104)</f>
        <v>0</v>
      </c>
      <c r="N102" s="85">
        <f>SUM(N103:N104)</f>
        <v>0</v>
      </c>
      <c r="O102" s="85">
        <f>SUM(O103:O104)</f>
        <v>0</v>
      </c>
      <c r="P102" s="85">
        <f t="shared" si="27"/>
        <v>0</v>
      </c>
      <c r="Q102" s="81">
        <f t="shared" si="28"/>
        <v>0</v>
      </c>
      <c r="R102" s="82"/>
    </row>
    <row r="103" spans="1:18" s="17" customFormat="1" ht="25.5" outlineLevel="1">
      <c r="A103" s="74" t="s">
        <v>286</v>
      </c>
      <c r="B103" s="7" t="s">
        <v>287</v>
      </c>
      <c r="C103" s="74" t="s">
        <v>288</v>
      </c>
      <c r="D103" s="21"/>
      <c r="E103" s="21">
        <v>1</v>
      </c>
      <c r="F103" s="21"/>
      <c r="G103" s="21"/>
      <c r="H103" s="21"/>
      <c r="I103" s="21"/>
      <c r="J103" s="25">
        <f t="shared" si="26"/>
        <v>1</v>
      </c>
      <c r="K103" s="16">
        <v>0</v>
      </c>
      <c r="L103" s="88"/>
      <c r="M103" s="88"/>
      <c r="N103" s="88"/>
      <c r="O103" s="88"/>
      <c r="P103" s="87"/>
      <c r="Q103" s="87"/>
      <c r="R103" s="60" t="s">
        <v>289</v>
      </c>
    </row>
    <row r="104" spans="1:18" s="17" customFormat="1" ht="25.5" outlineLevel="1">
      <c r="A104" s="74" t="s">
        <v>290</v>
      </c>
      <c r="B104" s="7" t="s">
        <v>291</v>
      </c>
      <c r="C104" s="74" t="s">
        <v>292</v>
      </c>
      <c r="D104" s="21"/>
      <c r="E104" s="21">
        <v>1</v>
      </c>
      <c r="F104" s="21"/>
      <c r="G104" s="21"/>
      <c r="H104" s="21"/>
      <c r="I104" s="21"/>
      <c r="J104" s="88">
        <f t="shared" ref="J104:J137" si="29">SUM(E104:I104)</f>
        <v>1</v>
      </c>
      <c r="K104" s="16"/>
      <c r="L104" s="88"/>
      <c r="M104" s="88"/>
      <c r="N104" s="88"/>
      <c r="O104" s="88"/>
      <c r="P104" s="87">
        <f t="shared" ref="P104:P144" si="30">SUM(K104:O104)</f>
        <v>0</v>
      </c>
      <c r="Q104" s="87">
        <f t="shared" ref="Q104:Q144" si="31">P104</f>
        <v>0</v>
      </c>
      <c r="R104" s="60" t="s">
        <v>289</v>
      </c>
    </row>
    <row r="105" spans="1:18" s="15" customFormat="1" ht="25.5" outlineLevel="1">
      <c r="A105" s="9" t="s">
        <v>33</v>
      </c>
      <c r="B105" s="84" t="s">
        <v>293</v>
      </c>
      <c r="C105" s="43" t="s">
        <v>294</v>
      </c>
      <c r="D105" s="22"/>
      <c r="E105" s="85">
        <f>E106</f>
        <v>21</v>
      </c>
      <c r="F105" s="85">
        <f>F106</f>
        <v>33</v>
      </c>
      <c r="G105" s="85">
        <f>G106</f>
        <v>33</v>
      </c>
      <c r="H105" s="85">
        <f>H106</f>
        <v>0</v>
      </c>
      <c r="I105" s="85">
        <f>SUM(I106:I108)</f>
        <v>0</v>
      </c>
      <c r="J105" s="85">
        <f t="shared" si="29"/>
        <v>87</v>
      </c>
      <c r="K105" s="85">
        <v>988797.28571428568</v>
      </c>
      <c r="L105" s="85">
        <v>955220.71428571432</v>
      </c>
      <c r="M105" s="85">
        <f>SUM(M106:M108)</f>
        <v>774427.71428571432</v>
      </c>
      <c r="N105" s="85">
        <f>SUM(N106:N108)</f>
        <v>20571.428571428572</v>
      </c>
      <c r="O105" s="85">
        <f>SUM(O106:O108)</f>
        <v>0</v>
      </c>
      <c r="P105" s="85">
        <f t="shared" si="30"/>
        <v>2739017.1428571432</v>
      </c>
      <c r="Q105" s="81">
        <f t="shared" si="31"/>
        <v>2739017.1428571432</v>
      </c>
      <c r="R105" s="82"/>
    </row>
    <row r="106" spans="1:18" s="8" customFormat="1" ht="388.5" customHeight="1" outlineLevel="1">
      <c r="A106" s="74" t="s">
        <v>295</v>
      </c>
      <c r="B106" s="4" t="s">
        <v>16</v>
      </c>
      <c r="C106" s="46" t="s">
        <v>296</v>
      </c>
      <c r="D106" s="23"/>
      <c r="E106" s="23">
        <v>21</v>
      </c>
      <c r="F106" s="23">
        <v>33</v>
      </c>
      <c r="G106" s="23">
        <v>33</v>
      </c>
      <c r="H106" s="23"/>
      <c r="I106" s="21"/>
      <c r="J106" s="88">
        <f t="shared" si="29"/>
        <v>87</v>
      </c>
      <c r="K106" s="88">
        <f>((((15000*5+(15000*18)+(20000*3)+7500*5+18000*3))/70)*3*7)+(15000*8*8)/70</f>
        <v>162664.28571428571</v>
      </c>
      <c r="L106" s="88">
        <f>((((15000*5+(15000*18)+(20000*3)+7500*5+18000*3))/70)*3*11)+(15000*8*12)/70</f>
        <v>254635.71428571429</v>
      </c>
      <c r="M106" s="88">
        <f>((((15000*5+(15000*18)+(20000*3)+7500*5+18000*3))/70)*3*11)+(15000*8*12)/70</f>
        <v>254635.71428571429</v>
      </c>
      <c r="N106" s="88">
        <f>(8*15000*12)/70</f>
        <v>20571.428571428572</v>
      </c>
      <c r="O106" s="87"/>
      <c r="P106" s="87">
        <f t="shared" si="30"/>
        <v>692507.14285714284</v>
      </c>
      <c r="Q106" s="87">
        <f t="shared" si="31"/>
        <v>692507.14285714284</v>
      </c>
      <c r="R106" s="70" t="s">
        <v>297</v>
      </c>
    </row>
    <row r="107" spans="1:18" s="8" customFormat="1" outlineLevel="1">
      <c r="A107" s="74" t="s">
        <v>298</v>
      </c>
      <c r="B107" s="4" t="s">
        <v>299</v>
      </c>
      <c r="C107" s="46" t="s">
        <v>300</v>
      </c>
      <c r="D107" s="23"/>
      <c r="E107" s="23">
        <v>1</v>
      </c>
      <c r="F107" s="23">
        <v>1</v>
      </c>
      <c r="G107" s="23"/>
      <c r="H107" s="23"/>
      <c r="I107" s="21"/>
      <c r="J107" s="88">
        <f t="shared" si="29"/>
        <v>2</v>
      </c>
      <c r="K107" s="88">
        <v>522921</v>
      </c>
      <c r="L107" s="88">
        <f>747030-K107</f>
        <v>224109</v>
      </c>
      <c r="M107" s="88"/>
      <c r="N107" s="88"/>
      <c r="O107" s="87"/>
      <c r="P107" s="87">
        <f t="shared" si="30"/>
        <v>747030</v>
      </c>
      <c r="Q107" s="87">
        <f t="shared" si="31"/>
        <v>747030</v>
      </c>
      <c r="R107" s="70"/>
    </row>
    <row r="108" spans="1:18" s="8" customFormat="1" ht="25.5" outlineLevel="1">
      <c r="A108" s="74" t="s">
        <v>301</v>
      </c>
      <c r="B108" s="3" t="s">
        <v>302</v>
      </c>
      <c r="C108" s="30" t="s">
        <v>303</v>
      </c>
      <c r="D108" s="23"/>
      <c r="E108" s="23">
        <v>1</v>
      </c>
      <c r="F108" s="23">
        <v>1</v>
      </c>
      <c r="G108" s="23">
        <v>1</v>
      </c>
      <c r="H108" s="23"/>
      <c r="I108" s="21"/>
      <c r="J108" s="88">
        <f t="shared" si="29"/>
        <v>3</v>
      </c>
      <c r="K108" s="88">
        <f>7*2*208.25*13*8</f>
        <v>303212</v>
      </c>
      <c r="L108" s="88">
        <f>11*2*208.25*13*8</f>
        <v>476476</v>
      </c>
      <c r="M108" s="88">
        <f>12*2*208.25*13*8</f>
        <v>519792</v>
      </c>
      <c r="N108" s="88"/>
      <c r="O108" s="87"/>
      <c r="P108" s="87">
        <f t="shared" si="30"/>
        <v>1299480</v>
      </c>
      <c r="Q108" s="87">
        <f t="shared" si="31"/>
        <v>1299480</v>
      </c>
      <c r="R108" s="60" t="s">
        <v>304</v>
      </c>
    </row>
    <row r="109" spans="1:18" s="15" customFormat="1" outlineLevel="1">
      <c r="A109" s="9" t="s">
        <v>33</v>
      </c>
      <c r="B109" s="28" t="s">
        <v>305</v>
      </c>
      <c r="C109" s="72" t="s">
        <v>306</v>
      </c>
      <c r="D109" s="22"/>
      <c r="E109" s="85">
        <f>SUM(E110:E110)</f>
        <v>1</v>
      </c>
      <c r="F109" s="85">
        <f>SUM(F110:F110)</f>
        <v>1</v>
      </c>
      <c r="G109" s="85">
        <f>SUM(G110:G110)</f>
        <v>1</v>
      </c>
      <c r="H109" s="85">
        <f>SUM(H110:H110)</f>
        <v>1</v>
      </c>
      <c r="I109" s="85">
        <f>SUM(I110:I110)</f>
        <v>1</v>
      </c>
      <c r="J109" s="85">
        <f>SUM(E109:I109)</f>
        <v>5</v>
      </c>
      <c r="K109" s="85">
        <f>SUM(K110:K110)</f>
        <v>0</v>
      </c>
      <c r="L109" s="85">
        <f>SUM(L110:L110)</f>
        <v>0</v>
      </c>
      <c r="M109" s="85">
        <f>SUM(M110:M110)</f>
        <v>0</v>
      </c>
      <c r="N109" s="85">
        <f>SUM(N110:N110)</f>
        <v>0</v>
      </c>
      <c r="O109" s="85">
        <f>SUM(O110:O110)</f>
        <v>0</v>
      </c>
      <c r="P109" s="85">
        <f t="shared" si="30"/>
        <v>0</v>
      </c>
      <c r="Q109" s="81">
        <f t="shared" si="31"/>
        <v>0</v>
      </c>
      <c r="R109" s="82"/>
    </row>
    <row r="110" spans="1:18" s="17" customFormat="1" outlineLevel="1">
      <c r="A110" s="74" t="s">
        <v>307</v>
      </c>
      <c r="B110" s="29" t="s">
        <v>308</v>
      </c>
      <c r="C110" s="47" t="s">
        <v>309</v>
      </c>
      <c r="D110" s="21"/>
      <c r="E110" s="21">
        <v>1</v>
      </c>
      <c r="F110" s="21">
        <v>1</v>
      </c>
      <c r="G110" s="21">
        <v>1</v>
      </c>
      <c r="H110" s="21">
        <v>1</v>
      </c>
      <c r="I110" s="21">
        <v>1</v>
      </c>
      <c r="J110" s="88">
        <f t="shared" ref="J110" si="32">SUM(E110:I110)</f>
        <v>5</v>
      </c>
      <c r="K110" s="16"/>
      <c r="L110" s="88"/>
      <c r="M110" s="88"/>
      <c r="N110" s="88"/>
      <c r="O110" s="88"/>
      <c r="P110" s="87">
        <f t="shared" si="30"/>
        <v>0</v>
      </c>
      <c r="Q110" s="87">
        <f t="shared" si="31"/>
        <v>0</v>
      </c>
      <c r="R110" s="60" t="s">
        <v>289</v>
      </c>
    </row>
    <row r="111" spans="1:18" s="15" customFormat="1" outlineLevel="1">
      <c r="A111" s="28" t="s">
        <v>33</v>
      </c>
      <c r="B111" s="28" t="s">
        <v>310</v>
      </c>
      <c r="C111" s="72" t="s">
        <v>311</v>
      </c>
      <c r="D111" s="22"/>
      <c r="E111" s="85">
        <f>SUM(E112:E112)</f>
        <v>1</v>
      </c>
      <c r="F111" s="85">
        <f>SUM(F112:F112)</f>
        <v>1</v>
      </c>
      <c r="G111" s="85">
        <f>SUM(G112:G112)</f>
        <v>1</v>
      </c>
      <c r="H111" s="85">
        <f>SUM(H112:H112)</f>
        <v>1</v>
      </c>
      <c r="I111" s="85">
        <f>SUM(I112:I112)</f>
        <v>1</v>
      </c>
      <c r="J111" s="85">
        <f>SUM(E111:I111)</f>
        <v>5</v>
      </c>
      <c r="K111" s="85">
        <f>SUM(K112:K112)</f>
        <v>0</v>
      </c>
      <c r="L111" s="85">
        <f>SUM(L112:L112)</f>
        <v>0</v>
      </c>
      <c r="M111" s="85">
        <f>SUM(M112:M112)</f>
        <v>0</v>
      </c>
      <c r="N111" s="85">
        <f>SUM(N112:N112)</f>
        <v>0</v>
      </c>
      <c r="O111" s="85">
        <f>SUM(O112:O112)</f>
        <v>0</v>
      </c>
      <c r="P111" s="85">
        <f t="shared" si="30"/>
        <v>0</v>
      </c>
      <c r="Q111" s="81">
        <f t="shared" si="31"/>
        <v>0</v>
      </c>
      <c r="R111" s="82"/>
    </row>
    <row r="112" spans="1:18" s="17" customFormat="1" outlineLevel="1">
      <c r="A112" s="74" t="s">
        <v>312</v>
      </c>
      <c r="B112" s="29" t="s">
        <v>313</v>
      </c>
      <c r="C112" s="47" t="s">
        <v>309</v>
      </c>
      <c r="D112" s="21"/>
      <c r="E112" s="21">
        <v>1</v>
      </c>
      <c r="F112" s="21">
        <v>1</v>
      </c>
      <c r="G112" s="21">
        <v>1</v>
      </c>
      <c r="H112" s="21">
        <v>1</v>
      </c>
      <c r="I112" s="21">
        <v>1</v>
      </c>
      <c r="J112" s="88">
        <f t="shared" ref="J112" si="33">SUM(E112:I112)</f>
        <v>5</v>
      </c>
      <c r="K112" s="16"/>
      <c r="L112" s="88"/>
      <c r="M112" s="88"/>
      <c r="N112" s="88"/>
      <c r="O112" s="88"/>
      <c r="P112" s="87">
        <f t="shared" si="30"/>
        <v>0</v>
      </c>
      <c r="Q112" s="87">
        <f t="shared" si="31"/>
        <v>0</v>
      </c>
      <c r="R112" s="60" t="s">
        <v>289</v>
      </c>
    </row>
    <row r="113" spans="1:18" s="17" customFormat="1" outlineLevel="1">
      <c r="A113" s="84" t="s">
        <v>314</v>
      </c>
      <c r="B113" s="84" t="s">
        <v>315</v>
      </c>
      <c r="C113" s="84" t="s">
        <v>32</v>
      </c>
      <c r="D113" s="84"/>
      <c r="E113" s="84">
        <v>1</v>
      </c>
      <c r="F113" s="84"/>
      <c r="G113" s="84"/>
      <c r="H113" s="84"/>
      <c r="I113" s="84"/>
      <c r="J113" s="84">
        <v>1</v>
      </c>
      <c r="K113" s="106">
        <f>+K114+K117+K119</f>
        <v>137314.28571428571</v>
      </c>
      <c r="L113" s="106">
        <f t="shared" ref="L113:O113" si="34">+L114+L117+L119</f>
        <v>462857.14285714284</v>
      </c>
      <c r="M113" s="106">
        <f t="shared" si="34"/>
        <v>462857.14285714284</v>
      </c>
      <c r="N113" s="106">
        <f t="shared" si="34"/>
        <v>231428.57142857142</v>
      </c>
      <c r="O113" s="106">
        <f t="shared" si="34"/>
        <v>154285.71274285711</v>
      </c>
      <c r="P113" s="106">
        <f t="shared" ref="P113" si="35">SUM(K113:O113)</f>
        <v>1448742.8555999999</v>
      </c>
      <c r="Q113" s="106">
        <f t="shared" si="31"/>
        <v>1448742.8555999999</v>
      </c>
      <c r="R113" s="60"/>
    </row>
    <row r="114" spans="1:18" s="17" customFormat="1" outlineLevel="1">
      <c r="A114" s="9" t="s">
        <v>33</v>
      </c>
      <c r="B114" s="9" t="s">
        <v>316</v>
      </c>
      <c r="C114" s="9" t="s">
        <v>317</v>
      </c>
      <c r="D114" s="9"/>
      <c r="E114" s="9">
        <v>1</v>
      </c>
      <c r="F114" s="9"/>
      <c r="G114" s="9"/>
      <c r="H114" s="9"/>
      <c r="I114" s="9"/>
      <c r="J114" s="84">
        <v>1</v>
      </c>
      <c r="K114" s="9">
        <v>21600</v>
      </c>
      <c r="L114" s="9"/>
      <c r="M114" s="9"/>
      <c r="N114" s="9"/>
      <c r="O114" s="9"/>
      <c r="P114" s="9">
        <f t="shared" ref="P114:P116" si="36">SUM(K114:O114)</f>
        <v>21600</v>
      </c>
      <c r="Q114" s="9">
        <f t="shared" si="31"/>
        <v>21600</v>
      </c>
      <c r="R114" s="60"/>
    </row>
    <row r="115" spans="1:18" s="17" customFormat="1" ht="60" outlineLevel="1">
      <c r="A115" s="74" t="s">
        <v>318</v>
      </c>
      <c r="B115" s="102" t="s">
        <v>319</v>
      </c>
      <c r="C115" s="101" t="s">
        <v>24</v>
      </c>
      <c r="D115" s="96"/>
      <c r="E115" s="96">
        <v>1</v>
      </c>
      <c r="F115" s="96"/>
      <c r="G115" s="96"/>
      <c r="H115" s="96"/>
      <c r="I115" s="96"/>
      <c r="J115" s="97">
        <v>1</v>
      </c>
      <c r="K115" s="97">
        <v>21600</v>
      </c>
      <c r="L115" s="97"/>
      <c r="M115" s="97"/>
      <c r="N115" s="97"/>
      <c r="O115" s="97"/>
      <c r="P115" s="97">
        <f t="shared" si="36"/>
        <v>21600</v>
      </c>
      <c r="Q115" s="97">
        <f t="shared" si="31"/>
        <v>21600</v>
      </c>
      <c r="R115" s="60"/>
    </row>
    <row r="116" spans="1:18" s="17" customFormat="1" ht="63" customHeight="1" outlineLevel="1">
      <c r="A116" s="9" t="s">
        <v>20</v>
      </c>
      <c r="B116" s="9" t="s">
        <v>320</v>
      </c>
      <c r="C116" s="9" t="s">
        <v>24</v>
      </c>
      <c r="D116" s="9"/>
      <c r="E116" s="9">
        <v>5</v>
      </c>
      <c r="F116" s="9">
        <v>10</v>
      </c>
      <c r="G116" s="9">
        <v>10</v>
      </c>
      <c r="H116" s="9">
        <v>10</v>
      </c>
      <c r="I116" s="9">
        <v>10</v>
      </c>
      <c r="J116" s="9">
        <v>10</v>
      </c>
      <c r="K116" s="127">
        <f>+K117</f>
        <v>64285.714285714275</v>
      </c>
      <c r="L116" s="127">
        <f t="shared" ref="L116:O116" si="37">+L117</f>
        <v>257142.8571428571</v>
      </c>
      <c r="M116" s="127">
        <f t="shared" si="37"/>
        <v>257142.8571428571</v>
      </c>
      <c r="N116" s="127">
        <f t="shared" si="37"/>
        <v>128571.42857142855</v>
      </c>
      <c r="O116" s="128">
        <f t="shared" si="37"/>
        <v>85714.284857142833</v>
      </c>
      <c r="P116" s="9">
        <f t="shared" si="36"/>
        <v>792857.14199999976</v>
      </c>
      <c r="Q116" s="9">
        <f t="shared" si="31"/>
        <v>792857.14199999976</v>
      </c>
      <c r="R116" s="60" t="s">
        <v>321</v>
      </c>
    </row>
    <row r="117" spans="1:18" s="17" customFormat="1" outlineLevel="1">
      <c r="A117" s="74" t="s">
        <v>322</v>
      </c>
      <c r="B117" s="29" t="s">
        <v>320</v>
      </c>
      <c r="C117" s="47" t="s">
        <v>24</v>
      </c>
      <c r="D117" s="21"/>
      <c r="E117" s="21">
        <v>5</v>
      </c>
      <c r="F117" s="21">
        <v>10</v>
      </c>
      <c r="G117" s="21">
        <v>10</v>
      </c>
      <c r="H117" s="21">
        <v>10</v>
      </c>
      <c r="I117" s="21">
        <v>10</v>
      </c>
      <c r="J117" s="21">
        <v>10</v>
      </c>
      <c r="K117" s="16">
        <f>(150000/70)*6*5</f>
        <v>64285.714285714275</v>
      </c>
      <c r="L117" s="16">
        <f>(150000/70)*12*10</f>
        <v>257142.8571428571</v>
      </c>
      <c r="M117" s="16">
        <f t="shared" ref="M117" si="38">(150000/70)*12*10</f>
        <v>257142.8571428571</v>
      </c>
      <c r="N117" s="16">
        <f>(150000/70)*12*10*0.5</f>
        <v>128571.42857142855</v>
      </c>
      <c r="O117" s="16">
        <f>(150000/70)*12*10*0.33333333</f>
        <v>85714.284857142833</v>
      </c>
      <c r="P117" s="88">
        <f t="shared" ref="P117" si="39">SUM(K117:O117)</f>
        <v>792857.14199999976</v>
      </c>
      <c r="Q117" s="88">
        <f t="shared" si="31"/>
        <v>792857.14199999976</v>
      </c>
      <c r="R117" s="62" t="s">
        <v>323</v>
      </c>
    </row>
    <row r="118" spans="1:18" s="17" customFormat="1" ht="25.5" outlineLevel="1">
      <c r="A118" s="84" t="s">
        <v>33</v>
      </c>
      <c r="B118" s="84" t="s">
        <v>324</v>
      </c>
      <c r="C118" s="84" t="s">
        <v>54</v>
      </c>
      <c r="D118" s="84"/>
      <c r="E118" s="84">
        <v>5</v>
      </c>
      <c r="F118" s="84">
        <v>10</v>
      </c>
      <c r="G118" s="84">
        <v>10</v>
      </c>
      <c r="H118" s="84">
        <v>10</v>
      </c>
      <c r="I118" s="84">
        <v>10</v>
      </c>
      <c r="J118" s="84">
        <v>10</v>
      </c>
      <c r="K118" s="105">
        <f>+K119</f>
        <v>51428.571428571435</v>
      </c>
      <c r="L118" s="84">
        <f t="shared" ref="L118:O118" si="40">+L119</f>
        <v>205714.28571428574</v>
      </c>
      <c r="M118" s="106">
        <f t="shared" si="40"/>
        <v>205714.28571428574</v>
      </c>
      <c r="N118" s="106">
        <f t="shared" si="40"/>
        <v>102857.14285714287</v>
      </c>
      <c r="O118" s="84">
        <f t="shared" si="40"/>
        <v>68571.427885714293</v>
      </c>
      <c r="P118" s="105">
        <f t="shared" ref="P118:P119" si="41">SUM(K118:O118)</f>
        <v>634285.71360000013</v>
      </c>
      <c r="Q118" s="105">
        <f t="shared" si="31"/>
        <v>634285.71360000013</v>
      </c>
      <c r="R118" s="60" t="s">
        <v>325</v>
      </c>
    </row>
    <row r="119" spans="1:18" s="17" customFormat="1" outlineLevel="1">
      <c r="A119" s="44" t="s">
        <v>326</v>
      </c>
      <c r="B119" s="92" t="s">
        <v>327</v>
      </c>
      <c r="C119" s="92" t="s">
        <v>54</v>
      </c>
      <c r="D119" s="92"/>
      <c r="E119" s="92">
        <v>5</v>
      </c>
      <c r="F119" s="92">
        <v>10</v>
      </c>
      <c r="G119" s="92">
        <v>10</v>
      </c>
      <c r="H119" s="92">
        <v>10</v>
      </c>
      <c r="I119" s="92">
        <v>10</v>
      </c>
      <c r="J119" s="92">
        <v>10</v>
      </c>
      <c r="K119" s="92">
        <f>(120000/70)*6*5</f>
        <v>51428.571428571435</v>
      </c>
      <c r="L119" s="92">
        <f>(120000/70)*12*10</f>
        <v>205714.28571428574</v>
      </c>
      <c r="M119" s="109">
        <f t="shared" ref="M119" si="42">(120000/70)*12*10</f>
        <v>205714.28571428574</v>
      </c>
      <c r="N119" s="109">
        <f>(120000/70)*12*10*0.5</f>
        <v>102857.14285714287</v>
      </c>
      <c r="O119" s="92">
        <f>(120000/70)*12*10*0.33333333</f>
        <v>68571.427885714293</v>
      </c>
      <c r="P119" s="108">
        <f t="shared" si="41"/>
        <v>634285.71360000013</v>
      </c>
      <c r="Q119" s="108">
        <f>P119</f>
        <v>634285.71360000013</v>
      </c>
      <c r="R119" s="60" t="s">
        <v>328</v>
      </c>
    </row>
    <row r="120" spans="1:18" s="38" customFormat="1" outlineLevel="1">
      <c r="A120" s="9" t="s">
        <v>329</v>
      </c>
      <c r="B120" s="9" t="s">
        <v>330</v>
      </c>
      <c r="C120" s="42" t="s">
        <v>331</v>
      </c>
      <c r="D120" s="89"/>
      <c r="E120" s="89">
        <v>1</v>
      </c>
      <c r="F120" s="89">
        <f>F121</f>
        <v>0</v>
      </c>
      <c r="G120" s="89">
        <f>G121</f>
        <v>0</v>
      </c>
      <c r="H120" s="89">
        <f>H121</f>
        <v>0</v>
      </c>
      <c r="I120" s="89">
        <f>I121</f>
        <v>0</v>
      </c>
      <c r="J120" s="89">
        <f t="shared" si="29"/>
        <v>1</v>
      </c>
      <c r="K120" s="89">
        <f>K121</f>
        <v>136980</v>
      </c>
      <c r="L120" s="89">
        <f>L121</f>
        <v>0</v>
      </c>
      <c r="M120" s="89">
        <f>M121</f>
        <v>0</v>
      </c>
      <c r="N120" s="89">
        <f>N121</f>
        <v>0</v>
      </c>
      <c r="O120" s="89">
        <f>O121</f>
        <v>0</v>
      </c>
      <c r="P120" s="89">
        <f t="shared" si="30"/>
        <v>136980</v>
      </c>
      <c r="Q120" s="77">
        <f t="shared" si="31"/>
        <v>136980</v>
      </c>
      <c r="R120" s="61"/>
    </row>
    <row r="121" spans="1:18" s="13" customFormat="1">
      <c r="A121" s="84" t="s">
        <v>33</v>
      </c>
      <c r="B121" s="84" t="s">
        <v>332</v>
      </c>
      <c r="C121" s="43" t="s">
        <v>333</v>
      </c>
      <c r="D121" s="84"/>
      <c r="E121" s="85">
        <v>1</v>
      </c>
      <c r="F121" s="85">
        <f>SUM(F122:F123)</f>
        <v>0</v>
      </c>
      <c r="G121" s="85">
        <f>SUM(G122:G123)</f>
        <v>0</v>
      </c>
      <c r="H121" s="85">
        <f>SUM(H122:H123)</f>
        <v>0</v>
      </c>
      <c r="I121" s="85">
        <f>SUM(I122:I123)</f>
        <v>0</v>
      </c>
      <c r="J121" s="85">
        <f t="shared" si="29"/>
        <v>1</v>
      </c>
      <c r="K121" s="85">
        <f>SUM(K122:K123)</f>
        <v>136980</v>
      </c>
      <c r="L121" s="85">
        <f>SUM(L122:L123)</f>
        <v>0</v>
      </c>
      <c r="M121" s="85">
        <f>SUM(M122:M123)</f>
        <v>0</v>
      </c>
      <c r="N121" s="85">
        <f>SUM(N122:N123)</f>
        <v>0</v>
      </c>
      <c r="O121" s="85">
        <f>SUM(O122:O123)</f>
        <v>0</v>
      </c>
      <c r="P121" s="85">
        <f t="shared" si="30"/>
        <v>136980</v>
      </c>
      <c r="Q121" s="81">
        <f t="shared" si="31"/>
        <v>136980</v>
      </c>
      <c r="R121" s="82"/>
    </row>
    <row r="122" spans="1:18" ht="75" outlineLevel="1">
      <c r="A122" s="74" t="s">
        <v>334</v>
      </c>
      <c r="B122" s="33" t="s">
        <v>335</v>
      </c>
      <c r="C122" s="46" t="s">
        <v>24</v>
      </c>
      <c r="D122" s="18"/>
      <c r="E122" s="18">
        <v>1</v>
      </c>
      <c r="F122" s="18"/>
      <c r="G122" s="18"/>
      <c r="H122" s="18"/>
      <c r="I122" s="18"/>
      <c r="J122" s="88">
        <f t="shared" si="29"/>
        <v>1</v>
      </c>
      <c r="K122" s="88">
        <f>760*120+2500*3+386*80</f>
        <v>129580</v>
      </c>
      <c r="L122" s="88"/>
      <c r="M122" s="88"/>
      <c r="N122" s="35"/>
      <c r="O122" s="88"/>
      <c r="P122" s="87">
        <f t="shared" si="30"/>
        <v>129580</v>
      </c>
      <c r="Q122" s="87">
        <f t="shared" si="31"/>
        <v>129580</v>
      </c>
      <c r="R122" s="60" t="s">
        <v>336</v>
      </c>
    </row>
    <row r="123" spans="1:18" ht="25.5" outlineLevel="1">
      <c r="A123" s="74" t="s">
        <v>337</v>
      </c>
      <c r="B123" s="3" t="s">
        <v>168</v>
      </c>
      <c r="C123" s="30" t="s">
        <v>168</v>
      </c>
      <c r="D123" s="18"/>
      <c r="E123" s="18">
        <v>1</v>
      </c>
      <c r="F123" s="18"/>
      <c r="G123" s="18"/>
      <c r="H123" s="18"/>
      <c r="I123" s="18"/>
      <c r="J123" s="88">
        <f t="shared" si="29"/>
        <v>1</v>
      </c>
      <c r="K123" s="88">
        <f>(25*4*50)+(600*4)</f>
        <v>7400</v>
      </c>
      <c r="L123" s="88"/>
      <c r="M123" s="88"/>
      <c r="N123" s="35"/>
      <c r="O123" s="88"/>
      <c r="P123" s="87">
        <f t="shared" si="30"/>
        <v>7400</v>
      </c>
      <c r="Q123" s="87">
        <f t="shared" si="31"/>
        <v>7400</v>
      </c>
      <c r="R123" s="60" t="s">
        <v>338</v>
      </c>
    </row>
    <row r="124" spans="1:18" s="38" customFormat="1" ht="30" outlineLevel="1">
      <c r="A124" s="9" t="s">
        <v>339</v>
      </c>
      <c r="B124" s="9" t="s">
        <v>340</v>
      </c>
      <c r="C124" s="61" t="s">
        <v>341</v>
      </c>
      <c r="D124" s="89"/>
      <c r="E124" s="89">
        <v>4</v>
      </c>
      <c r="F124" s="89">
        <v>4</v>
      </c>
      <c r="G124" s="89">
        <v>4</v>
      </c>
      <c r="H124" s="89">
        <v>0</v>
      </c>
      <c r="I124" s="89">
        <f>I125</f>
        <v>0</v>
      </c>
      <c r="J124" s="89">
        <f t="shared" si="29"/>
        <v>12</v>
      </c>
      <c r="K124" s="89">
        <v>396000</v>
      </c>
      <c r="L124" s="89">
        <v>299000</v>
      </c>
      <c r="M124" s="89">
        <v>360000</v>
      </c>
      <c r="N124" s="89">
        <f>N125</f>
        <v>0</v>
      </c>
      <c r="O124" s="89">
        <f>O125</f>
        <v>0</v>
      </c>
      <c r="P124" s="89">
        <f t="shared" si="30"/>
        <v>1055000</v>
      </c>
      <c r="Q124" s="77">
        <f t="shared" si="31"/>
        <v>1055000</v>
      </c>
      <c r="R124" s="61"/>
    </row>
    <row r="125" spans="1:18" s="13" customFormat="1">
      <c r="A125" s="9" t="s">
        <v>20</v>
      </c>
      <c r="B125" s="84" t="s">
        <v>342</v>
      </c>
      <c r="C125" s="43" t="s">
        <v>74</v>
      </c>
      <c r="D125" s="84"/>
      <c r="E125" s="85">
        <v>4</v>
      </c>
      <c r="F125" s="85">
        <v>4</v>
      </c>
      <c r="G125" s="85">
        <v>4</v>
      </c>
      <c r="H125" s="85">
        <f>SUM(H126:H126)</f>
        <v>0</v>
      </c>
      <c r="I125" s="85">
        <f>SUM(I126:I126)</f>
        <v>0</v>
      </c>
      <c r="J125" s="85">
        <f t="shared" si="29"/>
        <v>12</v>
      </c>
      <c r="K125" s="89">
        <v>396000</v>
      </c>
      <c r="L125" s="89">
        <v>299000</v>
      </c>
      <c r="M125" s="89">
        <v>360000</v>
      </c>
      <c r="N125" s="85">
        <f>SUM(N126:N126)</f>
        <v>0</v>
      </c>
      <c r="O125" s="85">
        <f>SUM(O126:O126)</f>
        <v>0</v>
      </c>
      <c r="P125" s="85">
        <f t="shared" si="30"/>
        <v>1055000</v>
      </c>
      <c r="Q125" s="81">
        <f t="shared" si="31"/>
        <v>1055000</v>
      </c>
      <c r="R125" s="62" t="s">
        <v>343</v>
      </c>
    </row>
    <row r="126" spans="1:18" outlineLevel="1">
      <c r="A126" s="7" t="s">
        <v>344</v>
      </c>
      <c r="B126" s="33" t="s">
        <v>345</v>
      </c>
      <c r="C126" s="46" t="s">
        <v>300</v>
      </c>
      <c r="D126" s="26"/>
      <c r="E126" s="20">
        <v>4</v>
      </c>
      <c r="F126" s="20">
        <v>4</v>
      </c>
      <c r="G126" s="20">
        <v>4</v>
      </c>
      <c r="H126" s="20"/>
      <c r="I126" s="20"/>
      <c r="J126" s="88">
        <f t="shared" si="29"/>
        <v>12</v>
      </c>
      <c r="K126" s="87">
        <v>396000</v>
      </c>
      <c r="L126" s="87">
        <v>299000</v>
      </c>
      <c r="M126" s="87">
        <v>360000</v>
      </c>
      <c r="N126" s="36"/>
      <c r="O126" s="87"/>
      <c r="P126" s="87">
        <f t="shared" si="30"/>
        <v>1055000</v>
      </c>
      <c r="Q126" s="87">
        <f t="shared" si="31"/>
        <v>1055000</v>
      </c>
      <c r="R126" s="60" t="s">
        <v>239</v>
      </c>
    </row>
    <row r="127" spans="1:18" s="38" customFormat="1" ht="30" outlineLevel="1">
      <c r="A127" s="9" t="s">
        <v>346</v>
      </c>
      <c r="B127" s="9" t="s">
        <v>347</v>
      </c>
      <c r="C127" s="42" t="s">
        <v>28</v>
      </c>
      <c r="D127" s="89"/>
      <c r="E127" s="89">
        <v>0</v>
      </c>
      <c r="F127" s="89">
        <v>0</v>
      </c>
      <c r="G127" s="89">
        <v>1</v>
      </c>
      <c r="H127" s="89">
        <v>1</v>
      </c>
      <c r="I127" s="89">
        <v>1</v>
      </c>
      <c r="J127" s="89">
        <f t="shared" si="29"/>
        <v>3</v>
      </c>
      <c r="K127" s="89">
        <f>K128+K133+K135</f>
        <v>100000</v>
      </c>
      <c r="L127" s="89">
        <f>L128+L133+L135</f>
        <v>312000</v>
      </c>
      <c r="M127" s="89">
        <f>M128+M133+M135</f>
        <v>221890.90909090909</v>
      </c>
      <c r="N127" s="89">
        <f>N128+N133+N135</f>
        <v>519272.72727272729</v>
      </c>
      <c r="O127" s="89">
        <f>O128+O133+O135</f>
        <v>196000</v>
      </c>
      <c r="P127" s="89">
        <f t="shared" si="30"/>
        <v>1349163.6363636362</v>
      </c>
      <c r="Q127" s="77">
        <f t="shared" si="31"/>
        <v>1349163.6363636362</v>
      </c>
      <c r="R127" s="61"/>
    </row>
    <row r="128" spans="1:18" s="13" customFormat="1">
      <c r="A128" s="9" t="s">
        <v>20</v>
      </c>
      <c r="B128" s="84" t="s">
        <v>348</v>
      </c>
      <c r="C128" s="43" t="s">
        <v>349</v>
      </c>
      <c r="D128" s="84"/>
      <c r="E128" s="85">
        <v>0</v>
      </c>
      <c r="F128" s="85">
        <v>0</v>
      </c>
      <c r="G128" s="85">
        <v>100</v>
      </c>
      <c r="H128" s="85">
        <v>200</v>
      </c>
      <c r="I128" s="85">
        <v>100</v>
      </c>
      <c r="J128" s="85">
        <f t="shared" si="29"/>
        <v>400</v>
      </c>
      <c r="K128" s="85">
        <f>SUM(K129:K132)</f>
        <v>0</v>
      </c>
      <c r="L128" s="85">
        <f>SUM(L129:L132)</f>
        <v>0</v>
      </c>
      <c r="M128" s="85">
        <f>SUM(M129:M132)</f>
        <v>21890.909090909088</v>
      </c>
      <c r="N128" s="85">
        <f>SUM(N129:N132)</f>
        <v>419272.72727272729</v>
      </c>
      <c r="O128" s="85">
        <f>SUM(O129:O132)</f>
        <v>196000</v>
      </c>
      <c r="P128" s="85">
        <f t="shared" si="30"/>
        <v>637163.63636363635</v>
      </c>
      <c r="Q128" s="81">
        <f t="shared" si="31"/>
        <v>637163.63636363635</v>
      </c>
      <c r="R128" s="82"/>
    </row>
    <row r="129" spans="1:18" s="17" customFormat="1" outlineLevel="1">
      <c r="A129" s="7" t="s">
        <v>350</v>
      </c>
      <c r="B129" s="7" t="s">
        <v>351</v>
      </c>
      <c r="C129" s="74" t="s">
        <v>352</v>
      </c>
      <c r="D129" s="21"/>
      <c r="E129" s="21"/>
      <c r="F129" s="21"/>
      <c r="G129" s="21">
        <v>1</v>
      </c>
      <c r="H129" s="21"/>
      <c r="I129" s="21"/>
      <c r="J129" s="88">
        <f t="shared" si="29"/>
        <v>1</v>
      </c>
      <c r="K129" s="88"/>
      <c r="L129" s="88"/>
      <c r="M129" s="88">
        <v>0</v>
      </c>
      <c r="N129" s="88"/>
      <c r="O129" s="88"/>
      <c r="P129" s="87">
        <f t="shared" si="30"/>
        <v>0</v>
      </c>
      <c r="Q129" s="87">
        <f t="shared" si="31"/>
        <v>0</v>
      </c>
      <c r="R129" s="60" t="s">
        <v>353</v>
      </c>
    </row>
    <row r="130" spans="1:18" s="17" customFormat="1" outlineLevel="1">
      <c r="A130" s="7" t="s">
        <v>354</v>
      </c>
      <c r="B130" s="7" t="s">
        <v>355</v>
      </c>
      <c r="C130" s="74" t="s">
        <v>356</v>
      </c>
      <c r="D130" s="21"/>
      <c r="E130" s="21"/>
      <c r="F130" s="21"/>
      <c r="G130" s="21">
        <v>1</v>
      </c>
      <c r="H130" s="21">
        <v>1</v>
      </c>
      <c r="I130" s="21"/>
      <c r="J130" s="88">
        <f t="shared" si="29"/>
        <v>2</v>
      </c>
      <c r="K130" s="88"/>
      <c r="L130" s="88"/>
      <c r="M130" s="88">
        <f>(6000*100)/66</f>
        <v>9090.9090909090901</v>
      </c>
      <c r="N130" s="88">
        <f>(300*6000)/66</f>
        <v>27272.727272727272</v>
      </c>
      <c r="O130" s="88"/>
      <c r="P130" s="87">
        <f t="shared" si="30"/>
        <v>36363.63636363636</v>
      </c>
      <c r="Q130" s="87">
        <f t="shared" si="31"/>
        <v>36363.63636363636</v>
      </c>
      <c r="R130" s="60" t="s">
        <v>357</v>
      </c>
    </row>
    <row r="131" spans="1:18" s="17" customFormat="1" outlineLevel="1">
      <c r="A131" s="7" t="s">
        <v>358</v>
      </c>
      <c r="B131" s="7" t="s">
        <v>359</v>
      </c>
      <c r="C131" s="74" t="s">
        <v>66</v>
      </c>
      <c r="D131" s="21"/>
      <c r="E131" s="21"/>
      <c r="F131" s="21"/>
      <c r="G131" s="21">
        <v>1</v>
      </c>
      <c r="H131" s="21"/>
      <c r="I131" s="21"/>
      <c r="J131" s="88">
        <f t="shared" si="29"/>
        <v>1</v>
      </c>
      <c r="K131" s="88"/>
      <c r="L131" s="88"/>
      <c r="M131" s="88">
        <f>(100*25*4)+(700*4)</f>
        <v>12800</v>
      </c>
      <c r="N131" s="88"/>
      <c r="O131" s="88"/>
      <c r="P131" s="87">
        <f t="shared" si="30"/>
        <v>12800</v>
      </c>
      <c r="Q131" s="87">
        <f t="shared" si="31"/>
        <v>12800</v>
      </c>
      <c r="R131" s="60" t="s">
        <v>360</v>
      </c>
    </row>
    <row r="132" spans="1:18" s="17" customFormat="1" ht="38.25" outlineLevel="1">
      <c r="A132" s="7" t="s">
        <v>361</v>
      </c>
      <c r="B132" s="7" t="s">
        <v>362</v>
      </c>
      <c r="C132" s="74" t="s">
        <v>66</v>
      </c>
      <c r="D132" s="21"/>
      <c r="E132" s="21"/>
      <c r="F132" s="21"/>
      <c r="G132" s="21"/>
      <c r="H132" s="21">
        <v>10</v>
      </c>
      <c r="I132" s="21">
        <v>5</v>
      </c>
      <c r="J132" s="88">
        <f t="shared" si="29"/>
        <v>15</v>
      </c>
      <c r="K132" s="88"/>
      <c r="L132" s="88"/>
      <c r="M132" s="88"/>
      <c r="N132" s="88">
        <f>(((300*25*4*15)+(700*4*15)+(80*300*4))*2)/3</f>
        <v>392000</v>
      </c>
      <c r="O132" s="88">
        <f>((300*25*4*15)+(700*4*15)+(80*300*4))/3</f>
        <v>196000</v>
      </c>
      <c r="P132" s="87">
        <f t="shared" si="30"/>
        <v>588000</v>
      </c>
      <c r="Q132" s="87">
        <f t="shared" si="31"/>
        <v>588000</v>
      </c>
      <c r="R132" s="60" t="s">
        <v>363</v>
      </c>
    </row>
    <row r="133" spans="1:18" s="13" customFormat="1">
      <c r="A133" s="84" t="s">
        <v>33</v>
      </c>
      <c r="B133" s="84" t="s">
        <v>364</v>
      </c>
      <c r="C133" s="43" t="s">
        <v>150</v>
      </c>
      <c r="D133" s="84"/>
      <c r="E133" s="85">
        <f>SUM(E134:E134)</f>
        <v>0</v>
      </c>
      <c r="F133" s="85">
        <v>200</v>
      </c>
      <c r="G133" s="85">
        <f>SUM(G134:G134)</f>
        <v>0</v>
      </c>
      <c r="H133" s="85">
        <f>SUM(H134:H134)</f>
        <v>0</v>
      </c>
      <c r="I133" s="85">
        <f>SUM(I134:I134)</f>
        <v>0</v>
      </c>
      <c r="J133" s="85">
        <f t="shared" si="29"/>
        <v>200</v>
      </c>
      <c r="K133" s="85">
        <f>SUM(K134:K134)</f>
        <v>0</v>
      </c>
      <c r="L133" s="85">
        <f>SUM(L134:L134)</f>
        <v>112000</v>
      </c>
      <c r="M133" s="85">
        <f>SUM(M134:M134)</f>
        <v>0</v>
      </c>
      <c r="N133" s="85">
        <f>SUM(N134:N134)</f>
        <v>0</v>
      </c>
      <c r="O133" s="85">
        <f>SUM(O134:O134)</f>
        <v>0</v>
      </c>
      <c r="P133" s="85">
        <f t="shared" si="30"/>
        <v>112000</v>
      </c>
      <c r="Q133" s="81">
        <f t="shared" si="31"/>
        <v>112000</v>
      </c>
      <c r="R133" s="82"/>
    </row>
    <row r="134" spans="1:18" outlineLevel="1">
      <c r="A134" s="74" t="s">
        <v>365</v>
      </c>
      <c r="B134" s="33" t="s">
        <v>366</v>
      </c>
      <c r="C134" s="74" t="s">
        <v>66</v>
      </c>
      <c r="D134" s="18"/>
      <c r="E134" s="18"/>
      <c r="F134" s="18">
        <v>1</v>
      </c>
      <c r="G134" s="18"/>
      <c r="H134" s="18"/>
      <c r="I134" s="18"/>
      <c r="J134" s="88">
        <f t="shared" si="29"/>
        <v>1</v>
      </c>
      <c r="K134" s="88"/>
      <c r="L134" s="88">
        <f>(25*5*200*4)+(600*5*4)</f>
        <v>112000</v>
      </c>
      <c r="M134" s="88"/>
      <c r="N134" s="35"/>
      <c r="O134" s="88"/>
      <c r="P134" s="87">
        <f t="shared" si="30"/>
        <v>112000</v>
      </c>
      <c r="Q134" s="87">
        <f t="shared" si="31"/>
        <v>112000</v>
      </c>
      <c r="R134" s="60" t="s">
        <v>367</v>
      </c>
    </row>
    <row r="135" spans="1:18" s="13" customFormat="1">
      <c r="A135" s="84" t="s">
        <v>33</v>
      </c>
      <c r="B135" s="84" t="s">
        <v>368</v>
      </c>
      <c r="C135" s="43" t="s">
        <v>150</v>
      </c>
      <c r="D135" s="84"/>
      <c r="E135" s="85">
        <v>150</v>
      </c>
      <c r="F135" s="85">
        <v>300</v>
      </c>
      <c r="G135" s="85">
        <v>300</v>
      </c>
      <c r="H135" s="85">
        <v>150</v>
      </c>
      <c r="I135" s="85">
        <v>0</v>
      </c>
      <c r="J135" s="85">
        <f t="shared" si="29"/>
        <v>900</v>
      </c>
      <c r="K135" s="85">
        <f>SUM(K136:K136)</f>
        <v>100000</v>
      </c>
      <c r="L135" s="85">
        <f>SUM(L136:L136)</f>
        <v>200000</v>
      </c>
      <c r="M135" s="85">
        <f>SUM(M136:M136)</f>
        <v>200000</v>
      </c>
      <c r="N135" s="85">
        <f>SUM(N136:N136)</f>
        <v>100000</v>
      </c>
      <c r="O135" s="85">
        <f>SUM(O136:O136)</f>
        <v>0</v>
      </c>
      <c r="P135" s="85">
        <f t="shared" si="30"/>
        <v>600000</v>
      </c>
      <c r="Q135" s="81">
        <f t="shared" si="31"/>
        <v>600000</v>
      </c>
      <c r="R135" s="82"/>
    </row>
    <row r="136" spans="1:18" outlineLevel="1">
      <c r="A136" s="74" t="s">
        <v>369</v>
      </c>
      <c r="B136" s="33" t="s">
        <v>370</v>
      </c>
      <c r="C136" s="74" t="s">
        <v>66</v>
      </c>
      <c r="D136" s="18"/>
      <c r="E136" s="18">
        <v>5</v>
      </c>
      <c r="F136" s="18">
        <v>10</v>
      </c>
      <c r="G136" s="18">
        <v>10</v>
      </c>
      <c r="H136" s="18">
        <v>5</v>
      </c>
      <c r="I136" s="18"/>
      <c r="J136" s="88">
        <f t="shared" si="29"/>
        <v>30</v>
      </c>
      <c r="K136" s="88">
        <v>100000</v>
      </c>
      <c r="L136" s="88">
        <v>200000</v>
      </c>
      <c r="M136" s="88">
        <v>200000</v>
      </c>
      <c r="N136" s="35">
        <v>100000</v>
      </c>
      <c r="O136" s="88"/>
      <c r="P136" s="87">
        <f t="shared" si="30"/>
        <v>600000</v>
      </c>
      <c r="Q136" s="87">
        <f t="shared" si="31"/>
        <v>600000</v>
      </c>
      <c r="R136" s="60" t="s">
        <v>371</v>
      </c>
    </row>
    <row r="137" spans="1:18" s="38" customFormat="1" outlineLevel="1">
      <c r="A137" s="9" t="s">
        <v>372</v>
      </c>
      <c r="B137" s="9" t="s">
        <v>373</v>
      </c>
      <c r="C137" s="42" t="s">
        <v>24</v>
      </c>
      <c r="D137" s="89"/>
      <c r="E137" s="89">
        <f>E138</f>
        <v>5</v>
      </c>
      <c r="F137" s="89">
        <f>F138</f>
        <v>5</v>
      </c>
      <c r="G137" s="89">
        <f>G138</f>
        <v>0</v>
      </c>
      <c r="H137" s="89">
        <f>H138</f>
        <v>0</v>
      </c>
      <c r="I137" s="89">
        <f>I138</f>
        <v>0</v>
      </c>
      <c r="J137" s="89">
        <f t="shared" si="29"/>
        <v>10</v>
      </c>
      <c r="K137" s="89">
        <f>K138</f>
        <v>255411.59</v>
      </c>
      <c r="L137" s="89">
        <f>L138</f>
        <v>191558.69</v>
      </c>
      <c r="M137" s="89">
        <f>M138</f>
        <v>0</v>
      </c>
      <c r="N137" s="89">
        <f>N138</f>
        <v>0</v>
      </c>
      <c r="O137" s="89">
        <f>O138</f>
        <v>0</v>
      </c>
      <c r="P137" s="89">
        <f t="shared" si="30"/>
        <v>446970.28</v>
      </c>
      <c r="Q137" s="89">
        <f t="shared" si="31"/>
        <v>446970.28</v>
      </c>
      <c r="R137" s="124"/>
    </row>
    <row r="138" spans="1:18" s="13" customFormat="1">
      <c r="A138" s="84" t="s">
        <v>20</v>
      </c>
      <c r="B138" s="84" t="s">
        <v>374</v>
      </c>
      <c r="C138" s="43" t="s">
        <v>375</v>
      </c>
      <c r="D138" s="84"/>
      <c r="E138" s="85">
        <f>SUM(E139)</f>
        <v>5</v>
      </c>
      <c r="F138" s="85">
        <f>SUM(F139)</f>
        <v>5</v>
      </c>
      <c r="G138" s="85">
        <f>SUM(G139)</f>
        <v>0</v>
      </c>
      <c r="H138" s="85">
        <f>SUM(H139)</f>
        <v>0</v>
      </c>
      <c r="I138" s="85">
        <f>SUM(I139)</f>
        <v>0</v>
      </c>
      <c r="J138" s="85">
        <v>5</v>
      </c>
      <c r="K138" s="85">
        <f>SUM(K139)</f>
        <v>255411.59</v>
      </c>
      <c r="L138" s="85">
        <f>SUM(L139)</f>
        <v>191558.69</v>
      </c>
      <c r="M138" s="85">
        <f>SUM(M139)</f>
        <v>0</v>
      </c>
      <c r="N138" s="85">
        <f>SUM(N139)</f>
        <v>0</v>
      </c>
      <c r="O138" s="85">
        <f>SUM(O139)</f>
        <v>0</v>
      </c>
      <c r="P138" s="85">
        <f t="shared" si="30"/>
        <v>446970.28</v>
      </c>
      <c r="Q138" s="81">
        <f t="shared" si="31"/>
        <v>446970.28</v>
      </c>
      <c r="R138" s="82"/>
    </row>
    <row r="139" spans="1:18" s="17" customFormat="1" outlineLevel="1">
      <c r="A139" s="7" t="s">
        <v>376</v>
      </c>
      <c r="B139" s="31" t="s">
        <v>377</v>
      </c>
      <c r="C139" s="74" t="s">
        <v>24</v>
      </c>
      <c r="D139" s="21"/>
      <c r="E139" s="21">
        <v>5</v>
      </c>
      <c r="F139" s="21">
        <v>5</v>
      </c>
      <c r="G139" s="21">
        <v>0</v>
      </c>
      <c r="H139" s="21">
        <v>0</v>
      </c>
      <c r="I139" s="21">
        <v>0</v>
      </c>
      <c r="J139" s="21">
        <v>5</v>
      </c>
      <c r="K139" s="88">
        <v>255411.59</v>
      </c>
      <c r="L139" s="88">
        <f>191558.69</f>
        <v>191558.69</v>
      </c>
      <c r="M139" s="88"/>
      <c r="N139" s="88"/>
      <c r="O139" s="88"/>
      <c r="P139" s="88">
        <f t="shared" si="30"/>
        <v>446970.28</v>
      </c>
      <c r="Q139" s="88">
        <f t="shared" si="31"/>
        <v>446970.28</v>
      </c>
      <c r="R139" s="62" t="s">
        <v>75</v>
      </c>
    </row>
    <row r="140" spans="1:18" s="38" customFormat="1" outlineLevel="1">
      <c r="A140" s="9" t="s">
        <v>378</v>
      </c>
      <c r="B140" s="9" t="s">
        <v>379</v>
      </c>
      <c r="C140" s="42" t="s">
        <v>24</v>
      </c>
      <c r="D140" s="89"/>
      <c r="E140" s="89">
        <f>E141+E143</f>
        <v>6</v>
      </c>
      <c r="F140" s="89">
        <f>F141+F143</f>
        <v>8</v>
      </c>
      <c r="G140" s="89">
        <f>G141+G143</f>
        <v>9</v>
      </c>
      <c r="H140" s="89">
        <f>H141+H143</f>
        <v>10</v>
      </c>
      <c r="I140" s="89">
        <f>I141+I143</f>
        <v>10</v>
      </c>
      <c r="J140" s="89">
        <v>14</v>
      </c>
      <c r="K140" s="89">
        <f>K141+K143</f>
        <v>142000</v>
      </c>
      <c r="L140" s="89">
        <f>L141+L143</f>
        <v>178000</v>
      </c>
      <c r="M140" s="89">
        <f>M141+M143</f>
        <v>196000</v>
      </c>
      <c r="N140" s="89">
        <f>N141+N143</f>
        <v>220000</v>
      </c>
      <c r="O140" s="89">
        <f>O141+O143</f>
        <v>220000</v>
      </c>
      <c r="P140" s="89">
        <f t="shared" si="30"/>
        <v>956000</v>
      </c>
      <c r="Q140" s="89">
        <f t="shared" si="31"/>
        <v>956000</v>
      </c>
      <c r="R140" s="124"/>
    </row>
    <row r="141" spans="1:18" s="13" customFormat="1">
      <c r="A141" s="9" t="s">
        <v>20</v>
      </c>
      <c r="B141" s="84" t="s">
        <v>380</v>
      </c>
      <c r="C141" s="43" t="s">
        <v>375</v>
      </c>
      <c r="D141" s="84"/>
      <c r="E141" s="85">
        <f>SUM(E142)</f>
        <v>5</v>
      </c>
      <c r="F141" s="85">
        <f>SUM(F142)</f>
        <v>7</v>
      </c>
      <c r="G141" s="85">
        <f>SUM(G142)</f>
        <v>8</v>
      </c>
      <c r="H141" s="85">
        <f>SUM(H142)</f>
        <v>9</v>
      </c>
      <c r="I141" s="85">
        <f>SUM(I142)</f>
        <v>9</v>
      </c>
      <c r="J141" s="85">
        <v>9</v>
      </c>
      <c r="K141" s="85">
        <f>SUM(K142)</f>
        <v>102000</v>
      </c>
      <c r="L141" s="85">
        <f>SUM(L142)</f>
        <v>138000</v>
      </c>
      <c r="M141" s="85">
        <f>SUM(M142)</f>
        <v>156000</v>
      </c>
      <c r="N141" s="85">
        <f>SUM(N142)</f>
        <v>180000</v>
      </c>
      <c r="O141" s="85">
        <f>SUM(O142)</f>
        <v>180000</v>
      </c>
      <c r="P141" s="85">
        <f t="shared" si="30"/>
        <v>756000</v>
      </c>
      <c r="Q141" s="81">
        <f t="shared" si="31"/>
        <v>756000</v>
      </c>
      <c r="R141" s="82"/>
    </row>
    <row r="142" spans="1:18" s="17" customFormat="1" outlineLevel="1">
      <c r="A142" s="7" t="s">
        <v>381</v>
      </c>
      <c r="B142" s="31" t="s">
        <v>382</v>
      </c>
      <c r="C142" s="74" t="s">
        <v>24</v>
      </c>
      <c r="D142" s="21"/>
      <c r="E142" s="21">
        <v>5</v>
      </c>
      <c r="F142" s="21">
        <v>7</v>
      </c>
      <c r="G142" s="21">
        <v>8</v>
      </c>
      <c r="H142" s="21">
        <v>9</v>
      </c>
      <c r="I142" s="21">
        <v>9</v>
      </c>
      <c r="J142" s="88">
        <v>9</v>
      </c>
      <c r="K142" s="88">
        <v>102000</v>
      </c>
      <c r="L142" s="88">
        <v>138000</v>
      </c>
      <c r="M142" s="88">
        <v>156000</v>
      </c>
      <c r="N142" s="88">
        <v>180000</v>
      </c>
      <c r="O142" s="88">
        <v>180000</v>
      </c>
      <c r="P142" s="87">
        <f t="shared" si="30"/>
        <v>756000</v>
      </c>
      <c r="Q142" s="87">
        <f t="shared" si="31"/>
        <v>756000</v>
      </c>
      <c r="R142" s="62" t="s">
        <v>75</v>
      </c>
    </row>
    <row r="143" spans="1:18" s="13" customFormat="1">
      <c r="A143" s="9" t="s">
        <v>20</v>
      </c>
      <c r="B143" s="84" t="s">
        <v>383</v>
      </c>
      <c r="C143" s="43" t="s">
        <v>24</v>
      </c>
      <c r="D143" s="84"/>
      <c r="E143" s="85">
        <f>SUM(E144:E144)</f>
        <v>1</v>
      </c>
      <c r="F143" s="85">
        <f>SUM(F144:F144)</f>
        <v>1</v>
      </c>
      <c r="G143" s="85">
        <f>SUM(G144:G144)</f>
        <v>1</v>
      </c>
      <c r="H143" s="85">
        <f>SUM(H144:H144)</f>
        <v>1</v>
      </c>
      <c r="I143" s="85">
        <f>SUM(I144:I144)</f>
        <v>1</v>
      </c>
      <c r="J143" s="85">
        <f>SUM(E143:I143)</f>
        <v>5</v>
      </c>
      <c r="K143" s="85">
        <f>SUM(K144:K144)</f>
        <v>40000</v>
      </c>
      <c r="L143" s="85">
        <f>SUM(L144:L144)</f>
        <v>40000</v>
      </c>
      <c r="M143" s="85">
        <f>SUM(M144:M144)</f>
        <v>40000</v>
      </c>
      <c r="N143" s="85">
        <f>SUM(N144:N144)</f>
        <v>40000</v>
      </c>
      <c r="O143" s="85">
        <f>SUM(O144:O144)</f>
        <v>40000</v>
      </c>
      <c r="P143" s="85">
        <f t="shared" si="30"/>
        <v>200000</v>
      </c>
      <c r="Q143" s="81">
        <f t="shared" si="31"/>
        <v>200000</v>
      </c>
      <c r="R143" s="82"/>
    </row>
    <row r="144" spans="1:18" s="17" customFormat="1" outlineLevel="1">
      <c r="A144" s="7" t="s">
        <v>384</v>
      </c>
      <c r="B144" s="31" t="s">
        <v>385</v>
      </c>
      <c r="C144" s="74" t="s">
        <v>24</v>
      </c>
      <c r="D144" s="21"/>
      <c r="E144" s="21">
        <v>1</v>
      </c>
      <c r="F144" s="21">
        <v>1</v>
      </c>
      <c r="G144" s="21">
        <v>1</v>
      </c>
      <c r="H144" s="21">
        <v>1</v>
      </c>
      <c r="I144" s="21">
        <v>1</v>
      </c>
      <c r="J144" s="88">
        <v>5</v>
      </c>
      <c r="K144" s="88">
        <f>200000/5</f>
        <v>40000</v>
      </c>
      <c r="L144" s="88">
        <f>200000/5</f>
        <v>40000</v>
      </c>
      <c r="M144" s="88">
        <f>200000/5</f>
        <v>40000</v>
      </c>
      <c r="N144" s="88">
        <f>200000/5</f>
        <v>40000</v>
      </c>
      <c r="O144" s="88">
        <f>200000/5</f>
        <v>40000</v>
      </c>
      <c r="P144" s="87">
        <f t="shared" si="30"/>
        <v>200000</v>
      </c>
      <c r="Q144" s="87">
        <f t="shared" si="31"/>
        <v>200000</v>
      </c>
      <c r="R144" s="62" t="s">
        <v>75</v>
      </c>
    </row>
    <row r="145" spans="1:19" s="11" customFormat="1" ht="26.25" customHeight="1" outlineLevel="1">
      <c r="A145" s="11" t="s">
        <v>386</v>
      </c>
      <c r="B145" s="11" t="s">
        <v>387</v>
      </c>
      <c r="C145" s="48"/>
      <c r="D145" s="86"/>
      <c r="E145" s="86"/>
      <c r="F145" s="86"/>
      <c r="G145" s="86"/>
      <c r="H145" s="86"/>
      <c r="I145" s="86"/>
      <c r="J145" s="86"/>
      <c r="K145" s="86">
        <f>+K146+K152+K156+K161+K165+K169+K179+K181+K183+K203+K208</f>
        <v>2817800</v>
      </c>
      <c r="L145" s="86">
        <f t="shared" ref="L145:O145" si="43">+L146+L152+L156+L161+L165+L169+L179+L181+L183+L203+L208</f>
        <v>6984935.5</v>
      </c>
      <c r="M145" s="86">
        <f t="shared" si="43"/>
        <v>11464290</v>
      </c>
      <c r="N145" s="86">
        <f t="shared" si="43"/>
        <v>3940190</v>
      </c>
      <c r="O145" s="86">
        <f t="shared" si="43"/>
        <v>2211591</v>
      </c>
      <c r="P145" s="86">
        <f>SUM(K145:O145)</f>
        <v>27418806.5</v>
      </c>
      <c r="Q145" s="32">
        <f>P145</f>
        <v>27418806.5</v>
      </c>
      <c r="R145" s="63"/>
      <c r="S145" s="67"/>
    </row>
    <row r="146" spans="1:19" s="38" customFormat="1" ht="48.75" customHeight="1" outlineLevel="1">
      <c r="A146" s="9" t="s">
        <v>388</v>
      </c>
      <c r="B146" s="9" t="s">
        <v>389</v>
      </c>
      <c r="C146" s="42" t="s">
        <v>390</v>
      </c>
      <c r="D146" s="89"/>
      <c r="E146" s="89">
        <f>E147</f>
        <v>0</v>
      </c>
      <c r="F146" s="89">
        <v>2</v>
      </c>
      <c r="G146" s="89">
        <f t="shared" ref="G146:J146" si="44">G147</f>
        <v>0</v>
      </c>
      <c r="H146" s="89">
        <f t="shared" si="44"/>
        <v>0</v>
      </c>
      <c r="I146" s="89">
        <f t="shared" si="44"/>
        <v>0</v>
      </c>
      <c r="J146" s="89">
        <f t="shared" si="44"/>
        <v>4</v>
      </c>
      <c r="K146" s="89">
        <f t="shared" ref="K146:Q146" si="45">K147</f>
        <v>500000</v>
      </c>
      <c r="L146" s="89">
        <f t="shared" si="45"/>
        <v>614250</v>
      </c>
      <c r="M146" s="89">
        <f t="shared" si="45"/>
        <v>0</v>
      </c>
      <c r="N146" s="89">
        <f t="shared" si="45"/>
        <v>0</v>
      </c>
      <c r="O146" s="89">
        <f t="shared" si="45"/>
        <v>0</v>
      </c>
      <c r="P146" s="89">
        <f t="shared" si="45"/>
        <v>1114250</v>
      </c>
      <c r="Q146" s="89">
        <f t="shared" si="45"/>
        <v>1114250</v>
      </c>
      <c r="R146" s="124"/>
    </row>
    <row r="147" spans="1:19" s="15" customFormat="1" ht="90" outlineLevel="1">
      <c r="A147" s="9" t="s">
        <v>20</v>
      </c>
      <c r="B147" s="84" t="s">
        <v>391</v>
      </c>
      <c r="C147" s="43" t="s">
        <v>390</v>
      </c>
      <c r="D147" s="22"/>
      <c r="E147" s="85">
        <v>0</v>
      </c>
      <c r="F147" s="85">
        <v>4</v>
      </c>
      <c r="G147" s="85">
        <f t="shared" ref="G147:I147" si="46">SUM(G148:G151)</f>
        <v>0</v>
      </c>
      <c r="H147" s="85">
        <f t="shared" si="46"/>
        <v>0</v>
      </c>
      <c r="I147" s="85">
        <f t="shared" si="46"/>
        <v>0</v>
      </c>
      <c r="J147" s="85">
        <f>SUM(E147:I147)</f>
        <v>4</v>
      </c>
      <c r="K147" s="85">
        <f>SUM(K148:K151)</f>
        <v>500000</v>
      </c>
      <c r="L147" s="85">
        <f>SUM(L148:L151)</f>
        <v>614250</v>
      </c>
      <c r="M147" s="85">
        <f>SUM(M148:M151)</f>
        <v>0</v>
      </c>
      <c r="N147" s="85">
        <f>SUM(N148:N151)</f>
        <v>0</v>
      </c>
      <c r="O147" s="85">
        <f>SUM(O148:O151)</f>
        <v>0</v>
      </c>
      <c r="P147" s="85">
        <f>SUM(K147:O147)</f>
        <v>1114250</v>
      </c>
      <c r="Q147" s="81">
        <f t="shared" ref="Q147:Q151" si="47">P147</f>
        <v>1114250</v>
      </c>
      <c r="R147" s="82"/>
    </row>
    <row r="148" spans="1:19" s="8" customFormat="1" ht="45" outlineLevel="1">
      <c r="A148" s="7" t="s">
        <v>392</v>
      </c>
      <c r="B148" s="7" t="s">
        <v>393</v>
      </c>
      <c r="C148" s="74" t="s">
        <v>24</v>
      </c>
      <c r="D148" s="23"/>
      <c r="E148" s="23">
        <v>1</v>
      </c>
      <c r="F148" s="23"/>
      <c r="G148" s="23"/>
      <c r="H148" s="23"/>
      <c r="I148" s="23"/>
      <c r="J148" s="88">
        <f t="shared" ref="J148:J153" si="48">SUM(E148:I148)</f>
        <v>1</v>
      </c>
      <c r="K148" s="87">
        <v>200000</v>
      </c>
      <c r="L148" s="87">
        <v>300000</v>
      </c>
      <c r="M148" s="87"/>
      <c r="N148" s="87"/>
      <c r="O148" s="87"/>
      <c r="P148" s="87">
        <f>SUM(K148:O148)</f>
        <v>500000</v>
      </c>
      <c r="Q148" s="87">
        <f t="shared" si="47"/>
        <v>500000</v>
      </c>
      <c r="R148" s="60" t="s">
        <v>239</v>
      </c>
    </row>
    <row r="149" spans="1:19" s="8" customFormat="1" ht="30" outlineLevel="1">
      <c r="A149" s="7" t="s">
        <v>394</v>
      </c>
      <c r="B149" s="7" t="s">
        <v>167</v>
      </c>
      <c r="C149" s="7" t="s">
        <v>168</v>
      </c>
      <c r="D149" s="23"/>
      <c r="E149" s="23"/>
      <c r="F149" s="23">
        <v>1</v>
      </c>
      <c r="G149" s="23"/>
      <c r="H149" s="23"/>
      <c r="I149" s="23"/>
      <c r="J149" s="88">
        <f t="shared" si="48"/>
        <v>1</v>
      </c>
      <c r="K149" s="87"/>
      <c r="L149" s="34">
        <f>(2*100*25)+(600*2)</f>
        <v>6200</v>
      </c>
      <c r="M149" s="87"/>
      <c r="N149" s="87"/>
      <c r="O149" s="87"/>
      <c r="P149" s="87">
        <f>SUM(K149:O149)</f>
        <v>6200</v>
      </c>
      <c r="Q149" s="87">
        <f t="shared" si="47"/>
        <v>6200</v>
      </c>
      <c r="R149" s="60" t="s">
        <v>395</v>
      </c>
    </row>
    <row r="150" spans="1:19" ht="45">
      <c r="A150" s="7" t="s">
        <v>396</v>
      </c>
      <c r="B150" s="7" t="s">
        <v>397</v>
      </c>
      <c r="C150" s="74" t="s">
        <v>24</v>
      </c>
      <c r="D150" s="27"/>
      <c r="E150" s="3">
        <v>1</v>
      </c>
      <c r="F150" s="3"/>
      <c r="G150" s="3"/>
      <c r="H150" s="3"/>
      <c r="I150" s="3"/>
      <c r="J150" s="88">
        <f t="shared" si="48"/>
        <v>1</v>
      </c>
      <c r="K150" s="87">
        <v>300000</v>
      </c>
      <c r="L150" s="87">
        <v>301850</v>
      </c>
      <c r="M150" s="87">
        <v>0</v>
      </c>
      <c r="N150" s="87"/>
      <c r="O150" s="87"/>
      <c r="P150" s="87">
        <f>SUM(K150:O150)</f>
        <v>601850</v>
      </c>
      <c r="Q150" s="87">
        <f t="shared" si="47"/>
        <v>601850</v>
      </c>
      <c r="R150" s="60" t="s">
        <v>239</v>
      </c>
    </row>
    <row r="151" spans="1:19" ht="30">
      <c r="A151" s="7" t="s">
        <v>398</v>
      </c>
      <c r="B151" s="7" t="s">
        <v>168</v>
      </c>
      <c r="C151" s="7" t="s">
        <v>168</v>
      </c>
      <c r="D151" s="27"/>
      <c r="E151" s="3"/>
      <c r="F151" s="3">
        <v>1</v>
      </c>
      <c r="G151" s="3"/>
      <c r="H151" s="3"/>
      <c r="I151" s="3"/>
      <c r="J151" s="88">
        <f t="shared" si="48"/>
        <v>1</v>
      </c>
      <c r="K151" s="87"/>
      <c r="L151" s="34">
        <f>(2*100*25)+(600*2)</f>
        <v>6200</v>
      </c>
      <c r="M151" s="87"/>
      <c r="N151" s="87"/>
      <c r="O151" s="87"/>
      <c r="P151" s="87">
        <f>SUM(K151:O151)</f>
        <v>6200</v>
      </c>
      <c r="Q151" s="87">
        <f t="shared" si="47"/>
        <v>6200</v>
      </c>
      <c r="R151" s="60" t="s">
        <v>395</v>
      </c>
    </row>
    <row r="152" spans="1:19" s="14" customFormat="1" ht="29.1" customHeight="1" outlineLevel="1">
      <c r="A152" s="84" t="s">
        <v>399</v>
      </c>
      <c r="B152" s="84" t="s">
        <v>400</v>
      </c>
      <c r="C152" s="129" t="s">
        <v>66</v>
      </c>
      <c r="D152" s="89"/>
      <c r="E152" s="85">
        <f>E153</f>
        <v>0</v>
      </c>
      <c r="F152" s="85">
        <v>1</v>
      </c>
      <c r="G152" s="85">
        <v>1</v>
      </c>
      <c r="H152" s="85">
        <v>1</v>
      </c>
      <c r="I152" s="85">
        <v>1</v>
      </c>
      <c r="J152" s="85">
        <f t="shared" si="48"/>
        <v>4</v>
      </c>
      <c r="K152" s="89">
        <f t="shared" ref="K152" si="49">K153</f>
        <v>0</v>
      </c>
      <c r="L152" s="89">
        <v>200000</v>
      </c>
      <c r="M152" s="89">
        <v>200000</v>
      </c>
      <c r="N152" s="89">
        <v>200000</v>
      </c>
      <c r="O152" s="89">
        <v>200000</v>
      </c>
      <c r="P152" s="89">
        <f>SUM(L152:O152)</f>
        <v>800000</v>
      </c>
      <c r="Q152" s="89">
        <f>P152</f>
        <v>800000</v>
      </c>
      <c r="R152" s="124"/>
    </row>
    <row r="153" spans="1:19" s="15" customFormat="1" outlineLevel="1">
      <c r="A153" s="84" t="s">
        <v>20</v>
      </c>
      <c r="B153" s="84" t="s">
        <v>401</v>
      </c>
      <c r="C153" s="43" t="s">
        <v>66</v>
      </c>
      <c r="D153" s="22"/>
      <c r="E153" s="85">
        <f>SUM(E154:E155)</f>
        <v>0</v>
      </c>
      <c r="F153" s="85">
        <f>SUM(F154:F155)</f>
        <v>2</v>
      </c>
      <c r="G153" s="85">
        <v>3</v>
      </c>
      <c r="H153" s="85">
        <v>3</v>
      </c>
      <c r="I153" s="85">
        <v>3</v>
      </c>
      <c r="J153" s="85">
        <f t="shared" si="48"/>
        <v>11</v>
      </c>
      <c r="K153" s="89">
        <f t="shared" ref="K153:P153" si="50">SUM(K154:K155)</f>
        <v>0</v>
      </c>
      <c r="L153" s="89">
        <f t="shared" si="50"/>
        <v>200000</v>
      </c>
      <c r="M153" s="89">
        <f t="shared" si="50"/>
        <v>200000</v>
      </c>
      <c r="N153" s="89">
        <f t="shared" si="50"/>
        <v>200000</v>
      </c>
      <c r="O153" s="89">
        <f t="shared" si="50"/>
        <v>200000</v>
      </c>
      <c r="P153" s="89">
        <f t="shared" si="50"/>
        <v>800000</v>
      </c>
      <c r="Q153" s="89">
        <f>P153</f>
        <v>800000</v>
      </c>
      <c r="R153" s="82"/>
    </row>
    <row r="154" spans="1:19" s="8" customFormat="1" outlineLevel="1">
      <c r="A154" s="7" t="s">
        <v>402</v>
      </c>
      <c r="B154" s="7" t="s">
        <v>403</v>
      </c>
      <c r="C154" s="74" t="s">
        <v>24</v>
      </c>
      <c r="D154" s="23"/>
      <c r="E154" s="23"/>
      <c r="F154" s="88">
        <v>1</v>
      </c>
      <c r="G154" s="88">
        <v>1</v>
      </c>
      <c r="H154" s="88"/>
      <c r="I154" s="88"/>
      <c r="J154" s="88">
        <f>SUM(E154:I154)</f>
        <v>2</v>
      </c>
      <c r="K154" s="87">
        <v>0</v>
      </c>
      <c r="L154" s="103">
        <v>20000</v>
      </c>
      <c r="M154" s="103">
        <v>20000</v>
      </c>
      <c r="N154" s="103">
        <v>20000</v>
      </c>
      <c r="O154" s="103">
        <v>20000</v>
      </c>
      <c r="P154" s="103">
        <f>SUM(K154:O154)</f>
        <v>80000</v>
      </c>
      <c r="Q154" s="103">
        <f t="shared" ref="Q154:Q155" si="51">P154</f>
        <v>80000</v>
      </c>
      <c r="R154" s="60" t="s">
        <v>239</v>
      </c>
    </row>
    <row r="155" spans="1:19" s="8" customFormat="1" outlineLevel="1">
      <c r="A155" s="7" t="s">
        <v>404</v>
      </c>
      <c r="B155" s="7" t="s">
        <v>405</v>
      </c>
      <c r="C155" s="74" t="s">
        <v>66</v>
      </c>
      <c r="D155" s="23"/>
      <c r="E155" s="23"/>
      <c r="F155" s="88">
        <v>1</v>
      </c>
      <c r="G155" s="88">
        <v>1</v>
      </c>
      <c r="H155" s="88">
        <v>1</v>
      </c>
      <c r="I155" s="88">
        <v>1</v>
      </c>
      <c r="J155" s="88">
        <v>4</v>
      </c>
      <c r="K155" s="87">
        <v>0</v>
      </c>
      <c r="L155" s="103">
        <v>180000</v>
      </c>
      <c r="M155" s="103">
        <v>180000</v>
      </c>
      <c r="N155" s="103">
        <v>180000</v>
      </c>
      <c r="O155" s="103">
        <v>180000</v>
      </c>
      <c r="P155" s="103">
        <f>SUM(K155:O155)</f>
        <v>720000</v>
      </c>
      <c r="Q155" s="103">
        <f t="shared" si="51"/>
        <v>720000</v>
      </c>
      <c r="R155" s="60" t="s">
        <v>239</v>
      </c>
    </row>
    <row r="156" spans="1:19" s="14" customFormat="1" ht="25.5" outlineLevel="1">
      <c r="A156" s="9" t="s">
        <v>406</v>
      </c>
      <c r="B156" s="9" t="s">
        <v>407</v>
      </c>
      <c r="C156" s="42" t="s">
        <v>408</v>
      </c>
      <c r="D156" s="89"/>
      <c r="E156" s="89">
        <f>E157+E159</f>
        <v>0</v>
      </c>
      <c r="F156" s="89">
        <f t="shared" ref="F156:J156" si="52">F157+F159</f>
        <v>1</v>
      </c>
      <c r="G156" s="89">
        <f t="shared" si="52"/>
        <v>1</v>
      </c>
      <c r="H156" s="89">
        <f t="shared" si="52"/>
        <v>0</v>
      </c>
      <c r="I156" s="89">
        <f t="shared" si="52"/>
        <v>0</v>
      </c>
      <c r="J156" s="89">
        <f t="shared" si="52"/>
        <v>2</v>
      </c>
      <c r="K156" s="89">
        <f t="shared" ref="K156:Q156" si="53">K157+K159</f>
        <v>0</v>
      </c>
      <c r="L156" s="89">
        <f t="shared" si="53"/>
        <v>3000000</v>
      </c>
      <c r="M156" s="89">
        <f t="shared" si="53"/>
        <v>7000000</v>
      </c>
      <c r="N156" s="89">
        <f t="shared" si="53"/>
        <v>0</v>
      </c>
      <c r="O156" s="89">
        <f t="shared" si="53"/>
        <v>0</v>
      </c>
      <c r="P156" s="89">
        <f t="shared" si="53"/>
        <v>10000000</v>
      </c>
      <c r="Q156" s="89">
        <f t="shared" si="53"/>
        <v>10000000</v>
      </c>
      <c r="R156" s="124"/>
    </row>
    <row r="157" spans="1:19" s="15" customFormat="1" ht="45" outlineLevel="1">
      <c r="A157" s="84" t="s">
        <v>20</v>
      </c>
      <c r="B157" s="84" t="s">
        <v>409</v>
      </c>
      <c r="C157" s="43" t="s">
        <v>410</v>
      </c>
      <c r="D157" s="22"/>
      <c r="E157" s="89"/>
      <c r="F157" s="89">
        <f t="shared" ref="F157:I157" si="54">SUM(F158)</f>
        <v>1</v>
      </c>
      <c r="G157" s="89">
        <f t="shared" si="54"/>
        <v>1</v>
      </c>
      <c r="H157" s="89">
        <f t="shared" si="54"/>
        <v>0</v>
      </c>
      <c r="I157" s="89">
        <f t="shared" si="54"/>
        <v>0</v>
      </c>
      <c r="J157" s="89">
        <f>SUM(E157:I157)</f>
        <v>2</v>
      </c>
      <c r="K157" s="89"/>
      <c r="L157" s="89">
        <v>3000000</v>
      </c>
      <c r="M157" s="89">
        <v>7000000</v>
      </c>
      <c r="N157" s="89">
        <f t="shared" ref="N157" si="55">SUM(N158)</f>
        <v>0</v>
      </c>
      <c r="O157" s="89">
        <f t="shared" ref="O157" si="56">SUM(O158)</f>
        <v>0</v>
      </c>
      <c r="P157" s="89">
        <f t="shared" ref="P157:P159" si="57">SUM(K157:O157)</f>
        <v>10000000</v>
      </c>
      <c r="Q157" s="89">
        <f t="shared" ref="Q157:Q159" si="58">P157</f>
        <v>10000000</v>
      </c>
      <c r="R157" s="89" t="s">
        <v>411</v>
      </c>
    </row>
    <row r="158" spans="1:19" s="8" customFormat="1" outlineLevel="1">
      <c r="A158" s="7" t="s">
        <v>412</v>
      </c>
      <c r="B158" s="7" t="s">
        <v>413</v>
      </c>
      <c r="C158" s="74" t="s">
        <v>410</v>
      </c>
      <c r="D158" s="23"/>
      <c r="E158" s="21"/>
      <c r="F158" s="21">
        <v>1</v>
      </c>
      <c r="G158" s="21">
        <v>1</v>
      </c>
      <c r="H158" s="21"/>
      <c r="I158" s="21"/>
      <c r="J158" s="88">
        <f>SUM(E158:I158)</f>
        <v>2</v>
      </c>
      <c r="K158" s="88"/>
      <c r="L158" s="88">
        <v>3000000</v>
      </c>
      <c r="M158" s="21">
        <v>7000000</v>
      </c>
      <c r="N158" s="88"/>
      <c r="O158" s="88"/>
      <c r="P158" s="88">
        <f t="shared" si="57"/>
        <v>10000000</v>
      </c>
      <c r="Q158" s="88">
        <f t="shared" si="58"/>
        <v>10000000</v>
      </c>
      <c r="R158" s="60" t="s">
        <v>239</v>
      </c>
    </row>
    <row r="159" spans="1:19" s="5" customFormat="1" outlineLevel="1">
      <c r="A159" s="84" t="s">
        <v>20</v>
      </c>
      <c r="B159" s="84" t="s">
        <v>414</v>
      </c>
      <c r="C159" s="84" t="s">
        <v>410</v>
      </c>
      <c r="D159" s="84"/>
      <c r="E159" s="82">
        <f>SUM(E160)</f>
        <v>0</v>
      </c>
      <c r="F159" s="82">
        <f t="shared" ref="F159:I159" si="59">SUM(F160)</f>
        <v>0</v>
      </c>
      <c r="G159" s="82">
        <f t="shared" si="59"/>
        <v>0</v>
      </c>
      <c r="H159" s="82">
        <f t="shared" si="59"/>
        <v>0</v>
      </c>
      <c r="I159" s="82">
        <f t="shared" si="59"/>
        <v>0</v>
      </c>
      <c r="J159" s="82">
        <f>SUM(E159:I159)</f>
        <v>0</v>
      </c>
      <c r="K159" s="82">
        <f>SUM(K160)</f>
        <v>0</v>
      </c>
      <c r="L159" s="82">
        <f t="shared" ref="L159:M159" si="60">SUM(L160)</f>
        <v>0</v>
      </c>
      <c r="M159" s="82">
        <f t="shared" si="60"/>
        <v>0</v>
      </c>
      <c r="N159" s="82"/>
      <c r="O159" s="82"/>
      <c r="P159" s="82">
        <f t="shared" si="57"/>
        <v>0</v>
      </c>
      <c r="Q159" s="82">
        <f t="shared" si="58"/>
        <v>0</v>
      </c>
      <c r="R159" s="82"/>
      <c r="S159" s="84"/>
    </row>
    <row r="160" spans="1:19" s="8" customFormat="1" outlineLevel="1">
      <c r="A160" s="7" t="s">
        <v>415</v>
      </c>
      <c r="B160" s="7" t="s">
        <v>414</v>
      </c>
      <c r="C160" s="74" t="s">
        <v>410</v>
      </c>
      <c r="D160" s="23"/>
      <c r="E160" s="23"/>
      <c r="F160" s="23"/>
      <c r="G160" s="23"/>
      <c r="H160" s="23"/>
      <c r="I160" s="23"/>
      <c r="J160" s="88">
        <f>SUM(E160:I160)</f>
        <v>0</v>
      </c>
      <c r="K160" s="87"/>
      <c r="L160" s="87"/>
      <c r="M160" s="87"/>
      <c r="N160" s="87"/>
      <c r="O160" s="87"/>
      <c r="P160" s="87">
        <f t="shared" ref="P160:P163" si="61">SUM(K160:O160)</f>
        <v>0</v>
      </c>
      <c r="Q160" s="87">
        <f t="shared" ref="Q160:Q192" si="62">P160</f>
        <v>0</v>
      </c>
      <c r="R160" s="60" t="s">
        <v>239</v>
      </c>
    </row>
    <row r="161" spans="1:18" s="38" customFormat="1" ht="62.25" customHeight="1" outlineLevel="1">
      <c r="A161" s="84" t="s">
        <v>416</v>
      </c>
      <c r="B161" s="84" t="s">
        <v>417</v>
      </c>
      <c r="C161" s="42" t="s">
        <v>418</v>
      </c>
      <c r="D161" s="89"/>
      <c r="E161" s="89">
        <f>E162</f>
        <v>0</v>
      </c>
      <c r="F161" s="89">
        <v>200</v>
      </c>
      <c r="G161" s="89">
        <v>200</v>
      </c>
      <c r="H161" s="89">
        <v>0</v>
      </c>
      <c r="I161" s="89">
        <v>0</v>
      </c>
      <c r="J161" s="89">
        <v>400</v>
      </c>
      <c r="K161" s="77">
        <f>+K162</f>
        <v>0</v>
      </c>
      <c r="L161" s="89">
        <v>1800000</v>
      </c>
      <c r="M161" s="89">
        <v>2700000</v>
      </c>
      <c r="N161" s="89">
        <v>1800000</v>
      </c>
      <c r="O161" s="89">
        <v>900000</v>
      </c>
      <c r="P161" s="89">
        <f>SUM(L161:O161)</f>
        <v>7200000</v>
      </c>
      <c r="Q161" s="89">
        <f>P161</f>
        <v>7200000</v>
      </c>
      <c r="R161" s="61"/>
    </row>
    <row r="162" spans="1:18" s="15" customFormat="1" outlineLevel="1">
      <c r="A162" s="84" t="s">
        <v>20</v>
      </c>
      <c r="B162" s="84" t="s">
        <v>419</v>
      </c>
      <c r="C162" s="43" t="s">
        <v>420</v>
      </c>
      <c r="D162" s="22"/>
      <c r="E162" s="85">
        <f>SUM(E163:E164)</f>
        <v>0</v>
      </c>
      <c r="F162" s="85">
        <f>SUM(F163:F164)</f>
        <v>2</v>
      </c>
      <c r="G162" s="85">
        <f>SUM(G163:G164)</f>
        <v>2</v>
      </c>
      <c r="H162" s="85">
        <v>1</v>
      </c>
      <c r="I162" s="85">
        <f>SUM(I163:I164)</f>
        <v>0</v>
      </c>
      <c r="J162" s="85">
        <v>1</v>
      </c>
      <c r="K162" s="85">
        <f>SUM(K163:K164)</f>
        <v>0</v>
      </c>
      <c r="L162" s="89">
        <v>1800000</v>
      </c>
      <c r="M162" s="89">
        <v>2700000</v>
      </c>
      <c r="N162" s="89">
        <v>1800000</v>
      </c>
      <c r="O162" s="89">
        <v>900000</v>
      </c>
      <c r="P162" s="89">
        <f>SUM(K162:O162)</f>
        <v>7200000</v>
      </c>
      <c r="Q162" s="89">
        <f>P162</f>
        <v>7200000</v>
      </c>
      <c r="R162" s="82"/>
    </row>
    <row r="163" spans="1:18" s="8" customFormat="1" outlineLevel="1">
      <c r="A163" s="7" t="s">
        <v>421</v>
      </c>
      <c r="B163" s="7" t="s">
        <v>422</v>
      </c>
      <c r="C163" s="74" t="s">
        <v>420</v>
      </c>
      <c r="D163" s="23"/>
      <c r="E163" s="23"/>
      <c r="F163" s="23">
        <v>1</v>
      </c>
      <c r="G163" s="23">
        <v>1</v>
      </c>
      <c r="H163" s="23"/>
      <c r="I163" s="23"/>
      <c r="J163" s="3">
        <v>2</v>
      </c>
      <c r="K163" s="87"/>
      <c r="L163" s="87"/>
      <c r="M163" s="87"/>
      <c r="N163" s="87">
        <v>0</v>
      </c>
      <c r="O163" s="87"/>
      <c r="P163" s="87">
        <f t="shared" si="61"/>
        <v>0</v>
      </c>
      <c r="Q163" s="87">
        <f t="shared" si="62"/>
        <v>0</v>
      </c>
      <c r="R163" s="60" t="s">
        <v>289</v>
      </c>
    </row>
    <row r="164" spans="1:18" ht="51">
      <c r="A164" s="7" t="s">
        <v>423</v>
      </c>
      <c r="B164" s="4" t="s">
        <v>424</v>
      </c>
      <c r="C164" s="30" t="s">
        <v>425</v>
      </c>
      <c r="D164" s="27"/>
      <c r="E164" s="3"/>
      <c r="F164" s="3">
        <v>1</v>
      </c>
      <c r="G164" s="3">
        <v>1</v>
      </c>
      <c r="H164" s="3">
        <v>0</v>
      </c>
      <c r="I164" s="3">
        <v>0</v>
      </c>
      <c r="J164" s="3">
        <f t="shared" ref="J164:J209" si="63">SUM(E164:I164)</f>
        <v>2</v>
      </c>
      <c r="K164" s="87"/>
      <c r="L164" s="130">
        <v>1800000</v>
      </c>
      <c r="M164" s="130">
        <v>2700000</v>
      </c>
      <c r="N164" s="130">
        <v>1800000</v>
      </c>
      <c r="O164" s="130">
        <v>900000</v>
      </c>
      <c r="P164" s="130">
        <f>SUM(L164:O164)</f>
        <v>7200000</v>
      </c>
      <c r="Q164" s="130">
        <f>P164</f>
        <v>7200000</v>
      </c>
      <c r="R164" s="104" t="s">
        <v>426</v>
      </c>
    </row>
    <row r="165" spans="1:18" s="14" customFormat="1" ht="30" outlineLevel="1">
      <c r="A165" s="9" t="s">
        <v>427</v>
      </c>
      <c r="B165" s="9" t="s">
        <v>428</v>
      </c>
      <c r="C165" s="42" t="s">
        <v>429</v>
      </c>
      <c r="D165" s="89"/>
      <c r="E165" s="89">
        <v>1</v>
      </c>
      <c r="F165" s="89"/>
      <c r="G165" s="89"/>
      <c r="H165" s="89"/>
      <c r="I165" s="89"/>
      <c r="J165" s="89">
        <f t="shared" si="63"/>
        <v>1</v>
      </c>
      <c r="K165" s="77">
        <f t="shared" ref="K165:P165" si="64">K166</f>
        <v>500000</v>
      </c>
      <c r="L165" s="77">
        <f t="shared" si="64"/>
        <v>0</v>
      </c>
      <c r="M165" s="77">
        <f t="shared" si="64"/>
        <v>0</v>
      </c>
      <c r="N165" s="77">
        <f t="shared" si="64"/>
        <v>0</v>
      </c>
      <c r="O165" s="77">
        <f t="shared" si="64"/>
        <v>0</v>
      </c>
      <c r="P165" s="77">
        <f t="shared" si="64"/>
        <v>500000</v>
      </c>
      <c r="Q165" s="77">
        <f t="shared" si="62"/>
        <v>500000</v>
      </c>
      <c r="R165" s="61"/>
    </row>
    <row r="166" spans="1:18" s="15" customFormat="1" ht="30" outlineLevel="1">
      <c r="A166" s="84" t="s">
        <v>20</v>
      </c>
      <c r="B166" s="84" t="s">
        <v>430</v>
      </c>
      <c r="C166" s="43" t="s">
        <v>431</v>
      </c>
      <c r="D166" s="22"/>
      <c r="E166" s="85">
        <v>1</v>
      </c>
      <c r="F166" s="85"/>
      <c r="G166" s="85"/>
      <c r="H166" s="85"/>
      <c r="I166" s="85"/>
      <c r="J166" s="85">
        <f t="shared" si="63"/>
        <v>1</v>
      </c>
      <c r="K166" s="85">
        <f>SUM(K167:K168)</f>
        <v>500000</v>
      </c>
      <c r="L166" s="85">
        <f>SUM(L167:L168)</f>
        <v>0</v>
      </c>
      <c r="M166" s="85">
        <f>SUM(M167:M168)</f>
        <v>0</v>
      </c>
      <c r="N166" s="85">
        <f>SUM(N167:N168)</f>
        <v>0</v>
      </c>
      <c r="O166" s="85">
        <f>SUM(O167:O168)</f>
        <v>0</v>
      </c>
      <c r="P166" s="85">
        <f t="shared" ref="P166:P209" si="65">SUM(K166:O166)</f>
        <v>500000</v>
      </c>
      <c r="Q166" s="81">
        <f t="shared" si="62"/>
        <v>500000</v>
      </c>
      <c r="R166" s="82"/>
    </row>
    <row r="167" spans="1:18" s="8" customFormat="1" ht="30" outlineLevel="1">
      <c r="A167" s="7" t="s">
        <v>432</v>
      </c>
      <c r="B167" s="7" t="s">
        <v>433</v>
      </c>
      <c r="C167" s="74" t="s">
        <v>434</v>
      </c>
      <c r="D167" s="23"/>
      <c r="E167" s="23">
        <v>1</v>
      </c>
      <c r="F167" s="23"/>
      <c r="G167" s="23"/>
      <c r="H167" s="23"/>
      <c r="I167" s="23"/>
      <c r="J167" s="3">
        <f t="shared" si="63"/>
        <v>1</v>
      </c>
      <c r="K167" s="87">
        <v>0</v>
      </c>
      <c r="L167" s="87"/>
      <c r="M167" s="87"/>
      <c r="N167" s="87">
        <v>0</v>
      </c>
      <c r="O167" s="87"/>
      <c r="P167" s="87">
        <f t="shared" si="65"/>
        <v>0</v>
      </c>
      <c r="Q167" s="87">
        <f t="shared" si="62"/>
        <v>0</v>
      </c>
      <c r="R167" s="60" t="s">
        <v>289</v>
      </c>
    </row>
    <row r="168" spans="1:18">
      <c r="A168" s="7" t="s">
        <v>435</v>
      </c>
      <c r="B168" s="4" t="s">
        <v>436</v>
      </c>
      <c r="C168" s="30" t="s">
        <v>24</v>
      </c>
      <c r="D168" s="27"/>
      <c r="E168" s="3">
        <v>1</v>
      </c>
      <c r="G168" s="3"/>
      <c r="H168" s="3"/>
      <c r="I168" s="3"/>
      <c r="J168" s="3">
        <f t="shared" si="63"/>
        <v>1</v>
      </c>
      <c r="K168" s="87">
        <v>500000</v>
      </c>
      <c r="M168" s="87"/>
      <c r="N168" s="87"/>
      <c r="O168" s="87"/>
      <c r="P168" s="87">
        <f t="shared" si="65"/>
        <v>500000</v>
      </c>
      <c r="Q168" s="87">
        <f t="shared" si="62"/>
        <v>500000</v>
      </c>
      <c r="R168" s="60" t="s">
        <v>239</v>
      </c>
    </row>
    <row r="169" spans="1:18" s="38" customFormat="1" ht="51" outlineLevel="1">
      <c r="A169" s="9" t="s">
        <v>437</v>
      </c>
      <c r="B169" s="9" t="s">
        <v>438</v>
      </c>
      <c r="C169" s="42" t="s">
        <v>439</v>
      </c>
      <c r="D169" s="89"/>
      <c r="E169" s="89"/>
      <c r="F169" s="89"/>
      <c r="G169" s="89">
        <v>5</v>
      </c>
      <c r="H169" s="89">
        <v>5</v>
      </c>
      <c r="I169" s="89"/>
      <c r="J169" s="89">
        <f t="shared" si="63"/>
        <v>10</v>
      </c>
      <c r="K169" s="77">
        <f>K170+K174</f>
        <v>100000</v>
      </c>
      <c r="L169" s="77">
        <f>L170+L174</f>
        <v>150000</v>
      </c>
      <c r="M169" s="77">
        <f>M170+M174</f>
        <v>150000</v>
      </c>
      <c r="N169" s="77">
        <f>N170+N174</f>
        <v>600000</v>
      </c>
      <c r="O169" s="77">
        <f>O170+O174</f>
        <v>0</v>
      </c>
      <c r="P169" s="77">
        <f t="shared" si="65"/>
        <v>1000000</v>
      </c>
      <c r="Q169" s="77">
        <f t="shared" si="62"/>
        <v>1000000</v>
      </c>
      <c r="R169" s="61"/>
    </row>
    <row r="170" spans="1:18" s="15" customFormat="1" ht="25.5" outlineLevel="1">
      <c r="A170" s="84" t="s">
        <v>20</v>
      </c>
      <c r="B170" s="84" t="s">
        <v>440</v>
      </c>
      <c r="C170" s="43" t="s">
        <v>441</v>
      </c>
      <c r="D170" s="22"/>
      <c r="E170" s="22">
        <v>10</v>
      </c>
      <c r="F170" s="22">
        <v>33</v>
      </c>
      <c r="G170" s="22">
        <f>SUM(G171:G173)</f>
        <v>0</v>
      </c>
      <c r="H170" s="22">
        <f>SUM(H171:H173)</f>
        <v>0</v>
      </c>
      <c r="I170" s="22">
        <f>SUM(I171:I173)</f>
        <v>0</v>
      </c>
      <c r="J170" s="22">
        <f t="shared" si="63"/>
        <v>43</v>
      </c>
      <c r="K170" s="131">
        <f>SUM(K171:K173)</f>
        <v>100000</v>
      </c>
      <c r="L170" s="131">
        <f>SUM(L171:L173)</f>
        <v>150000</v>
      </c>
      <c r="M170" s="131">
        <f>SUM(M171:M173)</f>
        <v>0</v>
      </c>
      <c r="N170" s="131">
        <f>SUM(N171:N173)</f>
        <v>0</v>
      </c>
      <c r="O170" s="131">
        <f>SUM(O171:O173)</f>
        <v>0</v>
      </c>
      <c r="P170" s="131">
        <f t="shared" si="65"/>
        <v>250000</v>
      </c>
      <c r="Q170" s="131">
        <f t="shared" si="62"/>
        <v>250000</v>
      </c>
      <c r="R170" s="132"/>
    </row>
    <row r="171" spans="1:18" s="8" customFormat="1" ht="45" outlineLevel="1">
      <c r="A171" s="7" t="s">
        <v>442</v>
      </c>
      <c r="B171" s="7" t="s">
        <v>443</v>
      </c>
      <c r="C171" s="74" t="s">
        <v>434</v>
      </c>
      <c r="D171" s="23"/>
      <c r="E171" s="23">
        <v>1</v>
      </c>
      <c r="F171" s="23"/>
      <c r="G171" s="23"/>
      <c r="H171" s="23"/>
      <c r="I171" s="23"/>
      <c r="J171" s="3">
        <f t="shared" si="63"/>
        <v>1</v>
      </c>
      <c r="K171" s="87">
        <v>0</v>
      </c>
      <c r="L171" s="87"/>
      <c r="M171" s="87"/>
      <c r="N171" s="87">
        <v>0</v>
      </c>
      <c r="O171" s="87"/>
      <c r="P171" s="87">
        <f t="shared" si="65"/>
        <v>0</v>
      </c>
      <c r="Q171" s="87">
        <f t="shared" si="62"/>
        <v>0</v>
      </c>
      <c r="R171" s="60" t="s">
        <v>289</v>
      </c>
    </row>
    <row r="172" spans="1:18">
      <c r="A172" s="7" t="s">
        <v>444</v>
      </c>
      <c r="B172" s="4" t="s">
        <v>445</v>
      </c>
      <c r="C172" s="30" t="s">
        <v>446</v>
      </c>
      <c r="D172" s="27"/>
      <c r="E172" s="3">
        <v>1</v>
      </c>
      <c r="F172" s="3"/>
      <c r="G172" s="3"/>
      <c r="H172" s="3"/>
      <c r="I172" s="3"/>
      <c r="J172" s="3">
        <f t="shared" si="63"/>
        <v>1</v>
      </c>
      <c r="K172" s="87">
        <v>0</v>
      </c>
      <c r="L172" s="87"/>
      <c r="M172" s="87"/>
      <c r="N172" s="87"/>
      <c r="O172" s="87"/>
      <c r="P172" s="87">
        <f t="shared" si="65"/>
        <v>0</v>
      </c>
      <c r="Q172" s="87">
        <f t="shared" si="62"/>
        <v>0</v>
      </c>
      <c r="R172" s="60" t="s">
        <v>289</v>
      </c>
    </row>
    <row r="173" spans="1:18">
      <c r="A173" s="7" t="s">
        <v>447</v>
      </c>
      <c r="B173" s="4" t="s">
        <v>436</v>
      </c>
      <c r="C173" s="30" t="s">
        <v>24</v>
      </c>
      <c r="D173" s="27"/>
      <c r="E173" s="3">
        <v>1</v>
      </c>
      <c r="F173" s="3">
        <v>1</v>
      </c>
      <c r="G173" s="3"/>
      <c r="H173" s="3"/>
      <c r="I173" s="3"/>
      <c r="J173" s="3">
        <f t="shared" si="63"/>
        <v>2</v>
      </c>
      <c r="K173" s="87">
        <v>100000</v>
      </c>
      <c r="L173" s="87">
        <v>150000</v>
      </c>
      <c r="N173" s="87"/>
      <c r="O173" s="87"/>
      <c r="P173" s="87">
        <f t="shared" si="65"/>
        <v>250000</v>
      </c>
      <c r="Q173" s="87">
        <f t="shared" si="62"/>
        <v>250000</v>
      </c>
      <c r="R173" s="60" t="s">
        <v>239</v>
      </c>
    </row>
    <row r="174" spans="1:18" s="6" customFormat="1" outlineLevel="1">
      <c r="A174" s="84" t="s">
        <v>20</v>
      </c>
      <c r="B174" s="84" t="s">
        <v>448</v>
      </c>
      <c r="C174" s="43"/>
      <c r="D174" s="85"/>
      <c r="E174" s="85">
        <f>SUM(E175:E178)</f>
        <v>0</v>
      </c>
      <c r="F174" s="85">
        <v>0</v>
      </c>
      <c r="G174" s="85">
        <v>10</v>
      </c>
      <c r="H174" s="85">
        <v>10</v>
      </c>
      <c r="I174" s="85">
        <f>SUM(I175:I178)</f>
        <v>0</v>
      </c>
      <c r="J174" s="85">
        <f t="shared" si="63"/>
        <v>20</v>
      </c>
      <c r="K174" s="81">
        <f>SUM(K175:K178)</f>
        <v>0</v>
      </c>
      <c r="L174" s="81">
        <f>SUM(L175:L178)</f>
        <v>0</v>
      </c>
      <c r="M174" s="81">
        <f>SUM(M175:M178)</f>
        <v>150000</v>
      </c>
      <c r="N174" s="81">
        <f>SUM(N175:N178)</f>
        <v>600000</v>
      </c>
      <c r="O174" s="81">
        <f>SUM(O175:O178)</f>
        <v>0</v>
      </c>
      <c r="P174" s="81">
        <f t="shared" si="65"/>
        <v>750000</v>
      </c>
      <c r="Q174" s="81">
        <f t="shared" si="62"/>
        <v>750000</v>
      </c>
      <c r="R174" s="82"/>
    </row>
    <row r="175" spans="1:18" s="8" customFormat="1" ht="45" outlineLevel="1">
      <c r="A175" s="7" t="s">
        <v>449</v>
      </c>
      <c r="B175" s="7" t="s">
        <v>450</v>
      </c>
      <c r="C175" s="74" t="s">
        <v>451</v>
      </c>
      <c r="D175" s="23"/>
      <c r="E175" s="23"/>
      <c r="F175" s="23">
        <v>1</v>
      </c>
      <c r="G175" s="23"/>
      <c r="H175" s="23"/>
      <c r="I175" s="23"/>
      <c r="J175" s="3">
        <f t="shared" si="63"/>
        <v>1</v>
      </c>
      <c r="K175" s="87">
        <v>0</v>
      </c>
      <c r="L175" s="87"/>
      <c r="M175" s="87"/>
      <c r="N175" s="87"/>
      <c r="O175" s="87"/>
      <c r="P175" s="87">
        <f t="shared" si="65"/>
        <v>0</v>
      </c>
      <c r="Q175" s="87">
        <f t="shared" si="62"/>
        <v>0</v>
      </c>
      <c r="R175" s="60" t="s">
        <v>289</v>
      </c>
    </row>
    <row r="176" spans="1:18" s="8" customFormat="1" ht="30" outlineLevel="1">
      <c r="A176" s="7" t="s">
        <v>452</v>
      </c>
      <c r="B176" s="7" t="s">
        <v>453</v>
      </c>
      <c r="C176" s="74" t="s">
        <v>434</v>
      </c>
      <c r="D176" s="37"/>
      <c r="E176" s="23"/>
      <c r="F176" s="23">
        <v>1</v>
      </c>
      <c r="G176" s="23"/>
      <c r="H176" s="23"/>
      <c r="I176" s="23"/>
      <c r="J176" s="3">
        <f t="shared" si="63"/>
        <v>1</v>
      </c>
      <c r="K176" s="87"/>
      <c r="L176" s="87">
        <v>0</v>
      </c>
      <c r="M176" s="87"/>
      <c r="N176" s="87"/>
      <c r="O176" s="87"/>
      <c r="P176" s="87">
        <f t="shared" si="65"/>
        <v>0</v>
      </c>
      <c r="Q176" s="87">
        <f t="shared" si="62"/>
        <v>0</v>
      </c>
      <c r="R176" s="60" t="s">
        <v>289</v>
      </c>
    </row>
    <row r="177" spans="1:18">
      <c r="A177" s="7" t="s">
        <v>454</v>
      </c>
      <c r="B177" s="4" t="s">
        <v>445</v>
      </c>
      <c r="C177" s="30" t="s">
        <v>446</v>
      </c>
      <c r="D177" s="27"/>
      <c r="E177" s="3"/>
      <c r="F177" s="3">
        <v>1</v>
      </c>
      <c r="G177" s="3"/>
      <c r="H177" s="3"/>
      <c r="I177" s="3"/>
      <c r="J177" s="3">
        <f t="shared" si="63"/>
        <v>1</v>
      </c>
      <c r="K177" s="87"/>
      <c r="L177" s="87">
        <v>0</v>
      </c>
      <c r="M177" s="87"/>
      <c r="N177" s="87"/>
      <c r="O177" s="87"/>
      <c r="P177" s="87">
        <f t="shared" si="65"/>
        <v>0</v>
      </c>
      <c r="Q177" s="87">
        <f t="shared" si="62"/>
        <v>0</v>
      </c>
      <c r="R177" s="60" t="s">
        <v>289</v>
      </c>
    </row>
    <row r="178" spans="1:18">
      <c r="A178" s="7" t="s">
        <v>455</v>
      </c>
      <c r="B178" s="4" t="s">
        <v>456</v>
      </c>
      <c r="C178" s="30" t="s">
        <v>24</v>
      </c>
      <c r="D178" s="27"/>
      <c r="E178" s="3"/>
      <c r="F178" s="3"/>
      <c r="G178" s="3">
        <v>1</v>
      </c>
      <c r="H178" s="3"/>
      <c r="I178" s="3"/>
      <c r="J178" s="3">
        <f t="shared" si="63"/>
        <v>1</v>
      </c>
      <c r="K178" s="87"/>
      <c r="L178" s="87"/>
      <c r="M178" s="87">
        <v>150000</v>
      </c>
      <c r="N178" s="87">
        <v>600000</v>
      </c>
      <c r="O178" s="87"/>
      <c r="P178" s="87">
        <f t="shared" si="65"/>
        <v>750000</v>
      </c>
      <c r="Q178" s="87">
        <f t="shared" si="62"/>
        <v>750000</v>
      </c>
      <c r="R178" s="60" t="s">
        <v>239</v>
      </c>
    </row>
    <row r="179" spans="1:18" ht="28.5" customHeight="1">
      <c r="A179" s="9" t="s">
        <v>457</v>
      </c>
      <c r="B179" s="9" t="s">
        <v>458</v>
      </c>
      <c r="C179" s="9" t="s">
        <v>459</v>
      </c>
      <c r="D179" s="9"/>
      <c r="E179" s="89">
        <v>1</v>
      </c>
      <c r="F179" s="77">
        <v>1</v>
      </c>
      <c r="G179" s="89">
        <v>1</v>
      </c>
      <c r="H179" s="77">
        <v>1</v>
      </c>
      <c r="I179" s="77">
        <v>1</v>
      </c>
      <c r="J179" s="77">
        <v>5</v>
      </c>
      <c r="K179" s="77">
        <f>+K180</f>
        <v>455400</v>
      </c>
      <c r="L179" s="77">
        <f>+L180</f>
        <v>534900</v>
      </c>
      <c r="M179" s="77">
        <f>+M180</f>
        <v>994290</v>
      </c>
      <c r="N179" s="77">
        <f>+N180</f>
        <v>1070190</v>
      </c>
      <c r="O179" s="77">
        <f>+O180</f>
        <v>842489</v>
      </c>
      <c r="P179" s="77">
        <f>SUM(K179:O179)</f>
        <v>3897269</v>
      </c>
      <c r="Q179" s="77">
        <f t="shared" si="62"/>
        <v>3897269</v>
      </c>
      <c r="R179" s="81">
        <f t="shared" ref="R179" si="66">Q179</f>
        <v>3897269</v>
      </c>
    </row>
    <row r="180" spans="1:18" s="80" customFormat="1" outlineLevel="1">
      <c r="A180" s="9" t="s">
        <v>20</v>
      </c>
      <c r="B180" s="9" t="s">
        <v>460</v>
      </c>
      <c r="C180" s="9" t="s">
        <v>461</v>
      </c>
      <c r="D180" s="9"/>
      <c r="E180" s="89">
        <v>250</v>
      </c>
      <c r="F180" s="89">
        <v>250</v>
      </c>
      <c r="G180" s="89">
        <v>1000</v>
      </c>
      <c r="H180" s="89">
        <v>1000</v>
      </c>
      <c r="I180" s="77">
        <v>1000</v>
      </c>
      <c r="J180" s="77">
        <v>3500</v>
      </c>
      <c r="K180" s="77">
        <v>455400</v>
      </c>
      <c r="L180" s="77">
        <v>534900</v>
      </c>
      <c r="M180" s="77">
        <v>994290</v>
      </c>
      <c r="N180" s="77">
        <v>1070190</v>
      </c>
      <c r="O180" s="77">
        <v>842489</v>
      </c>
      <c r="P180" s="77">
        <f>SUM(K180:O180)</f>
        <v>3897269</v>
      </c>
      <c r="Q180" s="77">
        <f>P180</f>
        <v>3897269</v>
      </c>
      <c r="R180" s="81">
        <f>Q180</f>
        <v>3897269</v>
      </c>
    </row>
    <row r="181" spans="1:18" s="80" customFormat="1" outlineLevel="1">
      <c r="A181" s="9" t="s">
        <v>462</v>
      </c>
      <c r="B181" s="9" t="s">
        <v>463</v>
      </c>
      <c r="C181" s="9" t="s">
        <v>464</v>
      </c>
      <c r="D181" s="9"/>
      <c r="E181" s="77">
        <v>1</v>
      </c>
      <c r="F181" s="77">
        <v>0</v>
      </c>
      <c r="G181" s="77">
        <v>0</v>
      </c>
      <c r="H181" s="77">
        <v>0</v>
      </c>
      <c r="I181" s="77">
        <v>0</v>
      </c>
      <c r="J181" s="77">
        <v>1</v>
      </c>
      <c r="K181" s="77">
        <v>860000</v>
      </c>
      <c r="L181" s="77">
        <v>0</v>
      </c>
      <c r="M181" s="77">
        <v>0</v>
      </c>
      <c r="N181" s="77">
        <v>0</v>
      </c>
      <c r="O181" s="77">
        <v>0</v>
      </c>
      <c r="P181" s="77">
        <v>860000</v>
      </c>
      <c r="Q181" s="77">
        <f>P181</f>
        <v>860000</v>
      </c>
      <c r="R181" s="82"/>
    </row>
    <row r="182" spans="1:18" s="80" customFormat="1" outlineLevel="1">
      <c r="A182" s="9" t="s">
        <v>20</v>
      </c>
      <c r="B182" s="9" t="s">
        <v>465</v>
      </c>
      <c r="C182" s="9" t="s">
        <v>464</v>
      </c>
      <c r="D182" s="9"/>
      <c r="E182" s="77">
        <v>1</v>
      </c>
      <c r="F182" s="77">
        <v>0</v>
      </c>
      <c r="G182" s="77">
        <v>0</v>
      </c>
      <c r="H182" s="77">
        <v>0</v>
      </c>
      <c r="I182" s="77">
        <v>0</v>
      </c>
      <c r="J182" s="77">
        <v>1</v>
      </c>
      <c r="K182" s="77">
        <v>860000</v>
      </c>
      <c r="L182" s="77">
        <v>0</v>
      </c>
      <c r="M182" s="77">
        <v>0</v>
      </c>
      <c r="N182" s="77">
        <v>0</v>
      </c>
      <c r="O182" s="77">
        <v>0</v>
      </c>
      <c r="P182" s="77">
        <v>860000</v>
      </c>
      <c r="Q182" s="77">
        <f>P182</f>
        <v>860000</v>
      </c>
      <c r="R182" s="82"/>
    </row>
    <row r="183" spans="1:18" s="38" customFormat="1" ht="27" customHeight="1" outlineLevel="1">
      <c r="A183" s="9" t="s">
        <v>466</v>
      </c>
      <c r="B183" s="9" t="s">
        <v>467</v>
      </c>
      <c r="C183" s="9" t="s">
        <v>468</v>
      </c>
      <c r="D183" s="9"/>
      <c r="E183" s="89">
        <f>E184+E187+E190+E192+E195+E198+E201</f>
        <v>4</v>
      </c>
      <c r="F183" s="89">
        <f t="shared" ref="F183:I183" si="67">F184+F187+F190+F192+F195+F198+F201</f>
        <v>13</v>
      </c>
      <c r="G183" s="89">
        <f t="shared" si="67"/>
        <v>1</v>
      </c>
      <c r="H183" s="89">
        <f t="shared" si="67"/>
        <v>0</v>
      </c>
      <c r="I183" s="89">
        <f t="shared" si="67"/>
        <v>0</v>
      </c>
      <c r="J183" s="89">
        <f t="shared" ref="J183:J184" si="68">SUM(E183:I183)</f>
        <v>18</v>
      </c>
      <c r="K183" s="77">
        <f>K184+K187+K190+K192+K195+K198+K201</f>
        <v>152400</v>
      </c>
      <c r="L183" s="77">
        <f t="shared" ref="L183:O183" si="69">L184+L187+L190+L192+L195+L198+L201</f>
        <v>415785.5</v>
      </c>
      <c r="M183" s="77">
        <f t="shared" si="69"/>
        <v>150000</v>
      </c>
      <c r="N183" s="77">
        <f t="shared" si="69"/>
        <v>0</v>
      </c>
      <c r="O183" s="77">
        <f t="shared" si="69"/>
        <v>0</v>
      </c>
      <c r="P183" s="77">
        <f t="shared" ref="P183:P184" si="70">SUM(K183:O183)</f>
        <v>718185.5</v>
      </c>
      <c r="Q183" s="77">
        <f t="shared" ref="Q183:Q184" si="71">P183</f>
        <v>718185.5</v>
      </c>
      <c r="R183" s="61"/>
    </row>
    <row r="184" spans="1:18" s="6" customFormat="1" outlineLevel="1">
      <c r="A184" s="9" t="s">
        <v>20</v>
      </c>
      <c r="B184" s="9" t="s">
        <v>469</v>
      </c>
      <c r="C184" s="43" t="s">
        <v>470</v>
      </c>
      <c r="D184" s="9"/>
      <c r="E184" s="89">
        <f>SUM(E185:E186)</f>
        <v>2</v>
      </c>
      <c r="F184" s="89">
        <f>SUM(F185:F186)</f>
        <v>0</v>
      </c>
      <c r="G184" s="89">
        <f>SUM(G185:G186)</f>
        <v>0</v>
      </c>
      <c r="H184" s="89">
        <f>SUM(H185:H186)</f>
        <v>0</v>
      </c>
      <c r="I184" s="89">
        <f>SUM(I185:I186)</f>
        <v>0</v>
      </c>
      <c r="J184" s="89">
        <f t="shared" si="68"/>
        <v>2</v>
      </c>
      <c r="K184" s="77">
        <f>SUM(K185:K186)</f>
        <v>10800</v>
      </c>
      <c r="L184" s="77">
        <f>SUM(L185:L186)</f>
        <v>0</v>
      </c>
      <c r="M184" s="77">
        <f>SUM(M185:M186)</f>
        <v>0</v>
      </c>
      <c r="N184" s="77">
        <f>SUM(N185:N186)</f>
        <v>0</v>
      </c>
      <c r="O184" s="77">
        <f>SUM(O185:O186)</f>
        <v>0</v>
      </c>
      <c r="P184" s="77">
        <f t="shared" si="70"/>
        <v>10800</v>
      </c>
      <c r="Q184" s="77">
        <f t="shared" si="71"/>
        <v>10800</v>
      </c>
      <c r="R184" s="82"/>
    </row>
    <row r="185" spans="1:18" s="8" customFormat="1" outlineLevel="1">
      <c r="A185" s="92" t="s">
        <v>471</v>
      </c>
      <c r="B185" s="92" t="s">
        <v>472</v>
      </c>
      <c r="C185" s="74" t="s">
        <v>473</v>
      </c>
      <c r="D185" s="21"/>
      <c r="E185" s="21">
        <v>1</v>
      </c>
      <c r="F185" s="21"/>
      <c r="G185" s="21"/>
      <c r="H185" s="21"/>
      <c r="I185" s="21"/>
      <c r="J185" s="2">
        <f t="shared" si="63"/>
        <v>1</v>
      </c>
      <c r="K185" s="88">
        <v>0</v>
      </c>
      <c r="L185" s="88"/>
      <c r="M185" s="88"/>
      <c r="N185" s="88">
        <v>0</v>
      </c>
      <c r="O185" s="88"/>
      <c r="P185" s="88">
        <f t="shared" si="65"/>
        <v>0</v>
      </c>
      <c r="Q185" s="88">
        <f t="shared" si="62"/>
        <v>0</v>
      </c>
      <c r="R185" s="60" t="s">
        <v>289</v>
      </c>
    </row>
    <row r="186" spans="1:18">
      <c r="A186" s="7" t="s">
        <v>474</v>
      </c>
      <c r="B186" s="4" t="s">
        <v>475</v>
      </c>
      <c r="C186" s="30" t="s">
        <v>24</v>
      </c>
      <c r="D186" s="27"/>
      <c r="E186" s="3">
        <v>1</v>
      </c>
      <c r="F186" s="3"/>
      <c r="G186" s="3"/>
      <c r="H186" s="3"/>
      <c r="I186" s="3"/>
      <c r="J186" s="3">
        <f t="shared" si="63"/>
        <v>1</v>
      </c>
      <c r="K186" s="87">
        <f>360*30</f>
        <v>10800</v>
      </c>
      <c r="L186" s="87"/>
      <c r="M186" s="87"/>
      <c r="N186" s="87"/>
      <c r="O186" s="87"/>
      <c r="P186" s="87">
        <f t="shared" si="65"/>
        <v>10800</v>
      </c>
      <c r="Q186" s="87">
        <f t="shared" si="62"/>
        <v>10800</v>
      </c>
      <c r="R186" s="60" t="s">
        <v>476</v>
      </c>
    </row>
    <row r="187" spans="1:18" s="6" customFormat="1" ht="25.5" outlineLevel="1">
      <c r="A187" s="9" t="s">
        <v>20</v>
      </c>
      <c r="B187" s="9" t="s">
        <v>477</v>
      </c>
      <c r="C187" s="42" t="s">
        <v>478</v>
      </c>
      <c r="D187" s="89"/>
      <c r="E187" s="89">
        <v>1</v>
      </c>
      <c r="F187" s="89">
        <f>SUM(F188:F189)</f>
        <v>0</v>
      </c>
      <c r="G187" s="89">
        <f>SUM(G188:G189)</f>
        <v>0</v>
      </c>
      <c r="H187" s="89">
        <f>SUM(H188:H189)</f>
        <v>0</v>
      </c>
      <c r="I187" s="89">
        <f>SUM(I188:I189)</f>
        <v>0</v>
      </c>
      <c r="J187" s="89">
        <f t="shared" si="63"/>
        <v>1</v>
      </c>
      <c r="K187" s="77">
        <f>SUM(K188:K189)</f>
        <v>21600</v>
      </c>
      <c r="L187" s="77">
        <f>SUM(L188:L189)</f>
        <v>0</v>
      </c>
      <c r="M187" s="77">
        <f>SUM(M188:M189)</f>
        <v>0</v>
      </c>
      <c r="N187" s="77">
        <f>SUM(N188:N189)</f>
        <v>0</v>
      </c>
      <c r="O187" s="77">
        <f>SUM(O188:O189)</f>
        <v>0</v>
      </c>
      <c r="P187" s="77">
        <f t="shared" si="65"/>
        <v>21600</v>
      </c>
      <c r="Q187" s="77">
        <f t="shared" si="62"/>
        <v>21600</v>
      </c>
      <c r="R187" s="82"/>
    </row>
    <row r="188" spans="1:18" s="8" customFormat="1" ht="30" outlineLevel="1">
      <c r="A188" s="7" t="s">
        <v>479</v>
      </c>
      <c r="B188" s="7" t="s">
        <v>480</v>
      </c>
      <c r="C188" s="74" t="s">
        <v>473</v>
      </c>
      <c r="D188" s="23"/>
      <c r="E188" s="23">
        <v>1</v>
      </c>
      <c r="F188" s="23"/>
      <c r="G188" s="23"/>
      <c r="H188" s="23"/>
      <c r="I188" s="23"/>
      <c r="J188" s="3">
        <f t="shared" si="63"/>
        <v>1</v>
      </c>
      <c r="K188" s="87">
        <v>0</v>
      </c>
      <c r="L188" s="87"/>
      <c r="M188" s="87"/>
      <c r="N188" s="87"/>
      <c r="O188" s="87"/>
      <c r="P188" s="87">
        <f t="shared" si="65"/>
        <v>0</v>
      </c>
      <c r="Q188" s="87">
        <f t="shared" si="62"/>
        <v>0</v>
      </c>
      <c r="R188" s="60" t="s">
        <v>289</v>
      </c>
    </row>
    <row r="189" spans="1:18">
      <c r="A189" s="7" t="s">
        <v>481</v>
      </c>
      <c r="B189" s="4" t="s">
        <v>475</v>
      </c>
      <c r="C189" s="30" t="s">
        <v>24</v>
      </c>
      <c r="D189" s="27"/>
      <c r="E189" s="3">
        <v>1</v>
      </c>
      <c r="F189" s="3"/>
      <c r="G189" s="3"/>
      <c r="H189" s="3"/>
      <c r="I189" s="3"/>
      <c r="J189" s="3">
        <f t="shared" si="63"/>
        <v>1</v>
      </c>
      <c r="K189" s="87">
        <f>360*60</f>
        <v>21600</v>
      </c>
      <c r="L189" s="87"/>
      <c r="M189" s="87"/>
      <c r="N189" s="87"/>
      <c r="O189" s="87"/>
      <c r="P189" s="87">
        <f t="shared" si="65"/>
        <v>21600</v>
      </c>
      <c r="Q189" s="87">
        <f t="shared" si="62"/>
        <v>21600</v>
      </c>
      <c r="R189" s="60" t="s">
        <v>482</v>
      </c>
    </row>
    <row r="190" spans="1:18" s="6" customFormat="1" outlineLevel="1">
      <c r="A190" s="84" t="s">
        <v>20</v>
      </c>
      <c r="B190" s="84" t="s">
        <v>483</v>
      </c>
      <c r="C190" s="43" t="s">
        <v>484</v>
      </c>
      <c r="D190" s="85"/>
      <c r="E190" s="85">
        <f>SUM(E191)</f>
        <v>1</v>
      </c>
      <c r="F190" s="85">
        <f>SUM(F191)</f>
        <v>0</v>
      </c>
      <c r="G190" s="85">
        <f>SUM(G191)</f>
        <v>0</v>
      </c>
      <c r="H190" s="85">
        <f>SUM(H191)</f>
        <v>0</v>
      </c>
      <c r="I190" s="85">
        <f>SUM(I191)</f>
        <v>0</v>
      </c>
      <c r="J190" s="85">
        <f t="shared" si="63"/>
        <v>1</v>
      </c>
      <c r="K190" s="81">
        <f>K191</f>
        <v>120000</v>
      </c>
      <c r="L190" s="81">
        <f>L191</f>
        <v>0</v>
      </c>
      <c r="M190" s="81">
        <f>M191</f>
        <v>0</v>
      </c>
      <c r="N190" s="81">
        <f>N191</f>
        <v>0</v>
      </c>
      <c r="O190" s="81">
        <f>O191</f>
        <v>0</v>
      </c>
      <c r="P190" s="81">
        <f t="shared" si="65"/>
        <v>120000</v>
      </c>
      <c r="Q190" s="81">
        <f t="shared" si="62"/>
        <v>120000</v>
      </c>
      <c r="R190" s="82"/>
    </row>
    <row r="191" spans="1:18" s="8" customFormat="1" ht="25.5" outlineLevel="1">
      <c r="A191" s="7" t="s">
        <v>485</v>
      </c>
      <c r="B191" s="7" t="s">
        <v>486</v>
      </c>
      <c r="C191" s="74" t="s">
        <v>487</v>
      </c>
      <c r="D191" s="23"/>
      <c r="E191" s="23">
        <v>1</v>
      </c>
      <c r="F191" s="23"/>
      <c r="G191" s="23"/>
      <c r="H191" s="23"/>
      <c r="I191" s="23"/>
      <c r="J191" s="3">
        <f t="shared" si="63"/>
        <v>1</v>
      </c>
      <c r="K191" s="87">
        <v>120000</v>
      </c>
      <c r="L191" s="87"/>
      <c r="M191" s="87"/>
      <c r="N191" s="87"/>
      <c r="O191" s="87"/>
      <c r="P191" s="87">
        <f t="shared" si="65"/>
        <v>120000</v>
      </c>
      <c r="Q191" s="87">
        <f t="shared" si="62"/>
        <v>120000</v>
      </c>
      <c r="R191" s="60" t="s">
        <v>239</v>
      </c>
    </row>
    <row r="192" spans="1:18" s="6" customFormat="1" ht="38.25" outlineLevel="1">
      <c r="A192" s="84" t="s">
        <v>20</v>
      </c>
      <c r="B192" s="84" t="s">
        <v>488</v>
      </c>
      <c r="C192" s="43" t="s">
        <v>489</v>
      </c>
      <c r="D192" s="85"/>
      <c r="E192" s="85">
        <f>SUM(E193:E194)</f>
        <v>0</v>
      </c>
      <c r="F192" s="85">
        <v>1</v>
      </c>
      <c r="G192" s="85">
        <f>SUM(G193:G194)</f>
        <v>0</v>
      </c>
      <c r="H192" s="85">
        <f>SUM(H193:H194)</f>
        <v>0</v>
      </c>
      <c r="I192" s="85">
        <f>SUM(I193:I194)</f>
        <v>0</v>
      </c>
      <c r="J192" s="85">
        <f t="shared" si="63"/>
        <v>1</v>
      </c>
      <c r="K192" s="81">
        <f>SUM(K193:K194)</f>
        <v>0</v>
      </c>
      <c r="L192" s="81">
        <f>SUM(L193:L194)</f>
        <v>43200</v>
      </c>
      <c r="M192" s="81">
        <f>SUM(M193:M194)</f>
        <v>0</v>
      </c>
      <c r="N192" s="81">
        <f>SUM(N193:N194)</f>
        <v>0</v>
      </c>
      <c r="O192" s="81">
        <f>SUM(O193:O194)</f>
        <v>0</v>
      </c>
      <c r="P192" s="81">
        <f t="shared" si="65"/>
        <v>43200</v>
      </c>
      <c r="Q192" s="81">
        <f t="shared" si="62"/>
        <v>43200</v>
      </c>
      <c r="R192" s="82"/>
    </row>
    <row r="193" spans="1:18" s="8" customFormat="1" ht="30" outlineLevel="1">
      <c r="A193" s="7" t="s">
        <v>490</v>
      </c>
      <c r="B193" s="7" t="s">
        <v>491</v>
      </c>
      <c r="C193" s="74" t="s">
        <v>492</v>
      </c>
      <c r="D193" s="23"/>
      <c r="E193" s="23"/>
      <c r="F193" s="23">
        <v>1</v>
      </c>
      <c r="G193" s="23"/>
      <c r="H193" s="23"/>
      <c r="I193" s="23"/>
      <c r="J193" s="3">
        <f t="shared" si="63"/>
        <v>1</v>
      </c>
      <c r="K193" s="87">
        <v>0</v>
      </c>
      <c r="L193" s="87"/>
      <c r="M193" s="87"/>
      <c r="N193" s="87"/>
      <c r="O193" s="87"/>
      <c r="P193" s="87">
        <f t="shared" si="65"/>
        <v>0</v>
      </c>
      <c r="Q193" s="87">
        <f t="shared" ref="Q193:Q210" si="72">P193</f>
        <v>0</v>
      </c>
      <c r="R193" s="60" t="s">
        <v>289</v>
      </c>
    </row>
    <row r="194" spans="1:18" s="19" customFormat="1">
      <c r="A194" s="7" t="s">
        <v>493</v>
      </c>
      <c r="B194" s="4" t="s">
        <v>475</v>
      </c>
      <c r="C194" s="74" t="s">
        <v>24</v>
      </c>
      <c r="D194" s="39"/>
      <c r="E194" s="2"/>
      <c r="F194" s="2">
        <v>1</v>
      </c>
      <c r="G194" s="2"/>
      <c r="H194" s="2"/>
      <c r="I194" s="2"/>
      <c r="J194" s="3">
        <f t="shared" si="63"/>
        <v>1</v>
      </c>
      <c r="K194" s="88"/>
      <c r="L194" s="88">
        <f>360*120</f>
        <v>43200</v>
      </c>
      <c r="M194" s="88"/>
      <c r="N194" s="88"/>
      <c r="O194" s="88"/>
      <c r="P194" s="87">
        <f t="shared" si="65"/>
        <v>43200</v>
      </c>
      <c r="Q194" s="87">
        <f t="shared" si="72"/>
        <v>43200</v>
      </c>
      <c r="R194" s="60" t="s">
        <v>239</v>
      </c>
    </row>
    <row r="195" spans="1:18" s="6" customFormat="1" ht="25.5" outlineLevel="1">
      <c r="A195" s="84" t="s">
        <v>20</v>
      </c>
      <c r="B195" s="84" t="s">
        <v>494</v>
      </c>
      <c r="C195" s="43" t="s">
        <v>495</v>
      </c>
      <c r="D195" s="85"/>
      <c r="E195" s="85">
        <f>SUM(E196:E197)</f>
        <v>0</v>
      </c>
      <c r="F195" s="85">
        <v>1</v>
      </c>
      <c r="G195" s="85">
        <f>SUM(G196:G197)</f>
        <v>0</v>
      </c>
      <c r="H195" s="85">
        <f>SUM(H196:H197)</f>
        <v>0</v>
      </c>
      <c r="I195" s="85">
        <f>SUM(I196:I197)</f>
        <v>0</v>
      </c>
      <c r="J195" s="85">
        <f t="shared" si="63"/>
        <v>1</v>
      </c>
      <c r="K195" s="81">
        <f>SUM(K196:K197)</f>
        <v>0</v>
      </c>
      <c r="L195" s="81">
        <f>SUM(L196:L197)</f>
        <v>200000</v>
      </c>
      <c r="M195" s="81">
        <f>SUM(M196:M197)</f>
        <v>0</v>
      </c>
      <c r="N195" s="81">
        <f>SUM(N196:N197)</f>
        <v>0</v>
      </c>
      <c r="O195" s="81">
        <f>SUM(O196:O197)</f>
        <v>0</v>
      </c>
      <c r="P195" s="81">
        <f t="shared" si="65"/>
        <v>200000</v>
      </c>
      <c r="Q195" s="81">
        <f t="shared" si="72"/>
        <v>200000</v>
      </c>
      <c r="R195" s="82"/>
    </row>
    <row r="196" spans="1:18" s="19" customFormat="1" ht="25.5">
      <c r="A196" s="7" t="s">
        <v>496</v>
      </c>
      <c r="B196" s="7" t="s">
        <v>497</v>
      </c>
      <c r="C196" s="74" t="s">
        <v>487</v>
      </c>
      <c r="D196" s="39"/>
      <c r="E196" s="2"/>
      <c r="F196" s="2">
        <v>1</v>
      </c>
      <c r="G196" s="2"/>
      <c r="H196" s="2"/>
      <c r="I196" s="2"/>
      <c r="J196" s="3">
        <f t="shared" si="63"/>
        <v>1</v>
      </c>
      <c r="K196" s="88"/>
      <c r="L196" s="88">
        <v>180000</v>
      </c>
      <c r="M196" s="88"/>
      <c r="N196" s="88"/>
      <c r="O196" s="88"/>
      <c r="P196" s="87">
        <f t="shared" si="65"/>
        <v>180000</v>
      </c>
      <c r="Q196" s="87">
        <f t="shared" si="72"/>
        <v>180000</v>
      </c>
      <c r="R196" s="60" t="s">
        <v>239</v>
      </c>
    </row>
    <row r="197" spans="1:18" s="19" customFormat="1" ht="29.25" customHeight="1">
      <c r="A197" s="7" t="s">
        <v>498</v>
      </c>
      <c r="B197" s="40" t="s">
        <v>499</v>
      </c>
      <c r="C197" s="74" t="s">
        <v>500</v>
      </c>
      <c r="D197" s="39"/>
      <c r="E197" s="2"/>
      <c r="F197" s="2">
        <v>1</v>
      </c>
      <c r="G197" s="2"/>
      <c r="H197" s="2"/>
      <c r="I197" s="2"/>
      <c r="J197" s="3">
        <f t="shared" si="63"/>
        <v>1</v>
      </c>
      <c r="K197" s="88"/>
      <c r="L197" s="88">
        <v>20000</v>
      </c>
      <c r="M197" s="88"/>
      <c r="N197" s="88"/>
      <c r="O197" s="88"/>
      <c r="P197" s="87">
        <f t="shared" si="65"/>
        <v>20000</v>
      </c>
      <c r="Q197" s="87">
        <f t="shared" si="72"/>
        <v>20000</v>
      </c>
      <c r="R197" s="60" t="s">
        <v>239</v>
      </c>
    </row>
    <row r="198" spans="1:18" s="6" customFormat="1" outlineLevel="1">
      <c r="A198" s="84" t="s">
        <v>20</v>
      </c>
      <c r="B198" s="84" t="s">
        <v>501</v>
      </c>
      <c r="C198" s="43" t="s">
        <v>28</v>
      </c>
      <c r="D198" s="85"/>
      <c r="E198" s="85">
        <f>SUM(E199:E200)</f>
        <v>0</v>
      </c>
      <c r="F198" s="85">
        <f>SUM(F199:F200)</f>
        <v>10</v>
      </c>
      <c r="G198" s="85">
        <f t="shared" ref="G198:I198" si="73">SUM(G199:G200)</f>
        <v>0</v>
      </c>
      <c r="H198" s="85">
        <f t="shared" si="73"/>
        <v>0</v>
      </c>
      <c r="I198" s="85">
        <f t="shared" si="73"/>
        <v>0</v>
      </c>
      <c r="J198" s="85">
        <f t="shared" ref="J198" si="74">SUM(E198:I198)</f>
        <v>10</v>
      </c>
      <c r="K198" s="81">
        <f>SUM(K199:K200)</f>
        <v>0</v>
      </c>
      <c r="L198" s="81">
        <f>SUM(L199:L200)</f>
        <v>22585.5</v>
      </c>
      <c r="M198" s="81">
        <f t="shared" ref="M198:O198" si="75">SUM(M199:M200)</f>
        <v>0</v>
      </c>
      <c r="N198" s="81">
        <f t="shared" si="75"/>
        <v>0</v>
      </c>
      <c r="O198" s="81">
        <f t="shared" si="75"/>
        <v>0</v>
      </c>
      <c r="P198" s="81">
        <f t="shared" ref="P198" si="76">SUM(K198:O198)</f>
        <v>22585.5</v>
      </c>
      <c r="Q198" s="81">
        <f t="shared" si="72"/>
        <v>22585.5</v>
      </c>
      <c r="R198" s="81">
        <f t="shared" ref="R198" si="77">Q198</f>
        <v>22585.5</v>
      </c>
    </row>
    <row r="199" spans="1:18" s="19" customFormat="1">
      <c r="A199" s="7" t="s">
        <v>502</v>
      </c>
      <c r="B199" s="7" t="s">
        <v>503</v>
      </c>
      <c r="C199" s="74" t="s">
        <v>28</v>
      </c>
      <c r="D199" s="39"/>
      <c r="E199" s="2"/>
      <c r="F199" s="2">
        <v>1</v>
      </c>
      <c r="G199" s="2"/>
      <c r="H199" s="2"/>
      <c r="I199" s="2"/>
      <c r="J199" s="3">
        <f t="shared" ref="J199:J200" si="78">SUM(E199:I199)</f>
        <v>1</v>
      </c>
      <c r="K199" s="88"/>
      <c r="L199" s="88">
        <v>1350</v>
      </c>
      <c r="M199" s="88"/>
      <c r="N199" s="88"/>
      <c r="O199" s="88"/>
      <c r="P199" s="87">
        <f t="shared" ref="P199:P200" si="79">SUM(K199:O199)</f>
        <v>1350</v>
      </c>
      <c r="Q199" s="87">
        <f t="shared" ref="Q199:Q200" si="80">P199</f>
        <v>1350</v>
      </c>
      <c r="R199" s="60" t="s">
        <v>504</v>
      </c>
    </row>
    <row r="200" spans="1:18" s="19" customFormat="1">
      <c r="A200" s="7" t="s">
        <v>505</v>
      </c>
      <c r="B200" s="7" t="s">
        <v>506</v>
      </c>
      <c r="C200" s="74" t="s">
        <v>28</v>
      </c>
      <c r="D200" s="39"/>
      <c r="E200" s="2"/>
      <c r="F200" s="2">
        <v>9</v>
      </c>
      <c r="G200" s="2"/>
      <c r="H200" s="2"/>
      <c r="I200" s="2"/>
      <c r="J200" s="3">
        <f t="shared" si="78"/>
        <v>9</v>
      </c>
      <c r="K200" s="88"/>
      <c r="L200" s="88">
        <f>(7*9*15*2)+(450*2*9)+(208.25*2*9*3)</f>
        <v>21235.5</v>
      </c>
      <c r="M200" s="88"/>
      <c r="N200" s="88"/>
      <c r="O200" s="88"/>
      <c r="P200" s="87">
        <f t="shared" si="79"/>
        <v>21235.5</v>
      </c>
      <c r="Q200" s="87">
        <f t="shared" si="80"/>
        <v>21235.5</v>
      </c>
      <c r="R200" s="60"/>
    </row>
    <row r="201" spans="1:18" s="6" customFormat="1" outlineLevel="1">
      <c r="A201" s="84" t="s">
        <v>20</v>
      </c>
      <c r="B201" s="84" t="s">
        <v>507</v>
      </c>
      <c r="C201" s="43" t="s">
        <v>508</v>
      </c>
      <c r="D201" s="85"/>
      <c r="E201" s="85">
        <f>SUM(E202:E202)</f>
        <v>0</v>
      </c>
      <c r="F201" s="85">
        <f>SUM(F202:F202)</f>
        <v>1</v>
      </c>
      <c r="G201" s="85">
        <f>SUM(G202:G202)</f>
        <v>1</v>
      </c>
      <c r="H201" s="85">
        <f>SUM(H202:H202)</f>
        <v>0</v>
      </c>
      <c r="I201" s="85">
        <f>SUM(I202:I202)</f>
        <v>0</v>
      </c>
      <c r="J201" s="85">
        <f t="shared" si="63"/>
        <v>2</v>
      </c>
      <c r="K201" s="81">
        <f>SUM(K202:K202)</f>
        <v>0</v>
      </c>
      <c r="L201" s="81">
        <f>SUM(L202:L202)</f>
        <v>150000</v>
      </c>
      <c r="M201" s="81">
        <f>SUM(M202:M202)</f>
        <v>150000</v>
      </c>
      <c r="N201" s="81">
        <f>SUM(N202:N202)</f>
        <v>0</v>
      </c>
      <c r="O201" s="81">
        <f>SUM(O202:O202)</f>
        <v>0</v>
      </c>
      <c r="P201" s="81">
        <f t="shared" si="65"/>
        <v>300000</v>
      </c>
      <c r="Q201" s="81">
        <f t="shared" si="72"/>
        <v>300000</v>
      </c>
      <c r="R201" s="82"/>
    </row>
    <row r="202" spans="1:18" s="19" customFormat="1">
      <c r="A202" s="7" t="s">
        <v>509</v>
      </c>
      <c r="B202" s="7" t="s">
        <v>510</v>
      </c>
      <c r="C202" s="74" t="s">
        <v>66</v>
      </c>
      <c r="D202" s="39"/>
      <c r="E202" s="2"/>
      <c r="F202" s="2">
        <v>1</v>
      </c>
      <c r="G202" s="2">
        <v>1</v>
      </c>
      <c r="H202" s="2"/>
      <c r="I202" s="2"/>
      <c r="J202" s="3">
        <f t="shared" si="63"/>
        <v>2</v>
      </c>
      <c r="K202" s="88"/>
      <c r="L202" s="88">
        <v>150000</v>
      </c>
      <c r="M202" s="88">
        <v>150000</v>
      </c>
      <c r="N202" s="88"/>
      <c r="O202" s="88"/>
      <c r="P202" s="87">
        <f t="shared" si="65"/>
        <v>300000</v>
      </c>
      <c r="Q202" s="87">
        <f t="shared" si="72"/>
        <v>300000</v>
      </c>
      <c r="R202" s="60" t="s">
        <v>239</v>
      </c>
    </row>
    <row r="203" spans="1:18" s="38" customFormat="1" ht="26.25" customHeight="1" outlineLevel="1">
      <c r="A203" s="92" t="s">
        <v>511</v>
      </c>
      <c r="B203" s="92" t="s">
        <v>512</v>
      </c>
      <c r="C203" s="25" t="s">
        <v>508</v>
      </c>
      <c r="D203" s="25"/>
      <c r="E203" s="25"/>
      <c r="F203" s="25"/>
      <c r="G203" s="25"/>
      <c r="H203" s="25"/>
      <c r="I203" s="25"/>
      <c r="J203" s="25">
        <f t="shared" si="63"/>
        <v>0</v>
      </c>
      <c r="K203" s="25">
        <f>K204+K206</f>
        <v>50000</v>
      </c>
      <c r="L203" s="25">
        <f>L204+L206</f>
        <v>70000</v>
      </c>
      <c r="M203" s="25">
        <f>M204+M206</f>
        <v>70000</v>
      </c>
      <c r="N203" s="25">
        <f>N204+N206</f>
        <v>70000</v>
      </c>
      <c r="O203" s="25">
        <f>O204+O206</f>
        <v>69102</v>
      </c>
      <c r="P203" s="130">
        <f t="shared" si="65"/>
        <v>329102</v>
      </c>
      <c r="Q203" s="130">
        <f t="shared" si="72"/>
        <v>329102</v>
      </c>
      <c r="R203" s="133"/>
    </row>
    <row r="204" spans="1:18" s="6" customFormat="1" outlineLevel="1">
      <c r="A204" s="84" t="s">
        <v>20</v>
      </c>
      <c r="B204" s="84" t="s">
        <v>513</v>
      </c>
      <c r="C204" s="43" t="s">
        <v>514</v>
      </c>
      <c r="D204" s="85"/>
      <c r="E204" s="85">
        <f>SUM(E205)</f>
        <v>18</v>
      </c>
      <c r="F204" s="85">
        <f>SUM(F205)</f>
        <v>24</v>
      </c>
      <c r="G204" s="85">
        <f>SUM(G205)</f>
        <v>24</v>
      </c>
      <c r="H204" s="85">
        <f>SUM(H205)</f>
        <v>24</v>
      </c>
      <c r="I204" s="85">
        <f>SUM(I205)</f>
        <v>24</v>
      </c>
      <c r="J204" s="85">
        <f t="shared" si="63"/>
        <v>114</v>
      </c>
      <c r="K204" s="81">
        <f>SUM(K205:K205)</f>
        <v>30000</v>
      </c>
      <c r="L204" s="81">
        <f>SUM(L205:L205)</f>
        <v>50000</v>
      </c>
      <c r="M204" s="81">
        <f>SUM(M205:M205)</f>
        <v>50000</v>
      </c>
      <c r="N204" s="81">
        <f>SUM(N205:N205)</f>
        <v>50000</v>
      </c>
      <c r="O204" s="81">
        <f>SUM(O205:O205)</f>
        <v>50000</v>
      </c>
      <c r="P204" s="81">
        <f t="shared" si="65"/>
        <v>230000</v>
      </c>
      <c r="Q204" s="81">
        <f t="shared" si="72"/>
        <v>230000</v>
      </c>
      <c r="R204" s="82"/>
    </row>
    <row r="205" spans="1:18" s="8" customFormat="1" outlineLevel="1">
      <c r="A205" s="7" t="s">
        <v>515</v>
      </c>
      <c r="B205" s="7" t="s">
        <v>516</v>
      </c>
      <c r="C205" s="74" t="s">
        <v>514</v>
      </c>
      <c r="D205" s="23"/>
      <c r="E205" s="23">
        <v>18</v>
      </c>
      <c r="F205" s="23">
        <v>24</v>
      </c>
      <c r="G205" s="23">
        <v>24</v>
      </c>
      <c r="H205" s="23">
        <v>24</v>
      </c>
      <c r="I205" s="23">
        <v>24</v>
      </c>
      <c r="J205" s="3">
        <f t="shared" si="63"/>
        <v>114</v>
      </c>
      <c r="K205" s="87">
        <v>30000</v>
      </c>
      <c r="L205" s="87">
        <v>50000</v>
      </c>
      <c r="M205" s="87">
        <v>50000</v>
      </c>
      <c r="N205" s="87">
        <v>50000</v>
      </c>
      <c r="O205" s="87">
        <v>50000</v>
      </c>
      <c r="P205" s="87">
        <f t="shared" si="65"/>
        <v>230000</v>
      </c>
      <c r="Q205" s="87">
        <f t="shared" si="72"/>
        <v>230000</v>
      </c>
      <c r="R205" s="60" t="s">
        <v>239</v>
      </c>
    </row>
    <row r="206" spans="1:18" s="6" customFormat="1" outlineLevel="1">
      <c r="A206" s="84" t="s">
        <v>20</v>
      </c>
      <c r="B206" s="84" t="s">
        <v>517</v>
      </c>
      <c r="C206" s="43" t="s">
        <v>117</v>
      </c>
      <c r="D206" s="85"/>
      <c r="E206" s="85">
        <f>SUM(E207:E207)</f>
        <v>2</v>
      </c>
      <c r="F206" s="85">
        <f>SUM(F207:F207)</f>
        <v>2</v>
      </c>
      <c r="G206" s="85">
        <f>SUM(G207:G207)</f>
        <v>2</v>
      </c>
      <c r="H206" s="85">
        <f>SUM(H207:H207)</f>
        <v>2</v>
      </c>
      <c r="I206" s="85">
        <f>SUM(I207:I207)</f>
        <v>2</v>
      </c>
      <c r="J206" s="85">
        <f t="shared" si="63"/>
        <v>10</v>
      </c>
      <c r="K206" s="85">
        <f>SUM(K207:K207)</f>
        <v>20000</v>
      </c>
      <c r="L206" s="85">
        <f>SUM(L207:L207)</f>
        <v>20000</v>
      </c>
      <c r="M206" s="85">
        <f>SUM(M207:M207)</f>
        <v>20000</v>
      </c>
      <c r="N206" s="85">
        <f>SUM(N207:N207)</f>
        <v>20000</v>
      </c>
      <c r="O206" s="85">
        <f>SUM(O207:O207)</f>
        <v>19102</v>
      </c>
      <c r="P206" s="81">
        <f t="shared" si="65"/>
        <v>99102</v>
      </c>
      <c r="Q206" s="81">
        <f t="shared" si="72"/>
        <v>99102</v>
      </c>
      <c r="R206" s="82"/>
    </row>
    <row r="207" spans="1:18" s="8" customFormat="1" ht="24" customHeight="1" outlineLevel="1">
      <c r="A207" s="7" t="s">
        <v>518</v>
      </c>
      <c r="B207" s="7" t="s">
        <v>519</v>
      </c>
      <c r="C207" s="74" t="s">
        <v>117</v>
      </c>
      <c r="D207" s="23"/>
      <c r="E207" s="23">
        <v>2</v>
      </c>
      <c r="F207" s="23">
        <v>2</v>
      </c>
      <c r="G207" s="23">
        <v>2</v>
      </c>
      <c r="H207" s="23">
        <v>2</v>
      </c>
      <c r="I207" s="23">
        <v>2</v>
      </c>
      <c r="J207" s="3">
        <f t="shared" si="63"/>
        <v>10</v>
      </c>
      <c r="K207" s="23">
        <v>20000</v>
      </c>
      <c r="L207" s="23">
        <v>20000</v>
      </c>
      <c r="M207" s="23">
        <v>20000</v>
      </c>
      <c r="N207" s="23">
        <v>20000</v>
      </c>
      <c r="O207" s="23">
        <f>20000-898</f>
        <v>19102</v>
      </c>
      <c r="P207" s="87">
        <f t="shared" si="65"/>
        <v>99102</v>
      </c>
      <c r="Q207" s="87">
        <f t="shared" si="72"/>
        <v>99102</v>
      </c>
      <c r="R207" s="60" t="s">
        <v>239</v>
      </c>
    </row>
    <row r="208" spans="1:18" s="38" customFormat="1" ht="19.5" customHeight="1" outlineLevel="1">
      <c r="A208" s="9" t="s">
        <v>520</v>
      </c>
      <c r="B208" s="9" t="s">
        <v>521</v>
      </c>
      <c r="C208" s="42" t="s">
        <v>32</v>
      </c>
      <c r="D208" s="89"/>
      <c r="E208" s="89">
        <f>E209</f>
        <v>1</v>
      </c>
      <c r="F208" s="89">
        <f>F209</f>
        <v>1</v>
      </c>
      <c r="G208" s="89">
        <f>G209</f>
        <v>1</v>
      </c>
      <c r="H208" s="89">
        <f>H209</f>
        <v>1</v>
      </c>
      <c r="I208" s="89">
        <f>I209</f>
        <v>1</v>
      </c>
      <c r="J208" s="89">
        <f t="shared" si="63"/>
        <v>5</v>
      </c>
      <c r="K208" s="89">
        <f>K209</f>
        <v>200000</v>
      </c>
      <c r="L208" s="89">
        <f>L209</f>
        <v>200000</v>
      </c>
      <c r="M208" s="89">
        <f>M209</f>
        <v>200000</v>
      </c>
      <c r="N208" s="89">
        <f>N209</f>
        <v>200000</v>
      </c>
      <c r="O208" s="89">
        <f>O209</f>
        <v>200000</v>
      </c>
      <c r="P208" s="77">
        <f t="shared" si="65"/>
        <v>1000000</v>
      </c>
      <c r="Q208" s="77">
        <f t="shared" si="72"/>
        <v>1000000</v>
      </c>
      <c r="R208" s="61"/>
    </row>
    <row r="209" spans="1:18" s="6" customFormat="1" ht="30" outlineLevel="1">
      <c r="A209" s="84" t="s">
        <v>20</v>
      </c>
      <c r="B209" s="84" t="s">
        <v>522</v>
      </c>
      <c r="C209" s="43" t="s">
        <v>134</v>
      </c>
      <c r="D209" s="85"/>
      <c r="E209" s="81">
        <f>SUM(E210)</f>
        <v>1</v>
      </c>
      <c r="F209" s="81">
        <f>SUM(F210)</f>
        <v>1</v>
      </c>
      <c r="G209" s="81">
        <f>SUM(G210)</f>
        <v>1</v>
      </c>
      <c r="H209" s="81">
        <f>SUM(H210)</f>
        <v>1</v>
      </c>
      <c r="I209" s="81">
        <f>SUM(I210)</f>
        <v>1</v>
      </c>
      <c r="J209" s="85">
        <f t="shared" si="63"/>
        <v>5</v>
      </c>
      <c r="K209" s="81">
        <f>SUM(K210)</f>
        <v>200000</v>
      </c>
      <c r="L209" s="81">
        <f>SUM(L210)</f>
        <v>200000</v>
      </c>
      <c r="M209" s="81">
        <f>SUM(M210)</f>
        <v>200000</v>
      </c>
      <c r="N209" s="81">
        <f>SUM(N210)</f>
        <v>200000</v>
      </c>
      <c r="O209" s="81">
        <f>SUM(O210)</f>
        <v>200000</v>
      </c>
      <c r="P209" s="81">
        <f t="shared" si="65"/>
        <v>1000000</v>
      </c>
      <c r="Q209" s="81">
        <f t="shared" si="72"/>
        <v>1000000</v>
      </c>
      <c r="R209" s="82"/>
    </row>
    <row r="210" spans="1:18" s="8" customFormat="1" outlineLevel="1">
      <c r="A210" s="60" t="s">
        <v>523</v>
      </c>
      <c r="B210" s="60" t="s">
        <v>524</v>
      </c>
      <c r="C210" s="60" t="s">
        <v>24</v>
      </c>
      <c r="D210" s="60"/>
      <c r="E210" s="60">
        <v>1</v>
      </c>
      <c r="F210" s="60">
        <v>1</v>
      </c>
      <c r="G210" s="60">
        <v>1</v>
      </c>
      <c r="H210" s="60">
        <v>1</v>
      </c>
      <c r="I210" s="60">
        <v>1</v>
      </c>
      <c r="J210" s="60">
        <f t="shared" ref="J210" si="81">SUM(E210:I210)</f>
        <v>5</v>
      </c>
      <c r="K210" s="60">
        <v>200000</v>
      </c>
      <c r="L210" s="60">
        <v>200000</v>
      </c>
      <c r="M210" s="60">
        <v>200000</v>
      </c>
      <c r="N210" s="60">
        <v>200000</v>
      </c>
      <c r="O210" s="60">
        <v>200000</v>
      </c>
      <c r="P210" s="60">
        <f t="shared" ref="P210" si="82">SUM(K210:O210)</f>
        <v>1000000</v>
      </c>
      <c r="Q210" s="60">
        <f t="shared" si="72"/>
        <v>1000000</v>
      </c>
      <c r="R210" s="60" t="s">
        <v>525</v>
      </c>
    </row>
    <row r="211" spans="1:18" s="11" customFormat="1" outlineLevel="1">
      <c r="A211" s="11">
        <v>4</v>
      </c>
      <c r="B211" s="11" t="s">
        <v>526</v>
      </c>
      <c r="C211" s="48"/>
      <c r="D211" s="86"/>
      <c r="E211" s="86"/>
      <c r="F211" s="86"/>
      <c r="G211" s="86"/>
      <c r="H211" s="86"/>
      <c r="I211" s="86"/>
      <c r="J211" s="86"/>
      <c r="K211" s="86">
        <f>+K212+K217+K222+K226+K229</f>
        <v>911862.01834632037</v>
      </c>
      <c r="L211" s="86">
        <f t="shared" ref="L211:O211" si="83">+L212+L217+L222+L226+L229</f>
        <v>842013.53800000006</v>
      </c>
      <c r="M211" s="86">
        <f t="shared" si="83"/>
        <v>866862.01834632037</v>
      </c>
      <c r="N211" s="86">
        <f t="shared" si="83"/>
        <v>836862.01800000004</v>
      </c>
      <c r="O211" s="86">
        <f t="shared" si="83"/>
        <v>966862.01834632037</v>
      </c>
      <c r="P211" s="86">
        <f>SUM(K211:O211)</f>
        <v>4424461.6110389614</v>
      </c>
      <c r="Q211" s="32">
        <f>P211</f>
        <v>4424461.6110389614</v>
      </c>
      <c r="R211" s="63"/>
    </row>
    <row r="212" spans="1:18" s="38" customFormat="1" outlineLevel="1">
      <c r="A212" s="9"/>
      <c r="B212" s="9" t="s">
        <v>527</v>
      </c>
      <c r="C212" s="42" t="s">
        <v>32</v>
      </c>
      <c r="D212" s="89"/>
      <c r="E212" s="89">
        <v>1</v>
      </c>
      <c r="F212" s="89">
        <v>1</v>
      </c>
      <c r="G212" s="89">
        <v>1</v>
      </c>
      <c r="H212" s="89">
        <v>1</v>
      </c>
      <c r="I212" s="89">
        <v>1</v>
      </c>
      <c r="J212" s="89">
        <f t="shared" ref="J212:Q212" si="84">J213</f>
        <v>5</v>
      </c>
      <c r="K212" s="89">
        <f t="shared" si="84"/>
        <v>425425.26999999996</v>
      </c>
      <c r="L212" s="89">
        <f t="shared" si="84"/>
        <v>425425.26999999996</v>
      </c>
      <c r="M212" s="89">
        <f t="shared" si="84"/>
        <v>425425.26999999996</v>
      </c>
      <c r="N212" s="89">
        <f t="shared" si="84"/>
        <v>425425.26999999996</v>
      </c>
      <c r="O212" s="89">
        <f t="shared" si="84"/>
        <v>425425.26999999996</v>
      </c>
      <c r="P212" s="89">
        <f t="shared" si="84"/>
        <v>2127126.3499999996</v>
      </c>
      <c r="Q212" s="89">
        <f t="shared" si="84"/>
        <v>2127126.3499999996</v>
      </c>
      <c r="R212" s="124"/>
    </row>
    <row r="213" spans="1:18" s="15" customFormat="1" outlineLevel="1">
      <c r="A213" s="9" t="s">
        <v>33</v>
      </c>
      <c r="B213" s="84" t="s">
        <v>528</v>
      </c>
      <c r="C213" s="134" t="s">
        <v>32</v>
      </c>
      <c r="D213" s="22"/>
      <c r="E213" s="85">
        <v>1</v>
      </c>
      <c r="F213" s="85">
        <v>1</v>
      </c>
      <c r="G213" s="85">
        <v>1</v>
      </c>
      <c r="H213" s="85">
        <v>1</v>
      </c>
      <c r="I213" s="85">
        <v>1</v>
      </c>
      <c r="J213" s="85">
        <f>SUM(E213:I213)</f>
        <v>5</v>
      </c>
      <c r="K213" s="89">
        <f>SUM(K214:K216)</f>
        <v>425425.26999999996</v>
      </c>
      <c r="L213" s="89">
        <f>SUM(L214:L216)</f>
        <v>425425.26999999996</v>
      </c>
      <c r="M213" s="89">
        <f>SUM(M214:M216)</f>
        <v>425425.26999999996</v>
      </c>
      <c r="N213" s="89">
        <f>SUM(N214:N216)</f>
        <v>425425.26999999996</v>
      </c>
      <c r="O213" s="89">
        <f>SUM(O214:O216)</f>
        <v>425425.26999999996</v>
      </c>
      <c r="P213" s="89">
        <f>SUM(K213:O213)</f>
        <v>2127126.3499999996</v>
      </c>
      <c r="Q213" s="89">
        <f>P213</f>
        <v>2127126.3499999996</v>
      </c>
      <c r="R213" s="82"/>
    </row>
    <row r="214" spans="1:18" s="8" customFormat="1" outlineLevel="1">
      <c r="A214" s="7" t="s">
        <v>529</v>
      </c>
      <c r="B214" s="50" t="s">
        <v>530</v>
      </c>
      <c r="C214" s="74" t="s">
        <v>531</v>
      </c>
      <c r="D214" s="23"/>
      <c r="E214" s="23">
        <v>7</v>
      </c>
      <c r="F214" s="23">
        <v>7</v>
      </c>
      <c r="G214" s="23">
        <v>7</v>
      </c>
      <c r="H214" s="21">
        <v>7</v>
      </c>
      <c r="I214" s="21">
        <v>7</v>
      </c>
      <c r="J214" s="88">
        <f>SUM(E214:I214)</f>
        <v>35</v>
      </c>
      <c r="K214" s="87">
        <v>304104.34999999998</v>
      </c>
      <c r="L214" s="87">
        <v>304104.34999999998</v>
      </c>
      <c r="M214" s="87">
        <v>304104.34999999998</v>
      </c>
      <c r="N214" s="87">
        <v>304104.34999999998</v>
      </c>
      <c r="O214" s="87">
        <v>304104.34999999998</v>
      </c>
      <c r="P214" s="87">
        <f t="shared" ref="P214:P216" si="85">SUM(K214:O214)</f>
        <v>1520521.75</v>
      </c>
      <c r="Q214" s="87">
        <f t="shared" ref="Q214:Q216" si="86">P214</f>
        <v>1520521.75</v>
      </c>
      <c r="R214" s="60"/>
    </row>
    <row r="215" spans="1:18" s="8" customFormat="1" ht="25.5" outlineLevel="1">
      <c r="A215" s="7" t="s">
        <v>532</v>
      </c>
      <c r="B215" s="7" t="s">
        <v>533</v>
      </c>
      <c r="C215" s="44" t="s">
        <v>533</v>
      </c>
      <c r="D215" s="23"/>
      <c r="E215" s="23">
        <v>1</v>
      </c>
      <c r="F215" s="23">
        <v>1</v>
      </c>
      <c r="G215" s="23">
        <v>1</v>
      </c>
      <c r="H215" s="23">
        <v>1</v>
      </c>
      <c r="I215" s="23">
        <v>1</v>
      </c>
      <c r="J215" s="88">
        <v>5</v>
      </c>
      <c r="K215" s="87">
        <f>381604.6/5</f>
        <v>76320.92</v>
      </c>
      <c r="L215" s="87">
        <v>76320.92</v>
      </c>
      <c r="M215" s="87">
        <v>76320.92</v>
      </c>
      <c r="N215" s="87">
        <v>76320.92</v>
      </c>
      <c r="O215" s="87">
        <v>76320.92</v>
      </c>
      <c r="P215" s="87">
        <f t="shared" si="85"/>
        <v>381604.6</v>
      </c>
      <c r="Q215" s="87">
        <f t="shared" si="86"/>
        <v>381604.6</v>
      </c>
      <c r="R215" s="60"/>
    </row>
    <row r="216" spans="1:18">
      <c r="A216" s="7" t="s">
        <v>534</v>
      </c>
      <c r="B216" s="3" t="s">
        <v>123</v>
      </c>
      <c r="C216" s="30" t="s">
        <v>123</v>
      </c>
      <c r="D216" s="3"/>
      <c r="E216" s="3">
        <v>1</v>
      </c>
      <c r="F216" s="3">
        <v>1</v>
      </c>
      <c r="G216" s="3">
        <v>1</v>
      </c>
      <c r="H216" s="3">
        <v>1</v>
      </c>
      <c r="I216" s="3">
        <v>1</v>
      </c>
      <c r="J216" s="88">
        <f>SUM(E216:I216)</f>
        <v>5</v>
      </c>
      <c r="K216" s="87">
        <v>45000</v>
      </c>
      <c r="L216" s="87">
        <v>45000</v>
      </c>
      <c r="M216" s="87">
        <v>45000</v>
      </c>
      <c r="N216" s="87">
        <v>45000</v>
      </c>
      <c r="O216" s="87">
        <v>45000</v>
      </c>
      <c r="P216" s="87">
        <f t="shared" si="85"/>
        <v>225000</v>
      </c>
      <c r="Q216" s="87">
        <f t="shared" si="86"/>
        <v>225000</v>
      </c>
      <c r="R216" s="60"/>
    </row>
    <row r="217" spans="1:18" s="38" customFormat="1" outlineLevel="1">
      <c r="A217" s="9"/>
      <c r="B217" s="9" t="s">
        <v>535</v>
      </c>
      <c r="C217" s="42" t="s">
        <v>32</v>
      </c>
      <c r="D217" s="89"/>
      <c r="E217" s="89">
        <v>1</v>
      </c>
      <c r="F217" s="89">
        <v>1</v>
      </c>
      <c r="G217" s="89">
        <v>1</v>
      </c>
      <c r="H217" s="89">
        <v>1</v>
      </c>
      <c r="I217" s="89">
        <v>1</v>
      </c>
      <c r="J217" s="89">
        <f t="shared" ref="J217:Q217" si="87">J218</f>
        <v>35</v>
      </c>
      <c r="K217" s="89">
        <f t="shared" si="87"/>
        <v>356224.62800000003</v>
      </c>
      <c r="L217" s="89">
        <f t="shared" si="87"/>
        <v>356224.62800000003</v>
      </c>
      <c r="M217" s="89">
        <f t="shared" si="87"/>
        <v>356224.62800000003</v>
      </c>
      <c r="N217" s="89">
        <f t="shared" si="87"/>
        <v>356224.62800000003</v>
      </c>
      <c r="O217" s="89">
        <f t="shared" si="87"/>
        <v>356224.62800000003</v>
      </c>
      <c r="P217" s="89">
        <f t="shared" si="87"/>
        <v>1781123.1400000001</v>
      </c>
      <c r="Q217" s="89">
        <f t="shared" si="87"/>
        <v>1781123.1400000001</v>
      </c>
      <c r="R217" s="124"/>
    </row>
    <row r="218" spans="1:18" s="15" customFormat="1" outlineLevel="1">
      <c r="A218" s="9" t="s">
        <v>20</v>
      </c>
      <c r="B218" s="9" t="s">
        <v>535</v>
      </c>
      <c r="C218" s="43" t="s">
        <v>536</v>
      </c>
      <c r="D218" s="22"/>
      <c r="E218" s="85">
        <f>SUM(E219:E221)</f>
        <v>7</v>
      </c>
      <c r="F218" s="85">
        <f t="shared" ref="F218:I218" si="88">SUM(F219:F221)</f>
        <v>7</v>
      </c>
      <c r="G218" s="85">
        <f t="shared" si="88"/>
        <v>7</v>
      </c>
      <c r="H218" s="85">
        <f t="shared" si="88"/>
        <v>7</v>
      </c>
      <c r="I218" s="85">
        <f t="shared" si="88"/>
        <v>7</v>
      </c>
      <c r="J218" s="85">
        <f>SUM(E218:I218)</f>
        <v>35</v>
      </c>
      <c r="K218" s="85">
        <f>SUM(K219:K221)</f>
        <v>356224.62800000003</v>
      </c>
      <c r="L218" s="85">
        <f>SUM(L219:L221)</f>
        <v>356224.62800000003</v>
      </c>
      <c r="M218" s="85">
        <f>SUM(M219:M221)</f>
        <v>356224.62800000003</v>
      </c>
      <c r="N218" s="85">
        <f>SUM(N219:N221)</f>
        <v>356224.62800000003</v>
      </c>
      <c r="O218" s="85">
        <f>SUM(O219:O221)</f>
        <v>356224.62800000003</v>
      </c>
      <c r="P218" s="85">
        <f>SUM(K218:O218)</f>
        <v>1781123.1400000001</v>
      </c>
      <c r="Q218" s="81">
        <f>P218</f>
        <v>1781123.1400000001</v>
      </c>
      <c r="R218" s="82"/>
    </row>
    <row r="219" spans="1:18" s="8" customFormat="1" ht="30" outlineLevel="1">
      <c r="A219" s="92" t="s">
        <v>537</v>
      </c>
      <c r="B219" s="92" t="s">
        <v>538</v>
      </c>
      <c r="C219" s="92" t="s">
        <v>531</v>
      </c>
      <c r="D219" s="4"/>
      <c r="E219" s="4">
        <v>5</v>
      </c>
      <c r="F219" s="4">
        <v>5</v>
      </c>
      <c r="G219" s="4">
        <v>5</v>
      </c>
      <c r="H219" s="4">
        <v>5</v>
      </c>
      <c r="I219" s="4">
        <v>5</v>
      </c>
      <c r="J219" s="4">
        <v>25</v>
      </c>
      <c r="K219" s="4">
        <v>151855.4</v>
      </c>
      <c r="L219" s="4">
        <v>151855.4</v>
      </c>
      <c r="M219" s="4">
        <v>151855.4</v>
      </c>
      <c r="N219" s="4">
        <v>151855.4</v>
      </c>
      <c r="O219" s="4">
        <v>151855.4</v>
      </c>
      <c r="P219" s="4">
        <f>SUM(K219:O219)</f>
        <v>759277</v>
      </c>
      <c r="Q219" s="4">
        <f>P219</f>
        <v>759277</v>
      </c>
      <c r="R219" s="60"/>
    </row>
    <row r="220" spans="1:18" s="8" customFormat="1" ht="30" outlineLevel="1">
      <c r="A220" s="7" t="s">
        <v>539</v>
      </c>
      <c r="B220" s="7" t="s">
        <v>540</v>
      </c>
      <c r="C220" s="7" t="s">
        <v>541</v>
      </c>
      <c r="D220" s="7"/>
      <c r="E220" s="7">
        <v>1</v>
      </c>
      <c r="F220" s="7">
        <v>1</v>
      </c>
      <c r="G220" s="7">
        <v>1</v>
      </c>
      <c r="H220" s="7">
        <v>1</v>
      </c>
      <c r="I220" s="7">
        <v>1</v>
      </c>
      <c r="J220" s="7">
        <v>5</v>
      </c>
      <c r="K220" s="7">
        <v>43600</v>
      </c>
      <c r="L220" s="7">
        <v>43600</v>
      </c>
      <c r="M220" s="7">
        <v>43600</v>
      </c>
      <c r="N220" s="7">
        <v>43600</v>
      </c>
      <c r="O220" s="7">
        <v>43600</v>
      </c>
      <c r="P220" s="7">
        <f>SUM(K220:O220)</f>
        <v>218000</v>
      </c>
      <c r="Q220" s="7">
        <f>P220</f>
        <v>218000</v>
      </c>
      <c r="R220" s="60"/>
    </row>
    <row r="221" spans="1:18" s="8" customFormat="1" ht="30" outlineLevel="1">
      <c r="A221" s="7" t="s">
        <v>542</v>
      </c>
      <c r="B221" s="7" t="s">
        <v>533</v>
      </c>
      <c r="C221" s="7" t="s">
        <v>533</v>
      </c>
      <c r="D221" s="7"/>
      <c r="E221" s="21">
        <v>1</v>
      </c>
      <c r="F221" s="21">
        <v>1</v>
      </c>
      <c r="G221" s="21">
        <v>1</v>
      </c>
      <c r="H221" s="21">
        <v>1</v>
      </c>
      <c r="I221" s="21">
        <v>1</v>
      </c>
      <c r="J221" s="88">
        <f t="shared" ref="J221" si="89">SUM(E221:I221)</f>
        <v>5</v>
      </c>
      <c r="K221" s="88">
        <f>803846.14/5</f>
        <v>160769.228</v>
      </c>
      <c r="L221" s="88">
        <f t="shared" ref="L221:O221" si="90">803846.14/5</f>
        <v>160769.228</v>
      </c>
      <c r="M221" s="88">
        <f t="shared" si="90"/>
        <v>160769.228</v>
      </c>
      <c r="N221" s="88">
        <f t="shared" si="90"/>
        <v>160769.228</v>
      </c>
      <c r="O221" s="88">
        <f t="shared" si="90"/>
        <v>160769.228</v>
      </c>
      <c r="P221" s="88">
        <f t="shared" ref="P221" si="91">SUM(K221:O221)</f>
        <v>803846.14</v>
      </c>
      <c r="Q221" s="88">
        <f t="shared" ref="Q221" si="92">P221</f>
        <v>803846.14</v>
      </c>
      <c r="R221" s="88"/>
    </row>
    <row r="222" spans="1:18" s="38" customFormat="1" ht="38.25" outlineLevel="1">
      <c r="A222" s="9"/>
      <c r="B222" s="9" t="s">
        <v>543</v>
      </c>
      <c r="C222" s="42" t="s">
        <v>544</v>
      </c>
      <c r="D222" s="89"/>
      <c r="E222" s="89">
        <v>1</v>
      </c>
      <c r="F222" s="89">
        <v>1</v>
      </c>
      <c r="G222" s="89">
        <v>1</v>
      </c>
      <c r="H222" s="89">
        <v>1</v>
      </c>
      <c r="I222" s="89">
        <v>1</v>
      </c>
      <c r="J222" s="89">
        <v>5</v>
      </c>
      <c r="K222" s="89">
        <f t="shared" ref="K222:Q222" si="93">K223</f>
        <v>10000</v>
      </c>
      <c r="L222" s="89">
        <f t="shared" si="93"/>
        <v>10000</v>
      </c>
      <c r="M222" s="89">
        <f t="shared" si="93"/>
        <v>50000</v>
      </c>
      <c r="N222" s="89">
        <f t="shared" si="93"/>
        <v>10000</v>
      </c>
      <c r="O222" s="89">
        <f t="shared" si="93"/>
        <v>150000</v>
      </c>
      <c r="P222" s="89">
        <f t="shared" si="93"/>
        <v>230000</v>
      </c>
      <c r="Q222" s="89">
        <f t="shared" si="93"/>
        <v>230000</v>
      </c>
      <c r="R222" s="124"/>
    </row>
    <row r="223" spans="1:18" s="15" customFormat="1" outlineLevel="1">
      <c r="A223" s="9" t="s">
        <v>20</v>
      </c>
      <c r="B223" s="9" t="s">
        <v>545</v>
      </c>
      <c r="C223" s="52"/>
      <c r="D223" s="55"/>
      <c r="E223" s="56">
        <v>1</v>
      </c>
      <c r="F223" s="56">
        <v>1</v>
      </c>
      <c r="G223" s="56">
        <v>1</v>
      </c>
      <c r="H223" s="56">
        <v>1</v>
      </c>
      <c r="I223" s="56">
        <v>1</v>
      </c>
      <c r="J223" s="56">
        <v>5</v>
      </c>
      <c r="K223" s="56">
        <v>10000</v>
      </c>
      <c r="L223" s="56">
        <v>10000</v>
      </c>
      <c r="M223" s="56">
        <v>50000</v>
      </c>
      <c r="N223" s="56">
        <v>10000</v>
      </c>
      <c r="O223" s="56">
        <v>150000</v>
      </c>
      <c r="P223" s="56">
        <f>SUM(K223:O223)</f>
        <v>230000</v>
      </c>
      <c r="Q223" s="57">
        <f>P223</f>
        <v>230000</v>
      </c>
      <c r="R223" s="64"/>
    </row>
    <row r="224" spans="1:18" s="4" customFormat="1" outlineLevel="1">
      <c r="A224" s="7" t="s">
        <v>546</v>
      </c>
      <c r="B224" s="54" t="s">
        <v>547</v>
      </c>
      <c r="C224" s="74" t="s">
        <v>531</v>
      </c>
      <c r="D224" s="23"/>
      <c r="E224" s="23">
        <v>1</v>
      </c>
      <c r="F224" s="23">
        <v>1</v>
      </c>
      <c r="G224" s="23">
        <v>1</v>
      </c>
      <c r="H224" s="23">
        <v>1</v>
      </c>
      <c r="I224" s="23">
        <v>1</v>
      </c>
      <c r="J224" s="1">
        <v>5</v>
      </c>
      <c r="K224" s="51">
        <v>10000</v>
      </c>
      <c r="L224" s="51">
        <v>10000</v>
      </c>
      <c r="M224" s="51">
        <v>10000</v>
      </c>
      <c r="N224" s="51">
        <v>10000</v>
      </c>
      <c r="O224" s="51">
        <v>10000</v>
      </c>
      <c r="P224" s="87">
        <f>SUM(K224:O224)</f>
        <v>50000</v>
      </c>
      <c r="Q224" s="87">
        <f>P224</f>
        <v>50000</v>
      </c>
      <c r="R224" s="60"/>
    </row>
    <row r="225" spans="1:18" s="4" customFormat="1" outlineLevel="1">
      <c r="A225" s="7" t="s">
        <v>548</v>
      </c>
      <c r="B225" s="54" t="s">
        <v>549</v>
      </c>
      <c r="C225" s="74" t="s">
        <v>550</v>
      </c>
      <c r="D225" s="23"/>
      <c r="E225" s="23">
        <v>0</v>
      </c>
      <c r="F225" s="23">
        <v>0</v>
      </c>
      <c r="G225" s="23">
        <v>2</v>
      </c>
      <c r="H225" s="23">
        <v>0</v>
      </c>
      <c r="I225" s="23">
        <v>3</v>
      </c>
      <c r="J225" s="88">
        <v>5</v>
      </c>
      <c r="K225" s="51">
        <v>0</v>
      </c>
      <c r="L225" s="51">
        <v>0</v>
      </c>
      <c r="M225" s="51">
        <v>40000</v>
      </c>
      <c r="N225" s="51">
        <v>0</v>
      </c>
      <c r="O225" s="51">
        <v>140000</v>
      </c>
      <c r="P225" s="88">
        <f>SUM(K225:O225)</f>
        <v>180000</v>
      </c>
      <c r="Q225" s="88">
        <f>P225</f>
        <v>180000</v>
      </c>
      <c r="R225" s="60"/>
    </row>
    <row r="226" spans="1:18" s="38" customFormat="1" ht="38.25" outlineLevel="1">
      <c r="A226" s="9"/>
      <c r="B226" s="9" t="s">
        <v>551</v>
      </c>
      <c r="C226" s="42" t="s">
        <v>552</v>
      </c>
      <c r="D226" s="89"/>
      <c r="E226" s="89">
        <v>1</v>
      </c>
      <c r="F226" s="89">
        <v>1</v>
      </c>
      <c r="G226" s="89">
        <v>1</v>
      </c>
      <c r="H226" s="89">
        <v>1</v>
      </c>
      <c r="I226" s="89">
        <v>1</v>
      </c>
      <c r="J226" s="89">
        <v>5</v>
      </c>
      <c r="K226" s="89">
        <f t="shared" ref="K226" si="94">K227</f>
        <v>106212.12034632034</v>
      </c>
      <c r="L226" s="89">
        <f t="shared" ref="L226" si="95">L227</f>
        <v>36363.64</v>
      </c>
      <c r="M226" s="89">
        <f t="shared" ref="M226" si="96">M227</f>
        <v>21212.120346320346</v>
      </c>
      <c r="N226" s="89">
        <f t="shared" ref="N226" si="97">N227</f>
        <v>31212.12</v>
      </c>
      <c r="O226" s="89">
        <f t="shared" ref="O226" si="98">O227</f>
        <v>21212.120346320346</v>
      </c>
      <c r="P226" s="89">
        <f t="shared" ref="P226" si="99">P227</f>
        <v>216212.12103896105</v>
      </c>
      <c r="Q226" s="89">
        <f t="shared" ref="Q226" si="100">Q227</f>
        <v>216212.12103896105</v>
      </c>
      <c r="R226" s="124"/>
    </row>
    <row r="227" spans="1:18" s="15" customFormat="1" ht="38.25" outlineLevel="1">
      <c r="A227" s="53" t="s">
        <v>20</v>
      </c>
      <c r="B227" s="53" t="s">
        <v>553</v>
      </c>
      <c r="C227" s="52" t="s">
        <v>552</v>
      </c>
      <c r="D227" s="55"/>
      <c r="E227" s="56">
        <v>1</v>
      </c>
      <c r="F227" s="56">
        <v>1</v>
      </c>
      <c r="G227" s="56">
        <v>1</v>
      </c>
      <c r="H227" s="56">
        <v>1</v>
      </c>
      <c r="I227" s="56">
        <v>1</v>
      </c>
      <c r="J227" s="56">
        <f>SUM(E227:I227)</f>
        <v>5</v>
      </c>
      <c r="K227" s="89">
        <f>SUM(K228)</f>
        <v>106212.12034632034</v>
      </c>
      <c r="L227" s="89">
        <f>SUM(L228)</f>
        <v>36363.64</v>
      </c>
      <c r="M227" s="89">
        <f t="shared" ref="M227:O227" si="101">SUM(M228)</f>
        <v>21212.120346320346</v>
      </c>
      <c r="N227" s="89">
        <f t="shared" si="101"/>
        <v>31212.12</v>
      </c>
      <c r="O227" s="89">
        <f t="shared" si="101"/>
        <v>21212.120346320346</v>
      </c>
      <c r="P227" s="89">
        <f>SUM(K227:O227)</f>
        <v>216212.12103896105</v>
      </c>
      <c r="Q227" s="89">
        <f>P227</f>
        <v>216212.12103896105</v>
      </c>
      <c r="R227" s="64"/>
    </row>
    <row r="228" spans="1:18" s="4" customFormat="1" outlineLevel="1">
      <c r="A228" s="7" t="s">
        <v>554</v>
      </c>
      <c r="B228" s="58" t="s">
        <v>555</v>
      </c>
      <c r="C228" s="74" t="s">
        <v>531</v>
      </c>
      <c r="D228" s="23"/>
      <c r="E228" s="23">
        <v>7</v>
      </c>
      <c r="F228" s="23">
        <v>7</v>
      </c>
      <c r="G228" s="23">
        <v>7</v>
      </c>
      <c r="H228" s="23">
        <v>7</v>
      </c>
      <c r="I228" s="23">
        <v>7</v>
      </c>
      <c r="J228" s="88">
        <f t="shared" ref="J228" si="102">SUM(E228:I228)</f>
        <v>35</v>
      </c>
      <c r="K228" s="51">
        <v>106212.12034632034</v>
      </c>
      <c r="L228" s="51">
        <v>36363.64</v>
      </c>
      <c r="M228" s="51">
        <v>21212.120346320346</v>
      </c>
      <c r="N228" s="51">
        <v>31212.12</v>
      </c>
      <c r="O228" s="51">
        <v>21212.120346320346</v>
      </c>
      <c r="P228" s="87">
        <f t="shared" ref="P228" si="103">SUM(K228:O228)</f>
        <v>216212.12103896105</v>
      </c>
      <c r="Q228" s="87">
        <f t="shared" ref="Q228" si="104">P228</f>
        <v>216212.12103896105</v>
      </c>
      <c r="R228" s="60"/>
    </row>
    <row r="229" spans="1:18" s="80" customFormat="1" ht="25.5" outlineLevel="1">
      <c r="A229" s="9"/>
      <c r="B229" s="9" t="s">
        <v>556</v>
      </c>
      <c r="C229" s="43" t="s">
        <v>557</v>
      </c>
      <c r="D229" s="85"/>
      <c r="E229" s="85">
        <v>1</v>
      </c>
      <c r="F229" s="85">
        <v>1</v>
      </c>
      <c r="G229" s="85">
        <v>1</v>
      </c>
      <c r="H229" s="85">
        <v>1</v>
      </c>
      <c r="I229" s="85">
        <v>1</v>
      </c>
      <c r="J229" s="85">
        <v>5</v>
      </c>
      <c r="K229" s="56">
        <f t="shared" ref="K229" si="105">K230</f>
        <v>14000</v>
      </c>
      <c r="L229" s="56">
        <f t="shared" ref="L229" si="106">L230</f>
        <v>14000</v>
      </c>
      <c r="M229" s="56">
        <f t="shared" ref="M229" si="107">M230</f>
        <v>14000</v>
      </c>
      <c r="N229" s="56">
        <f t="shared" ref="N229" si="108">N230</f>
        <v>14000</v>
      </c>
      <c r="O229" s="56">
        <f t="shared" ref="O229" si="109">O230</f>
        <v>14000</v>
      </c>
      <c r="P229" s="56">
        <v>70000</v>
      </c>
      <c r="Q229" s="56">
        <f t="shared" ref="Q229" si="110">Q230</f>
        <v>70000</v>
      </c>
      <c r="R229" s="71"/>
    </row>
    <row r="230" spans="1:18" s="15" customFormat="1" ht="30" outlineLevel="1">
      <c r="A230" s="53" t="s">
        <v>20</v>
      </c>
      <c r="B230" s="53" t="s">
        <v>558</v>
      </c>
      <c r="C230" s="52" t="s">
        <v>557</v>
      </c>
      <c r="D230" s="55"/>
      <c r="E230" s="56">
        <v>1</v>
      </c>
      <c r="F230" s="56">
        <v>1</v>
      </c>
      <c r="G230" s="56">
        <v>1</v>
      </c>
      <c r="H230" s="56">
        <v>1</v>
      </c>
      <c r="I230" s="56">
        <v>1</v>
      </c>
      <c r="J230" s="56">
        <f>SUM(E230:I230)</f>
        <v>5</v>
      </c>
      <c r="K230" s="56">
        <v>14000</v>
      </c>
      <c r="L230" s="56">
        <f>SUM(L231:L231)</f>
        <v>14000</v>
      </c>
      <c r="M230" s="56">
        <f>SUM(M231:M231)</f>
        <v>14000</v>
      </c>
      <c r="N230" s="56">
        <f>SUM(N231:N231)</f>
        <v>14000</v>
      </c>
      <c r="O230" s="56">
        <f>SUM(O231:O231)</f>
        <v>14000</v>
      </c>
      <c r="P230" s="56">
        <v>70000</v>
      </c>
      <c r="Q230" s="56">
        <f>P230</f>
        <v>70000</v>
      </c>
      <c r="R230" s="64"/>
    </row>
    <row r="231" spans="1:18" s="4" customFormat="1" outlineLevel="1">
      <c r="A231" s="7" t="s">
        <v>559</v>
      </c>
      <c r="B231" s="58" t="s">
        <v>560</v>
      </c>
      <c r="C231" s="44" t="s">
        <v>531</v>
      </c>
      <c r="D231" s="23"/>
      <c r="E231" s="23">
        <v>1</v>
      </c>
      <c r="F231" s="23">
        <v>1</v>
      </c>
      <c r="G231" s="23">
        <v>1</v>
      </c>
      <c r="H231" s="23">
        <v>1</v>
      </c>
      <c r="I231" s="23">
        <v>1</v>
      </c>
      <c r="J231" s="88">
        <f t="shared" ref="J231" si="111">SUM(E231:I231)</f>
        <v>5</v>
      </c>
      <c r="K231" s="51">
        <v>14000</v>
      </c>
      <c r="L231" s="51">
        <v>14000</v>
      </c>
      <c r="M231" s="51">
        <v>14000</v>
      </c>
      <c r="N231" s="51">
        <v>14000</v>
      </c>
      <c r="O231" s="51">
        <v>14000</v>
      </c>
      <c r="P231" s="88">
        <v>70000</v>
      </c>
      <c r="Q231" s="88">
        <f t="shared" ref="Q231" si="112">P231</f>
        <v>70000</v>
      </c>
      <c r="R231" s="60"/>
    </row>
    <row r="232" spans="1:18" s="59" customFormat="1" ht="18.75">
      <c r="A232" s="135" t="s">
        <v>12</v>
      </c>
      <c r="B232" s="135"/>
      <c r="C232" s="135"/>
      <c r="D232" s="136"/>
      <c r="E232" s="136"/>
      <c r="F232" s="136"/>
      <c r="G232" s="136"/>
      <c r="H232" s="136"/>
      <c r="I232" s="136"/>
      <c r="J232" s="136"/>
      <c r="K232" s="136">
        <f>+K3+K65+K145+K211</f>
        <v>8887480.1797748916</v>
      </c>
      <c r="L232" s="136">
        <f>+L3+L65+L145+L211</f>
        <v>15412145.216095241</v>
      </c>
      <c r="M232" s="136">
        <f>+M3+M65+M145+M211</f>
        <v>20049157.070294373</v>
      </c>
      <c r="N232" s="136">
        <f>+N3+N65+N145+N211</f>
        <v>6490135.1738441559</v>
      </c>
      <c r="O232" s="136">
        <f>+O3+O65+O145+O211</f>
        <v>4161081.8739463203</v>
      </c>
      <c r="P232" s="137">
        <f>P211+P145+P65+P3</f>
        <v>54999999.513954982</v>
      </c>
      <c r="Q232" s="138">
        <f>P232</f>
        <v>54999999.513954982</v>
      </c>
      <c r="R232" s="117"/>
    </row>
  </sheetData>
  <autoFilter ref="A2:S210" xr:uid="{4C38DE92-7BBC-48D1-921F-612E518B8A2F}"/>
  <mergeCells count="2">
    <mergeCell ref="E1:J1"/>
    <mergeCell ref="K1:P1"/>
  </mergeCells>
  <pageMargins left="0.7" right="0.7" top="0.75" bottom="0.75" header="0.3" footer="0.3"/>
  <pageSetup paperSize="5" scale="54" fitToHeight="0" orientation="landscape" horizontalDpi="300" verticalDpi="300" r:id="rId1"/>
  <rowBreaks count="3" manualBreakCount="3">
    <brk id="100" max="16" man="1"/>
    <brk id="134" max="16" man="1"/>
    <brk id="173" max="1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EFEA0-8913-44AF-B6A2-C8A72FB2B04F}">
  <dimension ref="A1"/>
  <sheetViews>
    <sheetView workbookViewId="0" xr3:uid="{B0362AD9-2848-5A92-A140-9A0FBAD8BD3A}"/>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C6EE8D840F786B4A8BAACCB3D2A0BBD4" ma:contentTypeVersion="1810" ma:contentTypeDescription="The base project type from which other project content types inherit their information." ma:contentTypeScope="" ma:versionID="003420cf78a7d42c9df616e9bb341dbc">
  <xsd:schema xmlns:xsd="http://www.w3.org/2001/XMLSchema" xmlns:xs="http://www.w3.org/2001/XMLSchema" xmlns:p="http://schemas.microsoft.com/office/2006/metadata/properties" xmlns:ns2="cdc7663a-08f0-4737-9e8c-148ce897a09c" targetNamespace="http://schemas.microsoft.com/office/2006/metadata/properties" ma:root="true" ma:fieldsID="1e92ce9b7be0bbbe6f432e4ddc19fb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BE84CF97D9D3F4BA8621B26D2F4A633" ma:contentTypeVersion="3236" ma:contentTypeDescription="A content type to manage public (operations) IDB documents" ma:contentTypeScope="" ma:versionID="c0fef43c4ab7a6901276d3de1e84d70a">
  <xsd:schema xmlns:xsd="http://www.w3.org/2001/XMLSchema" xmlns:xs="http://www.w3.org/2001/XMLSchema" xmlns:p="http://schemas.microsoft.com/office/2006/metadata/properties" xmlns:ns2="cdc7663a-08f0-4737-9e8c-148ce897a09c" targetNamespace="http://schemas.microsoft.com/office/2006/metadata/properties" ma:root="true" ma:fieldsID="0f6d2c54e8d0c01a9b6419b4ab2746b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R0002811887</Record_x0020_Number>
    <Key_x0020_Document xmlns="cdc7663a-08f0-4737-9e8c-148ce897a09c">false</Key_x0020_Document>
    <Division_x0020_or_x0020_Unit xmlns="cdc7663a-08f0-4737-9e8c-148ce897a09c">IFD/ICS</Division_x0020_or_x0020_Unit>
    <Document_x0020_Author xmlns="cdc7663a-08f0-4737-9e8c-148ce897a09c">Mahfouz, Giovanna L.</Document_x0020_Author>
    <_dlc_DocId xmlns="cdc7663a-08f0-4737-9e8c-148ce897a09c">EZSHARE-1089081468-28</_dlc_DocId>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Operation_x0020_Type xmlns="cdc7663a-08f0-4737-9e8c-148ce897a09c">Loan Operation</Operation_x0020_Type>
    <TaxCatchAll xmlns="cdc7663a-08f0-4737-9e8c-148ce897a09c">
      <Value>76</Value>
      <Value>40</Value>
      <Value>208</Value>
      <Value>1</Value>
      <Value>42</Value>
    </TaxCatchAll>
    <Fiscal_x0020_Year_x0020_IDB xmlns="cdc7663a-08f0-4737-9e8c-148ce897a09c">2019</Fiscal_x0020_Year_x0020_IDB>
    <b26cdb1da78c4bb4b1c1bac2f6ac5911 xmlns="cdc7663a-08f0-4737-9e8c-148ce897a09c">
      <Terms xmlns="http://schemas.microsoft.com/office/infopath/2007/PartnerControls"/>
    </b26cdb1da78c4bb4b1c1bac2f6ac5911>
    <Project_x0020_Number xmlns="cdc7663a-08f0-4737-9e8c-148ce897a09c">HA-L1131</Project_x0020_Number>
    <Related_x0020_SisCor_x0020_Number xmlns="cdc7663a-08f0-4737-9e8c-148ce897a09c" xsi:nil="true"/>
    <Package_x0020_Code xmlns="cdc7663a-08f0-4737-9e8c-148ce897a09c" xsi:nil="true"/>
    <Migration_x0020_Info xmlns="cdc7663a-08f0-4737-9e8c-148ce897a09c" xsi:nil="true"/>
    <Approval_x0020_Number xmlns="cdc7663a-08f0-4737-9e8c-148ce897a09c" xsi:nil="true"/>
    <Business_x0020_Area xmlns="cdc7663a-08f0-4737-9e8c-148ce897a09c" xsi:nil="true"/>
    <SISCOR_x0020_Number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AND PUBLIC SECTOR SUPPORT</TermName>
          <TermId xmlns="http://schemas.microsoft.com/office/infopath/2007/PartnerControls">6679f56e-8b55-402b-90a0-8fe4c41c00ba</TermId>
        </TermInfo>
      </Terms>
    </b2ec7cfb18674cb8803df6b262e8b107>
    <Document_x0020_Language_x0020_IDB xmlns="cdc7663a-08f0-4737-9e8c-148ce897a09c">English</Document_x0020_Language_x0020_IDB>
    <_dlc_DocIdUrl xmlns="cdc7663a-08f0-4737-9e8c-148ce897a09c">
      <Url>https://idbg.sharepoint.com/teams/EZ-HA-LON/HA-L1131/_layouts/15/DocIdRedir.aspx?ID=EZSHARE-1089081468-28</Url>
      <Description>EZSHARE-1089081468-28</Description>
    </_dlc_DocIdUrl>
    <Phase xmlns="cdc7663a-08f0-4737-9e8c-148ce897a09c" xsi:nil="true"/>
    <Other_x0020_Author xmlns="cdc7663a-08f0-4737-9e8c-148ce897a09c" xsi:nil="true"/>
    <IDBDocs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SharedContentType xmlns="Microsoft.SharePoint.Taxonomy.ContentTypeSync" SourceId="ae61f9b1-e23d-4f49-b3d7-56b991556c4b" ContentTypeId="0x0101001A458A224826124E8B45B1D613300CFC" PreviousValue="false"/>
</file>

<file path=customXml/item9.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231F729E-EB36-4376-81C6-616157894C7F}"/>
</file>

<file path=customXml/itemProps2.xml><?xml version="1.0" encoding="utf-8"?>
<ds:datastoreItem xmlns:ds="http://schemas.openxmlformats.org/officeDocument/2006/customXml" ds:itemID="{C559EEF0-8588-4158-8C01-095627C64A48}"/>
</file>

<file path=customXml/itemProps3.xml><?xml version="1.0" encoding="utf-8"?>
<ds:datastoreItem xmlns:ds="http://schemas.openxmlformats.org/officeDocument/2006/customXml" ds:itemID="{41BC7FB8-285B-495D-BFBE-3145199061C9}"/>
</file>

<file path=customXml/itemProps4.xml><?xml version="1.0" encoding="utf-8"?>
<ds:datastoreItem xmlns:ds="http://schemas.openxmlformats.org/officeDocument/2006/customXml" ds:itemID="{769144A4-0468-4393-99B3-5CC8E34F7D75}"/>
</file>

<file path=customXml/itemProps5.xml><?xml version="1.0" encoding="utf-8"?>
<ds:datastoreItem xmlns:ds="http://schemas.openxmlformats.org/officeDocument/2006/customXml" ds:itemID="{857B9EFB-1B62-4AA3-A95A-9B21D296BAC5}"/>
</file>

<file path=customXml/itemProps6.xml><?xml version="1.0" encoding="utf-8"?>
<ds:datastoreItem xmlns:ds="http://schemas.openxmlformats.org/officeDocument/2006/customXml" ds:itemID="{E41D89CA-8E5C-42C0-AE8C-B8FEDA54F7E1}"/>
</file>

<file path=customXml/itemProps7.xml><?xml version="1.0" encoding="utf-8"?>
<ds:datastoreItem xmlns:ds="http://schemas.openxmlformats.org/officeDocument/2006/customXml" ds:itemID="{5A4A28FE-EEDD-4C8F-91DD-D040C02F892E}"/>
</file>

<file path=customXml/itemProps8.xml><?xml version="1.0" encoding="utf-8"?>
<ds:datastoreItem xmlns:ds="http://schemas.openxmlformats.org/officeDocument/2006/customXml" ds:itemID="{4C819505-616C-4F45-B1FA-AE8F2DE49F49}"/>
</file>

<file path=customXml/itemProps9.xml><?xml version="1.0" encoding="utf-8"?>
<ds:datastoreItem xmlns:ds="http://schemas.openxmlformats.org/officeDocument/2006/customXml" ds:itemID="{EB0DBCC5-1B35-430D-AC9C-B09A7D456A0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Baron, Marie Edwige</dc:creator>
  <cp:keywords/>
  <dc:description/>
  <cp:lastModifiedBy>Mahfouz, Giovanna L.</cp:lastModifiedBy>
  <cp:revision/>
  <dcterms:created xsi:type="dcterms:W3CDTF">2018-08-09T17:58:26Z</dcterms:created>
  <dcterms:modified xsi:type="dcterms:W3CDTF">2019-03-21T21:51:16Z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208;#REFORM AND PUBLIC SECTOR SUPPORT|6679f56e-8b55-402b-90a0-8fe4c41c00ba</vt:lpwstr>
  </property>
  <property fmtid="{D5CDD505-2E9C-101B-9397-08002B2CF9AE}" pid="7" name="Country">
    <vt:lpwstr>42;#Haiti|77a11ace-c854-4e9c-9e19-c924bca0dd43</vt:lpwstr>
  </property>
  <property fmtid="{D5CDD505-2E9C-101B-9397-08002B2CF9AE}" pid="8" name="Fund IDB">
    <vt:lpwstr>40;#GRF|91c131c5-8288-4ee4-8c9c-34395b8e8fd9</vt:lpwstr>
  </property>
  <property fmtid="{D5CDD505-2E9C-101B-9397-08002B2CF9AE}" pid="9" name="_dlc_DocIdItemGuid">
    <vt:lpwstr>22e3896a-bf02-44b7-8b19-0dcbf97c2728</vt:lpwstr>
  </property>
  <property fmtid="{D5CDD505-2E9C-101B-9397-08002B2CF9AE}" pid="10" name="Sector IDB">
    <vt:lpwstr>76;#REFORM / MODERNIZATION OF THE STATE|c8fda4a7-691a-4c65-b227-9825197b5cd2</vt:lpwstr>
  </property>
  <property fmtid="{D5CDD505-2E9C-101B-9397-08002B2CF9AE}" pid="11" name="Function Operations IDB">
    <vt:lpwstr>1;#Project Preparation, Planning and Design|29ca0c72-1fc4-435f-a09c-28585cb5eac9</vt:lpwstr>
  </property>
  <property fmtid="{D5CDD505-2E9C-101B-9397-08002B2CF9AE}" pid="12" name="AuthorIds_UIVersion_17">
    <vt:lpwstr>258</vt:lpwstr>
  </property>
  <property fmtid="{D5CDD505-2E9C-101B-9397-08002B2CF9AE}" pid="13" name="AuthorIds_UIVersion_18">
    <vt:lpwstr>801</vt:lpwstr>
  </property>
  <property fmtid="{D5CDD505-2E9C-101B-9397-08002B2CF9AE}" pid="14" name="Disclosure Activity">
    <vt:lpwstr>Loan Proposal</vt:lpwstr>
  </property>
  <property fmtid="{D5CDD505-2E9C-101B-9397-08002B2CF9AE}" pid="15" name="ContentTypeId">
    <vt:lpwstr>0x0101001A458A224826124E8B45B1D613300CFC003BE84CF97D9D3F4BA8621B26D2F4A633</vt:lpwstr>
  </property>
</Properties>
</file>