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19200" windowHeight="8265" tabRatio="550" activeTab="3"/>
  </bookViews>
  <sheets>
    <sheet name="Component I" sheetId="5" r:id="rId1"/>
    <sheet name="Component II" sheetId="1" r:id="rId2"/>
    <sheet name="Other Costs" sheetId="7" r:id="rId3"/>
    <sheet name="Summary" sheetId="2" r:id="rId4"/>
  </sheets>
  <definedNames>
    <definedName name="_ftn1" localSheetId="1">'Component II'!#REF!</definedName>
    <definedName name="_ftnref1" localSheetId="1">'Component II'!$S$10</definedName>
  </definedNames>
  <calcPr calcId="145621"/>
</workbook>
</file>

<file path=xl/calcChain.xml><?xml version="1.0" encoding="utf-8"?>
<calcChain xmlns="http://schemas.openxmlformats.org/spreadsheetml/2006/main">
  <c r="D31" i="1" l="1"/>
  <c r="D30" i="1"/>
  <c r="D29" i="1"/>
  <c r="D27" i="1"/>
  <c r="D24" i="1"/>
  <c r="D23" i="1"/>
  <c r="D22" i="1"/>
  <c r="D21" i="1"/>
  <c r="D20" i="1"/>
  <c r="D17" i="5"/>
  <c r="D21" i="5"/>
  <c r="C12" i="2" l="1"/>
  <c r="C10" i="1"/>
  <c r="C10" i="7" l="1"/>
  <c r="C10" i="5"/>
  <c r="E26" i="1"/>
  <c r="E27" i="1" s="1"/>
  <c r="D28" i="1" s="1"/>
  <c r="E28" i="1" s="1"/>
  <c r="E29" i="1" s="1"/>
  <c r="E30" i="1" s="1"/>
  <c r="F25" i="1"/>
  <c r="D25" i="1"/>
  <c r="C25" i="1"/>
  <c r="C18" i="1"/>
  <c r="E32" i="5"/>
  <c r="E28" i="5"/>
  <c r="C29" i="5"/>
  <c r="C25" i="5"/>
  <c r="E30" i="5"/>
  <c r="D31" i="5" s="1"/>
  <c r="E31" i="5" s="1"/>
  <c r="D32" i="5" s="1"/>
  <c r="F29" i="5"/>
  <c r="D29" i="5"/>
  <c r="E31" i="1" l="1"/>
  <c r="E25" i="1" s="1"/>
  <c r="E29" i="5"/>
  <c r="E12" i="5" l="1"/>
  <c r="F12" i="7" l="1"/>
  <c r="E19" i="1"/>
  <c r="E20" i="1" s="1"/>
  <c r="F18" i="1"/>
  <c r="D18" i="1"/>
  <c r="E12" i="1"/>
  <c r="D13" i="1" s="1"/>
  <c r="D11" i="1"/>
  <c r="F11" i="1"/>
  <c r="E26" i="5"/>
  <c r="D27" i="5" s="1"/>
  <c r="D25" i="5"/>
  <c r="E19" i="5"/>
  <c r="D20" i="5" s="1"/>
  <c r="E20" i="5" s="1"/>
  <c r="D18" i="5"/>
  <c r="D11" i="5"/>
  <c r="D13" i="5"/>
  <c r="E13" i="5" s="1"/>
  <c r="F25" i="5"/>
  <c r="F18" i="5"/>
  <c r="F11" i="5"/>
  <c r="C11" i="5"/>
  <c r="E21" i="1" l="1"/>
  <c r="E22" i="1" s="1"/>
  <c r="E23" i="1" s="1"/>
  <c r="E24" i="1" s="1"/>
  <c r="E18" i="1" s="1"/>
  <c r="E13" i="1"/>
  <c r="D14" i="1" s="1"/>
  <c r="E27" i="5"/>
  <c r="D28" i="5" s="1"/>
  <c r="E25" i="5" s="1"/>
  <c r="D14" i="5"/>
  <c r="E14" i="5" s="1"/>
  <c r="E21" i="5"/>
  <c r="D22" i="5" s="1"/>
  <c r="E22" i="5" s="1"/>
  <c r="D23" i="5" s="1"/>
  <c r="E23" i="5" s="1"/>
  <c r="E14" i="1" l="1"/>
  <c r="D15" i="1" s="1"/>
  <c r="D15" i="5"/>
  <c r="E15" i="5" s="1"/>
  <c r="D24" i="5"/>
  <c r="E24" i="5" l="1"/>
  <c r="E18" i="5" s="1"/>
  <c r="E15" i="1"/>
  <c r="D16" i="1" s="1"/>
  <c r="D16" i="5"/>
  <c r="E16" i="5" s="1"/>
  <c r="E16" i="1" l="1"/>
  <c r="D17" i="1" s="1"/>
  <c r="D10" i="1" s="1"/>
  <c r="E17" i="5"/>
  <c r="E11" i="5" s="1"/>
  <c r="E10" i="5" s="1"/>
  <c r="D10" i="5"/>
  <c r="E17" i="1" l="1"/>
  <c r="E11" i="1" s="1"/>
  <c r="E10" i="1" s="1"/>
  <c r="F10" i="1" s="1"/>
  <c r="F10" i="5"/>
  <c r="C13" i="2" l="1"/>
  <c r="F10" i="7"/>
  <c r="F11" i="7"/>
  <c r="I31" i="1"/>
  <c r="I30" i="1"/>
  <c r="I29" i="1"/>
  <c r="I3" i="1"/>
  <c r="I2" i="1"/>
  <c r="C18" i="5" l="1"/>
  <c r="C11" i="2" l="1"/>
  <c r="C10" i="2" l="1"/>
</calcChain>
</file>

<file path=xl/sharedStrings.xml><?xml version="1.0" encoding="utf-8"?>
<sst xmlns="http://schemas.openxmlformats.org/spreadsheetml/2006/main" count="131" uniqueCount="49">
  <si>
    <t>ID</t>
  </si>
  <si>
    <t>TASK NAME</t>
  </si>
  <si>
    <t>BUDGET (US$)</t>
  </si>
  <si>
    <t>DATE</t>
  </si>
  <si>
    <t>task</t>
  </si>
  <si>
    <t>start</t>
  </si>
  <si>
    <t>complete</t>
  </si>
  <si>
    <t>months</t>
  </si>
  <si>
    <t>Component I</t>
  </si>
  <si>
    <t>Component II</t>
  </si>
  <si>
    <t>RESULTS FRAMEWORK</t>
  </si>
  <si>
    <t>IDB</t>
  </si>
  <si>
    <t>Task</t>
  </si>
  <si>
    <t>Other costs</t>
  </si>
  <si>
    <t>Contingencies</t>
  </si>
  <si>
    <t>Loan</t>
  </si>
  <si>
    <t>Project</t>
  </si>
  <si>
    <t>Component III</t>
  </si>
  <si>
    <t>Bidding document preparation</t>
  </si>
  <si>
    <t>-</t>
  </si>
  <si>
    <t>Designs preparation</t>
  </si>
  <si>
    <t>Bidding process</t>
  </si>
  <si>
    <t>Award of contract</t>
  </si>
  <si>
    <t>Review of proposals</t>
  </si>
  <si>
    <t>Execution of works</t>
  </si>
  <si>
    <t>Duration</t>
  </si>
  <si>
    <t>Administration</t>
  </si>
  <si>
    <t>PLURIANNUAL EXECUTING PLAN</t>
  </si>
  <si>
    <t>Support for the implementation of the EBS Investment Plan</t>
  </si>
  <si>
    <t>SU-L1039</t>
  </si>
  <si>
    <t>Component I – Improvement of EBS’ Operations</t>
  </si>
  <si>
    <t>Enterprise Resource Planning (ERP) platform</t>
  </si>
  <si>
    <t>Upgrade Substation J</t>
  </si>
  <si>
    <t>Upgrade Substation F</t>
  </si>
  <si>
    <t>Technical auditing, monitoring and evaluation</t>
  </si>
  <si>
    <t>Distribution/Outage Management System (DMS/OMS)</t>
  </si>
  <si>
    <t>Implementation of Energy Education Program</t>
  </si>
  <si>
    <t>Design of the DMS/OMS system</t>
  </si>
  <si>
    <t>Implementation of a DMS/OMS system, including the integration of the existing systems (CIS, GIS, SCADA, IVR and Mobile Work Management System)</t>
  </si>
  <si>
    <t>Design review</t>
  </si>
  <si>
    <t>Implementation of ERP system</t>
  </si>
  <si>
    <t>Interinstitutional Arrangements</t>
  </si>
  <si>
    <t>Contracting arrangements</t>
  </si>
  <si>
    <t>Support for the Implementation of the EBS Investment Plan</t>
  </si>
  <si>
    <t>Transition to a new corporate structure</t>
  </si>
  <si>
    <t>Development of Substation Boma</t>
  </si>
  <si>
    <t>Energy Efficiency Framework  Plan</t>
  </si>
  <si>
    <t>Guidelines for the EBS transition to a new corporate structure</t>
  </si>
  <si>
    <t>Component II – Critical Infrastructure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</si>
</sst>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0"/>
      <name val="Arial"/>
      <family val="2"/>
    </font>
    <font>
      <b/>
      <sz val="11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center" vertical="center"/>
    </xf>
    <xf numFmtId="15" fontId="1" fillId="3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15" fontId="2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15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0" fillId="5" borderId="10" xfId="0" applyFill="1" applyBorder="1" applyAlignment="1"/>
    <xf numFmtId="3" fontId="3" fillId="0" borderId="15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3" borderId="14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left" vertical="center" wrapText="1"/>
    </xf>
    <xf numFmtId="3" fontId="1" fillId="3" borderId="14" xfId="0" applyNumberFormat="1" applyFont="1" applyFill="1" applyBorder="1" applyAlignment="1">
      <alignment horizontal="center" vertical="center"/>
    </xf>
    <xf numFmtId="15" fontId="1" fillId="3" borderId="14" xfId="0" applyNumberFormat="1" applyFont="1" applyFill="1" applyBorder="1" applyAlignment="1">
      <alignment horizontal="center" vertical="center"/>
    </xf>
    <xf numFmtId="1" fontId="1" fillId="3" borderId="14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4" fillId="0" borderId="15" xfId="0" applyFont="1" applyBorder="1"/>
    <xf numFmtId="1" fontId="3" fillId="0" borderId="15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left" vertical="center" wrapText="1"/>
    </xf>
    <xf numFmtId="164" fontId="6" fillId="0" borderId="0" xfId="1" applyNumberFormat="1" applyFont="1"/>
    <xf numFmtId="3" fontId="6" fillId="0" borderId="0" xfId="0" applyNumberFormat="1" applyFont="1"/>
    <xf numFmtId="0" fontId="2" fillId="2" borderId="15" xfId="0" applyFont="1" applyFill="1" applyBorder="1" applyAlignment="1">
      <alignment horizontal="left" vertical="center" wrapText="1"/>
    </xf>
    <xf numFmtId="15" fontId="3" fillId="0" borderId="15" xfId="0" applyNumberFormat="1" applyFont="1" applyFill="1" applyBorder="1" applyAlignment="1">
      <alignment horizontal="center" vertical="center"/>
    </xf>
    <xf numFmtId="0" fontId="0" fillId="5" borderId="0" xfId="0" applyFill="1" applyBorder="1" applyAlignment="1"/>
    <xf numFmtId="0" fontId="1" fillId="2" borderId="15" xfId="0" applyFont="1" applyFill="1" applyBorder="1" applyAlignment="1">
      <alignment horizontal="center" vertical="center"/>
    </xf>
    <xf numFmtId="3" fontId="1" fillId="2" borderId="15" xfId="0" applyNumberFormat="1" applyFont="1" applyFill="1" applyBorder="1" applyAlignment="1">
      <alignment horizontal="center" vertical="center"/>
    </xf>
    <xf numFmtId="1" fontId="1" fillId="2" borderId="15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3" fontId="2" fillId="2" borderId="15" xfId="0" applyNumberFormat="1" applyFont="1" applyFill="1" applyBorder="1" applyAlignment="1">
      <alignment horizontal="center" vertical="center"/>
    </xf>
    <xf numFmtId="1" fontId="2" fillId="2" borderId="15" xfId="0" applyNumberFormat="1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left" vertical="center" wrapText="1"/>
    </xf>
    <xf numFmtId="3" fontId="1" fillId="3" borderId="15" xfId="0" applyNumberFormat="1" applyFont="1" applyFill="1" applyBorder="1" applyAlignment="1">
      <alignment horizontal="center" vertical="center"/>
    </xf>
    <xf numFmtId="15" fontId="1" fillId="3" borderId="15" xfId="0" applyNumberFormat="1" applyFont="1" applyFill="1" applyBorder="1" applyAlignment="1">
      <alignment horizontal="center" vertical="center"/>
    </xf>
    <xf numFmtId="15" fontId="2" fillId="2" borderId="15" xfId="0" applyNumberFormat="1" applyFont="1" applyFill="1" applyBorder="1" applyAlignment="1">
      <alignment horizontal="center" vertical="center"/>
    </xf>
    <xf numFmtId="1" fontId="2" fillId="2" borderId="15" xfId="0" applyNumberFormat="1" applyFont="1" applyFill="1" applyBorder="1" applyAlignment="1">
      <alignment horizontal="center" vertical="center" wrapText="1"/>
    </xf>
    <xf numFmtId="15" fontId="3" fillId="6" borderId="15" xfId="0" applyNumberFormat="1" applyFont="1" applyFill="1" applyBorder="1" applyAlignment="1">
      <alignment horizontal="center" vertical="center"/>
    </xf>
    <xf numFmtId="3" fontId="0" fillId="0" borderId="0" xfId="0" applyNumberFormat="1"/>
    <xf numFmtId="0" fontId="1" fillId="3" borderId="15" xfId="0" applyFont="1" applyFill="1" applyBorder="1" applyAlignment="1">
      <alignment horizontal="center" vertical="center" textRotation="90"/>
    </xf>
    <xf numFmtId="0" fontId="1" fillId="2" borderId="1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 textRotation="90"/>
    </xf>
    <xf numFmtId="0" fontId="1" fillId="3" borderId="12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32"/>
  <sheetViews>
    <sheetView zoomScale="84" zoomScaleNormal="160" workbookViewId="0">
      <selection activeCell="D21" sqref="D21"/>
    </sheetView>
  </sheetViews>
  <sheetFormatPr defaultColWidth="11.5703125" defaultRowHeight="12.75" x14ac:dyDescent="0.2"/>
  <cols>
    <col min="1" max="1" width="9.7109375" customWidth="1"/>
    <col min="2" max="2" width="66" customWidth="1"/>
    <col min="3" max="3" width="19.42578125" customWidth="1"/>
    <col min="6" max="7" width="12.85546875" bestFit="1" customWidth="1"/>
  </cols>
  <sheetData>
    <row r="1" spans="1:7" ht="14.25" x14ac:dyDescent="0.2">
      <c r="A1" s="53" t="s">
        <v>43</v>
      </c>
      <c r="B1" s="54"/>
      <c r="C1" s="54"/>
      <c r="D1" s="54"/>
      <c r="E1" s="54"/>
      <c r="F1" s="55"/>
    </row>
    <row r="2" spans="1:7" ht="14.25" x14ac:dyDescent="0.2">
      <c r="A2" s="56" t="s">
        <v>29</v>
      </c>
      <c r="B2" s="57"/>
      <c r="C2" s="57"/>
      <c r="D2" s="57"/>
      <c r="E2" s="57"/>
      <c r="F2" s="58"/>
    </row>
    <row r="3" spans="1:7" x14ac:dyDescent="0.2">
      <c r="A3" s="59"/>
      <c r="B3" s="60"/>
      <c r="C3" s="60"/>
      <c r="D3" s="60"/>
      <c r="E3" s="60"/>
      <c r="F3" s="61"/>
    </row>
    <row r="4" spans="1:7" ht="14.25" x14ac:dyDescent="0.2">
      <c r="A4" s="56" t="s">
        <v>10</v>
      </c>
      <c r="B4" s="57"/>
      <c r="C4" s="57"/>
      <c r="D4" s="57"/>
      <c r="E4" s="57"/>
      <c r="F4" s="58"/>
    </row>
    <row r="5" spans="1:7" ht="14.25" x14ac:dyDescent="0.2">
      <c r="A5" s="56" t="s">
        <v>27</v>
      </c>
      <c r="B5" s="57"/>
      <c r="C5" s="57"/>
      <c r="D5" s="57"/>
      <c r="E5" s="57"/>
      <c r="F5" s="58"/>
    </row>
    <row r="6" spans="1:7" ht="13.5" thickBot="1" x14ac:dyDescent="0.25">
      <c r="A6" s="62"/>
      <c r="B6" s="63"/>
      <c r="C6" s="63"/>
      <c r="D6" s="63"/>
      <c r="E6" s="63"/>
      <c r="F6" s="64"/>
    </row>
    <row r="7" spans="1:7" x14ac:dyDescent="0.2">
      <c r="A7" s="36"/>
      <c r="B7" s="36"/>
      <c r="C7" s="36"/>
      <c r="D7" s="36"/>
      <c r="E7" s="36"/>
      <c r="F7" s="36"/>
    </row>
    <row r="8" spans="1:7" ht="14.25" x14ac:dyDescent="0.2">
      <c r="A8" s="37"/>
      <c r="B8" s="37" t="s">
        <v>1</v>
      </c>
      <c r="C8" s="38" t="s">
        <v>2</v>
      </c>
      <c r="D8" s="52" t="s">
        <v>3</v>
      </c>
      <c r="E8" s="52"/>
      <c r="F8" s="39" t="s">
        <v>25</v>
      </c>
    </row>
    <row r="9" spans="1:7" x14ac:dyDescent="0.2">
      <c r="A9" s="40"/>
      <c r="B9" s="41" t="s">
        <v>4</v>
      </c>
      <c r="C9" s="42" t="s">
        <v>15</v>
      </c>
      <c r="D9" s="40" t="s">
        <v>5</v>
      </c>
      <c r="E9" s="40" t="s">
        <v>6</v>
      </c>
      <c r="F9" s="43" t="s">
        <v>7</v>
      </c>
    </row>
    <row r="10" spans="1:7" ht="28.5" customHeight="1" x14ac:dyDescent="0.2">
      <c r="A10" s="51" t="s">
        <v>8</v>
      </c>
      <c r="B10" s="44" t="s">
        <v>30</v>
      </c>
      <c r="C10" s="45">
        <f>SUM(C11,C18,C25+C29)</f>
        <v>12853000</v>
      </c>
      <c r="D10" s="46">
        <f>MIN(D11:D28)</f>
        <v>42005</v>
      </c>
      <c r="E10" s="46">
        <f>MAX(E11:E28)</f>
        <v>43678</v>
      </c>
      <c r="F10" s="45">
        <f>YEARFRAC(D10,E10)*12</f>
        <v>55</v>
      </c>
    </row>
    <row r="11" spans="1:7" x14ac:dyDescent="0.2">
      <c r="A11" s="51"/>
      <c r="B11" s="34" t="s">
        <v>35</v>
      </c>
      <c r="C11" s="42">
        <f>SUM(C12:C17)</f>
        <v>1340000</v>
      </c>
      <c r="D11" s="47">
        <f>D12</f>
        <v>42005</v>
      </c>
      <c r="E11" s="47">
        <f>E17</f>
        <v>42734</v>
      </c>
      <c r="F11" s="48">
        <f>SUM(F12:F17)</f>
        <v>24</v>
      </c>
      <c r="G11" s="32"/>
    </row>
    <row r="12" spans="1:7" x14ac:dyDescent="0.2">
      <c r="A12" s="51"/>
      <c r="B12" s="31" t="s">
        <v>37</v>
      </c>
      <c r="C12" s="21">
        <v>67000</v>
      </c>
      <c r="D12" s="49">
        <v>42005</v>
      </c>
      <c r="E12" s="49">
        <f>D12+(F12*30)</f>
        <v>42185</v>
      </c>
      <c r="F12" s="30">
        <v>6</v>
      </c>
    </row>
    <row r="13" spans="1:7" x14ac:dyDescent="0.2">
      <c r="A13" s="51"/>
      <c r="B13" s="31" t="s">
        <v>18</v>
      </c>
      <c r="C13" s="21" t="s">
        <v>19</v>
      </c>
      <c r="D13" s="49">
        <f>E12+1</f>
        <v>42186</v>
      </c>
      <c r="E13" s="49">
        <f>D13+(F13*30)+1</f>
        <v>42247</v>
      </c>
      <c r="F13" s="30">
        <v>2</v>
      </c>
    </row>
    <row r="14" spans="1:7" x14ac:dyDescent="0.2">
      <c r="A14" s="51"/>
      <c r="B14" s="31" t="s">
        <v>21</v>
      </c>
      <c r="C14" s="21" t="s">
        <v>19</v>
      </c>
      <c r="D14" s="49">
        <f>E13+1</f>
        <v>42248</v>
      </c>
      <c r="E14" s="49">
        <f>D14+(F14*30)</f>
        <v>42338</v>
      </c>
      <c r="F14" s="30">
        <v>3</v>
      </c>
    </row>
    <row r="15" spans="1:7" x14ac:dyDescent="0.2">
      <c r="A15" s="51"/>
      <c r="B15" s="31" t="s">
        <v>23</v>
      </c>
      <c r="C15" s="21" t="s">
        <v>19</v>
      </c>
      <c r="D15" s="49">
        <f>E14+1</f>
        <v>42339</v>
      </c>
      <c r="E15" s="49">
        <f>D15+(F15*30)</f>
        <v>42369</v>
      </c>
      <c r="F15" s="30">
        <v>1</v>
      </c>
    </row>
    <row r="16" spans="1:7" x14ac:dyDescent="0.2">
      <c r="A16" s="51"/>
      <c r="B16" s="31" t="s">
        <v>22</v>
      </c>
      <c r="C16" s="21" t="s">
        <v>19</v>
      </c>
      <c r="D16" s="49">
        <f>E15+1</f>
        <v>42370</v>
      </c>
      <c r="E16" s="49">
        <f>D16+(F16*30)</f>
        <v>42370</v>
      </c>
      <c r="F16" s="30">
        <v>0</v>
      </c>
    </row>
    <row r="17" spans="1:7" ht="25.5" x14ac:dyDescent="0.2">
      <c r="A17" s="51"/>
      <c r="B17" s="31" t="s">
        <v>38</v>
      </c>
      <c r="C17" s="21">
        <v>1273000</v>
      </c>
      <c r="D17" s="49">
        <f>E16</f>
        <v>42370</v>
      </c>
      <c r="E17" s="49">
        <f>D17+(F17*30)+4</f>
        <v>42734</v>
      </c>
      <c r="F17" s="30">
        <v>12</v>
      </c>
    </row>
    <row r="18" spans="1:7" x14ac:dyDescent="0.2">
      <c r="A18" s="51"/>
      <c r="B18" s="34" t="s">
        <v>31</v>
      </c>
      <c r="C18" s="42">
        <f>SUM(C24:C24)</f>
        <v>8763000</v>
      </c>
      <c r="D18" s="47">
        <f>D19</f>
        <v>42370</v>
      </c>
      <c r="E18" s="47">
        <f>E24</f>
        <v>43678</v>
      </c>
      <c r="F18" s="43">
        <f>SUM(F19:F24)</f>
        <v>43</v>
      </c>
      <c r="G18" s="32"/>
    </row>
    <row r="19" spans="1:7" x14ac:dyDescent="0.2">
      <c r="A19" s="51"/>
      <c r="B19" s="31" t="s">
        <v>39</v>
      </c>
      <c r="C19" s="21" t="s">
        <v>19</v>
      </c>
      <c r="D19" s="49">
        <v>42370</v>
      </c>
      <c r="E19" s="49">
        <f>D19+(F19*30)</f>
        <v>42400</v>
      </c>
      <c r="F19" s="30">
        <v>1</v>
      </c>
    </row>
    <row r="20" spans="1:7" x14ac:dyDescent="0.2">
      <c r="A20" s="51"/>
      <c r="B20" s="31" t="s">
        <v>18</v>
      </c>
      <c r="C20" s="21" t="s">
        <v>19</v>
      </c>
      <c r="D20" s="49">
        <f>E19+1</f>
        <v>42401</v>
      </c>
      <c r="E20" s="49">
        <f>D20+(F20*30)-2</f>
        <v>42489</v>
      </c>
      <c r="F20" s="30">
        <v>3</v>
      </c>
    </row>
    <row r="21" spans="1:7" x14ac:dyDescent="0.2">
      <c r="A21" s="51"/>
      <c r="B21" s="31" t="s">
        <v>21</v>
      </c>
      <c r="C21" s="21" t="s">
        <v>19</v>
      </c>
      <c r="D21" s="49">
        <f>E20+2</f>
        <v>42491</v>
      </c>
      <c r="E21" s="49">
        <f>D21+(F21*30)+2</f>
        <v>42613</v>
      </c>
      <c r="F21" s="30">
        <v>4</v>
      </c>
    </row>
    <row r="22" spans="1:7" x14ac:dyDescent="0.2">
      <c r="A22" s="51"/>
      <c r="B22" s="31" t="s">
        <v>23</v>
      </c>
      <c r="C22" s="21" t="s">
        <v>19</v>
      </c>
      <c r="D22" s="49">
        <f>E21+1</f>
        <v>42614</v>
      </c>
      <c r="E22" s="49">
        <f>D22+(F22*30)-1</f>
        <v>42643</v>
      </c>
      <c r="F22" s="30">
        <v>1</v>
      </c>
    </row>
    <row r="23" spans="1:7" x14ac:dyDescent="0.2">
      <c r="A23" s="51"/>
      <c r="B23" s="31" t="s">
        <v>22</v>
      </c>
      <c r="C23" s="21" t="s">
        <v>19</v>
      </c>
      <c r="D23" s="49">
        <f>E22+1</f>
        <v>42644</v>
      </c>
      <c r="E23" s="49">
        <f>D23+(F23*30)</f>
        <v>42674</v>
      </c>
      <c r="F23" s="30">
        <v>1</v>
      </c>
    </row>
    <row r="24" spans="1:7" x14ac:dyDescent="0.2">
      <c r="A24" s="51"/>
      <c r="B24" s="31" t="s">
        <v>40</v>
      </c>
      <c r="C24" s="21">
        <v>8763000</v>
      </c>
      <c r="D24" s="49">
        <f>E23+1</f>
        <v>42675</v>
      </c>
      <c r="E24" s="49">
        <f>D24+(F24*30)+13</f>
        <v>43678</v>
      </c>
      <c r="F24" s="30">
        <v>33</v>
      </c>
    </row>
    <row r="25" spans="1:7" x14ac:dyDescent="0.2">
      <c r="A25" s="51"/>
      <c r="B25" s="34" t="s">
        <v>46</v>
      </c>
      <c r="C25" s="42">
        <f>SUM(C26:C28)</f>
        <v>2000000</v>
      </c>
      <c r="D25" s="47">
        <f>D26</f>
        <v>42005</v>
      </c>
      <c r="E25" s="47">
        <f>E28</f>
        <v>42735</v>
      </c>
      <c r="F25" s="43">
        <f>SUM(F26:F28)</f>
        <v>23</v>
      </c>
      <c r="G25" s="32"/>
    </row>
    <row r="26" spans="1:7" x14ac:dyDescent="0.2">
      <c r="A26" s="51"/>
      <c r="B26" s="31" t="s">
        <v>41</v>
      </c>
      <c r="C26" s="21" t="s">
        <v>19</v>
      </c>
      <c r="D26" s="49">
        <v>42005</v>
      </c>
      <c r="E26" s="49">
        <f>D26+(F26*30)+4</f>
        <v>42369</v>
      </c>
      <c r="F26" s="30">
        <v>12</v>
      </c>
    </row>
    <row r="27" spans="1:7" x14ac:dyDescent="0.2">
      <c r="A27" s="51"/>
      <c r="B27" s="31" t="s">
        <v>42</v>
      </c>
      <c r="C27" s="21" t="s">
        <v>19</v>
      </c>
      <c r="D27" s="49">
        <f>E26+1</f>
        <v>42370</v>
      </c>
      <c r="E27" s="49">
        <f>D27+(F27*30)</f>
        <v>42460</v>
      </c>
      <c r="F27" s="30">
        <v>3</v>
      </c>
    </row>
    <row r="28" spans="1:7" x14ac:dyDescent="0.2">
      <c r="A28" s="51"/>
      <c r="B28" s="31" t="s">
        <v>36</v>
      </c>
      <c r="C28" s="21">
        <v>2000000</v>
      </c>
      <c r="D28" s="49">
        <f>E27+1</f>
        <v>42461</v>
      </c>
      <c r="E28" s="49">
        <f>D28+(F28*30)+34</f>
        <v>42735</v>
      </c>
      <c r="F28" s="30">
        <v>8</v>
      </c>
    </row>
    <row r="29" spans="1:7" x14ac:dyDescent="0.2">
      <c r="A29" s="51"/>
      <c r="B29" s="34" t="s">
        <v>47</v>
      </c>
      <c r="C29" s="42">
        <f>SUM(C30:C32)</f>
        <v>750000</v>
      </c>
      <c r="D29" s="47">
        <f>D30</f>
        <v>42005</v>
      </c>
      <c r="E29" s="47">
        <f>E32</f>
        <v>42735</v>
      </c>
      <c r="F29" s="43">
        <f>SUM(F30:F32)</f>
        <v>23</v>
      </c>
    </row>
    <row r="30" spans="1:7" x14ac:dyDescent="0.2">
      <c r="A30" s="51"/>
      <c r="B30" s="31" t="s">
        <v>41</v>
      </c>
      <c r="C30" s="21" t="s">
        <v>19</v>
      </c>
      <c r="D30" s="49">
        <v>42005</v>
      </c>
      <c r="E30" s="49">
        <f>D30+(F30*30)+4</f>
        <v>42369</v>
      </c>
      <c r="F30" s="30">
        <v>12</v>
      </c>
    </row>
    <row r="31" spans="1:7" x14ac:dyDescent="0.2">
      <c r="A31" s="51"/>
      <c r="B31" s="31" t="s">
        <v>42</v>
      </c>
      <c r="C31" s="21" t="s">
        <v>19</v>
      </c>
      <c r="D31" s="49">
        <f>E30+1</f>
        <v>42370</v>
      </c>
      <c r="E31" s="49">
        <f>D31+(F31*30)</f>
        <v>42460</v>
      </c>
      <c r="F31" s="30">
        <v>3</v>
      </c>
    </row>
    <row r="32" spans="1:7" x14ac:dyDescent="0.2">
      <c r="A32" s="51"/>
      <c r="B32" s="31" t="s">
        <v>44</v>
      </c>
      <c r="C32" s="21">
        <v>750000</v>
      </c>
      <c r="D32" s="49">
        <f>E31+1</f>
        <v>42461</v>
      </c>
      <c r="E32" s="49">
        <f>D32+(F32*30)+34</f>
        <v>42735</v>
      </c>
      <c r="F32" s="30">
        <v>8</v>
      </c>
    </row>
  </sheetData>
  <mergeCells count="8">
    <mergeCell ref="A10:A32"/>
    <mergeCell ref="D8:E8"/>
    <mergeCell ref="A1:F1"/>
    <mergeCell ref="A2:F2"/>
    <mergeCell ref="A3:F3"/>
    <mergeCell ref="A4:F4"/>
    <mergeCell ref="A5:F5"/>
    <mergeCell ref="A6:F6"/>
  </mergeCells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 r:id="rId1"/>
  <headerFooter alignWithMargins="0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31"/>
  <sheetViews>
    <sheetView topLeftCell="A5" zoomScale="76" zoomScaleNormal="115" workbookViewId="0">
      <selection activeCell="B11" sqref="B11"/>
    </sheetView>
  </sheetViews>
  <sheetFormatPr defaultColWidth="11.5703125" defaultRowHeight="12.75" x14ac:dyDescent="0.2"/>
  <cols>
    <col min="1" max="1" width="9.7109375" customWidth="1"/>
    <col min="2" max="2" width="45.28515625" customWidth="1"/>
    <col min="3" max="3" width="16.140625" bestFit="1" customWidth="1"/>
    <col min="4" max="4" width="16.42578125" customWidth="1"/>
    <col min="5" max="5" width="15.140625" customWidth="1"/>
    <col min="9" max="9" width="11.5703125" hidden="1" customWidth="1"/>
    <col min="12" max="12" width="12.28515625" customWidth="1"/>
  </cols>
  <sheetData>
    <row r="1" spans="1:9" ht="14.25" x14ac:dyDescent="0.2">
      <c r="A1" s="53" t="s">
        <v>43</v>
      </c>
      <c r="B1" s="54"/>
      <c r="C1" s="54"/>
      <c r="D1" s="54"/>
      <c r="E1" s="54"/>
      <c r="F1" s="55"/>
      <c r="I1" s="22">
        <v>4265714.2857142799</v>
      </c>
    </row>
    <row r="2" spans="1:9" ht="14.25" x14ac:dyDescent="0.2">
      <c r="A2" s="56" t="s">
        <v>29</v>
      </c>
      <c r="B2" s="57"/>
      <c r="C2" s="57"/>
      <c r="D2" s="57"/>
      <c r="E2" s="57"/>
      <c r="F2" s="58"/>
      <c r="I2" s="22">
        <f>I1*2</f>
        <v>8531428.5714285597</v>
      </c>
    </row>
    <row r="3" spans="1:9" x14ac:dyDescent="0.2">
      <c r="A3" s="59"/>
      <c r="B3" s="60"/>
      <c r="C3" s="60"/>
      <c r="D3" s="60"/>
      <c r="E3" s="60"/>
      <c r="F3" s="61"/>
      <c r="I3" s="22">
        <f>I1*3</f>
        <v>12797142.85714284</v>
      </c>
    </row>
    <row r="4" spans="1:9" ht="14.25" x14ac:dyDescent="0.2">
      <c r="A4" s="56" t="s">
        <v>10</v>
      </c>
      <c r="B4" s="57"/>
      <c r="C4" s="57"/>
      <c r="D4" s="57"/>
      <c r="E4" s="57"/>
      <c r="F4" s="58"/>
    </row>
    <row r="5" spans="1:9" ht="14.25" x14ac:dyDescent="0.2">
      <c r="A5" s="56" t="s">
        <v>27</v>
      </c>
      <c r="B5" s="57"/>
      <c r="C5" s="57"/>
      <c r="D5" s="57"/>
      <c r="E5" s="57"/>
      <c r="F5" s="58"/>
    </row>
    <row r="6" spans="1:9" ht="13.5" thickBot="1" x14ac:dyDescent="0.25">
      <c r="A6" s="62"/>
      <c r="B6" s="63"/>
      <c r="C6" s="63"/>
      <c r="D6" s="63"/>
      <c r="E6" s="63"/>
      <c r="F6" s="64"/>
    </row>
    <row r="7" spans="1:9" x14ac:dyDescent="0.2">
      <c r="A7" s="20"/>
      <c r="B7" s="20"/>
      <c r="C7" s="20"/>
      <c r="D7" s="20"/>
      <c r="E7" s="20"/>
      <c r="F7" s="20"/>
    </row>
    <row r="8" spans="1:9" ht="14.25" x14ac:dyDescent="0.2">
      <c r="A8" s="1"/>
      <c r="B8" s="1" t="s">
        <v>1</v>
      </c>
      <c r="C8" s="19" t="s">
        <v>2</v>
      </c>
      <c r="D8" s="67" t="s">
        <v>3</v>
      </c>
      <c r="E8" s="67"/>
      <c r="F8" s="2" t="s">
        <v>25</v>
      </c>
    </row>
    <row r="9" spans="1:9" x14ac:dyDescent="0.2">
      <c r="A9" s="3"/>
      <c r="B9" s="4" t="s">
        <v>12</v>
      </c>
      <c r="C9" s="5" t="s">
        <v>15</v>
      </c>
      <c r="D9" s="3" t="s">
        <v>5</v>
      </c>
      <c r="E9" s="3" t="s">
        <v>6</v>
      </c>
      <c r="F9" s="6" t="s">
        <v>7</v>
      </c>
    </row>
    <row r="10" spans="1:9" ht="28.5" customHeight="1" x14ac:dyDescent="0.2">
      <c r="A10" s="65" t="s">
        <v>17</v>
      </c>
      <c r="B10" s="8" t="s">
        <v>48</v>
      </c>
      <c r="C10" s="9">
        <f>C11+C18+C25</f>
        <v>18000000</v>
      </c>
      <c r="D10" s="10">
        <f>MIN(D11:D31)</f>
        <v>42005</v>
      </c>
      <c r="E10" s="10">
        <f>+MAX(E11:E31)</f>
        <v>42947</v>
      </c>
      <c r="F10" s="11">
        <f>YEARFRAC(D10,E10)*12</f>
        <v>31</v>
      </c>
    </row>
    <row r="11" spans="1:9" ht="13.5" customHeight="1" x14ac:dyDescent="0.2">
      <c r="A11" s="66"/>
      <c r="B11" s="12" t="s">
        <v>32</v>
      </c>
      <c r="C11" s="5">
        <v>4000000</v>
      </c>
      <c r="D11" s="13">
        <f>D12</f>
        <v>42005</v>
      </c>
      <c r="E11" s="13">
        <f>E17</f>
        <v>42369</v>
      </c>
      <c r="F11" s="6">
        <f>SUM(F12:F17)</f>
        <v>11</v>
      </c>
      <c r="G11" s="33"/>
    </row>
    <row r="12" spans="1:9" x14ac:dyDescent="0.2">
      <c r="A12" s="66"/>
      <c r="B12" s="15" t="s">
        <v>20</v>
      </c>
      <c r="C12" s="16" t="s">
        <v>19</v>
      </c>
      <c r="D12" s="17">
        <v>42005</v>
      </c>
      <c r="E12" s="17">
        <f>D12+(F12*30)</f>
        <v>42035</v>
      </c>
      <c r="F12" s="18">
        <v>1</v>
      </c>
    </row>
    <row r="13" spans="1:9" x14ac:dyDescent="0.2">
      <c r="A13" s="66"/>
      <c r="B13" s="15" t="s">
        <v>18</v>
      </c>
      <c r="C13" s="16" t="s">
        <v>19</v>
      </c>
      <c r="D13" s="17">
        <f>E12+1</f>
        <v>42036</v>
      </c>
      <c r="E13" s="17">
        <f>D13+(F13*30)-2</f>
        <v>42094</v>
      </c>
      <c r="F13" s="18">
        <v>2</v>
      </c>
    </row>
    <row r="14" spans="1:9" x14ac:dyDescent="0.2">
      <c r="A14" s="66"/>
      <c r="B14" s="15" t="s">
        <v>21</v>
      </c>
      <c r="C14" s="16" t="s">
        <v>19</v>
      </c>
      <c r="D14" s="17">
        <f>E13+1</f>
        <v>42095</v>
      </c>
      <c r="E14" s="17">
        <f>D14+(F14*30)</f>
        <v>42155</v>
      </c>
      <c r="F14" s="18">
        <v>2</v>
      </c>
    </row>
    <row r="15" spans="1:9" x14ac:dyDescent="0.2">
      <c r="A15" s="66"/>
      <c r="B15" s="15" t="s">
        <v>23</v>
      </c>
      <c r="C15" s="16" t="s">
        <v>19</v>
      </c>
      <c r="D15" s="17">
        <f>E14+1</f>
        <v>42156</v>
      </c>
      <c r="E15" s="17">
        <f>D15+(F15*30)</f>
        <v>42186</v>
      </c>
      <c r="F15" s="18">
        <v>1</v>
      </c>
    </row>
    <row r="16" spans="1:9" x14ac:dyDescent="0.2">
      <c r="A16" s="66"/>
      <c r="B16" s="15" t="s">
        <v>22</v>
      </c>
      <c r="C16" s="16" t="s">
        <v>19</v>
      </c>
      <c r="D16" s="17">
        <f>E15+1</f>
        <v>42187</v>
      </c>
      <c r="E16" s="17">
        <f>D16+(F16*30)</f>
        <v>42217</v>
      </c>
      <c r="F16" s="18">
        <v>1</v>
      </c>
    </row>
    <row r="17" spans="1:9" x14ac:dyDescent="0.2">
      <c r="A17" s="66"/>
      <c r="B17" s="15" t="s">
        <v>24</v>
      </c>
      <c r="C17" s="16">
        <v>4000000</v>
      </c>
      <c r="D17" s="17">
        <f>E16+1</f>
        <v>42218</v>
      </c>
      <c r="E17" s="17">
        <f>D17+(F17*30)+31</f>
        <v>42369</v>
      </c>
      <c r="F17" s="18">
        <v>4</v>
      </c>
      <c r="I17">
        <v>9000000</v>
      </c>
    </row>
    <row r="18" spans="1:9" x14ac:dyDescent="0.2">
      <c r="A18" s="66"/>
      <c r="B18" s="12" t="s">
        <v>33</v>
      </c>
      <c r="C18" s="5">
        <f>SUM(C19:C24)</f>
        <v>4000000</v>
      </c>
      <c r="D18" s="13">
        <f>D19</f>
        <v>42005</v>
      </c>
      <c r="E18" s="13">
        <f>E24</f>
        <v>42735</v>
      </c>
      <c r="F18" s="6">
        <f>SUM(F19:F24)</f>
        <v>23</v>
      </c>
      <c r="G18" s="33"/>
    </row>
    <row r="19" spans="1:9" x14ac:dyDescent="0.2">
      <c r="A19" s="66"/>
      <c r="B19" s="15" t="s">
        <v>20</v>
      </c>
      <c r="C19" s="16" t="s">
        <v>19</v>
      </c>
      <c r="D19" s="17">
        <v>42005</v>
      </c>
      <c r="E19" s="17">
        <f>D19+(F19*30)</f>
        <v>42125</v>
      </c>
      <c r="F19" s="18">
        <v>4</v>
      </c>
    </row>
    <row r="20" spans="1:9" x14ac:dyDescent="0.2">
      <c r="A20" s="66"/>
      <c r="B20" s="15" t="s">
        <v>18</v>
      </c>
      <c r="C20" s="16" t="s">
        <v>19</v>
      </c>
      <c r="D20" s="17">
        <f>E19</f>
        <v>42125</v>
      </c>
      <c r="E20" s="17">
        <f>D20+(F20*30)+1</f>
        <v>42216</v>
      </c>
      <c r="F20" s="18">
        <v>3</v>
      </c>
    </row>
    <row r="21" spans="1:9" x14ac:dyDescent="0.2">
      <c r="A21" s="66"/>
      <c r="B21" s="15" t="s">
        <v>21</v>
      </c>
      <c r="C21" s="16" t="s">
        <v>19</v>
      </c>
      <c r="D21" s="17">
        <f>E20+1</f>
        <v>42217</v>
      </c>
      <c r="E21" s="17">
        <f>D21+(F21*30)+2</f>
        <v>42309</v>
      </c>
      <c r="F21" s="18">
        <v>3</v>
      </c>
    </row>
    <row r="22" spans="1:9" x14ac:dyDescent="0.2">
      <c r="A22" s="66"/>
      <c r="B22" s="15" t="s">
        <v>23</v>
      </c>
      <c r="C22" s="16" t="s">
        <v>19</v>
      </c>
      <c r="D22" s="17">
        <f>E21</f>
        <v>42309</v>
      </c>
      <c r="E22" s="17">
        <f>D22+(F22*30)-1</f>
        <v>42368</v>
      </c>
      <c r="F22" s="18">
        <v>2</v>
      </c>
    </row>
    <row r="23" spans="1:9" x14ac:dyDescent="0.2">
      <c r="A23" s="66"/>
      <c r="B23" s="15" t="s">
        <v>22</v>
      </c>
      <c r="C23" s="16" t="s">
        <v>19</v>
      </c>
      <c r="D23" s="17">
        <f>E22+2</f>
        <v>42370</v>
      </c>
      <c r="E23" s="17">
        <f>D23+(F23*30)-1</f>
        <v>42399</v>
      </c>
      <c r="F23" s="18">
        <v>1</v>
      </c>
    </row>
    <row r="24" spans="1:9" x14ac:dyDescent="0.2">
      <c r="A24" s="66"/>
      <c r="B24" s="15" t="s">
        <v>24</v>
      </c>
      <c r="C24" s="16">
        <v>4000000</v>
      </c>
      <c r="D24" s="17">
        <f>E23+2</f>
        <v>42401</v>
      </c>
      <c r="E24" s="17">
        <f>D24+(F24*30)+34</f>
        <v>42735</v>
      </c>
      <c r="F24" s="18">
        <v>10</v>
      </c>
      <c r="I24">
        <v>9000000</v>
      </c>
    </row>
    <row r="25" spans="1:9" x14ac:dyDescent="0.2">
      <c r="A25" s="66"/>
      <c r="B25" s="12" t="s">
        <v>45</v>
      </c>
      <c r="C25" s="5">
        <f>SUM(C26:C31)</f>
        <v>10000000</v>
      </c>
      <c r="D25" s="13">
        <f>D26</f>
        <v>42005</v>
      </c>
      <c r="E25" s="13">
        <f>E31</f>
        <v>42947</v>
      </c>
      <c r="F25" s="6">
        <f>SUM(F26:F31)</f>
        <v>31</v>
      </c>
      <c r="G25" s="33"/>
      <c r="I25">
        <v>142857.142857142</v>
      </c>
    </row>
    <row r="26" spans="1:9" x14ac:dyDescent="0.2">
      <c r="A26" s="66"/>
      <c r="B26" s="15" t="s">
        <v>20</v>
      </c>
      <c r="C26" s="16" t="s">
        <v>19</v>
      </c>
      <c r="D26" s="17">
        <v>42005</v>
      </c>
      <c r="E26" s="17">
        <f>D26+(F26*30)</f>
        <v>42125</v>
      </c>
      <c r="F26" s="18">
        <v>4</v>
      </c>
      <c r="G26" s="33"/>
    </row>
    <row r="27" spans="1:9" x14ac:dyDescent="0.2">
      <c r="A27" s="66"/>
      <c r="B27" s="15" t="s">
        <v>18</v>
      </c>
      <c r="C27" s="16" t="s">
        <v>19</v>
      </c>
      <c r="D27" s="17">
        <f>E26</f>
        <v>42125</v>
      </c>
      <c r="E27" s="17">
        <f>D27+(F27*30)+1</f>
        <v>42216</v>
      </c>
      <c r="F27" s="18">
        <v>3</v>
      </c>
      <c r="G27" s="33"/>
    </row>
    <row r="28" spans="1:9" x14ac:dyDescent="0.2">
      <c r="A28" s="66"/>
      <c r="B28" s="15" t="s">
        <v>21</v>
      </c>
      <c r="C28" s="16" t="s">
        <v>19</v>
      </c>
      <c r="D28" s="17">
        <f>E27+1</f>
        <v>42217</v>
      </c>
      <c r="E28" s="17">
        <f>D28+(F28*30)+2</f>
        <v>42309</v>
      </c>
      <c r="F28" s="18">
        <v>3</v>
      </c>
      <c r="G28" s="33"/>
    </row>
    <row r="29" spans="1:9" x14ac:dyDescent="0.2">
      <c r="A29" s="66"/>
      <c r="B29" s="15" t="s">
        <v>23</v>
      </c>
      <c r="C29" s="16" t="s">
        <v>19</v>
      </c>
      <c r="D29" s="17">
        <f>E28</f>
        <v>42309</v>
      </c>
      <c r="E29" s="17">
        <f>D29+(F29*30)-1</f>
        <v>42368</v>
      </c>
      <c r="F29" s="18">
        <v>2</v>
      </c>
      <c r="I29">
        <f>I25*2</f>
        <v>285714.28571428399</v>
      </c>
    </row>
    <row r="30" spans="1:9" x14ac:dyDescent="0.2">
      <c r="A30" s="66"/>
      <c r="B30" s="15" t="s">
        <v>22</v>
      </c>
      <c r="C30" s="16" t="s">
        <v>19</v>
      </c>
      <c r="D30" s="17">
        <f>E29+2</f>
        <v>42370</v>
      </c>
      <c r="E30" s="17">
        <f>D30+(F30*30)-1</f>
        <v>42399</v>
      </c>
      <c r="F30" s="18">
        <v>1</v>
      </c>
      <c r="I30">
        <f>I25*2</f>
        <v>285714.28571428399</v>
      </c>
    </row>
    <row r="31" spans="1:9" x14ac:dyDescent="0.2">
      <c r="A31" s="66"/>
      <c r="B31" s="15" t="s">
        <v>24</v>
      </c>
      <c r="C31" s="16">
        <v>10000000</v>
      </c>
      <c r="D31" s="17">
        <f>E30+2</f>
        <v>42401</v>
      </c>
      <c r="E31" s="17">
        <f>D31+(F31*30)+6</f>
        <v>42947</v>
      </c>
      <c r="F31" s="18">
        <v>18</v>
      </c>
      <c r="I31">
        <f>I25*3</f>
        <v>428571.42857142596</v>
      </c>
    </row>
  </sheetData>
  <mergeCells count="8">
    <mergeCell ref="A10:A31"/>
    <mergeCell ref="D8:E8"/>
    <mergeCell ref="A1:F1"/>
    <mergeCell ref="A2:F2"/>
    <mergeCell ref="A3:F3"/>
    <mergeCell ref="A4:F4"/>
    <mergeCell ref="A5:F5"/>
    <mergeCell ref="A6:F6"/>
  </mergeCells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 r:id="rId1"/>
  <headerFooter alignWithMargins="0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13"/>
  <sheetViews>
    <sheetView topLeftCell="B1" zoomScale="115" zoomScaleNormal="115" workbookViewId="0">
      <selection activeCell="E13" sqref="E13"/>
    </sheetView>
  </sheetViews>
  <sheetFormatPr defaultColWidth="11.5703125" defaultRowHeight="12.75" x14ac:dyDescent="0.2"/>
  <cols>
    <col min="1" max="1" width="9.7109375" customWidth="1"/>
    <col min="2" max="2" width="42.5703125" customWidth="1"/>
    <col min="3" max="3" width="16.140625" bestFit="1" customWidth="1"/>
  </cols>
  <sheetData>
    <row r="1" spans="1:6" ht="14.25" x14ac:dyDescent="0.2">
      <c r="A1" s="53" t="s">
        <v>28</v>
      </c>
      <c r="B1" s="54"/>
      <c r="C1" s="54"/>
      <c r="D1" s="54"/>
      <c r="E1" s="54"/>
      <c r="F1" s="55"/>
    </row>
    <row r="2" spans="1:6" ht="14.25" x14ac:dyDescent="0.2">
      <c r="A2" s="56" t="s">
        <v>29</v>
      </c>
      <c r="B2" s="57"/>
      <c r="C2" s="57"/>
      <c r="D2" s="57"/>
      <c r="E2" s="57"/>
      <c r="F2" s="58"/>
    </row>
    <row r="3" spans="1:6" x14ac:dyDescent="0.2">
      <c r="A3" s="59"/>
      <c r="B3" s="60"/>
      <c r="C3" s="60"/>
      <c r="D3" s="60"/>
      <c r="E3" s="60"/>
      <c r="F3" s="61"/>
    </row>
    <row r="4" spans="1:6" ht="14.25" x14ac:dyDescent="0.2">
      <c r="A4" s="56" t="s">
        <v>10</v>
      </c>
      <c r="B4" s="57"/>
      <c r="C4" s="57"/>
      <c r="D4" s="57"/>
      <c r="E4" s="57"/>
      <c r="F4" s="58"/>
    </row>
    <row r="5" spans="1:6" ht="14.25" x14ac:dyDescent="0.2">
      <c r="A5" s="56" t="s">
        <v>27</v>
      </c>
      <c r="B5" s="57"/>
      <c r="C5" s="57"/>
      <c r="D5" s="57"/>
      <c r="E5" s="57"/>
      <c r="F5" s="58"/>
    </row>
    <row r="6" spans="1:6" ht="13.5" thickBot="1" x14ac:dyDescent="0.25">
      <c r="A6" s="62"/>
      <c r="B6" s="63"/>
      <c r="C6" s="63"/>
      <c r="D6" s="63"/>
      <c r="E6" s="63"/>
      <c r="F6" s="64"/>
    </row>
    <row r="7" spans="1:6" x14ac:dyDescent="0.2">
      <c r="A7" s="20"/>
      <c r="B7" s="20"/>
      <c r="C7" s="20"/>
      <c r="D7" s="20"/>
      <c r="E7" s="20"/>
      <c r="F7" s="20"/>
    </row>
    <row r="8" spans="1:6" ht="14.25" x14ac:dyDescent="0.2">
      <c r="A8" s="1" t="s">
        <v>0</v>
      </c>
      <c r="B8" s="1" t="s">
        <v>1</v>
      </c>
      <c r="C8" s="19" t="s">
        <v>2</v>
      </c>
      <c r="D8" s="68" t="s">
        <v>3</v>
      </c>
      <c r="E8" s="69"/>
      <c r="F8" s="2" t="s">
        <v>25</v>
      </c>
    </row>
    <row r="9" spans="1:6" x14ac:dyDescent="0.2">
      <c r="A9" s="3"/>
      <c r="B9" s="4" t="s">
        <v>4</v>
      </c>
      <c r="C9" s="5" t="s">
        <v>11</v>
      </c>
      <c r="D9" s="3" t="s">
        <v>5</v>
      </c>
      <c r="E9" s="3" t="s">
        <v>6</v>
      </c>
      <c r="F9" s="6" t="s">
        <v>7</v>
      </c>
    </row>
    <row r="10" spans="1:6" ht="14.25" x14ac:dyDescent="0.2">
      <c r="A10" s="23"/>
      <c r="B10" s="24" t="s">
        <v>13</v>
      </c>
      <c r="C10" s="25">
        <f>SUM(C11:C13)</f>
        <v>2147000</v>
      </c>
      <c r="D10" s="26">
        <v>42005</v>
      </c>
      <c r="E10" s="26">
        <v>43830</v>
      </c>
      <c r="F10" s="27">
        <f>YEARFRAC(D10,E10)*12</f>
        <v>60</v>
      </c>
    </row>
    <row r="11" spans="1:6" x14ac:dyDescent="0.2">
      <c r="A11" s="28"/>
      <c r="B11" s="29" t="s">
        <v>26</v>
      </c>
      <c r="C11" s="21">
        <v>400000</v>
      </c>
      <c r="D11" s="35">
        <v>42005</v>
      </c>
      <c r="E11" s="35">
        <v>43830</v>
      </c>
      <c r="F11" s="30">
        <f>YEARFRAC(D11,E11)*12</f>
        <v>60</v>
      </c>
    </row>
    <row r="12" spans="1:6" x14ac:dyDescent="0.2">
      <c r="A12" s="28"/>
      <c r="B12" s="29" t="s">
        <v>34</v>
      </c>
      <c r="C12" s="21">
        <v>300000</v>
      </c>
      <c r="D12" s="35">
        <v>42005</v>
      </c>
      <c r="E12" s="35">
        <v>43830</v>
      </c>
      <c r="F12" s="30">
        <f>YEARFRAC(D12,E12)*12</f>
        <v>60</v>
      </c>
    </row>
    <row r="13" spans="1:6" x14ac:dyDescent="0.2">
      <c r="A13" s="28"/>
      <c r="B13" s="31" t="s">
        <v>14</v>
      </c>
      <c r="C13" s="21">
        <v>1447000</v>
      </c>
      <c r="D13" s="35" t="s">
        <v>19</v>
      </c>
      <c r="E13" s="35" t="s">
        <v>19</v>
      </c>
      <c r="F13" s="35" t="s">
        <v>19</v>
      </c>
    </row>
  </sheetData>
  <mergeCells count="7">
    <mergeCell ref="D8:E8"/>
    <mergeCell ref="A4:F4"/>
    <mergeCell ref="A1:F1"/>
    <mergeCell ref="A2:F2"/>
    <mergeCell ref="A5:F5"/>
    <mergeCell ref="A3:F3"/>
    <mergeCell ref="A6:F6"/>
  </mergeCells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 r:id="rId1"/>
  <headerFooter alignWithMargins="0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8:E20"/>
  <sheetViews>
    <sheetView tabSelected="1" zoomScaleNormal="100" workbookViewId="0">
      <selection activeCell="A13" sqref="A13"/>
    </sheetView>
  </sheetViews>
  <sheetFormatPr defaultColWidth="11.5703125" defaultRowHeight="12.75" x14ac:dyDescent="0.2"/>
  <cols>
    <col min="1" max="1" width="9.7109375" customWidth="1"/>
    <col min="2" max="2" width="42.5703125" customWidth="1"/>
    <col min="3" max="3" width="16.140625" bestFit="1" customWidth="1"/>
  </cols>
  <sheetData>
    <row r="8" spans="1:3" ht="14.45" customHeight="1" x14ac:dyDescent="0.2">
      <c r="A8" s="1" t="s">
        <v>0</v>
      </c>
      <c r="B8" s="1" t="s">
        <v>1</v>
      </c>
      <c r="C8" s="19" t="s">
        <v>2</v>
      </c>
    </row>
    <row r="9" spans="1:3" ht="13.5" customHeight="1" x14ac:dyDescent="0.2">
      <c r="A9" s="3"/>
      <c r="B9" s="4" t="s">
        <v>4</v>
      </c>
      <c r="C9" s="5" t="s">
        <v>11</v>
      </c>
    </row>
    <row r="10" spans="1:3" ht="14.25" x14ac:dyDescent="0.2">
      <c r="A10" s="7"/>
      <c r="B10" s="8" t="s">
        <v>16</v>
      </c>
      <c r="C10" s="9">
        <f>SUM(C11:C13)</f>
        <v>33000000</v>
      </c>
    </row>
    <row r="11" spans="1:3" x14ac:dyDescent="0.2">
      <c r="A11" s="14"/>
      <c r="B11" s="15" t="s">
        <v>8</v>
      </c>
      <c r="C11" s="16">
        <f>'Component I'!C10</f>
        <v>12853000</v>
      </c>
    </row>
    <row r="12" spans="1:3" x14ac:dyDescent="0.2">
      <c r="A12" s="14"/>
      <c r="B12" s="15" t="s">
        <v>9</v>
      </c>
      <c r="C12" s="16">
        <f>'Component II'!C10</f>
        <v>18000000</v>
      </c>
    </row>
    <row r="13" spans="1:3" x14ac:dyDescent="0.2">
      <c r="A13" s="14"/>
      <c r="B13" s="15" t="s">
        <v>13</v>
      </c>
      <c r="C13" s="16">
        <f>'Other Costs'!C10</f>
        <v>2147000</v>
      </c>
    </row>
    <row r="20" spans="5:5" x14ac:dyDescent="0.2">
      <c r="E20" s="50"/>
    </row>
  </sheetData>
  <pageMargins left="0.78749999999999998" right="0.78749999999999998" top="1.0527777777777778" bottom="1.0527777777777778" header="0.78749999999999998" footer="0.78749999999999998"/>
  <pageSetup paperSize="9" orientation="portrait" horizontalDpi="300" verticalDpi="300" r:id="rId1"/>
  <headerFooter alignWithMargins="0">
    <oddHeader>&amp;C&amp;"Times New Roman,Regular"&amp;12&amp;A</oddHeader>
    <oddFooter>&amp;C&amp;"Times New Roman,Regular"&amp;12Page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6FE16D416C3B6A4E9C81DBBDD68B5003" ma:contentTypeVersion="0" ma:contentTypeDescription="A content type to manage public (operations) IDB documents" ma:contentTypeScope="" ma:versionID="20884c2ba6571894acba289b7869ca60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bafd4bc984cf5f6aea22685423225c07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94445462-ea74-4a65-b2dc-4d24fbe905cc}" ma:internalName="TaxCatchAll" ma:showField="CatchAllData" ma:web="bf40e83c-993a-41d3-8d89-aa2461e367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94445462-ea74-4a65-b2dc-4d24fbe905cc}" ma:internalName="TaxCatchAllLabel" ma:readOnly="true" ma:showField="CatchAllDataLabel" ma:web="bf40e83c-993a-41d3-8d89-aa2461e367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INE/ENE</Division_x0020_or_x0020_Unit>
    <Other_x0020_Author xmlns="9c571b2f-e523-4ab2-ba2e-09e151a03ef4" xsi:nil="true"/>
    <Region xmlns="9c571b2f-e523-4ab2-ba2e-09e151a03ef4" xsi:nil="true"/>
    <IDBDocs_x0020_Number xmlns="9c571b2f-e523-4ab2-ba2e-09e151a03ef4">39033202</IDBDocs_x0020_Number>
    <Document_x0020_Author xmlns="9c571b2f-e523-4ab2-ba2e-09e151a03ef4">Cova Leon,Haydemar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6</Value>
    </TaxCatchAll>
    <Fiscal_x0020_Year_x0020_IDB xmlns="9c571b2f-e523-4ab2-ba2e-09e151a03ef4">2014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SU-L1039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EN-ENG</Webtopic>
    <Identifier xmlns="9c571b2f-e523-4ab2-ba2e-09e151a03ef4"> </Identifier>
    <Publishing_x0020_House xmlns="9c571b2f-e523-4ab2-ba2e-09e151a03ef4" xsi:nil="true"/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B5A1E609-88BC-47DC-880E-3C4F9391EE6B}"/>
</file>

<file path=customXml/itemProps2.xml><?xml version="1.0" encoding="utf-8"?>
<ds:datastoreItem xmlns:ds="http://schemas.openxmlformats.org/officeDocument/2006/customXml" ds:itemID="{3FADFFBD-C515-4A82-9136-9F7A3532460B}"/>
</file>

<file path=customXml/itemProps3.xml><?xml version="1.0" encoding="utf-8"?>
<ds:datastoreItem xmlns:ds="http://schemas.openxmlformats.org/officeDocument/2006/customXml" ds:itemID="{86D557B8-CED6-467F-9CF9-AA8C82309FED}"/>
</file>

<file path=customXml/itemProps4.xml><?xml version="1.0" encoding="utf-8"?>
<ds:datastoreItem xmlns:ds="http://schemas.openxmlformats.org/officeDocument/2006/customXml" ds:itemID="{370B93DB-FAD9-4E2B-8A7F-B87555236E22}"/>
</file>

<file path=customXml/itemProps5.xml><?xml version="1.0" encoding="utf-8"?>
<ds:datastoreItem xmlns:ds="http://schemas.openxmlformats.org/officeDocument/2006/customXml" ds:itemID="{BB8CF938-3D74-4FF4-A35E-AE57FCB428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Component I</vt:lpstr>
      <vt:lpstr>Component II</vt:lpstr>
      <vt:lpstr>Other Costs</vt:lpstr>
      <vt:lpstr>Summary</vt:lpstr>
      <vt:lpstr>'Component II'!_ftnref1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Pluriannual Execution Plan PEP pre QRR Sep3</dc:title>
  <dc:creator>Echeverría Echeverría, Carlos Bladimir</dc:creator>
  <cp:lastModifiedBy>Carlos Echeverria</cp:lastModifiedBy>
  <dcterms:created xsi:type="dcterms:W3CDTF">2012-08-30T22:34:48Z</dcterms:created>
  <dcterms:modified xsi:type="dcterms:W3CDTF">2014-10-24T17:41:46Z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0x01010046CF21643EE8D14686A648AA6DAD0892006FE16D416C3B6A4E9C81DBBDD68B5003</vt:lpwstr>
  </property>
  <property fmtid="{D5CDD505-2E9C-101B-9397-08002B2CF9AE}" pid="5" name="TaxKeywordTaxHTField">
    <vt:lpwstr/>
  </property>
  <property fmtid="{D5CDD505-2E9C-101B-9397-08002B2CF9AE}" pid="6" name="Series Operations IDB">
    <vt:lpwstr>5;#Unclassified|a6dff32e-d477-44cd-a56b-85efe9e0a56c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5;#Unclassified|a6dff32e-d477-44cd-a56b-85efe9e0a56c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6;#IDBDocs|cca77002-e150-4b2d-ab1f-1d7a7cdcae16</vt:lpwstr>
  </property>
</Properties>
</file>