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calvo\Documents\Ecuador\EC-L1230\Presupuesto\"/>
    </mc:Choice>
  </mc:AlternateContent>
  <xr:revisionPtr revIDLastSave="0" documentId="13_ncr:1_{DED2F866-A406-489E-A098-50252CDE9D5D}" xr6:coauthVersionLast="36" xr6:coauthVersionMax="36" xr10:uidLastSave="{00000000-0000-0000-0000-000000000000}"/>
  <bookViews>
    <workbookView xWindow="0" yWindow="0" windowWidth="23040" windowHeight="8496" tabRatio="813" activeTab="1" xr2:uid="{00000000-000D-0000-FFFF-FFFF00000000}"/>
  </bookViews>
  <sheets>
    <sheet name="1. Detailed Budget" sheetId="22" r:id="rId1"/>
    <sheet name="2. Pluriannual Plan PEP" sheetId="29" r:id="rId2"/>
    <sheet name="3. Procurement Plan - PA" sheetId="24" r:id="rId3"/>
    <sheet name="4. Sintetic - PA" sheetId="23" r:id="rId4"/>
    <sheet name="5. Budget by Components" sheetId="19" r:id="rId5"/>
    <sheet name="Sheet2" sheetId="31" r:id="rId6"/>
    <sheet name="6. POA 2018-2019" sheetId="27" state="hidden" r:id="rId7"/>
    <sheet name="Prices" sheetId="10" state="hidden" r:id="rId8"/>
  </sheets>
  <definedNames>
    <definedName name="_xlnm._FilterDatabase" localSheetId="2" hidden="1">'3. Procurement Plan - PA'!$J$1:$J$97</definedName>
    <definedName name="OLE_LINK1" localSheetId="0">'1. Detailed Budget'!#REF!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29" l="1"/>
  <c r="A5" i="31"/>
  <c r="F25" i="29"/>
  <c r="D25" i="29"/>
  <c r="C25" i="29"/>
  <c r="B25" i="29"/>
  <c r="F23" i="29" l="1"/>
  <c r="B23" i="29"/>
  <c r="B21" i="29"/>
  <c r="B18" i="29"/>
  <c r="E25" i="29" l="1"/>
  <c r="E23" i="29" s="1"/>
  <c r="E22" i="29" s="1"/>
  <c r="D23" i="29"/>
  <c r="D22" i="29" s="1"/>
  <c r="C23" i="29"/>
  <c r="C22" i="29" s="1"/>
  <c r="B22" i="29"/>
  <c r="G26" i="29"/>
  <c r="G30" i="29"/>
  <c r="G29" i="29"/>
  <c r="G28" i="29"/>
  <c r="G27" i="29"/>
  <c r="K49" i="22"/>
  <c r="G25" i="29" l="1"/>
  <c r="F24" i="29"/>
  <c r="G23" i="29"/>
  <c r="G21" i="29"/>
  <c r="A21" i="29"/>
  <c r="G20" i="29"/>
  <c r="A20" i="29"/>
  <c r="G19" i="29"/>
  <c r="A19" i="29"/>
  <c r="G18" i="29"/>
  <c r="A18" i="29"/>
  <c r="F17" i="29"/>
  <c r="E17" i="29"/>
  <c r="D17" i="29"/>
  <c r="B17" i="29"/>
  <c r="A17" i="29"/>
  <c r="G16" i="29"/>
  <c r="A16" i="29"/>
  <c r="C15" i="29"/>
  <c r="C14" i="29" s="1"/>
  <c r="B15" i="29"/>
  <c r="A15" i="29"/>
  <c r="F14" i="29"/>
  <c r="E14" i="29"/>
  <c r="D14" i="29"/>
  <c r="A14" i="29"/>
  <c r="G13" i="29"/>
  <c r="A13" i="29"/>
  <c r="G12" i="29"/>
  <c r="A12" i="29"/>
  <c r="G11" i="29"/>
  <c r="A11" i="29"/>
  <c r="G10" i="29"/>
  <c r="A10" i="29"/>
  <c r="G9" i="29"/>
  <c r="A9" i="29"/>
  <c r="G8" i="29"/>
  <c r="A8" i="29"/>
  <c r="G7" i="29"/>
  <c r="A7" i="29"/>
  <c r="F6" i="29"/>
  <c r="E6" i="29"/>
  <c r="E3" i="29" s="1"/>
  <c r="E4" i="29" s="1"/>
  <c r="D6" i="29"/>
  <c r="D3" i="29" s="1"/>
  <c r="D4" i="29" s="1"/>
  <c r="C6" i="29"/>
  <c r="B6" i="29"/>
  <c r="A6" i="29"/>
  <c r="G15" i="29" l="1"/>
  <c r="C3" i="29"/>
  <c r="C4" i="29" s="1"/>
  <c r="H34" i="19"/>
  <c r="C17" i="29"/>
  <c r="G24" i="29"/>
  <c r="F22" i="29"/>
  <c r="F3" i="29" s="1"/>
  <c r="G17" i="29"/>
  <c r="G6" i="29"/>
  <c r="B14" i="29"/>
  <c r="G14" i="29" s="1"/>
  <c r="F34" i="19" l="1"/>
  <c r="D5" i="29"/>
  <c r="G35" i="19"/>
  <c r="E5" i="29"/>
  <c r="H35" i="19"/>
  <c r="G34" i="19"/>
  <c r="B3" i="29"/>
  <c r="E34" i="19" s="1"/>
  <c r="I34" i="19"/>
  <c r="G22" i="29"/>
  <c r="F4" i="29"/>
  <c r="B46" i="22"/>
  <c r="C5" i="29" l="1"/>
  <c r="F35" i="19"/>
  <c r="F5" i="29"/>
  <c r="I35" i="19"/>
  <c r="G3" i="29"/>
  <c r="B4" i="29"/>
  <c r="C63" i="22"/>
  <c r="B67" i="22"/>
  <c r="H63" i="22"/>
  <c r="I63" i="22" s="1"/>
  <c r="B5" i="29" l="1"/>
  <c r="E35" i="19"/>
  <c r="G34" i="24"/>
  <c r="G33" i="24"/>
  <c r="G32" i="24"/>
  <c r="G31" i="24"/>
  <c r="C34" i="24"/>
  <c r="C33" i="24"/>
  <c r="C32" i="24"/>
  <c r="C31" i="24"/>
  <c r="A34" i="24"/>
  <c r="A33" i="24"/>
  <c r="A32" i="24"/>
  <c r="A31" i="24"/>
  <c r="B21" i="22"/>
  <c r="C24" i="22"/>
  <c r="C23" i="22"/>
  <c r="C22" i="22"/>
  <c r="C21" i="22"/>
  <c r="N23" i="22"/>
  <c r="O23" i="22" s="1"/>
  <c r="N22" i="22"/>
  <c r="O22" i="22" s="1"/>
  <c r="N21" i="22"/>
  <c r="O21" i="22" s="1"/>
  <c r="N24" i="22"/>
  <c r="D115" i="27" l="1"/>
  <c r="D96" i="27"/>
  <c r="D95" i="27"/>
  <c r="D87" i="27"/>
  <c r="D86" i="27"/>
  <c r="D78" i="27"/>
  <c r="D77" i="27"/>
  <c r="D69" i="27"/>
  <c r="D68" i="27"/>
  <c r="D60" i="27"/>
  <c r="D58" i="27"/>
  <c r="D56" i="27"/>
  <c r="D54" i="27"/>
  <c r="D5" i="27"/>
  <c r="F36" i="19" l="1"/>
  <c r="C22" i="24"/>
  <c r="A22" i="24"/>
  <c r="C61" i="24"/>
  <c r="C62" i="24"/>
  <c r="C60" i="24"/>
  <c r="A60" i="24"/>
  <c r="B42" i="22" l="1"/>
  <c r="H20" i="22"/>
  <c r="I20" i="22"/>
  <c r="C20" i="22" s="1"/>
  <c r="X18" i="22"/>
  <c r="G36" i="19" l="1"/>
  <c r="E36" i="19"/>
  <c r="Y18" i="22"/>
  <c r="G22" i="24"/>
  <c r="B20" i="22"/>
  <c r="F62" i="24"/>
  <c r="G84" i="24" l="1"/>
  <c r="C84" i="24"/>
  <c r="A84" i="24"/>
  <c r="H36" i="19" l="1"/>
  <c r="O24" i="22"/>
  <c r="AC24" i="22" l="1"/>
  <c r="AD24" i="22" s="1"/>
  <c r="X24" i="22"/>
  <c r="T24" i="22"/>
  <c r="Y24" i="22" l="1"/>
  <c r="H50" i="22"/>
  <c r="B50" i="22" s="1"/>
  <c r="B12" i="19" s="1"/>
  <c r="A67" i="24" l="1"/>
  <c r="A66" i="24"/>
  <c r="C67" i="24"/>
  <c r="C59" i="24"/>
  <c r="A59" i="24"/>
  <c r="C4" i="23" l="1"/>
  <c r="A7" i="19" l="1"/>
  <c r="C51" i="24"/>
  <c r="A51" i="24"/>
  <c r="C52" i="24"/>
  <c r="C71" i="24" l="1"/>
  <c r="C72" i="24"/>
  <c r="N26" i="22" l="1"/>
  <c r="N39" i="22" l="1"/>
  <c r="N38" i="22"/>
  <c r="N37" i="22"/>
  <c r="N36" i="22"/>
  <c r="N35" i="22"/>
  <c r="N34" i="22"/>
  <c r="N33" i="22"/>
  <c r="N32" i="22"/>
  <c r="N31" i="22"/>
  <c r="N30" i="22"/>
  <c r="N29" i="22"/>
  <c r="N28" i="22"/>
  <c r="N27" i="22"/>
  <c r="O27" i="22" s="1"/>
  <c r="C30" i="24" l="1"/>
  <c r="A30" i="24"/>
  <c r="E41" i="10" l="1"/>
  <c r="E41" i="22"/>
  <c r="G85" i="24" l="1"/>
  <c r="I84" i="24"/>
  <c r="H84" i="24"/>
  <c r="A12" i="24"/>
  <c r="C13" i="24"/>
  <c r="C12" i="24"/>
  <c r="A21" i="24"/>
  <c r="A20" i="24"/>
  <c r="A19" i="24"/>
  <c r="A24" i="24"/>
  <c r="A23" i="24"/>
  <c r="C24" i="24"/>
  <c r="C23" i="24"/>
  <c r="C20" i="24"/>
  <c r="C21" i="24"/>
  <c r="C19" i="24"/>
  <c r="C79" i="24"/>
  <c r="C76" i="24"/>
  <c r="C77" i="24"/>
  <c r="C78" i="24"/>
  <c r="C68" i="24"/>
  <c r="C69" i="24"/>
  <c r="C70" i="24"/>
  <c r="C73" i="24"/>
  <c r="C74" i="24"/>
  <c r="C75" i="24"/>
  <c r="A64" i="24"/>
  <c r="A65" i="24"/>
  <c r="A63" i="24"/>
  <c r="A58" i="24"/>
  <c r="C64" i="24"/>
  <c r="C65" i="24"/>
  <c r="C66" i="24"/>
  <c r="C63" i="24"/>
  <c r="C58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A21" i="23"/>
  <c r="A23" i="23"/>
  <c r="A22" i="23"/>
  <c r="C16" i="23" l="1"/>
  <c r="B16" i="23"/>
  <c r="S41" i="22"/>
  <c r="Q40" i="22"/>
  <c r="S40" i="22" s="1"/>
  <c r="T41" i="22" l="1"/>
  <c r="G13" i="24"/>
  <c r="T40" i="22"/>
  <c r="G12" i="24"/>
  <c r="H40" i="22"/>
  <c r="F63" i="24" s="1"/>
  <c r="X14" i="22"/>
  <c r="X43" i="22"/>
  <c r="Y43" i="22" l="1"/>
  <c r="G23" i="24"/>
  <c r="Y14" i="22"/>
  <c r="G19" i="24"/>
  <c r="I40" i="22"/>
  <c r="G15" i="24"/>
  <c r="B13" i="23" s="1"/>
  <c r="C13" i="23" s="1"/>
  <c r="Y40" i="22" l="1"/>
  <c r="AD49" i="22"/>
  <c r="AD47" i="22"/>
  <c r="AD12" i="22"/>
  <c r="AD11" i="22"/>
  <c r="AD9" i="22"/>
  <c r="Y39" i="22"/>
  <c r="Y38" i="22"/>
  <c r="Y37" i="22"/>
  <c r="Y36" i="22"/>
  <c r="Y35" i="22"/>
  <c r="Y34" i="22"/>
  <c r="Y33" i="22"/>
  <c r="Y32" i="22"/>
  <c r="Y31" i="22"/>
  <c r="Y30" i="22"/>
  <c r="Y29" i="22"/>
  <c r="Y28" i="22"/>
  <c r="Y27" i="22"/>
  <c r="Y26" i="22"/>
  <c r="Y13" i="22"/>
  <c r="T49" i="22"/>
  <c r="T47" i="22"/>
  <c r="T39" i="22"/>
  <c r="T38" i="22"/>
  <c r="T37" i="22"/>
  <c r="T36" i="22"/>
  <c r="T35" i="22"/>
  <c r="T34" i="22"/>
  <c r="T33" i="22"/>
  <c r="T32" i="22"/>
  <c r="T31" i="22"/>
  <c r="T30" i="22"/>
  <c r="T29" i="22"/>
  <c r="T28" i="22"/>
  <c r="T27" i="22"/>
  <c r="T26" i="22"/>
  <c r="T18" i="22"/>
  <c r="T12" i="22"/>
  <c r="T11" i="22"/>
  <c r="T9" i="22"/>
  <c r="X44" i="22"/>
  <c r="G24" i="24" s="1"/>
  <c r="Y44" i="22" l="1"/>
  <c r="AC43" i="22"/>
  <c r="X15" i="22" l="1"/>
  <c r="X16" i="22"/>
  <c r="G21" i="24" s="1"/>
  <c r="A6" i="19"/>
  <c r="Y15" i="22" l="1"/>
  <c r="G20" i="24"/>
  <c r="Y16" i="22"/>
  <c r="AC65" i="22"/>
  <c r="AD65" i="22" s="1"/>
  <c r="X65" i="22"/>
  <c r="Y65" i="22" s="1"/>
  <c r="S65" i="22"/>
  <c r="T65" i="22" s="1"/>
  <c r="N65" i="22"/>
  <c r="O65" i="22" s="1"/>
  <c r="H65" i="22"/>
  <c r="I65" i="22" s="1"/>
  <c r="AC64" i="22"/>
  <c r="AD64" i="22" s="1"/>
  <c r="X64" i="22"/>
  <c r="Y64" i="22" s="1"/>
  <c r="S64" i="22"/>
  <c r="T64" i="22" s="1"/>
  <c r="N64" i="22"/>
  <c r="O64" i="22" s="1"/>
  <c r="H64" i="22"/>
  <c r="I64" i="22" s="1"/>
  <c r="AC62" i="22"/>
  <c r="AD62" i="22" s="1"/>
  <c r="X62" i="22"/>
  <c r="Y62" i="22" s="1"/>
  <c r="S62" i="22"/>
  <c r="T62" i="22" s="1"/>
  <c r="N62" i="22"/>
  <c r="O62" i="22" s="1"/>
  <c r="H62" i="22"/>
  <c r="AC58" i="22"/>
  <c r="AD58" i="22" s="1"/>
  <c r="X58" i="22"/>
  <c r="Y58" i="22" s="1"/>
  <c r="S58" i="22"/>
  <c r="T58" i="22" s="1"/>
  <c r="N58" i="22"/>
  <c r="O58" i="22" s="1"/>
  <c r="AC57" i="22"/>
  <c r="AD57" i="22" s="1"/>
  <c r="X57" i="22"/>
  <c r="Y57" i="22" s="1"/>
  <c r="S57" i="22"/>
  <c r="T57" i="22" s="1"/>
  <c r="N57" i="22"/>
  <c r="O57" i="22" s="1"/>
  <c r="AC56" i="22"/>
  <c r="AD56" i="22" s="1"/>
  <c r="X56" i="22"/>
  <c r="Y56" i="22" s="1"/>
  <c r="S56" i="22"/>
  <c r="T56" i="22" s="1"/>
  <c r="N56" i="22"/>
  <c r="O56" i="22" s="1"/>
  <c r="AC55" i="22"/>
  <c r="AD55" i="22" s="1"/>
  <c r="X55" i="22"/>
  <c r="Y55" i="22" s="1"/>
  <c r="S55" i="22"/>
  <c r="T55" i="22" s="1"/>
  <c r="N55" i="22"/>
  <c r="AC48" i="22"/>
  <c r="AD48" i="22" s="1"/>
  <c r="X48" i="22"/>
  <c r="Y48" i="22" s="1"/>
  <c r="S48" i="22"/>
  <c r="T48" i="22" s="1"/>
  <c r="N48" i="22"/>
  <c r="O48" i="22" s="1"/>
  <c r="AC50" i="22"/>
  <c r="AD50" i="22" s="1"/>
  <c r="X50" i="22"/>
  <c r="Y50" i="22" s="1"/>
  <c r="S50" i="22"/>
  <c r="T50" i="22" s="1"/>
  <c r="N50" i="22"/>
  <c r="O50" i="22" s="1"/>
  <c r="AC45" i="22"/>
  <c r="AC39" i="22"/>
  <c r="AD39" i="22" s="1"/>
  <c r="AC38" i="22"/>
  <c r="AD38" i="22" s="1"/>
  <c r="AC37" i="22"/>
  <c r="AD37" i="22" s="1"/>
  <c r="AC36" i="22"/>
  <c r="AD36" i="22" s="1"/>
  <c r="AC35" i="22"/>
  <c r="AD35" i="22" s="1"/>
  <c r="AC34" i="22"/>
  <c r="AD34" i="22" s="1"/>
  <c r="AC33" i="22"/>
  <c r="AD33" i="22" s="1"/>
  <c r="AC32" i="22"/>
  <c r="AD32" i="22" s="1"/>
  <c r="AC31" i="22"/>
  <c r="AD31" i="22" s="1"/>
  <c r="AC30" i="22"/>
  <c r="AD30" i="22" s="1"/>
  <c r="AC29" i="22"/>
  <c r="AD29" i="22" s="1"/>
  <c r="AC28" i="22"/>
  <c r="AD28" i="22" s="1"/>
  <c r="AC27" i="22"/>
  <c r="AD27" i="22" s="1"/>
  <c r="AC26" i="22"/>
  <c r="AC18" i="22"/>
  <c r="AC16" i="22"/>
  <c r="S16" i="22"/>
  <c r="N16" i="22"/>
  <c r="H16" i="22"/>
  <c r="AC14" i="22"/>
  <c r="AC13" i="22"/>
  <c r="AD13" i="22" s="1"/>
  <c r="S13" i="22"/>
  <c r="T13" i="22" s="1"/>
  <c r="N13" i="22"/>
  <c r="O13" i="22" s="1"/>
  <c r="AC10" i="22"/>
  <c r="AD10" i="22" s="1"/>
  <c r="S10" i="22"/>
  <c r="AC8" i="22"/>
  <c r="AD8" i="22" s="1"/>
  <c r="S8" i="22"/>
  <c r="T8" i="22" s="1"/>
  <c r="G4" i="22"/>
  <c r="B26" i="22" l="1"/>
  <c r="AD18" i="22"/>
  <c r="O55" i="22"/>
  <c r="O66" i="22" s="1"/>
  <c r="C55" i="22"/>
  <c r="E9" i="19" s="1"/>
  <c r="I50" i="22"/>
  <c r="AD26" i="22"/>
  <c r="T10" i="22"/>
  <c r="AD66" i="22"/>
  <c r="T66" i="22"/>
  <c r="C62" i="22"/>
  <c r="I62" i="22"/>
  <c r="Y66" i="22"/>
  <c r="C50" i="22"/>
  <c r="D12" i="19" s="1"/>
  <c r="C64" i="22"/>
  <c r="C57" i="22"/>
  <c r="E11" i="19" s="1"/>
  <c r="C56" i="22"/>
  <c r="E10" i="19" s="1"/>
  <c r="C58" i="22"/>
  <c r="C65" i="22"/>
  <c r="B57" i="22"/>
  <c r="B58" i="22"/>
  <c r="B65" i="22"/>
  <c r="G52" i="24" s="1"/>
  <c r="B55" i="22"/>
  <c r="B56" i="22"/>
  <c r="B62" i="22"/>
  <c r="F79" i="24" s="1"/>
  <c r="F12" i="19" l="1"/>
  <c r="F71" i="24"/>
  <c r="G25" i="24"/>
  <c r="B14" i="23" s="1"/>
  <c r="C14" i="23" s="1"/>
  <c r="D17" i="19"/>
  <c r="D18" i="19"/>
  <c r="C11" i="19"/>
  <c r="C10" i="19"/>
  <c r="C9" i="19"/>
  <c r="B18" i="19"/>
  <c r="B17" i="19"/>
  <c r="A5" i="19"/>
  <c r="F18" i="19" l="1"/>
  <c r="F17" i="19"/>
  <c r="F2" i="10"/>
  <c r="G2" i="10" s="1"/>
  <c r="F4" i="10"/>
  <c r="G4" i="10" s="1"/>
  <c r="F3" i="10"/>
  <c r="G3" i="10" l="1"/>
  <c r="C2" i="10" l="1"/>
  <c r="D2" i="10" s="1"/>
  <c r="E14" i="22" l="1"/>
  <c r="H14" i="22" s="1"/>
  <c r="E19" i="22"/>
  <c r="H19" i="22" s="1"/>
  <c r="E18" i="22"/>
  <c r="H18" i="22" s="1"/>
  <c r="E45" i="22"/>
  <c r="H45" i="22" s="1"/>
  <c r="E44" i="22"/>
  <c r="H44" i="22" s="1"/>
  <c r="F66" i="24" s="1"/>
  <c r="C4" i="10"/>
  <c r="D4" i="10" s="1"/>
  <c r="B3" i="10"/>
  <c r="B8" i="10"/>
  <c r="D8" i="10" s="1"/>
  <c r="C5" i="10"/>
  <c r="D5" i="10"/>
  <c r="B5" i="10"/>
  <c r="E4" i="10"/>
  <c r="B4" i="10"/>
  <c r="D3" i="10"/>
  <c r="B2" i="10"/>
  <c r="F60" i="24" l="1"/>
  <c r="F61" i="24"/>
  <c r="I45" i="22"/>
  <c r="F67" i="24"/>
  <c r="E51" i="22"/>
  <c r="H51" i="22" s="1"/>
  <c r="E47" i="22"/>
  <c r="H47" i="22" s="1"/>
  <c r="E54" i="22"/>
  <c r="H54" i="22" s="1"/>
  <c r="E52" i="22"/>
  <c r="H52" i="22" s="1"/>
  <c r="E53" i="22"/>
  <c r="H53" i="22" s="1"/>
  <c r="B18" i="22"/>
  <c r="I18" i="22"/>
  <c r="C18" i="22" s="1"/>
  <c r="C17" i="22" s="1"/>
  <c r="K45" i="22"/>
  <c r="N45" i="22" s="1"/>
  <c r="K12" i="22"/>
  <c r="N12" i="22" s="1"/>
  <c r="K8" i="22"/>
  <c r="N8" i="22" s="1"/>
  <c r="K9" i="10"/>
  <c r="K10" i="10" s="1"/>
  <c r="K11" i="10" s="1"/>
  <c r="K9" i="22"/>
  <c r="I19" i="22"/>
  <c r="C19" i="22" s="1"/>
  <c r="B19" i="22"/>
  <c r="I14" i="22"/>
  <c r="C14" i="22" s="1"/>
  <c r="F59" i="24"/>
  <c r="B14" i="22"/>
  <c r="G48" i="24"/>
  <c r="G45" i="24"/>
  <c r="G41" i="24"/>
  <c r="G35" i="24"/>
  <c r="G47" i="24"/>
  <c r="G46" i="24"/>
  <c r="G44" i="24"/>
  <c r="G42" i="24"/>
  <c r="G40" i="24"/>
  <c r="G38" i="24"/>
  <c r="G36" i="24"/>
  <c r="G43" i="24"/>
  <c r="G37" i="24"/>
  <c r="G39" i="24"/>
  <c r="H41" i="22"/>
  <c r="F64" i="24" s="1"/>
  <c r="E60" i="22"/>
  <c r="H60" i="22" s="1"/>
  <c r="E59" i="22"/>
  <c r="H59" i="22" s="1"/>
  <c r="E43" i="22"/>
  <c r="H43" i="22" s="1"/>
  <c r="E61" i="22"/>
  <c r="H61" i="22" s="1"/>
  <c r="E48" i="22"/>
  <c r="H48" i="22" s="1"/>
  <c r="H49" i="22"/>
  <c r="J49" i="22" s="1"/>
  <c r="E13" i="22"/>
  <c r="H13" i="22" s="1"/>
  <c r="B13" i="22" s="1"/>
  <c r="I9" i="22"/>
  <c r="K40" i="22"/>
  <c r="N40" i="22" s="1"/>
  <c r="K43" i="22"/>
  <c r="N43" i="22" s="1"/>
  <c r="I44" i="22"/>
  <c r="C53" i="22" l="1"/>
  <c r="D15" i="19" s="1"/>
  <c r="B53" i="22"/>
  <c r="I53" i="22"/>
  <c r="B17" i="22"/>
  <c r="O12" i="22"/>
  <c r="G30" i="24"/>
  <c r="B12" i="22"/>
  <c r="I51" i="22"/>
  <c r="B51" i="22"/>
  <c r="C51" i="22"/>
  <c r="D13" i="19" s="1"/>
  <c r="K10" i="22"/>
  <c r="N9" i="22"/>
  <c r="O45" i="22"/>
  <c r="G51" i="24"/>
  <c r="I52" i="22"/>
  <c r="C52" i="22"/>
  <c r="D14" i="19" s="1"/>
  <c r="B52" i="22"/>
  <c r="I54" i="22"/>
  <c r="B54" i="22"/>
  <c r="C54" i="22"/>
  <c r="D16" i="19" s="1"/>
  <c r="B40" i="22"/>
  <c r="B8" i="22"/>
  <c r="H66" i="22"/>
  <c r="F65" i="24"/>
  <c r="B43" i="22"/>
  <c r="F58" i="24"/>
  <c r="O43" i="22"/>
  <c r="G50" i="24"/>
  <c r="O40" i="22"/>
  <c r="G49" i="24"/>
  <c r="H4" i="22"/>
  <c r="C59" i="22"/>
  <c r="E14" i="19" s="1"/>
  <c r="I59" i="22"/>
  <c r="B59" i="22"/>
  <c r="C14" i="19" s="1"/>
  <c r="O28" i="22"/>
  <c r="O38" i="22"/>
  <c r="I60" i="22"/>
  <c r="B60" i="22"/>
  <c r="C60" i="22"/>
  <c r="E15" i="19" s="1"/>
  <c r="O34" i="22"/>
  <c r="I13" i="22"/>
  <c r="I61" i="22"/>
  <c r="B61" i="22"/>
  <c r="C61" i="22"/>
  <c r="E16" i="19" s="1"/>
  <c r="I41" i="22"/>
  <c r="O30" i="22"/>
  <c r="O35" i="22"/>
  <c r="O32" i="22"/>
  <c r="O8" i="22"/>
  <c r="I47" i="22"/>
  <c r="B47" i="22"/>
  <c r="C47" i="22"/>
  <c r="D9" i="19" s="1"/>
  <c r="I12" i="22"/>
  <c r="O31" i="22"/>
  <c r="O39" i="22"/>
  <c r="C48" i="22"/>
  <c r="D10" i="19" s="1"/>
  <c r="I48" i="22"/>
  <c r="B48" i="22"/>
  <c r="I11" i="22"/>
  <c r="O33" i="22"/>
  <c r="O26" i="22"/>
  <c r="I49" i="22"/>
  <c r="C49" i="22"/>
  <c r="D11" i="19" s="1"/>
  <c r="B49" i="22"/>
  <c r="I43" i="22"/>
  <c r="I10" i="22"/>
  <c r="O29" i="22"/>
  <c r="O37" i="22"/>
  <c r="O36" i="22"/>
  <c r="F75" i="24" l="1"/>
  <c r="B16" i="19"/>
  <c r="O9" i="22"/>
  <c r="C9" i="22" s="1"/>
  <c r="B9" i="22"/>
  <c r="F74" i="24"/>
  <c r="B15" i="19"/>
  <c r="N10" i="22"/>
  <c r="K11" i="22"/>
  <c r="N11" i="22" s="1"/>
  <c r="F73" i="24"/>
  <c r="B14" i="19"/>
  <c r="F14" i="19" s="1"/>
  <c r="F72" i="24"/>
  <c r="B13" i="19"/>
  <c r="F13" i="19" s="1"/>
  <c r="B25" i="22"/>
  <c r="C40" i="22"/>
  <c r="E8" i="19"/>
  <c r="F69" i="24"/>
  <c r="B10" i="19"/>
  <c r="F70" i="24"/>
  <c r="B11" i="19"/>
  <c r="B24" i="23"/>
  <c r="C24" i="23" s="1"/>
  <c r="F77" i="24"/>
  <c r="C15" i="19"/>
  <c r="C46" i="22"/>
  <c r="F78" i="24"/>
  <c r="C16" i="19"/>
  <c r="C43" i="22"/>
  <c r="F68" i="24"/>
  <c r="F76" i="24"/>
  <c r="I66" i="22"/>
  <c r="C26" i="22"/>
  <c r="C35" i="22"/>
  <c r="C30" i="22"/>
  <c r="C13" i="22"/>
  <c r="C36" i="22"/>
  <c r="C29" i="22"/>
  <c r="C8" i="22"/>
  <c r="C28" i="22"/>
  <c r="C31" i="22"/>
  <c r="C37" i="22"/>
  <c r="C33" i="22"/>
  <c r="B9" i="19"/>
  <c r="C32" i="22"/>
  <c r="C27" i="22"/>
  <c r="C38" i="22"/>
  <c r="D8" i="19"/>
  <c r="C39" i="22"/>
  <c r="C12" i="22"/>
  <c r="C34" i="22"/>
  <c r="F80" i="24" l="1"/>
  <c r="O10" i="22"/>
  <c r="C10" i="22" s="1"/>
  <c r="B10" i="22"/>
  <c r="F16" i="19"/>
  <c r="F15" i="19"/>
  <c r="O11" i="22"/>
  <c r="C11" i="22" s="1"/>
  <c r="B11" i="22"/>
  <c r="G29" i="24"/>
  <c r="G53" i="24" s="1"/>
  <c r="B12" i="23" s="1"/>
  <c r="C12" i="23" s="1"/>
  <c r="C25" i="22"/>
  <c r="E7" i="19" s="1"/>
  <c r="E4" i="19" s="1"/>
  <c r="B8" i="19"/>
  <c r="F9" i="19"/>
  <c r="C8" i="19"/>
  <c r="F11" i="19"/>
  <c r="B23" i="23"/>
  <c r="C23" i="23" s="1"/>
  <c r="B6" i="19"/>
  <c r="B22" i="23"/>
  <c r="C22" i="23" s="1"/>
  <c r="C7" i="19"/>
  <c r="C4" i="19" s="1"/>
  <c r="D6" i="19"/>
  <c r="F10" i="19"/>
  <c r="K28" i="19"/>
  <c r="J29" i="19"/>
  <c r="C7" i="22" l="1"/>
  <c r="C19" i="19"/>
  <c r="G87" i="24"/>
  <c r="B7" i="22"/>
  <c r="C67" i="22"/>
  <c r="E19" i="19" s="1"/>
  <c r="E20" i="19" s="1"/>
  <c r="C20" i="19"/>
  <c r="F8" i="19"/>
  <c r="F6" i="19"/>
  <c r="F7" i="19"/>
  <c r="B11" i="23"/>
  <c r="D5" i="19"/>
  <c r="D4" i="19" s="1"/>
  <c r="K27" i="19"/>
  <c r="K29" i="19" s="1"/>
  <c r="I29" i="19"/>
  <c r="H29" i="19"/>
  <c r="F29" i="19"/>
  <c r="B68" i="22" l="1"/>
  <c r="B4" i="22" s="1"/>
  <c r="B1" i="22" s="1"/>
  <c r="B5" i="19"/>
  <c r="B4" i="19" s="1"/>
  <c r="F4" i="19" s="1"/>
  <c r="B21" i="23"/>
  <c r="C21" i="23" s="1"/>
  <c r="C11" i="23"/>
  <c r="H30" i="19"/>
  <c r="I30" i="19"/>
  <c r="G30" i="19"/>
  <c r="J30" i="19"/>
  <c r="G29" i="19"/>
  <c r="F5" i="19" l="1"/>
  <c r="G88" i="24"/>
  <c r="B19" i="19"/>
  <c r="B25" i="23"/>
  <c r="C25" i="23" s="1"/>
  <c r="C26" i="23" s="1"/>
  <c r="C68" i="22"/>
  <c r="C4" i="22" s="1"/>
  <c r="F30" i="19"/>
  <c r="K30" i="19" s="1"/>
  <c r="L28" i="19"/>
  <c r="B20" i="19" l="1"/>
  <c r="D19" i="19"/>
  <c r="D20" i="19" s="1"/>
  <c r="B3" i="22"/>
  <c r="B15" i="23"/>
  <c r="G89" i="24"/>
  <c r="B26" i="23"/>
  <c r="L27" i="19"/>
  <c r="L29" i="19" s="1"/>
  <c r="I89" i="24" l="1"/>
  <c r="H89" i="24"/>
  <c r="F19" i="19"/>
  <c r="C15" i="23"/>
  <c r="C17" i="23" s="1"/>
  <c r="B17" i="23"/>
  <c r="F20" i="19"/>
  <c r="J34" i="19" l="1"/>
  <c r="G19" i="19"/>
  <c r="G18" i="19"/>
  <c r="G9" i="19"/>
  <c r="G8" i="19"/>
  <c r="G7" i="19"/>
  <c r="G16" i="19"/>
  <c r="G10" i="19"/>
  <c r="G5" i="19"/>
  <c r="G6" i="19"/>
  <c r="G15" i="19"/>
  <c r="C21" i="19"/>
  <c r="B21" i="19"/>
  <c r="G17" i="19"/>
  <c r="G14" i="19"/>
  <c r="G11" i="19"/>
  <c r="E21" i="19"/>
  <c r="G4" i="19"/>
  <c r="G13" i="19"/>
  <c r="G12" i="19"/>
  <c r="D21" i="19"/>
  <c r="G20" i="19"/>
  <c r="J35" i="19"/>
  <c r="I36" i="19" l="1"/>
  <c r="F21" i="19"/>
  <c r="J36" i="19" l="1"/>
  <c r="F37" i="19" s="1"/>
  <c r="G37" i="19" l="1"/>
  <c r="E37" i="19"/>
  <c r="H37" i="19"/>
  <c r="I37" i="19"/>
  <c r="J37" i="19" l="1"/>
  <c r="G4" i="29" l="1"/>
  <c r="G5" i="29" s="1"/>
</calcChain>
</file>

<file path=xl/sharedStrings.xml><?xml version="1.0" encoding="utf-8"?>
<sst xmlns="http://schemas.openxmlformats.org/spreadsheetml/2006/main" count="976" uniqueCount="398">
  <si>
    <t>Total Project</t>
  </si>
  <si>
    <t>Productos</t>
  </si>
  <si>
    <t>Consultorías individuales</t>
  </si>
  <si>
    <t>Firmas Consultoras</t>
  </si>
  <si>
    <t>Bienes</t>
  </si>
  <si>
    <t>Obras</t>
  </si>
  <si>
    <t>Descripción</t>
  </si>
  <si>
    <t>Unitario Monto</t>
  </si>
  <si>
    <t>Cantidad Meses</t>
  </si>
  <si>
    <t>Especialistas</t>
  </si>
  <si>
    <t>Total</t>
  </si>
  <si>
    <t>Unidad Monto</t>
  </si>
  <si>
    <t>Cantidad</t>
  </si>
  <si>
    <t>M2</t>
  </si>
  <si>
    <t>Total Componente I</t>
  </si>
  <si>
    <t>Total Componente II</t>
  </si>
  <si>
    <t>Total Coordinación del Proyecto</t>
  </si>
  <si>
    <t>Administración Proyecto</t>
  </si>
  <si>
    <t>Evaluación</t>
  </si>
  <si>
    <t>Auditoría</t>
  </si>
  <si>
    <t>Uno por año</t>
  </si>
  <si>
    <t xml:space="preserve">Total </t>
  </si>
  <si>
    <t>%</t>
  </si>
  <si>
    <t>Table 2.1. Presupuesto del Proyecto (US$)</t>
  </si>
  <si>
    <t>Categories</t>
  </si>
  <si>
    <t>BID</t>
  </si>
  <si>
    <t>Local</t>
  </si>
  <si>
    <t>1.    Costos Directo</t>
  </si>
  <si>
    <t>2.   Costos Administrativos</t>
  </si>
  <si>
    <t>Auditoria</t>
  </si>
  <si>
    <t>3. Contingencia</t>
  </si>
  <si>
    <t>Table 2.2.Disbursement Timetable (US$ millons)</t>
  </si>
  <si>
    <t>Source</t>
  </si>
  <si>
    <t>Year 1</t>
  </si>
  <si>
    <t>Year 2</t>
  </si>
  <si>
    <t>Year 3</t>
  </si>
  <si>
    <t>Year 4</t>
  </si>
  <si>
    <t>Year 5</t>
  </si>
  <si>
    <t>IDB</t>
  </si>
  <si>
    <t>BIENES</t>
  </si>
  <si>
    <t>OBRAS</t>
  </si>
  <si>
    <t>Consultores Individuales</t>
  </si>
  <si>
    <t>Firmas de Consultoria</t>
  </si>
  <si>
    <t>Otros Servicios diferente de Consultorías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</si>
  <si>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</si>
  <si>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</si>
  <si>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</si>
  <si>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</si>
  <si>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</si>
  <si>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</si>
  <si>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Montos Financiados por el Banco</t>
  </si>
  <si>
    <t>Montos Totales (incluyendo contrapartida)</t>
  </si>
  <si>
    <t>4. Componentes</t>
  </si>
  <si>
    <t>Componentes del Proyecto</t>
  </si>
  <si>
    <t>Montos Totales  (incluyendo contrapartida)</t>
  </si>
  <si>
    <t>Rates</t>
  </si>
  <si>
    <t>Per diem and Tickets</t>
  </si>
  <si>
    <t>Taxes</t>
  </si>
  <si>
    <t>International Consultancy</t>
  </si>
  <si>
    <t>Local consultancy</t>
  </si>
  <si>
    <t>Consultant Firm Int</t>
  </si>
  <si>
    <t>International Lawyer</t>
  </si>
  <si>
    <t>National Lawyer</t>
  </si>
  <si>
    <t>Training consultancy</t>
  </si>
  <si>
    <t>By processor</t>
  </si>
  <si>
    <t>Storage type San</t>
  </si>
  <si>
    <t>Lan Network and Core</t>
  </si>
  <si>
    <t>by point</t>
  </si>
  <si>
    <t>Offices Communication</t>
  </si>
  <si>
    <t>Applications Server</t>
  </si>
  <si>
    <t>Security Platform</t>
  </si>
  <si>
    <t>Business Intelligence</t>
  </si>
  <si>
    <t>Computers (Thin Client)</t>
  </si>
  <si>
    <t>Integrated System for inventory Management and Human Resources Management</t>
  </si>
  <si>
    <t>Noc Room (Network Operating Center)</t>
  </si>
  <si>
    <t>Laptops</t>
  </si>
  <si>
    <t>Rack for Servers</t>
  </si>
  <si>
    <t>UPS 5 kva</t>
  </si>
  <si>
    <t xml:space="preserve">Printers </t>
  </si>
  <si>
    <t>Art an Diagram Services</t>
  </si>
  <si>
    <t>Per diem</t>
  </si>
  <si>
    <t>Training Seminars</t>
  </si>
  <si>
    <t>Accessories for Rack</t>
  </si>
  <si>
    <t>Servicios diferentes de Consultorías</t>
  </si>
  <si>
    <t>Total Componente III</t>
  </si>
  <si>
    <t>Desarrollo e implementación de Banco de proyectos APP, incluyendo las interfaces con SENPLADES.</t>
  </si>
  <si>
    <t>Certificación internacional de funcionarios del MEF vinculados a APP</t>
  </si>
  <si>
    <t xml:space="preserve">Diploma académico internacional </t>
  </si>
  <si>
    <t>EC-L1230 PROGRAMA DE MEJORA DE LA CAPACIDAD FISCAL PARA LA INVERSIÓN PÚBLICA (EC-L1230)</t>
  </si>
  <si>
    <t>MEF</t>
  </si>
  <si>
    <t>BDE</t>
  </si>
  <si>
    <t>Total BID</t>
  </si>
  <si>
    <t>IVA</t>
  </si>
  <si>
    <t>Local MEF</t>
  </si>
  <si>
    <t xml:space="preserve">1.5% del monto de inversión total </t>
  </si>
  <si>
    <t>1. Cobertura del Plan de Adquisiciones</t>
  </si>
  <si>
    <t>Categoría de Adquisición</t>
  </si>
  <si>
    <t>Administración, auditoría, monitoreo y evaluación</t>
  </si>
  <si>
    <t>INFORMACIÓN PARA CARGA INICIAL DEL PLAN DE ADQUISICIONES (EN CURSO Y/O ULTIMO PRESENTADO)</t>
  </si>
  <si>
    <t>Sistema Nacional</t>
  </si>
  <si>
    <t>Unidad Ejecutora:</t>
  </si>
  <si>
    <t>Actividad:</t>
  </si>
  <si>
    <t>Cantidad de Lotes :</t>
  </si>
  <si>
    <t>Número de Proceso:</t>
  </si>
  <si>
    <t xml:space="preserve">Monto Estimado </t>
  </si>
  <si>
    <t>Componente Asociado:</t>
  </si>
  <si>
    <t>Fechas</t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</si>
  <si>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</si>
  <si>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</si>
  <si>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</si>
  <si>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</si>
  <si>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</si>
  <si>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</si>
  <si>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</si>
  <si>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Proceso Cancelado</t>
  </si>
  <si>
    <t>Declaración de Licitación Desierta</t>
  </si>
  <si>
    <t>Rechazo de Ofertas</t>
  </si>
  <si>
    <t>Contrato En Ejecución</t>
  </si>
  <si>
    <t>Contrato Terminado</t>
  </si>
  <si>
    <t>Comparación de precios</t>
  </si>
  <si>
    <t xml:space="preserve">a determinar </t>
  </si>
  <si>
    <t>Componente 1</t>
  </si>
  <si>
    <t>Componente 3</t>
  </si>
  <si>
    <t>SERVICIOS DE NO CONSULTORÍA</t>
  </si>
  <si>
    <t>Producto</t>
  </si>
  <si>
    <t>Licitación Pública Internacional en 2 etapas </t>
  </si>
  <si>
    <t>Documento de Licitación</t>
  </si>
  <si>
    <t>Componente 2</t>
  </si>
  <si>
    <t>Comparación de Calificaciones</t>
  </si>
  <si>
    <t>CONSULTORÍAS FIRMAS</t>
  </si>
  <si>
    <t>Contratación Directa </t>
  </si>
  <si>
    <t xml:space="preserve">   </t>
  </si>
  <si>
    <t>cantidad</t>
  </si>
  <si>
    <t>N° de proceso</t>
  </si>
  <si>
    <t>Aviso de Expresiones de Interés</t>
  </si>
  <si>
    <t>Selección basada en el menor costo </t>
  </si>
  <si>
    <t>Selección Basada en la Calidad y Costo </t>
  </si>
  <si>
    <t>Precios Unitarios</t>
  </si>
  <si>
    <t>Bienes </t>
  </si>
  <si>
    <t>CONSULTORÍAS INDIVIDUOS</t>
  </si>
  <si>
    <t>Suma Alzada</t>
  </si>
  <si>
    <t>Cantidad Estimada de Consultores:</t>
  </si>
  <si>
    <t>Llave en mano</t>
  </si>
  <si>
    <t>Obras </t>
  </si>
  <si>
    <t>No Objeción a los TdR de la Actividad</t>
  </si>
  <si>
    <t>Firma Contrato</t>
  </si>
  <si>
    <t>3CV</t>
  </si>
  <si>
    <t>Suma global + Gastos Reembolsables</t>
  </si>
  <si>
    <t>Consultoría - Firmas </t>
  </si>
  <si>
    <t>Tiempo Trabajado</t>
  </si>
  <si>
    <t>Consultoría - Individuos </t>
  </si>
  <si>
    <t>Adquisición de Bienes - Sector Salud</t>
  </si>
  <si>
    <t>Términos de Referencia</t>
  </si>
  <si>
    <t>Suma global</t>
  </si>
  <si>
    <t>Intermedia</t>
  </si>
  <si>
    <t>Final</t>
  </si>
  <si>
    <t>Consultoría especializada para el diseño del fondo de garantía para proyectos APP de los GAD</t>
  </si>
  <si>
    <t>3.1 Estudios de pre-estructuración y estructuración de proyectos de inversión pública bajo APP elaborados</t>
  </si>
  <si>
    <t>LOCAL (10mill contraparte BDE + impuestos)</t>
  </si>
  <si>
    <t>Consultoría especializada para el diagnóstico de sistemas de gestión financiera de los GAD y elaboración de plan de fortalecimiento (15 municipios)</t>
  </si>
  <si>
    <t xml:space="preserve">Jornadas de socialización del Programa APP BDE (corta duración de amplia difusión) </t>
  </si>
  <si>
    <t>Capacitación técnica, financiera y legal a GAD en la determinación y desarrollo de proyectos APP (curso de 120 horas: (i) C3P; (ii) análisis valor por dinero, financiero y de riesgos; y (iii) gestión de contratos). Condición para que los GAD accedan a la línea de crédito</t>
  </si>
  <si>
    <t>Consultoría especializada para plataforma virtual (link al aula virtual) con contenidos audiovisuales</t>
  </si>
  <si>
    <t xml:space="preserve">Capacitación técnica, financiera y legal a funcionarios del MEF en la determinación y desarrollo de proyectos APP (curso de 120 horas: (i) C3P; (ii) análisis valor por dinero, financiero y de riesgos; y (iii) gestión de contratos). </t>
  </si>
  <si>
    <t>Computadoras para la Unidad APP</t>
  </si>
  <si>
    <t>Consultoría especializada para el acompañamiento técnico para proyectos APP de los GAD</t>
  </si>
  <si>
    <t>1.1 Modelo que apoye la identificación, análisis y mitigación de riesgos de proyectos APP desarrollado e implementado</t>
  </si>
  <si>
    <t>1.2 Modelo optimizado de análisis de disponibilidad presupuestaria desarrollado e implementado</t>
  </si>
  <si>
    <t xml:space="preserve">1.5 Modelo de gestión de contratos implementado </t>
  </si>
  <si>
    <t>1.6 Banco de proyectos APP en coordinación con SENPLADES para apoyar la gestión del programa implementado</t>
  </si>
  <si>
    <t>1.3 Lineamientos para la valoración, registro y gestión de los pasivos firmes y contingentes desarrollados e implementados</t>
  </si>
  <si>
    <t>1.4 Modelo optimizado de análisis de sostenibilidad fiscal desarrollado e implementado</t>
  </si>
  <si>
    <t>1.7  Programa de  capacitación de funcionarios públicos en APP implantado</t>
  </si>
  <si>
    <t>Componente 1. Fortalecimiento de los instrumentos de gestión fiscal responsable de la inversión pública a través de APP (Ejecuta Ministerio de Economía y Finanzas - MEF)</t>
  </si>
  <si>
    <t>Componente 2. Fortalecimiento de los Instrumentos de estructuración de proyectos de inversión pública bajo a modalidad de APP (Ejecuta MEF)</t>
  </si>
  <si>
    <t>2.1 Propuesta de opciones de ingeniería financiera pública para utilizar la infraestructura existente y sus valores residuales en la financiación de nueva inversión pública desarrollada</t>
  </si>
  <si>
    <t xml:space="preserve">2.2 Fondo rotatorio para la estructuración de proyectos estratégicos de APP en sectores prioritarios (incluyendo transporte, energía y agua y saneamiento) y que se nutra de los reembolsos de los estudios de estructuración desarrollado e implementado </t>
  </si>
  <si>
    <t>3.2 Fondo de garantía para la bancabilidad de proyectos APP de los GADs diseñado e implementado</t>
  </si>
  <si>
    <t>3.3 Plan continuo de fortalecimiento institucional del Banco de Desarrollo de Ecuador B.P. (BDE) y GAD implantado</t>
  </si>
  <si>
    <t>Componente 3. Mejora de la inversión pública con participación privada, de los Gobiernos Autónomos Descentralizados (GAD) (Ejecuta Banco de Desarrollo de Ecuador B.P. (BDE)</t>
  </si>
  <si>
    <t>Experto Legal Unidad APP Comp.3</t>
  </si>
  <si>
    <t>Experto Financiero Unidad APP Comp.3</t>
  </si>
  <si>
    <t>Oficial financiero Componente 1 y 2</t>
  </si>
  <si>
    <t>Experto Adquisiciones Componente 1 y 2</t>
  </si>
  <si>
    <t>Experto Legal APP Componente 1 y 2</t>
  </si>
  <si>
    <t>Experto Financiero APP Componente 1 y 2</t>
  </si>
  <si>
    <t>Coordinador Componente 3</t>
  </si>
  <si>
    <t>Oficial financiero Componente 3</t>
  </si>
  <si>
    <t>Experto Adquisiciones Componente 3</t>
  </si>
  <si>
    <t>Monitoreo Componente 3</t>
  </si>
  <si>
    <t>1.2 Modelo optimizado de análisis de disponibilidad presupuestaria implementado</t>
  </si>
  <si>
    <t>1.6 Modulo de registro de proyectos APP en coordinación con SENPLADES para apoyar la gestión del programa implementado</t>
  </si>
  <si>
    <t>FONDOS</t>
  </si>
  <si>
    <t>Fondos</t>
  </si>
  <si>
    <t>Consultoría especializada para el desarrollo del Fondo de preinversión para la estructuración de proyectos estratégicos</t>
  </si>
  <si>
    <t>GAD Provincial de Santo Domingo - Plataforma ZONA - ILCO</t>
  </si>
  <si>
    <t>GAD Municipal de Chone - Regeneración urbana de la Av. Eloy Alfaro</t>
  </si>
  <si>
    <t>GAD Municipal de Cuenca - Planta de tratamiento de aguas residuales de Guangarcucho</t>
  </si>
  <si>
    <t>GAD Municipal de Quito - Desarrollo turístico en el Panecillo</t>
  </si>
  <si>
    <t xml:space="preserve">GAD Provincial de El Oro - Parque Ecoindustrial </t>
  </si>
  <si>
    <t xml:space="preserve">GAD Municipal de Santo Domingo - PARQUEADERO Y CENTRO COMERCIAL, UBICADO EN LA AV QUITO Y RIO TOACHI    </t>
  </si>
  <si>
    <t>GAD Municipal de Loja - AMPLIACIÓN A CUATRO CARRILES DE LA VÍA LOJA A CATAMAYO CON ACCESO AL AEROPUERTO</t>
  </si>
  <si>
    <t>GAD Provincial de Pichincha - PROPUESTA SISTEMA DE TRANSPORTE MASIVO PARA EL CANTÓN RUMIÑAHUI (MONORRIEL)</t>
  </si>
  <si>
    <t>GAD Municipal de Milagro - PARQUE INDUSTRIAL Y LOGÍSTICO DEL CANTÓN MILAGRO</t>
  </si>
  <si>
    <t>GAD Municipal de San Vicente - Propuesta para la construcción del Mercado Municipal de San Vicente bajo la modalidad de asociación público privada</t>
  </si>
  <si>
    <t>GAD Municipal de Ambato - Proyecto: Construcción del Terminal Terrestre Sur de la ciudad de Ambato, Provincia de Tungurahua</t>
  </si>
  <si>
    <t>GAD Municipal de Quito - Estacionamientos en el subsuelo del Parque La Carolina</t>
  </si>
  <si>
    <t>GAD Municipal de Quito - Construcción de la Ruta Viva Fase III</t>
  </si>
  <si>
    <t>GAD Municipal de Quito - Centralidad Bicentenario - Centro de Convenciones Metropolitano de Quito</t>
  </si>
  <si>
    <t>Contingencias</t>
  </si>
  <si>
    <t>Expertos Financieros APP</t>
  </si>
  <si>
    <t>Expertos Tecnicos APP</t>
  </si>
  <si>
    <t>Expertos Legales APP</t>
  </si>
  <si>
    <t>Apoyo ejecucion Comp. 1 y 2</t>
  </si>
  <si>
    <t>Consultoría especializada para el desarrollo de la Normativa, metodologías de análisis y matrices de riesgos estandarizadas que regulen la identificación, análisis y mitigación de los riesgos de proyectos APP, así como la capacitación asociada (análisis de riesgos y metodología Monte Carlo y valor por dinero).  Incluye Eventos y seminarios de discusión y diseminación de los cambios normativos</t>
  </si>
  <si>
    <t>Consultoría especializada para el desarrollo de un Modelo optimizado de análisis de disponibilidad presupuestaria. Incluye Seminarios de diseminación y formación del Modelo</t>
  </si>
  <si>
    <t>Consultoría especializada para la implementación de la metodología que regule la identificación, análisis y mitigación de los riesgos de proyectos APP. Incluye Seminarios de diseminación y formación</t>
  </si>
  <si>
    <t>Consultoría especializada para el desarrollo de un Modelo optimizado de análisis de sostenibilidad fiscal de largo plazo basado en el PFRAM. Incluye Seminarios de diseminación y formación sobre el Modelo</t>
  </si>
  <si>
    <t>Consultoría especializada para el desarrollo de políticas y procesos de gestión de contratos (formulación y adjudicación, renegociaciones, adendas, seguimiento y ejecución de garantías soberanas). Incluye capacitación sobre el modelo de gestión del contrato.</t>
  </si>
  <si>
    <t>Local BDE*</t>
  </si>
  <si>
    <t>* La contraparte local del BDE incluye $US10 millones para el Producto 3.2 (fondo de garantías) del Componente 3, más el IVA de todas las actividades de este Componente</t>
  </si>
  <si>
    <t xml:space="preserve">Licitación Pública Internacional </t>
  </si>
  <si>
    <t>Licitación Publica Nacional</t>
  </si>
  <si>
    <t>Coordinador Operativo Comp. 1 y 2</t>
  </si>
  <si>
    <t>Monitoreo Y Planificación Componente 1 y 2</t>
  </si>
  <si>
    <t xml:space="preserve"> Se les financiará  durante todo el Programa (5 años)</t>
  </si>
  <si>
    <t>Coordinación y Administración del Proyecto</t>
  </si>
  <si>
    <r>
      <t xml:space="preserve">Método de Selección/Adquisición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</si>
  <si>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 xml:space="preserve">Método de Revisión 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</si>
  <si>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>Comentarios</t>
    </r>
    <r>
      <rPr>
        <sz val="8"/>
        <rFont val="Arial"/>
        <family val="2"/>
      </rPr>
      <t xml:space="preserve"> - para UCS incluir método de selección</t>
    </r>
  </si>
  <si>
    <r>
      <t xml:space="preserve">Método de 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</si>
  <si>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t>De los 22 millones, 10 millones son contraparte del BDE.</t>
  </si>
  <si>
    <t>Consultoría especializada para la elaboración de productos de conocimiento en APP Ecuador</t>
  </si>
  <si>
    <t>Contingencia BDE</t>
  </si>
  <si>
    <t>Contingencia MEF</t>
  </si>
  <si>
    <t>Fiduciario Administrativo Comp. 1 y 2</t>
  </si>
  <si>
    <t>Adquisiciones Comp. 1 y 2</t>
  </si>
  <si>
    <t>Monitoreo Comp. 1 y 2</t>
  </si>
  <si>
    <t>3.3. Proyectos que reciben garantías del Fondo de Garantías de APP</t>
  </si>
  <si>
    <t>3.4 Plan continuo de fortalecimiento institucional del Banco de Desarrollo de Ecuador B.P. (BDE) y GAD implantado</t>
  </si>
  <si>
    <t>El consultor será contratado durante todo el Programa (4 años - 48 meses), con un honorario promedio por mes de 3,850.00 dólares</t>
  </si>
  <si>
    <t>El consultor será contratado durante todo el Programa (4 años - 48 meses), con un honorario promedio por mes de 5,156.00 dólares</t>
  </si>
  <si>
    <t>El consultor ya forma parte del ejecutor con 7 prestamos con el BID, en aplicación del inciso 5.4 a) GN-2350-9 se realizará contratación directa por continuidad se servicios. Se les financiará  durante todo el Programa desde noviembre 2019, ya que hasta esa fecha están cubiertos con fondos BID (EC-L1155). El consultor será contratado durante el Programa por 50 meses con un honorario mensual de aproximadamente 3,080.00 dólares.</t>
  </si>
  <si>
    <t>El consultor ya forma parte del ejecutor con 7 prestamos con el BID, en aplicación del inciso 5.4 a) GN-2350-9 se realizará contratación directa por continuidad de servicios. Se les financiará  durante todo el Programa desde noviembre 2019, ya que hasta esa fecha están cubiertos con fondos BID (EC-L1155).  El consultor será contratado durante el Programa por 50 meses con un honorario mensual de aproximadamente 3,080.00 dólares.</t>
  </si>
  <si>
    <t>El consultor ya forma parte del ejecutor con 7 prestamos con el BID, en aplicación del inciso 5.4 a) GN-2350-9 se realizará contratación directa por continuidad de servicios. Se les financiará  durante todo el Programa desde noviembre 2019, ya que hasta esa fecha están cubiertos con fondos BID (EC-L1155). El consultor será contratado durante el Programa por 50 meses con un honorario mensual de aproximadamente 3,700.00 dólares.</t>
  </si>
  <si>
    <t>El consultor ya forma parte del ejecutor con 7 prestamos con el BID, en aplicación del inciso 5.4 a) GN-2350-9 se realizará contratación directa por continuidad de servicios. Se les financiará  durante todo el Programa desde noviembre 2019, ya que hasta esa fecha están cubiertos con fondos BID (EC-L1155).  El consultor será contratado durante el Programa por 50 meses con un honorario mensual de aproximadamente 5,500.00 dólares.</t>
  </si>
  <si>
    <t>El consultor ya forma parte del ejecutor con 7 prestamos con el BID, en aplicación del inciso 5.4 a) GN-2350-9 se realizará contratación directa por continuidad de servicio. Se les financiará  durante todo el Programa desde noviembre 2019, ya que hasta esa fecha están cubiertos con fondos BID (EC-L1155).  El consultor será contratado durante el Programa por 50 meses con un honorario mensual de aproximadamente 3,080.00 dólares.</t>
  </si>
  <si>
    <t>Selección Basada en Calificación de Consultores</t>
  </si>
  <si>
    <t>Herramientas para el Análisis de proyectos APP, que incluyen:
1.1 Modelo que apoye la identificación, análisis y mitigación de riesgos de proyectos APP desarrollado e implementado.
1.2 Modelo optimizado de análisis de disponibilidad presupuestaria implementado
1.3 Lineamientos para la valoración, registro y gestión de los pasivos firmes y contingentes desarrollados e implementados
1.4 Modelo optimizado de análisis de sostenibilidad fiscal desarrollado e implementado</t>
  </si>
  <si>
    <t>Consultoría especializada para:
1.1 Desarrollo de la Normativa, metodologías de análisis y matrices de riesgos estandarizadas que regulen la identificación, análisis y mitigación de los riesgos de proyectos APP, así como la capacitación asociada (análisis de riesgos y metodología Monte Carlo y valor por dinero). 
1.2 Desarrollo de un Modelo optimizado de análisis de disponibilidad presupuestaria.
1.3 Implementación de la metodología que regule la identificación, análisis y mitigación de los riesgos de proyectos APP. 
1.4 desarrollo de un Modelo optimizado de análisis de sostenibilidad fiscal de largo plazo basado en el PFRAM.
*Todos las actividades incluyen seminarios de diseminación y formación.</t>
  </si>
  <si>
    <t>Se analizara la pertinencia de realizar la consultoría en 3 etapas del proyecto, siendo cada una de US$24750 o en su defecto una sola de US$74.250 como esta expresado en esta línea</t>
  </si>
  <si>
    <t>Dicho consultor será el gestor del fondo de garantías durante todo el Programa desde que se diseña el fondo (4 anos - 48 meses), con un honorario promedio por mes de 4,500.00 dólares.</t>
  </si>
  <si>
    <t>Dicha firma será la fiduciara del fondo de garantías durante todo el Programa desde que se diseña el fondo (4 anos - 48 meses), con un honorario promedio por mes de 4,620.00 dólares.</t>
  </si>
  <si>
    <t>2018</t>
  </si>
  <si>
    <t>2019</t>
  </si>
  <si>
    <t>2020</t>
  </si>
  <si>
    <t>2021</t>
  </si>
  <si>
    <t>2022</t>
  </si>
  <si>
    <t>2023</t>
  </si>
  <si>
    <t>Total general</t>
  </si>
  <si>
    <t>EC-L1230- Programa de Mejora de la Capacidad Fiscal para la Inversión Pública</t>
  </si>
  <si>
    <t>Componente Nro. 1. Fortalecimiento de los instrumentos de gestión fiscal responsable de la inversión pública a través de APP</t>
  </si>
  <si>
    <t>Modelo que apoye la identificación, análisis y mitigación de riesgos de proyectos APP, analisis de disponibilidad  y modelo de disponibilidad realizado</t>
  </si>
  <si>
    <t>Modelo optimizado de análisis de disponibilidad presupuestaria implementado</t>
  </si>
  <si>
    <t>Lineamientos para la valoración, registro y gestión de los pasivos firmes y contingentes desarrollados e implementados</t>
  </si>
  <si>
    <t>Modelo optimizado de análisis de sostenibilidad fiscal desarrollado e implementado</t>
  </si>
  <si>
    <t>Modelo de gestión de contratos implementado</t>
  </si>
  <si>
    <t>Modulo de registro de proyectos APP</t>
  </si>
  <si>
    <t>Programa de  capacitación de funcionarios públicos en APP implementado</t>
  </si>
  <si>
    <t>Componente Nro. 2. Fortalecimiento de los Instrumentos de estructuración de proyectos de inversión pública bajo a modalidad de APP</t>
  </si>
  <si>
    <t>Proyectos estratégicos de APP eestructurados con el fondo reembolsable</t>
  </si>
  <si>
    <t>Componente Nro. 3. Mejora de la inversión pública, con participación privada, de los Gobiernos Autónomos Descentralizados (GAD)</t>
  </si>
  <si>
    <t>Estudios de preparación y estructuración de proyectos de inversión pública bajo APP</t>
  </si>
  <si>
    <t>Fondo de garantías para la bancabilidad de proyectos APP de los GADs</t>
  </si>
  <si>
    <t>Proyectos que reciben garantías del Fondo de Garantías de APP</t>
  </si>
  <si>
    <t>Plan continuo de fortalecimiento institucional del BDE y GADs</t>
  </si>
  <si>
    <t>Componente Nro. 4. Administracion del programa</t>
  </si>
  <si>
    <t>Contratacion equipo de coordinacion y administracion de proyecto</t>
  </si>
  <si>
    <t>Reserva contingencias</t>
  </si>
  <si>
    <t>Firma contrato y cumplimiento CP</t>
  </si>
  <si>
    <t>Contraparte local (IVA +US$10M Fondo Garantia APP Comp.3)</t>
  </si>
  <si>
    <t>Consultoría especializada para la gestión del fondo de garantía</t>
  </si>
  <si>
    <t>Consultoría especializada - fiduciaria del fideicomiso que gestiona el fondo de garantía</t>
  </si>
  <si>
    <t>Teléfonos para la Unidad del APP</t>
  </si>
  <si>
    <t xml:space="preserve">Creación de unidad de project finance en la gerencia de división de crédito. Incluye capacitación </t>
  </si>
  <si>
    <t>Apoyo ejecución Comp. 1 y 2</t>
  </si>
  <si>
    <t>Experto Técnico Ingeniero APP Componente 1 y 2</t>
  </si>
  <si>
    <t>Experto Técnico Ingeniero APP Comp.3</t>
  </si>
  <si>
    <t>Consultoría especializada para la coordinación del programa de reciclaje de activos de infraestructura publica</t>
  </si>
  <si>
    <t>Consultoría especializada para el desarrollo de programa de reciclaje de activos de infraestructura publica</t>
  </si>
  <si>
    <t>Consultoría de apoyo para el desarrollo de programa de reciclaje de activos de infraestructura publica</t>
  </si>
  <si>
    <t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t>
  </si>
  <si>
    <t>Fuente</t>
  </si>
  <si>
    <t>Socialización del programa de reciclaje de activos de infraestructura pública</t>
  </si>
  <si>
    <t>Costes</t>
  </si>
  <si>
    <t>Conceptos - Actividades por Componente</t>
  </si>
  <si>
    <t>Herramientas para el analisis de proyectos APP desarrolladas</t>
  </si>
  <si>
    <t>Contratacion consultoria para analisis de proyectos APP</t>
  </si>
  <si>
    <t>Preparacion aviso expresiones de interes (AEI)</t>
  </si>
  <si>
    <t>No objecion BID (AEI)</t>
  </si>
  <si>
    <t>Publicacion AEI</t>
  </si>
  <si>
    <t>Elaboracion Lista Corta</t>
  </si>
  <si>
    <t>Preparacion TDRS, solicitud de propuesta y modelo contrato</t>
  </si>
  <si>
    <t>No objecion del BID</t>
  </si>
  <si>
    <t>Invitacion a presentar propuesta tecnica y economica</t>
  </si>
  <si>
    <t>Evaluacion ofertas tecnicas</t>
  </si>
  <si>
    <t>Calificacion de oferta tecnica y economica y elaboracion informe final de adjudicacion</t>
  </si>
  <si>
    <t>No objecion BID a la adjudicacion</t>
  </si>
  <si>
    <t>Firma de contrato y registro prism</t>
  </si>
  <si>
    <t>Inicio ejecucion consultoria</t>
  </si>
  <si>
    <t>Pago producto 1.1</t>
  </si>
  <si>
    <t>Herramientas para el analisis de disponibilidad proyectos APP desarrolladas</t>
  </si>
  <si>
    <t>Contratacion de consultoría especializada para el desarrollo de políticas y procesos de gestión de contratos</t>
  </si>
  <si>
    <t>Pago consultoria</t>
  </si>
  <si>
    <t>Propuesta de opciones de ingeniería financiera pública en la financiación de nueva inversión pública desarrollada</t>
  </si>
  <si>
    <t>Desarrollo del Programa de reciclaje de activos de infraestructura pública.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t>
  </si>
  <si>
    <t>Desarrollo del Programa de reciclaje de activos de infraestructura pública</t>
  </si>
  <si>
    <t>Consultoría especializada para la coordinación del Programa de reciclaje de activos de infraestructura pública</t>
  </si>
  <si>
    <t>Preparacion TDRS</t>
  </si>
  <si>
    <t>Convocatoria a consultores</t>
  </si>
  <si>
    <t>Recepcion de expresiones de interes y hojas de vida</t>
  </si>
  <si>
    <t>Evaluacion y recomendacion adjudicacion</t>
  </si>
  <si>
    <t>Consultoría especializada para la elaboración del Programa de reciclaje de activos de infraestructura pública</t>
  </si>
  <si>
    <t>Consultoría de apoyo para la elaboración del Programa de reciclaje de activos de infraestructura pública</t>
  </si>
  <si>
    <t>Contratacion de Consultoría especializada para la Socialización del programa de reciclaje de activos de infraestructura pública</t>
  </si>
  <si>
    <t>Preparacion de TDRS y documentos complementarios</t>
  </si>
  <si>
    <t>No objecion tecnica BID</t>
  </si>
  <si>
    <t>Preseleccion lista corta</t>
  </si>
  <si>
    <t>No objecion tecnica del BID</t>
  </si>
  <si>
    <t>Nombramiento de comite de evaluacion y evaluacion</t>
  </si>
  <si>
    <t>Preparacion y envio de SP a mejor calificada</t>
  </si>
  <si>
    <t>Preparacion y entrega de propuesta tecnica/precio</t>
  </si>
  <si>
    <t>Evaluacion de propuestas tecnica y precio</t>
  </si>
  <si>
    <t>Negociacion</t>
  </si>
  <si>
    <t>Recomendacion de Adjudicacion del contrato</t>
  </si>
  <si>
    <t>Contratacion de Consultoría especializada para estructuración Proyectos APP GAD Provincial de Santo Domingo - Plataforma ZONA - ILCO realizada</t>
  </si>
  <si>
    <t>Contratacion de Consultoría especializada para estructuración Proyectos APP GAD Municipal de Chone - Regeneración urbana de la Av. Eloy Alfaro realizada</t>
  </si>
  <si>
    <t>Contratacion de Consultoría especializada para estructuración Proyectos APP GAD Municipal de Cuenca - Planta de tratamiento de aguas residuales de Guangarcucho realizada</t>
  </si>
  <si>
    <t>Contratacion de Consultoría especializada para estructuración Proyectos APP GAD Municipal de Quito - Desarrollo turístico en el Panecillo realizada</t>
  </si>
  <si>
    <t>Contratacion de Consultoría especializada para estructuración Proyectos APP GAD Provincial de El Oro - Parque Ecoindustrial  realizada</t>
  </si>
  <si>
    <t>Contratacion de Consultoría especializada para estructuración Proyectos APP GAD Municipal de Santo Domingo - PARQUEADERO Y CENTRO COMERCIAL, UBICADO EN LA AV QUITO Y RIO TOACHI realizada</t>
  </si>
  <si>
    <t>Contratacion de Consultoría especializada para estructuración Proyectos APP GAD Municipal de Loja - AMPLIACIÓN A CUATRO CARRILES DE LA VÍA LOJA A CATAMAYO CON ACCESO AL AEROPUERTO realizada</t>
  </si>
  <si>
    <t>Contratacion de Consultoría especializada para estructuración Proyectos APP GAD Provincial de Pichincha - PROPUESTA SISTEMA DE TRANSPORTE MASIVO PARA EL CANTÓN RUMIÑAHUI (MONORRIEL) realizada</t>
  </si>
  <si>
    <t>Contratacion de Consultoría especializada para estructuración Proyectos APP GAD Municipal de Milagro - PARQUE INDUSTRIAL Y LOGÍSTICO DEL CANTÓN MILAGRO realizada</t>
  </si>
  <si>
    <t>Contratacion de Consultoría especializada para estructuración Proyectos APP GAD Municipal de San Vicente - Propuesta para la construcción del Mercado Municipal de San Vicente realizada</t>
  </si>
  <si>
    <t>Contratacion de Consultoría especializada para estructuración Proyectos APP AD Municipal de Ambato - Proyecto: Construcción del Terminal Terrestre Sur de la ciudad de Ambato realizada</t>
  </si>
  <si>
    <t>Contratacion de Consultoría especializada para estructuración Proyectos APP GAD Municipal de Quito - Estacionamientos en el subsuelo del Parque La Carolina realizada</t>
  </si>
  <si>
    <t>Contratacion de Consultoría especializada para estructuración Proyectos APP GAD Municipal de Quito - Construcción de la Ruta Viva Fase III realizada</t>
  </si>
  <si>
    <t>Contratacion de Consultoría especializada para estructuración Proyectos APP GAD Municipal de Quito - Centro de Convenciones Metropolitano de Quito realizada</t>
  </si>
  <si>
    <t>Consultoría especializada fiduciaria del fideicomiso que gestiona el fondo de garantia realizada</t>
  </si>
  <si>
    <t>Consultoría especializada para la gestion del fondo de garantia realizada</t>
  </si>
  <si>
    <t>Consultoría especializada para el diseño del fondo de garantía para proyectos APP de los GAD realizada</t>
  </si>
  <si>
    <t>Computadoras para la Unidad APP adquiridas</t>
  </si>
  <si>
    <t>Preparacion de TDRS y documentos de licitacion</t>
  </si>
  <si>
    <t>Envio de solicitu de cotizacion</t>
  </si>
  <si>
    <t>Recepción y apertura de ofertas</t>
  </si>
  <si>
    <t>Evaluación de ofertas y propuestas de adjudicación</t>
  </si>
  <si>
    <t>Notificación de adjudicación, firma de contrato</t>
  </si>
  <si>
    <t>Inicio ejecucion contrato</t>
  </si>
  <si>
    <t>Pago contrato</t>
  </si>
  <si>
    <t>Telefonos para la Unidad APP adquiridos</t>
  </si>
  <si>
    <t>Contratacion de Consultoría especializada para plataforma virtual (link al aula virtual) con contenidos audiovisuales  realizada</t>
  </si>
  <si>
    <t>Contratacion de Consultoría especializada para la creación de unidad de project finance en la gerencia de division de credito realizada</t>
  </si>
  <si>
    <t>Contratacion de consultoría individual para el diagnóstico de sistemas de gestión financiera de los GAD y elaboración de plan de fortalecimiento (15 municipios)</t>
  </si>
  <si>
    <t>Contratacion de consultoría individual para el acompañamiento técnico para proyectos APP de los GAD</t>
  </si>
  <si>
    <t>Contratacion de consultoría individual para la elaboración de productos de conocimiento en APP Ecuador</t>
  </si>
  <si>
    <t>Jornadas de socialización del Programa APP BDE (corta duración de amplia difusión) realizada</t>
  </si>
  <si>
    <t>Capacitación técnica, financiera y legal a GAD en la determinación y desarrollo de proyectos APP realizada</t>
  </si>
  <si>
    <t>Contratacion de consultoría individual del oficial financiero Componentes 1 y 2</t>
  </si>
  <si>
    <t>Contratacion de consultoría individual del experto de adquisiciones Componentes 1 y 2</t>
  </si>
  <si>
    <t>Contratacion de consultoría individual del experto en monitoreo y planificacion Componentes 1 y 2</t>
  </si>
  <si>
    <t>Contratacion de consultoría individual del coordinador operativo Componentes 1 y 2</t>
  </si>
  <si>
    <t>Contratacion de consultoría individual para apoyo ejecucion Componentes 1 y 2</t>
  </si>
  <si>
    <t>Contratacion de consultoría individual Experto Legal APP Componentes 1 y 2</t>
  </si>
  <si>
    <t>Contratacion de consultoría individual Experto financiero APP componentes 1 y 2</t>
  </si>
  <si>
    <t>Contratacion de consultoría individual experto tecnico Ingeniero APP Componentes 1 y 2</t>
  </si>
  <si>
    <t>Contratacion de consultoría individual experto legal unidad APP Componente 3</t>
  </si>
  <si>
    <t>Contratacion de consultoría individual experto financiero unidad APP Componente 3</t>
  </si>
  <si>
    <t>Contratacion de consultoría individual experto tecnico ingeniero APP Componente 3</t>
  </si>
  <si>
    <t>Contratacion de consultoría individual para la evaluacion del proyecto</t>
  </si>
  <si>
    <t>Contratacion de consultoría para la auditoria del proyecto</t>
  </si>
  <si>
    <t>Proyecto estructuracion 1: Hidroeléctrica Sopladora</t>
  </si>
  <si>
    <t>Proyecto estructuracion 2: Hidroeléctrica Paute-Cardenillo</t>
  </si>
  <si>
    <t>Proyecto estructuracion 4: vías Quevedo-Jujan.</t>
  </si>
  <si>
    <t xml:space="preserve">Proyecto estructuracion 3: vías Santo Domingo-Quevedo </t>
  </si>
  <si>
    <t>2.2 Estudios de pre-estructuración y estructuración de proyectos de inversión pública bajo APP elaborados</t>
  </si>
  <si>
    <t>Componente 1. Creación y fortalecimiento de los instrumentos de gestión fiscal responsable de la inversión pública a través de APP (Ejecuta Ministerio de Economía y Finanzas - MEF)</t>
  </si>
  <si>
    <t>Componente 2. Fortalecimiento de los Instrumentos de estructuración de proyectos de inversión pública bajo a modalidad de APP a nivel nacional (Ejecuta MEF)</t>
  </si>
  <si>
    <t>Componente 3. Mejora de la inversión pública de los Gobiernos Autónomos Descentralizados (GAD) con participación privada (Ejecuta Banco de Desarrollo de Ecuador B.P. (BDE)</t>
  </si>
  <si>
    <t>Expost valor por dinero proyectos APP</t>
  </si>
  <si>
    <t xml:space="preserve">      Monitoreo</t>
  </si>
  <si>
    <t xml:space="preserve">      Evaluación</t>
  </si>
  <si>
    <t xml:space="preserve">      Auditoría</t>
  </si>
  <si>
    <t xml:space="preserve">Presupuesto Anual para la Operación del Sistema de Monitoreo del Proyecto </t>
  </si>
  <si>
    <t xml:space="preserve"> </t>
  </si>
  <si>
    <t>Administracion del programa</t>
  </si>
  <si>
    <t>Taller de arranque (US$5.000 fondos transaccionales)</t>
  </si>
  <si>
    <t>Project Completion Report (PCR) (US$30.000 fondos transaccionales)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</si>
</sst>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43" formatCode="_(* #,##0.00_);_(* \(#,##0.00\);_(* &quot;-&quot;??_);_(@_)"/>
    <numFmt numFmtId="164" formatCode="0.0%"/>
    <numFmt numFmtId="165" formatCode="[$-409]dd\-mmm\-yy;@"/>
    <numFmt numFmtId="166" formatCode="[$USD]\ #,##0"/>
    <numFmt numFmtId="167" formatCode="[$USD]\ #,##0.00"/>
    <numFmt numFmtId="168" formatCode="_(* #,##0_);_(* \(#,##0\);_(* &quot;-&quot;??_);_(@_)"/>
    <numFmt numFmtId="169" formatCode="[$-409]mmm\-yy;@"/>
    <numFmt numFmtId="170" formatCode="#,##0.00000"/>
  </numFmts>
  <fonts count="6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0"/>
      <color theme="1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0.79998168889431442"/>
        <bgColor theme="4" tint="0.79998168889431442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 tint="-0.249977111117893"/>
      </top>
      <bottom style="thin">
        <color theme="4" tint="0.59999389629810485"/>
      </bottom>
      <diagonal/>
    </border>
    <border>
      <left/>
      <right/>
      <top style="thin">
        <color theme="4" tint="-0.249977111117893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 style="thin">
        <color theme="4"/>
      </bottom>
      <diagonal/>
    </border>
    <border>
      <left/>
      <right/>
      <top style="double">
        <color theme="4" tint="-0.249977111117893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-0.249977111117893"/>
      </bottom>
      <diagonal/>
    </border>
    <border>
      <left/>
      <right/>
      <top style="thin">
        <color theme="4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indexed="64"/>
      </bottom>
      <diagonal/>
    </border>
  </borders>
  <cellStyleXfs count="220">
    <xf numFmtId="0" fontId="0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22" borderId="3" applyNumberFormat="0" applyAlignment="0" applyProtection="0"/>
    <xf numFmtId="0" fontId="25" fillId="22" borderId="3" applyNumberFormat="0" applyAlignment="0" applyProtection="0"/>
    <xf numFmtId="0" fontId="25" fillId="22" borderId="3" applyNumberFormat="0" applyAlignment="0" applyProtection="0"/>
    <xf numFmtId="0" fontId="26" fillId="23" borderId="4" applyNumberFormat="0" applyAlignment="0" applyProtection="0"/>
    <xf numFmtId="0" fontId="26" fillId="23" borderId="4" applyNumberFormat="0" applyAlignment="0" applyProtection="0"/>
    <xf numFmtId="0" fontId="26" fillId="23" borderId="4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9" borderId="3" applyNumberFormat="0" applyAlignment="0" applyProtection="0"/>
    <xf numFmtId="0" fontId="32" fillId="9" borderId="3" applyNumberFormat="0" applyAlignment="0" applyProtection="0"/>
    <xf numFmtId="0" fontId="32" fillId="9" borderId="3" applyNumberFormat="0" applyAlignment="0" applyProtection="0"/>
    <xf numFmtId="0" fontId="33" fillId="0" borderId="8" applyNumberFormat="0" applyFill="0" applyAlignment="0" applyProtection="0"/>
    <xf numFmtId="0" fontId="33" fillId="0" borderId="8" applyNumberFormat="0" applyFill="0" applyAlignment="0" applyProtection="0"/>
    <xf numFmtId="0" fontId="33" fillId="0" borderId="8" applyNumberFormat="0" applyFill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25" borderId="9" applyNumberFormat="0" applyFont="0" applyAlignment="0" applyProtection="0"/>
    <xf numFmtId="0" fontId="18" fillId="25" borderId="9" applyNumberFormat="0" applyFont="0" applyAlignment="0" applyProtection="0"/>
    <xf numFmtId="0" fontId="18" fillId="25" borderId="9" applyNumberFormat="0" applyFont="0" applyAlignment="0" applyProtection="0"/>
    <xf numFmtId="0" fontId="35" fillId="22" borderId="10" applyNumberFormat="0" applyAlignment="0" applyProtection="0"/>
    <xf numFmtId="0" fontId="35" fillId="22" borderId="10" applyNumberFormat="0" applyAlignment="0" applyProtection="0"/>
    <xf numFmtId="0" fontId="35" fillId="22" borderId="10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5" fillId="0" borderId="0"/>
    <xf numFmtId="0" fontId="39" fillId="0" borderId="0"/>
    <xf numFmtId="43" fontId="20" fillId="0" borderId="0" applyFont="0" applyFill="0" applyBorder="0" applyAlignment="0" applyProtection="0"/>
    <xf numFmtId="0" fontId="13" fillId="0" borderId="0"/>
    <xf numFmtId="43" fontId="12" fillId="0" borderId="0" applyFont="0" applyFill="0" applyBorder="0" applyAlignment="0" applyProtection="0"/>
    <xf numFmtId="0" fontId="12" fillId="0" borderId="0"/>
    <xf numFmtId="43" fontId="11" fillId="0" borderId="0" applyFont="0" applyFill="0" applyBorder="0" applyAlignment="0" applyProtection="0"/>
    <xf numFmtId="0" fontId="11" fillId="0" borderId="0"/>
    <xf numFmtId="0" fontId="10" fillId="0" borderId="0"/>
    <xf numFmtId="43" fontId="1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" fillId="0" borderId="0"/>
    <xf numFmtId="43" fontId="18" fillId="0" borderId="0" applyFont="0" applyFill="0" applyBorder="0" applyAlignment="0" applyProtection="0"/>
    <xf numFmtId="0" fontId="2" fillId="0" borderId="0"/>
  </cellStyleXfs>
  <cellXfs count="358">
    <xf numFmtId="0" fontId="0" fillId="0" borderId="0" xfId="0"/>
    <xf numFmtId="0" fontId="40" fillId="0" borderId="0" xfId="3" applyFont="1" applyProtection="1">
      <protection locked="0"/>
    </xf>
    <xf numFmtId="43" fontId="40" fillId="0" borderId="0" xfId="3" applyNumberFormat="1" applyFont="1" applyProtection="1">
      <protection locked="0"/>
    </xf>
    <xf numFmtId="0" fontId="14" fillId="0" borderId="0" xfId="0" applyFont="1"/>
    <xf numFmtId="3" fontId="40" fillId="26" borderId="2" xfId="0" applyNumberFormat="1" applyFont="1" applyFill="1" applyBorder="1" applyAlignment="1" applyProtection="1">
      <alignment horizontal="right" vertical="center" wrapText="1"/>
      <protection locked="0"/>
    </xf>
    <xf numFmtId="3" fontId="40" fillId="26" borderId="2" xfId="3" applyNumberFormat="1" applyFont="1" applyFill="1" applyBorder="1" applyAlignment="1" applyProtection="1">
      <alignment horizontal="right" vertical="center" wrapText="1"/>
    </xf>
    <xf numFmtId="3" fontId="40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40" fillId="0" borderId="2" xfId="3" applyNumberFormat="1" applyFont="1" applyFill="1" applyBorder="1" applyAlignment="1" applyProtection="1">
      <alignment horizontal="right" vertical="center" wrapText="1"/>
    </xf>
    <xf numFmtId="0" fontId="40" fillId="26" borderId="2" xfId="3" applyFont="1" applyFill="1" applyBorder="1" applyAlignment="1" applyProtection="1">
      <alignment horizontal="left" vertical="center" wrapText="1"/>
      <protection locked="0"/>
    </xf>
    <xf numFmtId="0" fontId="19" fillId="0" borderId="0" xfId="3" applyFont="1" applyAlignment="1" applyProtection="1">
      <alignment horizontal="left"/>
      <protection locked="0"/>
    </xf>
    <xf numFmtId="167" fontId="0" fillId="0" borderId="0" xfId="0" applyNumberFormat="1"/>
    <xf numFmtId="0" fontId="9" fillId="0" borderId="0" xfId="144"/>
    <xf numFmtId="0" fontId="45" fillId="0" borderId="28" xfId="144" applyFont="1" applyBorder="1" applyAlignment="1">
      <alignment horizontal="left" vertical="center" wrapText="1" indent="1"/>
    </xf>
    <xf numFmtId="3" fontId="45" fillId="0" borderId="29" xfId="144" applyNumberFormat="1" applyFont="1" applyBorder="1" applyAlignment="1">
      <alignment horizontal="right" vertical="center" wrapText="1"/>
    </xf>
    <xf numFmtId="4" fontId="47" fillId="0" borderId="29" xfId="144" applyNumberFormat="1" applyFont="1" applyBorder="1" applyAlignment="1">
      <alignment horizontal="center" vertical="center" wrapText="1"/>
    </xf>
    <xf numFmtId="0" fontId="46" fillId="0" borderId="28" xfId="144" applyFont="1" applyBorder="1" applyAlignment="1">
      <alignment horizontal="left" vertical="center" wrapText="1" indent="4"/>
    </xf>
    <xf numFmtId="3" fontId="46" fillId="0" borderId="29" xfId="144" applyNumberFormat="1" applyFont="1" applyBorder="1" applyAlignment="1">
      <alignment horizontal="right" vertical="center" wrapText="1"/>
    </xf>
    <xf numFmtId="4" fontId="48" fillId="0" borderId="29" xfId="144" applyNumberFormat="1" applyFont="1" applyBorder="1" applyAlignment="1">
      <alignment horizontal="center" vertical="center" wrapText="1"/>
    </xf>
    <xf numFmtId="0" fontId="45" fillId="31" borderId="28" xfId="144" applyFont="1" applyFill="1" applyBorder="1" applyAlignment="1">
      <alignment vertical="center" wrapText="1"/>
    </xf>
    <xf numFmtId="3" fontId="45" fillId="31" borderId="29" xfId="144" applyNumberFormat="1" applyFont="1" applyFill="1" applyBorder="1" applyAlignment="1">
      <alignment horizontal="right" vertical="center" wrapText="1"/>
    </xf>
    <xf numFmtId="4" fontId="47" fillId="32" borderId="29" xfId="144" applyNumberFormat="1" applyFont="1" applyFill="1" applyBorder="1" applyAlignment="1">
      <alignment horizontal="center" vertical="center" wrapText="1"/>
    </xf>
    <xf numFmtId="2" fontId="45" fillId="31" borderId="29" xfId="144" applyNumberFormat="1" applyFont="1" applyFill="1" applyBorder="1" applyAlignment="1">
      <alignment horizontal="center" vertical="center" wrapText="1"/>
    </xf>
    <xf numFmtId="3" fontId="9" fillId="0" borderId="0" xfId="144" applyNumberFormat="1"/>
    <xf numFmtId="3" fontId="21" fillId="32" borderId="20" xfId="144" applyNumberFormat="1" applyFont="1" applyFill="1" applyBorder="1" applyAlignment="1">
      <alignment horizontal="center"/>
    </xf>
    <xf numFmtId="0" fontId="49" fillId="32" borderId="31" xfId="144" applyFont="1" applyFill="1" applyBorder="1" applyAlignment="1">
      <alignment horizontal="center" vertical="center" wrapText="1"/>
    </xf>
    <xf numFmtId="0" fontId="49" fillId="32" borderId="32" xfId="144" applyFont="1" applyFill="1" applyBorder="1" applyAlignment="1">
      <alignment horizontal="center" vertical="center" wrapText="1"/>
    </xf>
    <xf numFmtId="3" fontId="50" fillId="0" borderId="34" xfId="144" applyNumberFormat="1" applyFont="1" applyBorder="1" applyAlignment="1">
      <alignment horizontal="center" vertical="center" wrapText="1"/>
    </xf>
    <xf numFmtId="3" fontId="49" fillId="0" borderId="34" xfId="144" applyNumberFormat="1" applyFont="1" applyBorder="1" applyAlignment="1">
      <alignment horizontal="center" vertical="center" wrapText="1"/>
    </xf>
    <xf numFmtId="4" fontId="49" fillId="0" borderId="35" xfId="144" applyNumberFormat="1" applyFont="1" applyBorder="1" applyAlignment="1">
      <alignment horizontal="center" vertical="center" wrapText="1"/>
    </xf>
    <xf numFmtId="3" fontId="49" fillId="34" borderId="34" xfId="144" applyNumberFormat="1" applyFont="1" applyFill="1" applyBorder="1" applyAlignment="1">
      <alignment horizontal="center" vertical="center" wrapText="1"/>
    </xf>
    <xf numFmtId="0" fontId="49" fillId="34" borderId="29" xfId="144" applyFont="1" applyFill="1" applyBorder="1" applyAlignment="1">
      <alignment horizontal="center" vertical="center" wrapText="1"/>
    </xf>
    <xf numFmtId="3" fontId="40" fillId="0" borderId="0" xfId="3" applyNumberFormat="1" applyFont="1" applyProtection="1">
      <protection locked="0"/>
    </xf>
    <xf numFmtId="6" fontId="40" fillId="0" borderId="0" xfId="3" applyNumberFormat="1" applyFont="1" applyProtection="1">
      <protection locked="0"/>
    </xf>
    <xf numFmtId="4" fontId="49" fillId="34" borderId="37" xfId="144" applyNumberFormat="1" applyFont="1" applyFill="1" applyBorder="1" applyAlignment="1">
      <alignment horizontal="center" vertical="center" wrapText="1"/>
    </xf>
    <xf numFmtId="0" fontId="43" fillId="0" borderId="40" xfId="116" applyFont="1" applyFill="1" applyBorder="1" applyAlignment="1">
      <alignment horizontal="left" vertical="center" wrapText="1"/>
    </xf>
    <xf numFmtId="165" fontId="44" fillId="0" borderId="39" xfId="2" applyNumberFormat="1" applyFont="1" applyFill="1" applyBorder="1" applyAlignment="1">
      <alignment horizontal="center" vertical="center" wrapText="1"/>
    </xf>
    <xf numFmtId="0" fontId="43" fillId="0" borderId="40" xfId="2" applyFont="1" applyFill="1" applyBorder="1" applyAlignment="1">
      <alignment horizontal="left" vertical="center" wrapText="1"/>
    </xf>
    <xf numFmtId="0" fontId="44" fillId="0" borderId="41" xfId="116" applyFont="1" applyBorder="1" applyAlignment="1" applyProtection="1"/>
    <xf numFmtId="0" fontId="44" fillId="0" borderId="41" xfId="2" applyFont="1" applyBorder="1" applyAlignment="1" applyProtection="1"/>
    <xf numFmtId="43" fontId="0" fillId="0" borderId="0" xfId="0" applyNumberFormat="1"/>
    <xf numFmtId="4" fontId="40" fillId="0" borderId="0" xfId="3" applyNumberFormat="1" applyFont="1" applyProtection="1">
      <protection locked="0"/>
    </xf>
    <xf numFmtId="0" fontId="40" fillId="0" borderId="0" xfId="3" applyFont="1" applyFill="1" applyProtection="1">
      <protection locked="0"/>
    </xf>
    <xf numFmtId="3" fontId="40" fillId="0" borderId="0" xfId="3" applyNumberFormat="1" applyFont="1" applyFill="1" applyProtection="1">
      <protection locked="0"/>
    </xf>
    <xf numFmtId="4" fontId="19" fillId="27" borderId="44" xfId="3" applyNumberFormat="1" applyFont="1" applyFill="1" applyBorder="1" applyAlignment="1" applyProtection="1">
      <alignment horizontal="center"/>
      <protection locked="0"/>
    </xf>
    <xf numFmtId="0" fontId="40" fillId="0" borderId="44" xfId="3" applyFont="1" applyBorder="1" applyProtection="1">
      <protection locked="0"/>
    </xf>
    <xf numFmtId="3" fontId="19" fillId="2" borderId="44" xfId="0" applyNumberFormat="1" applyFont="1" applyFill="1" applyBorder="1" applyAlignment="1" applyProtection="1">
      <alignment horizontal="center" wrapText="1"/>
      <protection locked="0"/>
    </xf>
    <xf numFmtId="0" fontId="19" fillId="3" borderId="44" xfId="3" applyFont="1" applyFill="1" applyBorder="1" applyAlignment="1" applyProtection="1">
      <alignment horizontal="center" vertical="center" wrapText="1"/>
      <protection locked="0"/>
    </xf>
    <xf numFmtId="0" fontId="19" fillId="27" borderId="44" xfId="3" applyFont="1" applyFill="1" applyBorder="1" applyAlignment="1" applyProtection="1">
      <alignment horizontal="left"/>
      <protection locked="0"/>
    </xf>
    <xf numFmtId="3" fontId="19" fillId="27" borderId="44" xfId="3" applyNumberFormat="1" applyFont="1" applyFill="1" applyBorder="1" applyAlignment="1" applyProtection="1">
      <alignment horizontal="center"/>
      <protection locked="0"/>
    </xf>
    <xf numFmtId="0" fontId="40" fillId="26" borderId="44" xfId="0" applyFont="1" applyFill="1" applyBorder="1" applyAlignment="1" applyProtection="1">
      <alignment horizontal="left" vertical="center" wrapText="1"/>
      <protection locked="0"/>
    </xf>
    <xf numFmtId="3" fontId="40" fillId="26" borderId="44" xfId="0" applyNumberFormat="1" applyFont="1" applyFill="1" applyBorder="1" applyAlignment="1" applyProtection="1">
      <alignment horizontal="right" vertical="center" wrapText="1"/>
      <protection locked="0"/>
    </xf>
    <xf numFmtId="3" fontId="40" fillId="26" borderId="44" xfId="3" applyNumberFormat="1" applyFont="1" applyFill="1" applyBorder="1" applyAlignment="1" applyProtection="1">
      <alignment horizontal="right" vertical="center" wrapText="1"/>
    </xf>
    <xf numFmtId="0" fontId="40" fillId="0" borderId="44" xfId="3" applyFont="1" applyFill="1" applyBorder="1" applyAlignment="1" applyProtection="1">
      <alignment horizontal="left" vertical="center" wrapText="1"/>
      <protection locked="0"/>
    </xf>
    <xf numFmtId="3" fontId="40" fillId="0" borderId="44" xfId="0" applyNumberFormat="1" applyFont="1" applyFill="1" applyBorder="1" applyAlignment="1" applyProtection="1">
      <alignment horizontal="right" vertical="center" wrapText="1"/>
      <protection locked="0"/>
    </xf>
    <xf numFmtId="3" fontId="40" fillId="0" borderId="44" xfId="3" applyNumberFormat="1" applyFont="1" applyFill="1" applyBorder="1" applyAlignment="1" applyProtection="1">
      <alignment horizontal="right" vertical="center" wrapText="1"/>
    </xf>
    <xf numFmtId="164" fontId="40" fillId="0" borderId="44" xfId="142" applyNumberFormat="1" applyFont="1" applyFill="1" applyBorder="1" applyAlignment="1" applyProtection="1">
      <alignment horizontal="left" vertical="center" wrapText="1"/>
      <protection locked="0"/>
    </xf>
    <xf numFmtId="0" fontId="40" fillId="26" borderId="44" xfId="3" applyFont="1" applyFill="1" applyBorder="1" applyAlignment="1" applyProtection="1">
      <alignment horizontal="left" vertical="center" wrapText="1"/>
      <protection locked="0"/>
    </xf>
    <xf numFmtId="0" fontId="40" fillId="0" borderId="44" xfId="0" applyFont="1" applyFill="1" applyBorder="1" applyAlignment="1" applyProtection="1">
      <alignment horizontal="left" vertical="center" wrapText="1"/>
      <protection locked="0"/>
    </xf>
    <xf numFmtId="0" fontId="41" fillId="26" borderId="44" xfId="0" applyFont="1" applyFill="1" applyBorder="1" applyAlignment="1" applyProtection="1">
      <alignment horizontal="left" vertical="center" wrapText="1"/>
      <protection locked="0"/>
    </xf>
    <xf numFmtId="3" fontId="41" fillId="26" borderId="44" xfId="0" applyNumberFormat="1" applyFont="1" applyFill="1" applyBorder="1" applyAlignment="1" applyProtection="1">
      <alignment horizontal="right" vertical="center" wrapText="1"/>
      <protection locked="0"/>
    </xf>
    <xf numFmtId="3" fontId="41" fillId="26" borderId="44" xfId="3" applyNumberFormat="1" applyFont="1" applyFill="1" applyBorder="1" applyAlignment="1" applyProtection="1">
      <alignment horizontal="right" vertical="center" wrapText="1"/>
    </xf>
    <xf numFmtId="3" fontId="40" fillId="26" borderId="44" xfId="0" applyNumberFormat="1" applyFont="1" applyFill="1" applyBorder="1" applyAlignment="1" applyProtection="1">
      <alignment vertical="center" wrapText="1"/>
      <protection locked="0"/>
    </xf>
    <xf numFmtId="3" fontId="40" fillId="26" borderId="44" xfId="3" applyNumberFormat="1" applyFont="1" applyFill="1" applyBorder="1" applyAlignment="1" applyProtection="1">
      <alignment vertical="center" wrapText="1"/>
    </xf>
    <xf numFmtId="0" fontId="19" fillId="2" borderId="44" xfId="3" applyFont="1" applyFill="1" applyBorder="1" applyAlignment="1" applyProtection="1">
      <alignment horizontal="left" wrapText="1"/>
      <protection locked="0"/>
    </xf>
    <xf numFmtId="3" fontId="19" fillId="2" borderId="44" xfId="3" applyNumberFormat="1" applyFont="1" applyFill="1" applyBorder="1" applyAlignment="1" applyProtection="1">
      <alignment horizontal="center" vertical="center"/>
      <protection locked="0"/>
    </xf>
    <xf numFmtId="3" fontId="19" fillId="0" borderId="44" xfId="3" applyNumberFormat="1" applyFont="1" applyFill="1" applyBorder="1" applyAlignment="1" applyProtection="1">
      <alignment horizontal="right" vertical="center" wrapText="1"/>
      <protection locked="0"/>
    </xf>
    <xf numFmtId="0" fontId="19" fillId="28" borderId="44" xfId="0" applyFont="1" applyFill="1" applyBorder="1" applyAlignment="1" applyProtection="1">
      <alignment horizontal="left" vertical="center" wrapText="1"/>
      <protection locked="0"/>
    </xf>
    <xf numFmtId="3" fontId="19" fillId="28" borderId="44" xfId="0" applyNumberFormat="1" applyFont="1" applyFill="1" applyBorder="1" applyAlignment="1" applyProtection="1">
      <alignment horizontal="right" vertical="center" wrapText="1"/>
      <protection locked="0"/>
    </xf>
    <xf numFmtId="3" fontId="19" fillId="28" borderId="44" xfId="3" applyNumberFormat="1" applyFont="1" applyFill="1" applyBorder="1" applyAlignment="1" applyProtection="1">
      <alignment horizontal="right" vertical="center" wrapText="1"/>
    </xf>
    <xf numFmtId="0" fontId="19" fillId="28" borderId="44" xfId="3" applyFont="1" applyFill="1" applyBorder="1" applyAlignment="1" applyProtection="1">
      <alignment horizontal="left" vertical="center" wrapText="1"/>
      <protection locked="0"/>
    </xf>
    <xf numFmtId="0" fontId="19" fillId="2" borderId="44" xfId="3" applyFont="1" applyFill="1" applyBorder="1" applyAlignment="1" applyProtection="1">
      <alignment horizontal="left"/>
      <protection locked="0"/>
    </xf>
    <xf numFmtId="166" fontId="44" fillId="0" borderId="44" xfId="2" applyNumberFormat="1" applyFont="1" applyFill="1" applyBorder="1" applyAlignment="1">
      <alignment horizontal="right" vertical="center" wrapText="1"/>
    </xf>
    <xf numFmtId="0" fontId="44" fillId="0" borderId="44" xfId="2" applyFont="1" applyBorder="1" applyAlignment="1" applyProtection="1"/>
    <xf numFmtId="0" fontId="21" fillId="26" borderId="44" xfId="0" applyFont="1" applyFill="1" applyBorder="1" applyAlignment="1">
      <alignment vertical="center"/>
    </xf>
    <xf numFmtId="0" fontId="21" fillId="26" borderId="44" xfId="0" applyFont="1" applyFill="1" applyBorder="1" applyAlignment="1">
      <alignment horizontal="center" vertical="center" wrapText="1"/>
    </xf>
    <xf numFmtId="0" fontId="6" fillId="0" borderId="0" xfId="0" applyFont="1"/>
    <xf numFmtId="3" fontId="6" fillId="0" borderId="0" xfId="0" applyNumberFormat="1" applyFont="1"/>
    <xf numFmtId="0" fontId="6" fillId="0" borderId="0" xfId="0" applyFont="1" applyAlignment="1">
      <alignment wrapText="1"/>
    </xf>
    <xf numFmtId="0" fontId="6" fillId="0" borderId="0" xfId="0" applyFont="1" applyBorder="1" applyAlignment="1">
      <alignment vertical="top" wrapText="1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/>
    <xf numFmtId="3" fontId="6" fillId="0" borderId="0" xfId="0" applyNumberFormat="1" applyFont="1" applyFill="1" applyBorder="1" applyAlignment="1">
      <alignment vertical="center"/>
    </xf>
    <xf numFmtId="3" fontId="41" fillId="26" borderId="44" xfId="0" applyNumberFormat="1" applyFont="1" applyFill="1" applyBorder="1" applyAlignment="1" applyProtection="1">
      <alignment vertical="center" wrapText="1"/>
      <protection locked="0"/>
    </xf>
    <xf numFmtId="3" fontId="41" fillId="26" borderId="44" xfId="3" applyNumberFormat="1" applyFont="1" applyFill="1" applyBorder="1" applyAlignment="1" applyProtection="1">
      <alignment vertical="center" wrapText="1"/>
    </xf>
    <xf numFmtId="0" fontId="53" fillId="0" borderId="0" xfId="0" applyFont="1"/>
    <xf numFmtId="0" fontId="40" fillId="0" borderId="44" xfId="3" applyFont="1" applyBorder="1" applyAlignment="1" applyProtection="1">
      <alignment wrapText="1"/>
      <protection locked="0"/>
    </xf>
    <xf numFmtId="3" fontId="46" fillId="0" borderId="29" xfId="144" applyNumberFormat="1" applyFont="1" applyBorder="1" applyAlignment="1">
      <alignment horizontal="left" vertical="center" wrapText="1"/>
    </xf>
    <xf numFmtId="3" fontId="19" fillId="0" borderId="44" xfId="0" applyNumberFormat="1" applyFont="1" applyBorder="1" applyAlignment="1" applyProtection="1">
      <alignment horizontal="right" vertical="center" wrapText="1"/>
    </xf>
    <xf numFmtId="0" fontId="19" fillId="3" borderId="44" xfId="3" applyFont="1" applyFill="1" applyBorder="1" applyAlignment="1" applyProtection="1">
      <alignment horizontal="center" vertical="center"/>
      <protection locked="0"/>
    </xf>
    <xf numFmtId="0" fontId="40" fillId="0" borderId="44" xfId="0" applyFont="1" applyBorder="1" applyAlignment="1">
      <alignment vertical="center" wrapText="1"/>
    </xf>
    <xf numFmtId="3" fontId="19" fillId="0" borderId="44" xfId="3" applyNumberFormat="1" applyFont="1" applyFill="1" applyBorder="1" applyAlignment="1" applyProtection="1">
      <alignment horizontal="right" wrapText="1"/>
      <protection locked="0"/>
    </xf>
    <xf numFmtId="3" fontId="40" fillId="26" borderId="2" xfId="3" applyNumberFormat="1" applyFont="1" applyFill="1" applyBorder="1" applyAlignment="1" applyProtection="1">
      <alignment vertical="center" wrapText="1"/>
    </xf>
    <xf numFmtId="0" fontId="19" fillId="28" borderId="47" xfId="0" applyFont="1" applyFill="1" applyBorder="1" applyAlignment="1" applyProtection="1">
      <alignment vertical="center" wrapText="1"/>
      <protection locked="0"/>
    </xf>
    <xf numFmtId="4" fontId="19" fillId="2" borderId="45" xfId="3" applyNumberFormat="1" applyFont="1" applyFill="1" applyBorder="1" applyAlignment="1" applyProtection="1">
      <alignment horizontal="center"/>
      <protection locked="0"/>
    </xf>
    <xf numFmtId="3" fontId="19" fillId="0" borderId="18" xfId="0" applyNumberFormat="1" applyFont="1" applyBorder="1" applyAlignment="1" applyProtection="1">
      <alignment horizontal="right" vertical="center" wrapText="1"/>
    </xf>
    <xf numFmtId="3" fontId="19" fillId="0" borderId="18" xfId="0" applyNumberFormat="1" applyFont="1" applyBorder="1" applyAlignment="1" applyProtection="1">
      <alignment horizontal="right" vertical="center" wrapText="1"/>
    </xf>
    <xf numFmtId="0" fontId="19" fillId="3" borderId="44" xfId="3" applyFont="1" applyFill="1" applyBorder="1" applyAlignment="1" applyProtection="1">
      <alignment horizontal="center" vertical="center"/>
      <protection locked="0"/>
    </xf>
    <xf numFmtId="0" fontId="45" fillId="31" borderId="29" xfId="144" applyFont="1" applyFill="1" applyBorder="1" applyAlignment="1">
      <alignment horizontal="center" vertical="center" wrapText="1"/>
    </xf>
    <xf numFmtId="4" fontId="49" fillId="34" borderId="35" xfId="144" applyNumberFormat="1" applyFont="1" applyFill="1" applyBorder="1" applyAlignment="1">
      <alignment horizontal="center" vertical="center" wrapText="1"/>
    </xf>
    <xf numFmtId="0" fontId="9" fillId="36" borderId="0" xfId="144" applyFill="1"/>
    <xf numFmtId="0" fontId="9" fillId="0" borderId="0" xfId="144" applyFill="1"/>
    <xf numFmtId="0" fontId="0" fillId="0" borderId="0" xfId="0" applyFill="1"/>
    <xf numFmtId="3" fontId="21" fillId="32" borderId="21" xfId="144" applyNumberFormat="1" applyFont="1" applyFill="1" applyBorder="1" applyAlignment="1">
      <alignment horizontal="center"/>
    </xf>
    <xf numFmtId="3" fontId="50" fillId="0" borderId="33" xfId="144" applyNumberFormat="1" applyFont="1" applyBorder="1" applyAlignment="1">
      <alignment horizontal="center" vertical="center" wrapText="1"/>
    </xf>
    <xf numFmtId="3" fontId="49" fillId="34" borderId="33" xfId="144" applyNumberFormat="1" applyFont="1" applyFill="1" applyBorder="1" applyAlignment="1">
      <alignment horizontal="center" vertical="center" wrapText="1"/>
    </xf>
    <xf numFmtId="4" fontId="49" fillId="34" borderId="36" xfId="144" applyNumberFormat="1" applyFont="1" applyFill="1" applyBorder="1" applyAlignment="1">
      <alignment horizontal="center" vertical="center" wrapText="1"/>
    </xf>
    <xf numFmtId="0" fontId="42" fillId="37" borderId="41" xfId="116" applyFont="1" applyFill="1" applyBorder="1" applyAlignment="1">
      <alignment horizontal="center" vertical="center" wrapText="1"/>
    </xf>
    <xf numFmtId="0" fontId="42" fillId="37" borderId="44" xfId="116" applyFont="1" applyFill="1" applyBorder="1" applyAlignment="1">
      <alignment horizontal="center" vertical="center" wrapText="1"/>
    </xf>
    <xf numFmtId="0" fontId="42" fillId="37" borderId="42" xfId="116" applyFont="1" applyFill="1" applyBorder="1" applyAlignment="1">
      <alignment horizontal="center" vertical="center" wrapText="1"/>
    </xf>
    <xf numFmtId="0" fontId="42" fillId="38" borderId="41" xfId="2" applyFont="1" applyFill="1" applyBorder="1" applyAlignment="1">
      <alignment horizontal="center" vertical="center" wrapText="1"/>
    </xf>
    <xf numFmtId="0" fontId="42" fillId="37" borderId="41" xfId="2" applyFont="1" applyFill="1" applyBorder="1" applyAlignment="1">
      <alignment horizontal="center" vertical="center" wrapText="1"/>
    </xf>
    <xf numFmtId="168" fontId="42" fillId="38" borderId="41" xfId="134" applyNumberFormat="1" applyFont="1" applyFill="1" applyBorder="1" applyAlignment="1">
      <alignment horizontal="center" vertical="center" wrapText="1"/>
    </xf>
    <xf numFmtId="168" fontId="44" fillId="0" borderId="44" xfId="134" applyNumberFormat="1" applyFont="1" applyFill="1" applyBorder="1" applyAlignment="1">
      <alignment horizontal="right" vertical="center" wrapText="1"/>
    </xf>
    <xf numFmtId="0" fontId="54" fillId="0" borderId="22" xfId="1" applyFont="1" applyFill="1" applyBorder="1" applyAlignment="1">
      <alignment horizontal="left" vertical="center"/>
    </xf>
    <xf numFmtId="0" fontId="54" fillId="0" borderId="22" xfId="1" applyFont="1" applyFill="1" applyBorder="1" applyAlignment="1">
      <alignment horizontal="left" vertical="center" wrapText="1"/>
    </xf>
    <xf numFmtId="0" fontId="18" fillId="0" borderId="0" xfId="1" applyFont="1"/>
    <xf numFmtId="0" fontId="18" fillId="0" borderId="0" xfId="2" applyFont="1" applyBorder="1"/>
    <xf numFmtId="0" fontId="18" fillId="0" borderId="0" xfId="1" applyFont="1" applyBorder="1"/>
    <xf numFmtId="0" fontId="18" fillId="0" borderId="0" xfId="2" applyFont="1" applyFill="1" applyBorder="1" applyAlignment="1">
      <alignment vertical="center" wrapText="1"/>
    </xf>
    <xf numFmtId="0" fontId="55" fillId="0" borderId="0" xfId="213" applyFont="1" applyBorder="1"/>
    <xf numFmtId="0" fontId="18" fillId="0" borderId="41" xfId="1" applyFont="1" applyFill="1" applyBorder="1" applyAlignment="1">
      <alignment vertical="center" wrapText="1"/>
    </xf>
    <xf numFmtId="0" fontId="18" fillId="0" borderId="44" xfId="1" applyFont="1" applyFill="1" applyBorder="1" applyAlignment="1">
      <alignment vertical="center" wrapText="1"/>
    </xf>
    <xf numFmtId="4" fontId="18" fillId="0" borderId="44" xfId="1" applyNumberFormat="1" applyFont="1" applyFill="1" applyBorder="1" applyAlignment="1">
      <alignment vertical="center" wrapText="1"/>
    </xf>
    <xf numFmtId="10" fontId="18" fillId="0" borderId="44" xfId="1" applyNumberFormat="1" applyFont="1" applyFill="1" applyBorder="1" applyAlignment="1">
      <alignment vertical="center" wrapText="1"/>
    </xf>
    <xf numFmtId="169" fontId="18" fillId="0" borderId="44" xfId="1" applyNumberFormat="1" applyFont="1" applyFill="1" applyBorder="1" applyAlignment="1">
      <alignment vertical="center" wrapText="1"/>
    </xf>
    <xf numFmtId="0" fontId="18" fillId="0" borderId="42" xfId="1" applyFont="1" applyFill="1" applyBorder="1" applyAlignment="1">
      <alignment vertical="center" wrapText="1"/>
    </xf>
    <xf numFmtId="0" fontId="55" fillId="0" borderId="0" xfId="213" applyFont="1"/>
    <xf numFmtId="0" fontId="18" fillId="0" borderId="40" xfId="1" applyFont="1" applyFill="1" applyBorder="1" applyAlignment="1">
      <alignment vertical="center" wrapText="1"/>
    </xf>
    <xf numFmtId="0" fontId="18" fillId="0" borderId="39" xfId="1" applyFont="1" applyFill="1" applyBorder="1" applyAlignment="1">
      <alignment vertical="center" wrapText="1"/>
    </xf>
    <xf numFmtId="4" fontId="18" fillId="0" borderId="39" xfId="1" applyNumberFormat="1" applyFont="1" applyFill="1" applyBorder="1" applyAlignment="1">
      <alignment vertical="center" wrapText="1"/>
    </xf>
    <xf numFmtId="10" fontId="18" fillId="0" borderId="39" xfId="1" applyNumberFormat="1" applyFont="1" applyFill="1" applyBorder="1" applyAlignment="1">
      <alignment vertical="center" wrapText="1"/>
    </xf>
    <xf numFmtId="169" fontId="18" fillId="0" borderId="39" xfId="1" applyNumberFormat="1" applyFont="1" applyFill="1" applyBorder="1" applyAlignment="1">
      <alignment vertical="center" wrapText="1"/>
    </xf>
    <xf numFmtId="0" fontId="18" fillId="0" borderId="43" xfId="1" applyFont="1" applyFill="1" applyBorder="1" applyAlignment="1">
      <alignment vertical="center" wrapText="1"/>
    </xf>
    <xf numFmtId="4" fontId="55" fillId="0" borderId="0" xfId="213" applyNumberFormat="1" applyFont="1"/>
    <xf numFmtId="10" fontId="55" fillId="0" borderId="0" xfId="213" applyNumberFormat="1" applyFont="1"/>
    <xf numFmtId="169" fontId="55" fillId="0" borderId="0" xfId="213" applyNumberFormat="1" applyFont="1"/>
    <xf numFmtId="0" fontId="18" fillId="29" borderId="41" xfId="1" applyFont="1" applyFill="1" applyBorder="1" applyAlignment="1">
      <alignment vertical="center" wrapText="1"/>
    </xf>
    <xf numFmtId="0" fontId="18" fillId="29" borderId="44" xfId="1" applyFont="1" applyFill="1" applyBorder="1" applyAlignment="1">
      <alignment vertical="center" wrapText="1"/>
    </xf>
    <xf numFmtId="10" fontId="18" fillId="29" borderId="44" xfId="1" applyNumberFormat="1" applyFont="1" applyFill="1" applyBorder="1" applyAlignment="1">
      <alignment vertical="center" wrapText="1"/>
    </xf>
    <xf numFmtId="0" fontId="18" fillId="29" borderId="42" xfId="1" applyFont="1" applyFill="1" applyBorder="1" applyAlignment="1">
      <alignment vertical="center" wrapText="1"/>
    </xf>
    <xf numFmtId="43" fontId="18" fillId="29" borderId="44" xfId="214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 wrapText="1"/>
    </xf>
    <xf numFmtId="10" fontId="18" fillId="0" borderId="0" xfId="1" applyNumberFormat="1" applyFont="1" applyFill="1" applyBorder="1" applyAlignment="1">
      <alignment vertical="center" wrapText="1"/>
    </xf>
    <xf numFmtId="0" fontId="18" fillId="0" borderId="0" xfId="2" applyFont="1" applyFill="1" applyBorder="1" applyAlignment="1">
      <alignment horizontal="left" vertical="center" wrapText="1"/>
    </xf>
    <xf numFmtId="9" fontId="18" fillId="29" borderId="44" xfId="215" applyFont="1" applyFill="1" applyBorder="1" applyAlignment="1">
      <alignment vertical="center" wrapText="1"/>
    </xf>
    <xf numFmtId="4" fontId="18" fillId="0" borderId="0" xfId="1" applyNumberFormat="1" applyFont="1" applyFill="1" applyBorder="1" applyAlignment="1">
      <alignment vertical="center" wrapText="1"/>
    </xf>
    <xf numFmtId="0" fontId="53" fillId="0" borderId="0" xfId="2" applyFont="1" applyBorder="1"/>
    <xf numFmtId="0" fontId="40" fillId="0" borderId="2" xfId="3" applyFont="1" applyFill="1" applyBorder="1" applyAlignment="1" applyProtection="1">
      <alignment horizontal="left" vertical="center" wrapText="1"/>
      <protection locked="0"/>
    </xf>
    <xf numFmtId="0" fontId="40" fillId="0" borderId="2" xfId="3" applyFont="1" applyBorder="1" applyProtection="1">
      <protection locked="0"/>
    </xf>
    <xf numFmtId="0" fontId="40" fillId="30" borderId="44" xfId="3" applyFont="1" applyFill="1" applyBorder="1" applyAlignment="1" applyProtection="1">
      <alignment horizontal="left" vertical="center" wrapText="1"/>
      <protection locked="0"/>
    </xf>
    <xf numFmtId="3" fontId="19" fillId="30" borderId="44" xfId="3" applyNumberFormat="1" applyFont="1" applyFill="1" applyBorder="1" applyAlignment="1" applyProtection="1">
      <alignment horizontal="right" vertical="center" wrapText="1"/>
      <protection locked="0"/>
    </xf>
    <xf numFmtId="3" fontId="19" fillId="30" borderId="18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Border="1" applyAlignment="1">
      <alignment horizontal="left" vertical="top" wrapText="1"/>
    </xf>
    <xf numFmtId="168" fontId="44" fillId="0" borderId="44" xfId="134" applyNumberFormat="1" applyFont="1" applyFill="1" applyBorder="1" applyAlignment="1">
      <alignment horizontal="left" vertical="center" wrapText="1"/>
    </xf>
    <xf numFmtId="168" fontId="18" fillId="29" borderId="44" xfId="134" applyNumberFormat="1" applyFont="1" applyFill="1" applyBorder="1" applyAlignment="1">
      <alignment vertical="center" wrapText="1"/>
    </xf>
    <xf numFmtId="168" fontId="53" fillId="29" borderId="44" xfId="134" applyNumberFormat="1" applyFont="1" applyFill="1" applyBorder="1" applyAlignment="1">
      <alignment vertical="center" wrapText="1"/>
    </xf>
    <xf numFmtId="4" fontId="56" fillId="0" borderId="0" xfId="213" applyNumberFormat="1" applyFont="1"/>
    <xf numFmtId="168" fontId="53" fillId="0" borderId="0" xfId="1" applyNumberFormat="1" applyFont="1" applyFill="1" applyBorder="1" applyAlignment="1">
      <alignment vertical="center" wrapText="1"/>
    </xf>
    <xf numFmtId="0" fontId="44" fillId="39" borderId="41" xfId="2" applyFont="1" applyFill="1" applyBorder="1" applyAlignment="1" applyProtection="1"/>
    <xf numFmtId="166" fontId="44" fillId="39" borderId="47" xfId="2" applyNumberFormat="1" applyFont="1" applyFill="1" applyBorder="1" applyAlignment="1">
      <alignment horizontal="right" vertical="center" wrapText="1"/>
    </xf>
    <xf numFmtId="3" fontId="19" fillId="2" borderId="44" xfId="3" applyNumberFormat="1" applyFont="1" applyFill="1" applyBorder="1" applyAlignment="1" applyProtection="1">
      <alignment horizontal="center"/>
      <protection locked="0"/>
    </xf>
    <xf numFmtId="3" fontId="19" fillId="0" borderId="18" xfId="0" applyNumberFormat="1" applyFont="1" applyFill="1" applyBorder="1" applyAlignment="1" applyProtection="1">
      <alignment horizontal="right" vertical="center" wrapText="1"/>
    </xf>
    <xf numFmtId="0" fontId="19" fillId="35" borderId="18" xfId="0" applyFont="1" applyFill="1" applyBorder="1" applyAlignment="1" applyProtection="1">
      <alignment horizontal="left" vertical="center" wrapText="1"/>
      <protection locked="0"/>
    </xf>
    <xf numFmtId="3" fontId="14" fillId="0" borderId="0" xfId="0" applyNumberFormat="1" applyFont="1"/>
    <xf numFmtId="0" fontId="6" fillId="35" borderId="0" xfId="0" applyFont="1" applyFill="1" applyBorder="1" applyAlignment="1">
      <alignment vertical="top" wrapText="1"/>
    </xf>
    <xf numFmtId="0" fontId="14" fillId="35" borderId="0" xfId="0" applyFont="1" applyFill="1"/>
    <xf numFmtId="0" fontId="19" fillId="35" borderId="44" xfId="0" applyFont="1" applyFill="1" applyBorder="1" applyAlignment="1" applyProtection="1">
      <alignment horizontal="left" vertical="center" wrapText="1"/>
      <protection locked="0"/>
    </xf>
    <xf numFmtId="0" fontId="19" fillId="35" borderId="44" xfId="0" applyFont="1" applyFill="1" applyBorder="1" applyAlignment="1" applyProtection="1">
      <alignment vertical="center" wrapText="1"/>
      <protection locked="0"/>
    </xf>
    <xf numFmtId="0" fontId="19" fillId="35" borderId="44" xfId="0" applyFont="1" applyFill="1" applyBorder="1" applyAlignment="1">
      <alignment horizontal="left" vertical="center" wrapText="1"/>
    </xf>
    <xf numFmtId="0" fontId="6" fillId="35" borderId="0" xfId="0" applyFont="1" applyFill="1"/>
    <xf numFmtId="0" fontId="6" fillId="35" borderId="0" xfId="0" applyFont="1" applyFill="1" applyBorder="1" applyAlignment="1">
      <alignment horizontal="left" vertical="top" wrapText="1"/>
    </xf>
    <xf numFmtId="0" fontId="19" fillId="35" borderId="44" xfId="0" applyFont="1" applyFill="1" applyBorder="1" applyAlignment="1" applyProtection="1">
      <alignment horizontal="left" vertical="center" wrapText="1"/>
      <protection locked="0"/>
    </xf>
    <xf numFmtId="3" fontId="19" fillId="0" borderId="18" xfId="0" applyNumberFormat="1" applyFont="1" applyFill="1" applyBorder="1" applyAlignment="1" applyProtection="1">
      <alignment horizontal="right" vertical="center" wrapText="1"/>
    </xf>
    <xf numFmtId="0" fontId="40" fillId="26" borderId="2" xfId="0" applyFont="1" applyFill="1" applyBorder="1" applyAlignment="1" applyProtection="1">
      <alignment horizontal="left" vertical="center" wrapText="1"/>
      <protection locked="0"/>
    </xf>
    <xf numFmtId="0" fontId="44" fillId="0" borderId="47" xfId="2" applyFont="1" applyBorder="1" applyAlignment="1" applyProtection="1"/>
    <xf numFmtId="0" fontId="44" fillId="39" borderId="47" xfId="2" applyFont="1" applyFill="1" applyBorder="1" applyAlignment="1" applyProtection="1"/>
    <xf numFmtId="0" fontId="19" fillId="27" borderId="18" xfId="3" applyFont="1" applyFill="1" applyBorder="1" applyAlignment="1" applyProtection="1">
      <alignment vertical="center" wrapText="1"/>
      <protection locked="0"/>
    </xf>
    <xf numFmtId="0" fontId="19" fillId="27" borderId="2" xfId="3" applyFont="1" applyFill="1" applyBorder="1" applyAlignment="1" applyProtection="1">
      <alignment vertical="center" wrapText="1"/>
      <protection locked="0"/>
    </xf>
    <xf numFmtId="169" fontId="18" fillId="29" borderId="44" xfId="1" applyNumberFormat="1" applyFont="1" applyFill="1" applyBorder="1" applyAlignment="1">
      <alignment vertical="center" wrapText="1"/>
    </xf>
    <xf numFmtId="0" fontId="18" fillId="40" borderId="44" xfId="1" applyFont="1" applyFill="1" applyBorder="1" applyAlignment="1">
      <alignment vertical="center" wrapText="1"/>
    </xf>
    <xf numFmtId="0" fontId="18" fillId="40" borderId="40" xfId="1" applyFont="1" applyFill="1" applyBorder="1" applyAlignment="1">
      <alignment vertical="center" wrapText="1"/>
    </xf>
    <xf numFmtId="0" fontId="18" fillId="40" borderId="39" xfId="1" applyFont="1" applyFill="1" applyBorder="1" applyAlignment="1">
      <alignment vertical="center" wrapText="1"/>
    </xf>
    <xf numFmtId="9" fontId="18" fillId="40" borderId="39" xfId="142" applyFont="1" applyFill="1" applyBorder="1" applyAlignment="1">
      <alignment vertical="center" wrapText="1"/>
    </xf>
    <xf numFmtId="169" fontId="18" fillId="40" borderId="39" xfId="1" applyNumberFormat="1" applyFont="1" applyFill="1" applyBorder="1" applyAlignment="1">
      <alignment vertical="center" wrapText="1"/>
    </xf>
    <xf numFmtId="0" fontId="18" fillId="40" borderId="43" xfId="1" applyFont="1" applyFill="1" applyBorder="1" applyAlignment="1">
      <alignment vertical="center" wrapText="1"/>
    </xf>
    <xf numFmtId="3" fontId="45" fillId="31" borderId="29" xfId="144" applyNumberFormat="1" applyFont="1" applyFill="1" applyBorder="1" applyAlignment="1">
      <alignment horizontal="center" vertical="center" wrapText="1"/>
    </xf>
    <xf numFmtId="0" fontId="57" fillId="0" borderId="0" xfId="144" applyFont="1"/>
    <xf numFmtId="4" fontId="18" fillId="38" borderId="44" xfId="1" applyNumberFormat="1" applyFont="1" applyFill="1" applyBorder="1" applyAlignment="1">
      <alignment horizontal="center" vertical="center" wrapText="1"/>
    </xf>
    <xf numFmtId="169" fontId="18" fillId="38" borderId="44" xfId="1" applyNumberFormat="1" applyFont="1" applyFill="1" applyBorder="1" applyAlignment="1">
      <alignment horizontal="center" vertical="center" wrapText="1"/>
    </xf>
    <xf numFmtId="169" fontId="18" fillId="0" borderId="0" xfId="1" applyNumberFormat="1" applyFont="1" applyFill="1" applyBorder="1" applyAlignment="1">
      <alignment vertical="center" wrapText="1"/>
    </xf>
    <xf numFmtId="168" fontId="18" fillId="40" borderId="39" xfId="134" applyNumberFormat="1" applyFont="1" applyFill="1" applyBorder="1" applyAlignment="1">
      <alignment vertical="center" wrapText="1"/>
    </xf>
    <xf numFmtId="0" fontId="56" fillId="0" borderId="0" xfId="213" applyFont="1"/>
    <xf numFmtId="169" fontId="56" fillId="0" borderId="0" xfId="213" applyNumberFormat="1" applyFont="1"/>
    <xf numFmtId="10" fontId="56" fillId="0" borderId="0" xfId="213" applyNumberFormat="1" applyFont="1"/>
    <xf numFmtId="170" fontId="19" fillId="27" borderId="44" xfId="3" applyNumberFormat="1" applyFont="1" applyFill="1" applyBorder="1" applyAlignment="1" applyProtection="1">
      <alignment horizontal="center"/>
      <protection locked="0"/>
    </xf>
    <xf numFmtId="3" fontId="19" fillId="0" borderId="1" xfId="0" applyNumberFormat="1" applyFont="1" applyFill="1" applyBorder="1" applyAlignment="1" applyProtection="1">
      <alignment horizontal="right" vertical="center" wrapText="1"/>
    </xf>
    <xf numFmtId="0" fontId="18" fillId="38" borderId="44" xfId="1" applyFont="1" applyFill="1" applyBorder="1" applyAlignment="1">
      <alignment horizontal="center" vertical="center" wrapText="1"/>
    </xf>
    <xf numFmtId="10" fontId="18" fillId="38" borderId="44" xfId="1" applyNumberFormat="1" applyFont="1" applyFill="1" applyBorder="1" applyAlignment="1">
      <alignment horizontal="center" vertical="center" wrapText="1"/>
    </xf>
    <xf numFmtId="0" fontId="18" fillId="38" borderId="45" xfId="1" applyFont="1" applyFill="1" applyBorder="1" applyAlignment="1">
      <alignment horizontal="center" vertical="center" wrapText="1"/>
    </xf>
    <xf numFmtId="0" fontId="18" fillId="38" borderId="47" xfId="1" applyFont="1" applyFill="1" applyBorder="1" applyAlignment="1">
      <alignment horizontal="center" vertical="center" wrapText="1"/>
    </xf>
    <xf numFmtId="0" fontId="3" fillId="0" borderId="0" xfId="217"/>
    <xf numFmtId="0" fontId="60" fillId="41" borderId="54" xfId="217" applyFont="1" applyFill="1" applyBorder="1"/>
    <xf numFmtId="0" fontId="60" fillId="41" borderId="55" xfId="217" applyFont="1" applyFill="1" applyBorder="1"/>
    <xf numFmtId="0" fontId="60" fillId="42" borderId="56" xfId="217" applyFont="1" applyFill="1" applyBorder="1" applyAlignment="1">
      <alignment horizontal="left" vertical="center" wrapText="1"/>
    </xf>
    <xf numFmtId="0" fontId="60" fillId="42" borderId="57" xfId="217" applyFont="1" applyFill="1" applyBorder="1" applyAlignment="1">
      <alignment horizontal="left" vertical="center" wrapText="1"/>
    </xf>
    <xf numFmtId="0" fontId="3" fillId="43" borderId="58" xfId="217" applyFont="1" applyFill="1" applyBorder="1" applyAlignment="1">
      <alignment horizontal="left" vertical="center" wrapText="1"/>
    </xf>
    <xf numFmtId="43" fontId="3" fillId="43" borderId="58" xfId="217" applyNumberFormat="1" applyFont="1" applyFill="1" applyBorder="1"/>
    <xf numFmtId="0" fontId="3" fillId="0" borderId="56" xfId="217" applyFont="1" applyBorder="1" applyAlignment="1">
      <alignment horizontal="left" vertical="center" wrapText="1"/>
    </xf>
    <xf numFmtId="43" fontId="3" fillId="0" borderId="56" xfId="217" applyNumberFormat="1" applyFont="1" applyBorder="1"/>
    <xf numFmtId="43" fontId="3" fillId="0" borderId="0" xfId="217" applyNumberFormat="1"/>
    <xf numFmtId="168" fontId="60" fillId="42" borderId="56" xfId="217" applyNumberFormat="1" applyFont="1" applyFill="1" applyBorder="1"/>
    <xf numFmtId="168" fontId="60" fillId="42" borderId="57" xfId="217" applyNumberFormat="1" applyFont="1" applyFill="1" applyBorder="1"/>
    <xf numFmtId="168" fontId="21" fillId="43" borderId="58" xfId="217" applyNumberFormat="1" applyFont="1" applyFill="1" applyBorder="1"/>
    <xf numFmtId="168" fontId="18" fillId="0" borderId="44" xfId="134" applyNumberFormat="1" applyFont="1" applyFill="1" applyBorder="1" applyAlignment="1">
      <alignment vertical="center" wrapText="1"/>
    </xf>
    <xf numFmtId="9" fontId="18" fillId="0" borderId="44" xfId="215" applyFont="1" applyFill="1" applyBorder="1" applyAlignment="1">
      <alignment vertical="center" wrapText="1"/>
    </xf>
    <xf numFmtId="43" fontId="18" fillId="0" borderId="44" xfId="214" applyFont="1" applyFill="1" applyBorder="1" applyAlignment="1">
      <alignment vertical="center" wrapText="1"/>
    </xf>
    <xf numFmtId="3" fontId="19" fillId="0" borderId="18" xfId="0" applyNumberFormat="1" applyFont="1" applyFill="1" applyBorder="1" applyAlignment="1" applyProtection="1">
      <alignment horizontal="right" vertical="center" wrapText="1"/>
    </xf>
    <xf numFmtId="169" fontId="18" fillId="36" borderId="44" xfId="1" applyNumberFormat="1" applyFont="1" applyFill="1" applyBorder="1" applyAlignment="1">
      <alignment vertical="center" wrapText="1"/>
    </xf>
    <xf numFmtId="0" fontId="18" fillId="36" borderId="42" xfId="1" applyFont="1" applyFill="1" applyBorder="1" applyAlignment="1">
      <alignment vertical="center" wrapText="1"/>
    </xf>
    <xf numFmtId="43" fontId="3" fillId="0" borderId="0" xfId="134" applyFont="1"/>
    <xf numFmtId="0" fontId="61" fillId="34" borderId="63" xfId="0" applyFont="1" applyFill="1" applyBorder="1" applyAlignment="1">
      <alignment horizontal="center" vertical="center" wrapText="1"/>
    </xf>
    <xf numFmtId="0" fontId="61" fillId="34" borderId="19" xfId="0" applyFont="1" applyFill="1" applyBorder="1" applyAlignment="1">
      <alignment horizontal="center" vertical="center"/>
    </xf>
    <xf numFmtId="0" fontId="61" fillId="34" borderId="19" xfId="0" applyFont="1" applyFill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3" fontId="62" fillId="0" borderId="29" xfId="0" applyNumberFormat="1" applyFont="1" applyBorder="1" applyAlignment="1">
      <alignment horizontal="right" vertical="center" wrapText="1"/>
    </xf>
    <xf numFmtId="0" fontId="61" fillId="34" borderId="28" xfId="0" applyFont="1" applyFill="1" applyBorder="1" applyAlignment="1">
      <alignment horizontal="center" vertical="center" wrapText="1"/>
    </xf>
    <xf numFmtId="3" fontId="61" fillId="34" borderId="29" xfId="0" applyNumberFormat="1" applyFont="1" applyFill="1" applyBorder="1" applyAlignment="1">
      <alignment horizontal="right" vertical="center" wrapText="1"/>
    </xf>
    <xf numFmtId="10" fontId="61" fillId="34" borderId="29" xfId="142" applyNumberFormat="1" applyFont="1" applyFill="1" applyBorder="1" applyAlignment="1">
      <alignment horizontal="right" vertical="center" wrapText="1"/>
    </xf>
    <xf numFmtId="10" fontId="61" fillId="34" borderId="29" xfId="0" applyNumberFormat="1" applyFont="1" applyFill="1" applyBorder="1" applyAlignment="1">
      <alignment horizontal="right" vertical="center" wrapText="1"/>
    </xf>
    <xf numFmtId="0" fontId="63" fillId="41" borderId="64" xfId="1" applyNumberFormat="1" applyFont="1" applyFill="1" applyBorder="1" applyAlignment="1"/>
    <xf numFmtId="0" fontId="18" fillId="0" borderId="0" xfId="1"/>
    <xf numFmtId="0" fontId="63" fillId="41" borderId="55" xfId="1" applyNumberFormat="1" applyFont="1" applyFill="1" applyBorder="1" applyAlignment="1"/>
    <xf numFmtId="0" fontId="63" fillId="41" borderId="54" xfId="1" applyNumberFormat="1" applyFont="1" applyFill="1" applyBorder="1" applyAlignment="1">
      <alignment horizontal="center"/>
    </xf>
    <xf numFmtId="0" fontId="63" fillId="41" borderId="55" xfId="1" applyNumberFormat="1" applyFont="1" applyFill="1" applyBorder="1" applyAlignment="1">
      <alignment horizontal="center"/>
    </xf>
    <xf numFmtId="0" fontId="18" fillId="42" borderId="56" xfId="1" applyNumberFormat="1" applyFont="1" applyFill="1" applyBorder="1" applyAlignment="1">
      <alignment horizontal="left"/>
    </xf>
    <xf numFmtId="43" fontId="18" fillId="42" borderId="56" xfId="1" applyNumberFormat="1" applyFont="1" applyFill="1" applyBorder="1" applyAlignment="1"/>
    <xf numFmtId="0" fontId="18" fillId="43" borderId="58" xfId="1" applyNumberFormat="1" applyFont="1" applyFill="1" applyBorder="1" applyAlignment="1">
      <alignment horizontal="left" indent="1"/>
    </xf>
    <xf numFmtId="43" fontId="18" fillId="43" borderId="58" xfId="1" applyNumberFormat="1" applyFont="1" applyFill="1" applyBorder="1" applyAlignment="1"/>
    <xf numFmtId="0" fontId="18" fillId="0" borderId="56" xfId="1" applyNumberFormat="1" applyFont="1" applyBorder="1" applyAlignment="1">
      <alignment horizontal="left" indent="2"/>
    </xf>
    <xf numFmtId="43" fontId="18" fillId="0" borderId="56" xfId="1" applyNumberFormat="1" applyFont="1" applyBorder="1" applyAlignment="1"/>
    <xf numFmtId="0" fontId="18" fillId="43" borderId="58" xfId="1" applyNumberFormat="1" applyFont="1" applyFill="1" applyBorder="1" applyAlignment="1">
      <alignment horizontal="left" indent="3"/>
    </xf>
    <xf numFmtId="0" fontId="18" fillId="0" borderId="56" xfId="1" applyNumberFormat="1" applyFont="1" applyBorder="1" applyAlignment="1">
      <alignment horizontal="left" indent="4"/>
    </xf>
    <xf numFmtId="0" fontId="18" fillId="0" borderId="56" xfId="1" applyNumberFormat="1" applyFont="1" applyBorder="1" applyAlignment="1">
      <alignment horizontal="left" indent="5"/>
    </xf>
    <xf numFmtId="0" fontId="18" fillId="43" borderId="58" xfId="1" applyNumberFormat="1" applyFont="1" applyFill="1" applyBorder="1" applyAlignment="1">
      <alignment horizontal="left" wrapText="1"/>
    </xf>
    <xf numFmtId="0" fontId="64" fillId="0" borderId="56" xfId="1" applyFont="1" applyBorder="1" applyAlignment="1">
      <alignment horizontal="left"/>
    </xf>
    <xf numFmtId="0" fontId="64" fillId="0" borderId="56" xfId="1" applyFont="1" applyBorder="1" applyAlignment="1">
      <alignment horizontal="left" indent="4"/>
    </xf>
    <xf numFmtId="43" fontId="18" fillId="0" borderId="0" xfId="218" applyFont="1"/>
    <xf numFmtId="0" fontId="2" fillId="0" borderId="56" xfId="219" applyFont="1" applyBorder="1" applyAlignment="1">
      <alignment horizontal="left" indent="4"/>
    </xf>
    <xf numFmtId="0" fontId="53" fillId="0" borderId="59" xfId="1" applyNumberFormat="1" applyFont="1" applyBorder="1" applyAlignment="1">
      <alignment horizontal="left"/>
    </xf>
    <xf numFmtId="43" fontId="53" fillId="0" borderId="59" xfId="1" applyNumberFormat="1" applyFont="1" applyBorder="1" applyAlignment="1"/>
    <xf numFmtId="0" fontId="3" fillId="0" borderId="65" xfId="217" applyFont="1" applyBorder="1" applyAlignment="1">
      <alignment horizontal="left" vertical="center" wrapText="1"/>
    </xf>
    <xf numFmtId="43" fontId="3" fillId="0" borderId="65" xfId="217" applyNumberFormat="1" applyFont="1" applyBorder="1"/>
    <xf numFmtId="0" fontId="3" fillId="43" borderId="66" xfId="217" applyFont="1" applyFill="1" applyBorder="1" applyAlignment="1">
      <alignment horizontal="left" vertical="center" wrapText="1"/>
    </xf>
    <xf numFmtId="43" fontId="3" fillId="43" borderId="66" xfId="217" applyNumberFormat="1" applyFont="1" applyFill="1" applyBorder="1"/>
    <xf numFmtId="3" fontId="19" fillId="0" borderId="18" xfId="0" applyNumberFormat="1" applyFont="1" applyFill="1" applyBorder="1" applyAlignment="1" applyProtection="1">
      <alignment horizontal="right" vertical="center" wrapText="1"/>
    </xf>
    <xf numFmtId="168" fontId="3" fillId="0" borderId="0" xfId="217" applyNumberFormat="1"/>
    <xf numFmtId="2" fontId="9" fillId="0" borderId="0" xfId="144" applyNumberFormat="1" applyFill="1"/>
    <xf numFmtId="0" fontId="1" fillId="43" borderId="58" xfId="217" applyFont="1" applyFill="1" applyBorder="1" applyAlignment="1">
      <alignment horizontal="left" vertical="center" wrapText="1"/>
    </xf>
    <xf numFmtId="0" fontId="65" fillId="0" borderId="56" xfId="217" applyFont="1" applyBorder="1" applyAlignment="1">
      <alignment horizontal="left" vertical="center" wrapText="1"/>
    </xf>
    <xf numFmtId="0" fontId="19" fillId="27" borderId="45" xfId="3" applyFont="1" applyFill="1" applyBorder="1" applyAlignment="1" applyProtection="1">
      <alignment horizontal="center" wrapText="1"/>
      <protection locked="0"/>
    </xf>
    <xf numFmtId="0" fontId="19" fillId="27" borderId="46" xfId="3" applyFont="1" applyFill="1" applyBorder="1" applyAlignment="1" applyProtection="1">
      <alignment horizontal="center" wrapText="1"/>
      <protection locked="0"/>
    </xf>
    <xf numFmtId="0" fontId="19" fillId="27" borderId="47" xfId="3" applyFont="1" applyFill="1" applyBorder="1" applyAlignment="1" applyProtection="1">
      <alignment horizontal="center" wrapText="1"/>
      <protection locked="0"/>
    </xf>
    <xf numFmtId="0" fontId="19" fillId="35" borderId="18" xfId="0" applyFont="1" applyFill="1" applyBorder="1" applyAlignment="1" applyProtection="1">
      <alignment horizontal="left" vertical="center" wrapText="1"/>
      <protection locked="0"/>
    </xf>
    <xf numFmtId="0" fontId="19" fillId="35" borderId="1" xfId="0" applyFont="1" applyFill="1" applyBorder="1" applyAlignment="1" applyProtection="1">
      <alignment horizontal="left" vertical="center" wrapText="1"/>
      <protection locked="0"/>
    </xf>
    <xf numFmtId="3" fontId="19" fillId="0" borderId="18" xfId="0" applyNumberFormat="1" applyFont="1" applyFill="1" applyBorder="1" applyAlignment="1" applyProtection="1">
      <alignment horizontal="right" vertical="center" wrapText="1"/>
    </xf>
    <xf numFmtId="3" fontId="19" fillId="0" borderId="1" xfId="0" applyNumberFormat="1" applyFont="1" applyFill="1" applyBorder="1" applyAlignment="1" applyProtection="1">
      <alignment horizontal="right" vertical="center" wrapText="1"/>
    </xf>
    <xf numFmtId="3" fontId="19" fillId="0" borderId="2" xfId="0" applyNumberFormat="1" applyFont="1" applyFill="1" applyBorder="1" applyAlignment="1" applyProtection="1">
      <alignment horizontal="right" vertical="center" wrapText="1"/>
    </xf>
    <xf numFmtId="0" fontId="19" fillId="27" borderId="45" xfId="3" applyFont="1" applyFill="1" applyBorder="1" applyAlignment="1" applyProtection="1">
      <alignment horizontal="left" wrapText="1"/>
      <protection locked="0"/>
    </xf>
    <xf numFmtId="0" fontId="19" fillId="27" borderId="46" xfId="3" applyFont="1" applyFill="1" applyBorder="1" applyAlignment="1" applyProtection="1">
      <alignment horizontal="left" wrapText="1"/>
      <protection locked="0"/>
    </xf>
    <xf numFmtId="0" fontId="19" fillId="27" borderId="47" xfId="3" applyFont="1" applyFill="1" applyBorder="1" applyAlignment="1" applyProtection="1">
      <alignment horizontal="left" wrapText="1"/>
      <protection locked="0"/>
    </xf>
    <xf numFmtId="0" fontId="19" fillId="2" borderId="44" xfId="3" applyFont="1" applyFill="1" applyBorder="1" applyAlignment="1" applyProtection="1">
      <alignment horizontal="center" wrapText="1"/>
      <protection locked="0"/>
    </xf>
    <xf numFmtId="0" fontId="40" fillId="0" borderId="44" xfId="0" applyFont="1" applyBorder="1" applyAlignment="1">
      <alignment horizontal="center" wrapText="1"/>
    </xf>
    <xf numFmtId="0" fontId="19" fillId="2" borderId="14" xfId="3" applyFont="1" applyFill="1" applyBorder="1" applyAlignment="1" applyProtection="1">
      <alignment horizontal="center" wrapText="1"/>
      <protection locked="0"/>
    </xf>
    <xf numFmtId="0" fontId="19" fillId="2" borderId="22" xfId="3" applyFont="1" applyFill="1" applyBorder="1" applyAlignment="1" applyProtection="1">
      <alignment horizontal="center" wrapText="1"/>
      <protection locked="0"/>
    </xf>
    <xf numFmtId="0" fontId="19" fillId="2" borderId="15" xfId="3" applyFont="1" applyFill="1" applyBorder="1" applyAlignment="1" applyProtection="1">
      <alignment horizontal="center" wrapText="1"/>
      <protection locked="0"/>
    </xf>
    <xf numFmtId="0" fontId="19" fillId="2" borderId="12" xfId="3" applyFont="1" applyFill="1" applyBorder="1" applyAlignment="1" applyProtection="1">
      <alignment horizontal="center" wrapText="1"/>
      <protection locked="0"/>
    </xf>
    <xf numFmtId="0" fontId="19" fillId="2" borderId="17" xfId="3" applyFont="1" applyFill="1" applyBorder="1" applyAlignment="1" applyProtection="1">
      <alignment horizontal="center" wrapText="1"/>
      <protection locked="0"/>
    </xf>
    <xf numFmtId="0" fontId="19" fillId="2" borderId="16" xfId="3" applyFont="1" applyFill="1" applyBorder="1" applyAlignment="1" applyProtection="1">
      <alignment horizontal="center" wrapText="1"/>
      <protection locked="0"/>
    </xf>
    <xf numFmtId="0" fontId="19" fillId="2" borderId="14" xfId="3" applyFont="1" applyFill="1" applyBorder="1" applyAlignment="1" applyProtection="1">
      <alignment horizontal="center" vertical="center"/>
      <protection locked="0"/>
    </xf>
    <xf numFmtId="0" fontId="19" fillId="2" borderId="22" xfId="3" applyFont="1" applyFill="1" applyBorder="1" applyAlignment="1" applyProtection="1">
      <alignment horizontal="center" vertical="center"/>
      <protection locked="0"/>
    </xf>
    <xf numFmtId="0" fontId="19" fillId="2" borderId="15" xfId="3" applyFont="1" applyFill="1" applyBorder="1" applyAlignment="1" applyProtection="1">
      <alignment horizontal="center" vertical="center"/>
      <protection locked="0"/>
    </xf>
    <xf numFmtId="0" fontId="19" fillId="2" borderId="12" xfId="3" applyFont="1" applyFill="1" applyBorder="1" applyAlignment="1" applyProtection="1">
      <alignment horizontal="center" vertical="center"/>
      <protection locked="0"/>
    </xf>
    <xf numFmtId="0" fontId="19" fillId="2" borderId="17" xfId="3" applyFont="1" applyFill="1" applyBorder="1" applyAlignment="1" applyProtection="1">
      <alignment horizontal="center" vertical="center"/>
      <protection locked="0"/>
    </xf>
    <xf numFmtId="0" fontId="19" fillId="2" borderId="16" xfId="3" applyFont="1" applyFill="1" applyBorder="1" applyAlignment="1" applyProtection="1">
      <alignment horizontal="center" vertical="center"/>
      <protection locked="0"/>
    </xf>
    <xf numFmtId="4" fontId="19" fillId="27" borderId="44" xfId="3" applyNumberFormat="1" applyFont="1" applyFill="1" applyBorder="1" applyAlignment="1" applyProtection="1">
      <alignment horizontal="center"/>
      <protection locked="0"/>
    </xf>
    <xf numFmtId="0" fontId="19" fillId="3" borderId="18" xfId="3" applyFont="1" applyFill="1" applyBorder="1" applyAlignment="1" applyProtection="1">
      <alignment horizontal="center" vertical="center"/>
      <protection locked="0"/>
    </xf>
    <xf numFmtId="0" fontId="19" fillId="3" borderId="2" xfId="3" applyFont="1" applyFill="1" applyBorder="1" applyAlignment="1" applyProtection="1">
      <alignment horizontal="center" vertical="center"/>
      <protection locked="0"/>
    </xf>
    <xf numFmtId="0" fontId="19" fillId="3" borderId="18" xfId="0" applyFont="1" applyFill="1" applyBorder="1" applyAlignment="1" applyProtection="1">
      <alignment horizontal="center" vertical="center"/>
      <protection locked="0"/>
    </xf>
    <xf numFmtId="0" fontId="19" fillId="3" borderId="2" xfId="0" applyFont="1" applyFill="1" applyBorder="1" applyAlignment="1" applyProtection="1">
      <alignment horizontal="center" vertical="center"/>
      <protection locked="0"/>
    </xf>
    <xf numFmtId="0" fontId="19" fillId="3" borderId="18" xfId="0" applyFont="1" applyFill="1" applyBorder="1" applyAlignment="1" applyProtection="1">
      <alignment horizontal="center" vertical="center" wrapText="1"/>
      <protection locked="0"/>
    </xf>
    <xf numFmtId="0" fontId="19" fillId="3" borderId="2" xfId="0" applyFont="1" applyFill="1" applyBorder="1" applyAlignment="1" applyProtection="1">
      <alignment horizontal="center" vertical="center" wrapText="1"/>
      <protection locked="0"/>
    </xf>
    <xf numFmtId="0" fontId="19" fillId="28" borderId="45" xfId="0" applyFont="1" applyFill="1" applyBorder="1" applyAlignment="1" applyProtection="1">
      <alignment vertical="center" wrapText="1"/>
      <protection locked="0"/>
    </xf>
    <xf numFmtId="0" fontId="19" fillId="28" borderId="47" xfId="0" applyFont="1" applyFill="1" applyBorder="1" applyAlignment="1" applyProtection="1">
      <alignment vertical="center" wrapText="1"/>
      <protection locked="0"/>
    </xf>
    <xf numFmtId="0" fontId="19" fillId="2" borderId="45" xfId="3" applyFont="1" applyFill="1" applyBorder="1" applyAlignment="1" applyProtection="1">
      <alignment horizontal="center" vertical="center" wrapText="1"/>
      <protection locked="0"/>
    </xf>
    <xf numFmtId="0" fontId="19" fillId="2" borderId="46" xfId="3" applyFont="1" applyFill="1" applyBorder="1" applyAlignment="1" applyProtection="1">
      <alignment horizontal="center" vertical="center" wrapText="1"/>
      <protection locked="0"/>
    </xf>
    <xf numFmtId="0" fontId="19" fillId="2" borderId="47" xfId="3" applyFont="1" applyFill="1" applyBorder="1" applyAlignment="1" applyProtection="1">
      <alignment horizontal="center" vertical="center" wrapText="1"/>
      <protection locked="0"/>
    </xf>
    <xf numFmtId="0" fontId="40" fillId="0" borderId="18" xfId="3" applyFont="1" applyFill="1" applyBorder="1" applyAlignment="1" applyProtection="1">
      <alignment horizontal="left" vertical="center" wrapText="1"/>
      <protection locked="0"/>
    </xf>
    <xf numFmtId="0" fontId="40" fillId="0" borderId="1" xfId="3" applyFont="1" applyFill="1" applyBorder="1" applyAlignment="1" applyProtection="1">
      <alignment horizontal="left" vertical="center" wrapText="1"/>
      <protection locked="0"/>
    </xf>
    <xf numFmtId="0" fontId="19" fillId="35" borderId="18" xfId="0" applyFont="1" applyFill="1" applyBorder="1" applyAlignment="1" applyProtection="1">
      <alignment vertical="center" wrapText="1"/>
      <protection locked="0"/>
    </xf>
    <xf numFmtId="0" fontId="19" fillId="35" borderId="1" xfId="0" applyFont="1" applyFill="1" applyBorder="1" applyAlignment="1" applyProtection="1">
      <alignment vertical="center" wrapText="1"/>
      <protection locked="0"/>
    </xf>
    <xf numFmtId="3" fontId="19" fillId="0" borderId="18" xfId="0" applyNumberFormat="1" applyFont="1" applyFill="1" applyBorder="1" applyAlignment="1" applyProtection="1">
      <alignment vertical="center" wrapText="1"/>
    </xf>
    <xf numFmtId="3" fontId="19" fillId="0" borderId="1" xfId="0" applyNumberFormat="1" applyFont="1" applyFill="1" applyBorder="1" applyAlignment="1" applyProtection="1">
      <alignment vertical="center" wrapText="1"/>
    </xf>
    <xf numFmtId="0" fontId="40" fillId="35" borderId="1" xfId="0" applyFont="1" applyFill="1" applyBorder="1" applyAlignment="1">
      <alignment horizontal="left" vertical="center" wrapText="1"/>
    </xf>
    <xf numFmtId="0" fontId="19" fillId="35" borderId="2" xfId="0" applyFont="1" applyFill="1" applyBorder="1" applyAlignment="1" applyProtection="1">
      <alignment vertical="center" wrapText="1"/>
      <protection locked="0"/>
    </xf>
    <xf numFmtId="0" fontId="19" fillId="35" borderId="2" xfId="0" applyFont="1" applyFill="1" applyBorder="1" applyAlignment="1" applyProtection="1">
      <alignment horizontal="left" vertical="center" wrapText="1"/>
      <protection locked="0"/>
    </xf>
    <xf numFmtId="0" fontId="19" fillId="2" borderId="45" xfId="3" applyFont="1" applyFill="1" applyBorder="1" applyAlignment="1" applyProtection="1">
      <alignment horizontal="left" vertical="center" wrapText="1"/>
      <protection locked="0"/>
    </xf>
    <xf numFmtId="0" fontId="19" fillId="2" borderId="46" xfId="3" applyFont="1" applyFill="1" applyBorder="1" applyAlignment="1" applyProtection="1">
      <alignment horizontal="left" vertical="center" wrapText="1"/>
      <protection locked="0"/>
    </xf>
    <xf numFmtId="0" fontId="19" fillId="2" borderId="47" xfId="3" applyFont="1" applyFill="1" applyBorder="1" applyAlignment="1" applyProtection="1">
      <alignment horizontal="left" vertical="center" wrapText="1"/>
      <protection locked="0"/>
    </xf>
    <xf numFmtId="3" fontId="19" fillId="0" borderId="18" xfId="3" applyNumberFormat="1" applyFont="1" applyFill="1" applyBorder="1" applyAlignment="1" applyProtection="1">
      <alignment horizontal="right" vertical="center" wrapText="1"/>
      <protection locked="0"/>
    </xf>
    <xf numFmtId="3" fontId="19" fillId="0" borderId="1" xfId="3" applyNumberFormat="1" applyFont="1" applyFill="1" applyBorder="1" applyAlignment="1" applyProtection="1">
      <alignment horizontal="right" vertical="center" wrapText="1"/>
      <protection locked="0"/>
    </xf>
    <xf numFmtId="0" fontId="19" fillId="35" borderId="1" xfId="0" applyFont="1" applyFill="1" applyBorder="1" applyAlignment="1" applyProtection="1">
      <alignment horizontal="center" vertical="center" wrapText="1"/>
      <protection locked="0"/>
    </xf>
    <xf numFmtId="0" fontId="19" fillId="35" borderId="2" xfId="0" applyFont="1" applyFill="1" applyBorder="1" applyAlignment="1" applyProtection="1">
      <alignment horizontal="center" vertical="center" wrapText="1"/>
      <protection locked="0"/>
    </xf>
    <xf numFmtId="3" fontId="19" fillId="0" borderId="18" xfId="0" applyNumberFormat="1" applyFont="1" applyFill="1" applyBorder="1" applyAlignment="1" applyProtection="1">
      <alignment horizontal="center" vertical="center" wrapText="1"/>
    </xf>
    <xf numFmtId="3" fontId="19" fillId="0" borderId="1" xfId="0" applyNumberFormat="1" applyFont="1" applyFill="1" applyBorder="1" applyAlignment="1" applyProtection="1">
      <alignment horizontal="center" vertical="center" wrapText="1"/>
    </xf>
    <xf numFmtId="3" fontId="19" fillId="0" borderId="2" xfId="0" applyNumberFormat="1" applyFont="1" applyFill="1" applyBorder="1" applyAlignment="1" applyProtection="1">
      <alignment horizontal="center" vertical="center" wrapText="1"/>
    </xf>
    <xf numFmtId="0" fontId="54" fillId="38" borderId="21" xfId="1" applyFont="1" applyFill="1" applyBorder="1" applyAlignment="1">
      <alignment horizontal="left" vertical="center" wrapText="1"/>
    </xf>
    <xf numFmtId="0" fontId="54" fillId="38" borderId="20" xfId="1" applyFont="1" applyFill="1" applyBorder="1" applyAlignment="1">
      <alignment horizontal="left" vertical="center" wrapText="1"/>
    </xf>
    <xf numFmtId="0" fontId="54" fillId="38" borderId="26" xfId="1" applyFont="1" applyFill="1" applyBorder="1" applyAlignment="1">
      <alignment horizontal="left" vertical="center" wrapText="1"/>
    </xf>
    <xf numFmtId="0" fontId="18" fillId="38" borderId="41" xfId="1" applyFont="1" applyFill="1" applyBorder="1" applyAlignment="1">
      <alignment horizontal="center" vertical="center" wrapText="1"/>
    </xf>
    <xf numFmtId="0" fontId="18" fillId="38" borderId="44" xfId="1" applyFont="1" applyFill="1" applyBorder="1" applyAlignment="1">
      <alignment horizontal="center" vertical="center" wrapText="1"/>
    </xf>
    <xf numFmtId="0" fontId="18" fillId="38" borderId="44" xfId="1" applyFont="1" applyFill="1" applyBorder="1" applyAlignment="1">
      <alignment horizontal="center" vertical="center"/>
    </xf>
    <xf numFmtId="0" fontId="18" fillId="38" borderId="42" xfId="1" applyFont="1" applyFill="1" applyBorder="1" applyAlignment="1">
      <alignment horizontal="center" vertical="center" wrapText="1"/>
    </xf>
    <xf numFmtId="0" fontId="18" fillId="0" borderId="48" xfId="1" applyFont="1" applyFill="1" applyBorder="1" applyAlignment="1">
      <alignment horizontal="center" vertical="center" wrapText="1"/>
    </xf>
    <xf numFmtId="0" fontId="18" fillId="0" borderId="13" xfId="1" applyFont="1" applyFill="1" applyBorder="1" applyAlignment="1">
      <alignment horizontal="center" vertical="center" wrapText="1"/>
    </xf>
    <xf numFmtId="0" fontId="18" fillId="38" borderId="52" xfId="1" applyFont="1" applyFill="1" applyBorder="1" applyAlignment="1">
      <alignment horizontal="center" vertical="center" wrapText="1"/>
    </xf>
    <xf numFmtId="0" fontId="18" fillId="38" borderId="53" xfId="1" applyFont="1" applyFill="1" applyBorder="1" applyAlignment="1">
      <alignment horizontal="center" vertical="center" wrapText="1"/>
    </xf>
    <xf numFmtId="0" fontId="18" fillId="38" borderId="45" xfId="1" applyFont="1" applyFill="1" applyBorder="1" applyAlignment="1">
      <alignment horizontal="center" vertical="center" wrapText="1"/>
    </xf>
    <xf numFmtId="0" fontId="18" fillId="38" borderId="47" xfId="1" applyFont="1" applyFill="1" applyBorder="1" applyAlignment="1">
      <alignment horizontal="center" vertical="center" wrapText="1"/>
    </xf>
    <xf numFmtId="10" fontId="18" fillId="38" borderId="44" xfId="1" applyNumberFormat="1" applyFont="1" applyFill="1" applyBorder="1" applyAlignment="1">
      <alignment horizontal="center" vertical="center" wrapText="1"/>
    </xf>
    <xf numFmtId="0" fontId="18" fillId="29" borderId="60" xfId="1" applyFont="1" applyFill="1" applyBorder="1" applyAlignment="1">
      <alignment horizontal="center" vertical="center" wrapText="1"/>
    </xf>
    <xf numFmtId="0" fontId="18" fillId="29" borderId="61" xfId="1" applyFont="1" applyFill="1" applyBorder="1" applyAlignment="1">
      <alignment horizontal="center" vertical="center" wrapText="1"/>
    </xf>
    <xf numFmtId="0" fontId="18" fillId="29" borderId="62" xfId="1" applyFont="1" applyFill="1" applyBorder="1" applyAlignment="1">
      <alignment horizontal="center" vertical="center" wrapText="1"/>
    </xf>
    <xf numFmtId="0" fontId="18" fillId="40" borderId="51" xfId="1" applyFont="1" applyFill="1" applyBorder="1" applyAlignment="1">
      <alignment horizontal="center" vertical="center" wrapText="1"/>
    </xf>
    <xf numFmtId="0" fontId="18" fillId="40" borderId="38" xfId="1" applyFont="1" applyFill="1" applyBorder="1" applyAlignment="1">
      <alignment horizontal="center" vertical="center" wrapText="1"/>
    </xf>
    <xf numFmtId="0" fontId="54" fillId="38" borderId="44" xfId="1" applyFont="1" applyFill="1" applyBorder="1" applyAlignment="1">
      <alignment horizontal="left" vertical="center" wrapText="1"/>
    </xf>
    <xf numFmtId="0" fontId="42" fillId="37" borderId="21" xfId="116" applyFont="1" applyFill="1" applyBorder="1" applyAlignment="1">
      <alignment horizontal="center" vertical="center" wrapText="1"/>
    </xf>
    <xf numFmtId="0" fontId="42" fillId="37" borderId="20" xfId="116" applyFont="1" applyFill="1" applyBorder="1" applyAlignment="1">
      <alignment horizontal="center" vertical="center" wrapText="1"/>
    </xf>
    <xf numFmtId="0" fontId="42" fillId="37" borderId="26" xfId="116" applyFont="1" applyFill="1" applyBorder="1" applyAlignment="1">
      <alignment horizontal="center" vertical="center" wrapText="1"/>
    </xf>
    <xf numFmtId="0" fontId="19" fillId="0" borderId="18" xfId="2" applyFont="1" applyFill="1" applyBorder="1" applyAlignment="1">
      <alignment horizontal="center" vertical="center" wrapText="1"/>
    </xf>
    <xf numFmtId="0" fontId="42" fillId="37" borderId="23" xfId="116" applyFont="1" applyFill="1" applyBorder="1" applyAlignment="1">
      <alignment horizontal="center" vertical="center" wrapText="1"/>
    </xf>
    <xf numFmtId="0" fontId="42" fillId="37" borderId="24" xfId="116" applyFont="1" applyFill="1" applyBorder="1" applyAlignment="1">
      <alignment horizontal="center" vertical="center" wrapText="1"/>
    </xf>
    <xf numFmtId="0" fontId="42" fillId="37" borderId="25" xfId="116" applyFont="1" applyFill="1" applyBorder="1" applyAlignment="1">
      <alignment horizontal="center" vertical="center" wrapText="1"/>
    </xf>
    <xf numFmtId="0" fontId="43" fillId="0" borderId="1" xfId="2" applyFont="1" applyFill="1" applyBorder="1" applyAlignment="1">
      <alignment horizontal="center" vertical="center" wrapText="1"/>
    </xf>
    <xf numFmtId="0" fontId="42" fillId="37" borderId="45" xfId="116" applyFont="1" applyFill="1" applyBorder="1" applyAlignment="1">
      <alignment horizontal="center" vertical="center" wrapText="1"/>
    </xf>
    <xf numFmtId="0" fontId="42" fillId="37" borderId="46" xfId="116" applyFont="1" applyFill="1" applyBorder="1" applyAlignment="1">
      <alignment horizontal="center" vertical="center" wrapText="1"/>
    </xf>
    <xf numFmtId="0" fontId="42" fillId="37" borderId="47" xfId="116" applyFont="1" applyFill="1" applyBorder="1" applyAlignment="1">
      <alignment horizontal="center" vertical="center" wrapText="1"/>
    </xf>
    <xf numFmtId="17" fontId="44" fillId="0" borderId="39" xfId="2" applyNumberFormat="1" applyFont="1" applyFill="1" applyBorder="1" applyAlignment="1">
      <alignment horizontal="center" vertical="center" wrapText="1"/>
    </xf>
    <xf numFmtId="0" fontId="44" fillId="0" borderId="43" xfId="2" applyNumberFormat="1" applyFont="1" applyFill="1" applyBorder="1" applyAlignment="1">
      <alignment horizontal="center" vertical="center" wrapText="1"/>
    </xf>
    <xf numFmtId="0" fontId="45" fillId="0" borderId="27" xfId="144" applyFont="1" applyBorder="1" applyAlignment="1">
      <alignment horizontal="center" wrapText="1"/>
    </xf>
    <xf numFmtId="0" fontId="46" fillId="0" borderId="27" xfId="144" applyFont="1" applyBorder="1" applyAlignment="1">
      <alignment horizontal="center" wrapText="1"/>
    </xf>
    <xf numFmtId="0" fontId="46" fillId="33" borderId="30" xfId="144" applyFont="1" applyFill="1" applyBorder="1" applyAlignment="1">
      <alignment vertical="center" wrapText="1"/>
    </xf>
    <xf numFmtId="0" fontId="45" fillId="0" borderId="0" xfId="144" applyFont="1" applyFill="1" applyBorder="1" applyAlignment="1">
      <alignment horizontal="center" wrapText="1"/>
    </xf>
    <xf numFmtId="0" fontId="46" fillId="0" borderId="0" xfId="144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45" fillId="31" borderId="49" xfId="144" applyFont="1" applyFill="1" applyBorder="1" applyAlignment="1">
      <alignment horizontal="center" vertical="center" wrapText="1"/>
    </xf>
    <xf numFmtId="0" fontId="45" fillId="31" borderId="19" xfId="144" applyFont="1" applyFill="1" applyBorder="1" applyAlignment="1">
      <alignment horizontal="center" vertical="center" wrapText="1"/>
    </xf>
    <xf numFmtId="0" fontId="45" fillId="31" borderId="50" xfId="144" applyFont="1" applyFill="1" applyBorder="1" applyAlignment="1">
      <alignment horizontal="center" vertical="center" wrapText="1"/>
    </xf>
    <xf numFmtId="0" fontId="45" fillId="31" borderId="28" xfId="144" applyFont="1" applyFill="1" applyBorder="1" applyAlignment="1">
      <alignment horizontal="center" vertical="center" wrapText="1"/>
    </xf>
  </cellXfs>
  <cellStyles count="220">
    <cellStyle name="20% - Accent1 2" xfId="5" xr:uid="{00000000-0005-0000-0000-000000000000}"/>
    <cellStyle name="20% - Accent1 3" xfId="6" xr:uid="{00000000-0005-0000-0000-000001000000}"/>
    <cellStyle name="20% - Accent1 4" xfId="7" xr:uid="{00000000-0005-0000-0000-000002000000}"/>
    <cellStyle name="20% - Accent2 2" xfId="8" xr:uid="{00000000-0005-0000-0000-000003000000}"/>
    <cellStyle name="20% - Accent2 3" xfId="9" xr:uid="{00000000-0005-0000-0000-000004000000}"/>
    <cellStyle name="20% - Accent2 4" xfId="10" xr:uid="{00000000-0005-0000-0000-000005000000}"/>
    <cellStyle name="20% - Accent3 2" xfId="11" xr:uid="{00000000-0005-0000-0000-000006000000}"/>
    <cellStyle name="20% - Accent3 3" xfId="12" xr:uid="{00000000-0005-0000-0000-000007000000}"/>
    <cellStyle name="20% - Accent3 4" xfId="13" xr:uid="{00000000-0005-0000-0000-000008000000}"/>
    <cellStyle name="20% - Accent4 2" xfId="14" xr:uid="{00000000-0005-0000-0000-000009000000}"/>
    <cellStyle name="20% - Accent4 3" xfId="15" xr:uid="{00000000-0005-0000-0000-00000A000000}"/>
    <cellStyle name="20% - Accent4 4" xfId="16" xr:uid="{00000000-0005-0000-0000-00000B000000}"/>
    <cellStyle name="20% - Accent5 2" xfId="17" xr:uid="{00000000-0005-0000-0000-00000C000000}"/>
    <cellStyle name="20% - Accent5 3" xfId="18" xr:uid="{00000000-0005-0000-0000-00000D000000}"/>
    <cellStyle name="20% - Accent5 4" xfId="19" xr:uid="{00000000-0005-0000-0000-00000E000000}"/>
    <cellStyle name="20% - Accent6 2" xfId="20" xr:uid="{00000000-0005-0000-0000-00000F000000}"/>
    <cellStyle name="20% - Accent6 3" xfId="21" xr:uid="{00000000-0005-0000-0000-000010000000}"/>
    <cellStyle name="20% - Accent6 4" xfId="22" xr:uid="{00000000-0005-0000-0000-000011000000}"/>
    <cellStyle name="40% - Accent1 2" xfId="23" xr:uid="{00000000-0005-0000-0000-000012000000}"/>
    <cellStyle name="40% - Accent1 3" xfId="24" xr:uid="{00000000-0005-0000-0000-000013000000}"/>
    <cellStyle name="40% - Accent1 4" xfId="25" xr:uid="{00000000-0005-0000-0000-000014000000}"/>
    <cellStyle name="40% - Accent2 2" xfId="26" xr:uid="{00000000-0005-0000-0000-000015000000}"/>
    <cellStyle name="40% - Accent2 3" xfId="27" xr:uid="{00000000-0005-0000-0000-000016000000}"/>
    <cellStyle name="40% - Accent2 4" xfId="28" xr:uid="{00000000-0005-0000-0000-000017000000}"/>
    <cellStyle name="40% - Accent3 2" xfId="29" xr:uid="{00000000-0005-0000-0000-000018000000}"/>
    <cellStyle name="40% - Accent3 3" xfId="30" xr:uid="{00000000-0005-0000-0000-000019000000}"/>
    <cellStyle name="40% - Accent3 4" xfId="31" xr:uid="{00000000-0005-0000-0000-00001A000000}"/>
    <cellStyle name="40% - Accent4 2" xfId="32" xr:uid="{00000000-0005-0000-0000-00001B000000}"/>
    <cellStyle name="40% - Accent4 3" xfId="33" xr:uid="{00000000-0005-0000-0000-00001C000000}"/>
    <cellStyle name="40% - Accent4 4" xfId="34" xr:uid="{00000000-0005-0000-0000-00001D000000}"/>
    <cellStyle name="40% - Accent5 2" xfId="35" xr:uid="{00000000-0005-0000-0000-00001E000000}"/>
    <cellStyle name="40% - Accent5 3" xfId="36" xr:uid="{00000000-0005-0000-0000-00001F000000}"/>
    <cellStyle name="40% - Accent5 4" xfId="37" xr:uid="{00000000-0005-0000-0000-000020000000}"/>
    <cellStyle name="40% - Accent6 2" xfId="38" xr:uid="{00000000-0005-0000-0000-000021000000}"/>
    <cellStyle name="40% - Accent6 3" xfId="39" xr:uid="{00000000-0005-0000-0000-000022000000}"/>
    <cellStyle name="40% - Accent6 4" xfId="40" xr:uid="{00000000-0005-0000-0000-000023000000}"/>
    <cellStyle name="60% - Accent1 2" xfId="41" xr:uid="{00000000-0005-0000-0000-000024000000}"/>
    <cellStyle name="60% - Accent1 3" xfId="42" xr:uid="{00000000-0005-0000-0000-000025000000}"/>
    <cellStyle name="60% - Accent1 4" xfId="43" xr:uid="{00000000-0005-0000-0000-000026000000}"/>
    <cellStyle name="60% - Accent2 2" xfId="44" xr:uid="{00000000-0005-0000-0000-000027000000}"/>
    <cellStyle name="60% - Accent2 3" xfId="45" xr:uid="{00000000-0005-0000-0000-000028000000}"/>
    <cellStyle name="60% - Accent2 4" xfId="46" xr:uid="{00000000-0005-0000-0000-000029000000}"/>
    <cellStyle name="60% - Accent3 2" xfId="47" xr:uid="{00000000-0005-0000-0000-00002A000000}"/>
    <cellStyle name="60% - Accent3 3" xfId="48" xr:uid="{00000000-0005-0000-0000-00002B000000}"/>
    <cellStyle name="60% - Accent3 4" xfId="49" xr:uid="{00000000-0005-0000-0000-00002C000000}"/>
    <cellStyle name="60% - Accent4 2" xfId="50" xr:uid="{00000000-0005-0000-0000-00002D000000}"/>
    <cellStyle name="60% - Accent4 3" xfId="51" xr:uid="{00000000-0005-0000-0000-00002E000000}"/>
    <cellStyle name="60% - Accent4 4" xfId="52" xr:uid="{00000000-0005-0000-0000-00002F000000}"/>
    <cellStyle name="60% - Accent5 2" xfId="53" xr:uid="{00000000-0005-0000-0000-000030000000}"/>
    <cellStyle name="60% - Accent5 3" xfId="54" xr:uid="{00000000-0005-0000-0000-000031000000}"/>
    <cellStyle name="60% - Accent5 4" xfId="55" xr:uid="{00000000-0005-0000-0000-000032000000}"/>
    <cellStyle name="60% - Accent6 2" xfId="56" xr:uid="{00000000-0005-0000-0000-000033000000}"/>
    <cellStyle name="60% - Accent6 3" xfId="57" xr:uid="{00000000-0005-0000-0000-000034000000}"/>
    <cellStyle name="60% - Accent6 4" xfId="58" xr:uid="{00000000-0005-0000-0000-000035000000}"/>
    <cellStyle name="Accent1 2" xfId="59" xr:uid="{00000000-0005-0000-0000-000036000000}"/>
    <cellStyle name="Accent1 3" xfId="60" xr:uid="{00000000-0005-0000-0000-000037000000}"/>
    <cellStyle name="Accent1 4" xfId="61" xr:uid="{00000000-0005-0000-0000-000038000000}"/>
    <cellStyle name="Accent2 2" xfId="62" xr:uid="{00000000-0005-0000-0000-000039000000}"/>
    <cellStyle name="Accent2 3" xfId="63" xr:uid="{00000000-0005-0000-0000-00003A000000}"/>
    <cellStyle name="Accent2 4" xfId="64" xr:uid="{00000000-0005-0000-0000-00003B000000}"/>
    <cellStyle name="Accent3 2" xfId="65" xr:uid="{00000000-0005-0000-0000-00003C000000}"/>
    <cellStyle name="Accent3 3" xfId="66" xr:uid="{00000000-0005-0000-0000-00003D000000}"/>
    <cellStyle name="Accent3 4" xfId="67" xr:uid="{00000000-0005-0000-0000-00003E000000}"/>
    <cellStyle name="Accent4 2" xfId="68" xr:uid="{00000000-0005-0000-0000-00003F000000}"/>
    <cellStyle name="Accent4 3" xfId="69" xr:uid="{00000000-0005-0000-0000-000040000000}"/>
    <cellStyle name="Accent4 4" xfId="70" xr:uid="{00000000-0005-0000-0000-000041000000}"/>
    <cellStyle name="Accent5 2" xfId="71" xr:uid="{00000000-0005-0000-0000-000042000000}"/>
    <cellStyle name="Accent5 3" xfId="72" xr:uid="{00000000-0005-0000-0000-000043000000}"/>
    <cellStyle name="Accent5 4" xfId="73" xr:uid="{00000000-0005-0000-0000-000044000000}"/>
    <cellStyle name="Accent6 2" xfId="74" xr:uid="{00000000-0005-0000-0000-000045000000}"/>
    <cellStyle name="Accent6 3" xfId="75" xr:uid="{00000000-0005-0000-0000-000046000000}"/>
    <cellStyle name="Accent6 4" xfId="76" xr:uid="{00000000-0005-0000-0000-000047000000}"/>
    <cellStyle name="Bad 2" xfId="77" xr:uid="{00000000-0005-0000-0000-000048000000}"/>
    <cellStyle name="Bad 3" xfId="78" xr:uid="{00000000-0005-0000-0000-000049000000}"/>
    <cellStyle name="Bad 4" xfId="79" xr:uid="{00000000-0005-0000-0000-00004A000000}"/>
    <cellStyle name="Calculation 2" xfId="80" xr:uid="{00000000-0005-0000-0000-00004B000000}"/>
    <cellStyle name="Calculation 3" xfId="81" xr:uid="{00000000-0005-0000-0000-00004C000000}"/>
    <cellStyle name="Calculation 4" xfId="82" xr:uid="{00000000-0005-0000-0000-00004D000000}"/>
    <cellStyle name="Check Cell 2" xfId="83" xr:uid="{00000000-0005-0000-0000-00004E000000}"/>
    <cellStyle name="Check Cell 3" xfId="84" xr:uid="{00000000-0005-0000-0000-00004F000000}"/>
    <cellStyle name="Check Cell 4" xfId="85" xr:uid="{00000000-0005-0000-0000-000050000000}"/>
    <cellStyle name="Comma" xfId="134" builtinId="3"/>
    <cellStyle name="Comma 2" xfId="136" xr:uid="{00000000-0005-0000-0000-000052000000}"/>
    <cellStyle name="Comma 2 2" xfId="138" xr:uid="{00000000-0005-0000-0000-000053000000}"/>
    <cellStyle name="Comma 2 3" xfId="141" xr:uid="{00000000-0005-0000-0000-000054000000}"/>
    <cellStyle name="Comma 2 4" xfId="146" xr:uid="{00000000-0005-0000-0000-000055000000}"/>
    <cellStyle name="Comma 3" xfId="149" xr:uid="{00000000-0005-0000-0000-000056000000}"/>
    <cellStyle name="Comma 4" xfId="214" xr:uid="{D813C9B9-69D0-4F97-80BE-FE90D9B16EB9}"/>
    <cellStyle name="Comma 5" xfId="218" xr:uid="{E45D700E-5645-47C8-B0D2-0E34EC4A7CA1}"/>
    <cellStyle name="Explanatory Text 2" xfId="86" xr:uid="{00000000-0005-0000-0000-000057000000}"/>
    <cellStyle name="Explanatory Text 3" xfId="87" xr:uid="{00000000-0005-0000-0000-000058000000}"/>
    <cellStyle name="Explanatory Text 4" xfId="88" xr:uid="{00000000-0005-0000-0000-000059000000}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Good 2" xfId="89" xr:uid="{00000000-0005-0000-0000-000079000000}"/>
    <cellStyle name="Good 3" xfId="90" xr:uid="{00000000-0005-0000-0000-00007A000000}"/>
    <cellStyle name="Good 4" xfId="91" xr:uid="{00000000-0005-0000-0000-00007B000000}"/>
    <cellStyle name="Heading 1 2" xfId="92" xr:uid="{00000000-0005-0000-0000-00007C000000}"/>
    <cellStyle name="Heading 1 3" xfId="93" xr:uid="{00000000-0005-0000-0000-00007D000000}"/>
    <cellStyle name="Heading 1 4" xfId="94" xr:uid="{00000000-0005-0000-0000-00007E000000}"/>
    <cellStyle name="Heading 2 2" xfId="95" xr:uid="{00000000-0005-0000-0000-00007F000000}"/>
    <cellStyle name="Heading 2 3" xfId="96" xr:uid="{00000000-0005-0000-0000-000080000000}"/>
    <cellStyle name="Heading 2 4" xfId="97" xr:uid="{00000000-0005-0000-0000-000081000000}"/>
    <cellStyle name="Heading 3 2" xfId="98" xr:uid="{00000000-0005-0000-0000-000082000000}"/>
    <cellStyle name="Heading 3 3" xfId="99" xr:uid="{00000000-0005-0000-0000-000083000000}"/>
    <cellStyle name="Heading 3 4" xfId="100" xr:uid="{00000000-0005-0000-0000-000084000000}"/>
    <cellStyle name="Heading 4 2" xfId="101" xr:uid="{00000000-0005-0000-0000-000085000000}"/>
    <cellStyle name="Heading 4 3" xfId="102" xr:uid="{00000000-0005-0000-0000-000086000000}"/>
    <cellStyle name="Heading 4 4" xfId="103" xr:uid="{00000000-0005-0000-0000-000087000000}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Input 2" xfId="104" xr:uid="{00000000-0005-0000-0000-0000A7000000}"/>
    <cellStyle name="Input 3" xfId="105" xr:uid="{00000000-0005-0000-0000-0000A8000000}"/>
    <cellStyle name="Input 4" xfId="106" xr:uid="{00000000-0005-0000-0000-0000A9000000}"/>
    <cellStyle name="Linked Cell 2" xfId="107" xr:uid="{00000000-0005-0000-0000-0000AA000000}"/>
    <cellStyle name="Linked Cell 3" xfId="108" xr:uid="{00000000-0005-0000-0000-0000AB000000}"/>
    <cellStyle name="Linked Cell 4" xfId="109" xr:uid="{00000000-0005-0000-0000-0000AC000000}"/>
    <cellStyle name="Neutral 2" xfId="110" xr:uid="{00000000-0005-0000-0000-0000AD000000}"/>
    <cellStyle name="Neutral 3" xfId="111" xr:uid="{00000000-0005-0000-0000-0000AE000000}"/>
    <cellStyle name="Neutral 4" xfId="112" xr:uid="{00000000-0005-0000-0000-0000AF000000}"/>
    <cellStyle name="Normal" xfId="0" builtinId="0"/>
    <cellStyle name="Normal 10" xfId="213" xr:uid="{2193FBE9-3E68-417D-A0C0-280C9018FBD4}"/>
    <cellStyle name="Normal 11" xfId="216" xr:uid="{00000000-0005-0000-0000-000006010000}"/>
    <cellStyle name="Normal 12" xfId="217" xr:uid="{1D9591AD-CE09-41C4-8A06-54B6BAC5D31E}"/>
    <cellStyle name="Normal 2" xfId="1" xr:uid="{00000000-0005-0000-0000-0000B1000000}"/>
    <cellStyle name="Normal 2 2" xfId="113" xr:uid="{00000000-0005-0000-0000-0000B2000000}"/>
    <cellStyle name="Normal 2 3" xfId="114" xr:uid="{00000000-0005-0000-0000-0000B3000000}"/>
    <cellStyle name="Normal 2 4" xfId="115" xr:uid="{00000000-0005-0000-0000-0000B4000000}"/>
    <cellStyle name="Normal 3" xfId="2" xr:uid="{00000000-0005-0000-0000-0000B5000000}"/>
    <cellStyle name="Normal 3 2" xfId="116" xr:uid="{00000000-0005-0000-0000-0000B6000000}"/>
    <cellStyle name="Normal 3 3" xfId="219" xr:uid="{DE3F75CD-693F-425C-88D8-6948FCA9222D}"/>
    <cellStyle name="Normal 4" xfId="3" xr:uid="{00000000-0005-0000-0000-0000B7000000}"/>
    <cellStyle name="Normal 4 2" xfId="140" xr:uid="{00000000-0005-0000-0000-0000B8000000}"/>
    <cellStyle name="Normal 4 3" xfId="143" xr:uid="{00000000-0005-0000-0000-0000B9000000}"/>
    <cellStyle name="Normal 4 4" xfId="145" xr:uid="{00000000-0005-0000-0000-0000BA000000}"/>
    <cellStyle name="Normal 4 5" xfId="150" xr:uid="{00000000-0005-0000-0000-0000BB000000}"/>
    <cellStyle name="Normal 5" xfId="4" xr:uid="{00000000-0005-0000-0000-0000BC000000}"/>
    <cellStyle name="Normal 5 2" xfId="144" xr:uid="{00000000-0005-0000-0000-0000BD000000}"/>
    <cellStyle name="Normal 5 3" xfId="147" xr:uid="{00000000-0005-0000-0000-0000BE000000}"/>
    <cellStyle name="Normal 6" xfId="132" xr:uid="{00000000-0005-0000-0000-0000BF000000}"/>
    <cellStyle name="Normal 7" xfId="135" xr:uid="{00000000-0005-0000-0000-0000C0000000}"/>
    <cellStyle name="Normal 8" xfId="137" xr:uid="{00000000-0005-0000-0000-0000C1000000}"/>
    <cellStyle name="Normal 8 2" xfId="139" xr:uid="{00000000-0005-0000-0000-0000C2000000}"/>
    <cellStyle name="Normal 9" xfId="148" xr:uid="{00000000-0005-0000-0000-0000C3000000}"/>
    <cellStyle name="Note 2" xfId="117" xr:uid="{00000000-0005-0000-0000-0000C4000000}"/>
    <cellStyle name="Note 3" xfId="118" xr:uid="{00000000-0005-0000-0000-0000C5000000}"/>
    <cellStyle name="Note 4" xfId="119" xr:uid="{00000000-0005-0000-0000-0000C6000000}"/>
    <cellStyle name="Output 2" xfId="120" xr:uid="{00000000-0005-0000-0000-0000C7000000}"/>
    <cellStyle name="Output 3" xfId="121" xr:uid="{00000000-0005-0000-0000-0000C8000000}"/>
    <cellStyle name="Output 4" xfId="122" xr:uid="{00000000-0005-0000-0000-0000C9000000}"/>
    <cellStyle name="Percent" xfId="142" builtinId="5"/>
    <cellStyle name="Percent 2" xfId="215" xr:uid="{76C1BB2F-945F-4F44-B6B6-D2C7728B00D4}"/>
    <cellStyle name="TableStyleLight1" xfId="133" xr:uid="{00000000-0005-0000-0000-0000CB000000}"/>
    <cellStyle name="Title 2" xfId="123" xr:uid="{00000000-0005-0000-0000-0000CC000000}"/>
    <cellStyle name="Title 3" xfId="124" xr:uid="{00000000-0005-0000-0000-0000CD000000}"/>
    <cellStyle name="Title 4" xfId="125" xr:uid="{00000000-0005-0000-0000-0000CE000000}"/>
    <cellStyle name="Total 2" xfId="126" xr:uid="{00000000-0005-0000-0000-0000CF000000}"/>
    <cellStyle name="Total 3" xfId="127" xr:uid="{00000000-0005-0000-0000-0000D0000000}"/>
    <cellStyle name="Total 4" xfId="128" xr:uid="{00000000-0005-0000-0000-0000D1000000}"/>
    <cellStyle name="Warning Text 2" xfId="129" xr:uid="{00000000-0005-0000-0000-0000D2000000}"/>
    <cellStyle name="Warning Text 3" xfId="130" xr:uid="{00000000-0005-0000-0000-0000D3000000}"/>
    <cellStyle name="Warning Text 4" xfId="131" xr:uid="{00000000-0005-0000-0000-0000D4000000}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28257-B07D-4B44-BCC5-9B58D0045234}">
  <dimension ref="A1:AD86"/>
  <sheetViews>
    <sheetView zoomScale="70" zoomScaleNormal="70" workbookViewId="0">
      <pane xSplit="1" ySplit="3" topLeftCell="B16" activePane="bottomRight" state="frozen"/>
      <selection activeCell="A23" sqref="A23:R23"/>
      <selection pane="topRight" activeCell="A23" sqref="A23:R23"/>
      <selection pane="bottomLeft" activeCell="A23" sqref="A23:R23"/>
      <selection pane="bottomRight" activeCell="B49" activeCellId="1" sqref="B62:B65 B49"/>
    </sheetView>
  </sheetViews>
  <sheetFormatPr defaultColWidth="9" defaultRowHeight="14.4" x14ac:dyDescent="0.3"/>
  <cols>
    <col min="1" max="1" width="30.3984375" style="9" customWidth="1"/>
    <col min="2" max="2" width="15.69921875" style="1" customWidth="1"/>
    <col min="3" max="3" width="22.19921875" style="1" customWidth="1"/>
    <col min="4" max="4" width="30.5" style="1" customWidth="1"/>
    <col min="5" max="5" width="15.69921875" style="1" customWidth="1"/>
    <col min="6" max="6" width="7.69921875" style="1" bestFit="1" customWidth="1"/>
    <col min="7" max="7" width="6.69921875" style="1" customWidth="1"/>
    <col min="8" max="8" width="12.69921875" style="1" bestFit="1" customWidth="1"/>
    <col min="9" max="9" width="9.09765625" style="1" bestFit="1" customWidth="1"/>
    <col min="10" max="10" width="37.3984375" style="1" customWidth="1"/>
    <col min="11" max="11" width="6.19921875" style="1" bestFit="1" customWidth="1"/>
    <col min="12" max="12" width="7.5" style="1" bestFit="1" customWidth="1"/>
    <col min="13" max="13" width="7.69921875" style="1" customWidth="1"/>
    <col min="14" max="14" width="11.19921875" style="1" customWidth="1"/>
    <col min="15" max="15" width="10.5" style="1" customWidth="1"/>
    <col min="16" max="16" width="13.3984375" style="1" customWidth="1"/>
    <col min="17" max="17" width="13" style="1" bestFit="1" customWidth="1"/>
    <col min="18" max="18" width="8.19921875" style="1" bestFit="1" customWidth="1"/>
    <col min="19" max="19" width="12.19921875" style="1" customWidth="1"/>
    <col min="20" max="20" width="5.69921875" style="1" customWidth="1"/>
    <col min="21" max="21" width="25.69921875" style="1" customWidth="1"/>
    <col min="22" max="22" width="11.19921875" style="1" customWidth="1"/>
    <col min="23" max="23" width="8.19921875" style="1" bestFit="1" customWidth="1"/>
    <col min="24" max="24" width="12.19921875" style="1" customWidth="1"/>
    <col min="25" max="25" width="8" style="1" customWidth="1"/>
    <col min="26" max="26" width="14.5" style="1" customWidth="1"/>
    <col min="27" max="27" width="15" style="1" hidden="1" customWidth="1"/>
    <col min="28" max="28" width="6" style="1" customWidth="1"/>
    <col min="29" max="29" width="6.8984375" style="1" customWidth="1"/>
    <col min="30" max="30" width="6.09765625" style="1" customWidth="1"/>
    <col min="31" max="16384" width="9" style="1"/>
  </cols>
  <sheetData>
    <row r="1" spans="1:30" x14ac:dyDescent="0.3">
      <c r="B1" s="40">
        <f>50000000-B4</f>
        <v>-2.9999986290931702E-3</v>
      </c>
    </row>
    <row r="2" spans="1:30" x14ac:dyDescent="0.3">
      <c r="A2" s="84" t="s">
        <v>88</v>
      </c>
    </row>
    <row r="3" spans="1:30" s="44" customFormat="1" x14ac:dyDescent="0.3">
      <c r="A3" s="176" t="s">
        <v>0</v>
      </c>
      <c r="B3" s="284">
        <f>B4+C4</f>
        <v>64034095.239359997</v>
      </c>
      <c r="C3" s="284"/>
      <c r="D3" s="259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1"/>
    </row>
    <row r="4" spans="1:30" s="44" customFormat="1" x14ac:dyDescent="0.3">
      <c r="A4" s="177"/>
      <c r="B4" s="43">
        <f>B7+B17+B25+B46+B67+B68</f>
        <v>50000000.002999999</v>
      </c>
      <c r="C4" s="194">
        <f>C7+C17+C25+C46+C67+C68</f>
        <v>14034095.23636</v>
      </c>
      <c r="D4" s="270" t="s">
        <v>2</v>
      </c>
      <c r="E4" s="271"/>
      <c r="F4" s="271"/>
      <c r="G4" s="45">
        <f>SUM(G8:G64)</f>
        <v>31</v>
      </c>
      <c r="H4" s="45">
        <f>SUM(H8:H64)</f>
        <v>4047560</v>
      </c>
      <c r="I4" s="45"/>
      <c r="J4" s="272" t="s">
        <v>3</v>
      </c>
      <c r="K4" s="273"/>
      <c r="L4" s="273"/>
      <c r="M4" s="273"/>
      <c r="N4" s="273"/>
      <c r="O4" s="274"/>
      <c r="P4" s="278" t="s">
        <v>4</v>
      </c>
      <c r="Q4" s="279"/>
      <c r="R4" s="279"/>
      <c r="S4" s="279"/>
      <c r="T4" s="280"/>
      <c r="U4" s="278" t="s">
        <v>83</v>
      </c>
      <c r="V4" s="279"/>
      <c r="W4" s="279"/>
      <c r="X4" s="279"/>
      <c r="Y4" s="280"/>
      <c r="Z4" s="278" t="s">
        <v>5</v>
      </c>
      <c r="AA4" s="279"/>
      <c r="AB4" s="279"/>
      <c r="AC4" s="279"/>
      <c r="AD4" s="280"/>
    </row>
    <row r="5" spans="1:30" s="44" customFormat="1" ht="15.6" customHeight="1" x14ac:dyDescent="0.3">
      <c r="A5" s="285" t="s">
        <v>1</v>
      </c>
      <c r="B5" s="287" t="s">
        <v>91</v>
      </c>
      <c r="C5" s="289" t="s">
        <v>158</v>
      </c>
      <c r="D5" s="271"/>
      <c r="E5" s="271"/>
      <c r="F5" s="271"/>
      <c r="G5" s="45">
        <v>0</v>
      </c>
      <c r="H5" s="45">
        <v>0</v>
      </c>
      <c r="I5" s="45"/>
      <c r="J5" s="275"/>
      <c r="K5" s="276"/>
      <c r="L5" s="276"/>
      <c r="M5" s="276"/>
      <c r="N5" s="276"/>
      <c r="O5" s="277"/>
      <c r="P5" s="281"/>
      <c r="Q5" s="282"/>
      <c r="R5" s="282"/>
      <c r="S5" s="282"/>
      <c r="T5" s="283"/>
      <c r="U5" s="281"/>
      <c r="V5" s="282"/>
      <c r="W5" s="282"/>
      <c r="X5" s="282"/>
      <c r="Y5" s="283"/>
      <c r="Z5" s="281"/>
      <c r="AA5" s="282"/>
      <c r="AB5" s="282"/>
      <c r="AC5" s="282"/>
      <c r="AD5" s="283"/>
    </row>
    <row r="6" spans="1:30" s="44" customFormat="1" ht="28.95" customHeight="1" x14ac:dyDescent="0.3">
      <c r="A6" s="286"/>
      <c r="B6" s="288"/>
      <c r="C6" s="290"/>
      <c r="D6" s="88" t="s">
        <v>6</v>
      </c>
      <c r="E6" s="46" t="s">
        <v>7</v>
      </c>
      <c r="F6" s="46" t="s">
        <v>8</v>
      </c>
      <c r="G6" s="46" t="s">
        <v>9</v>
      </c>
      <c r="H6" s="88" t="s">
        <v>10</v>
      </c>
      <c r="I6" s="96" t="s">
        <v>92</v>
      </c>
      <c r="J6" s="88" t="s">
        <v>6</v>
      </c>
      <c r="K6" s="46" t="s">
        <v>11</v>
      </c>
      <c r="L6" s="46" t="s">
        <v>8</v>
      </c>
      <c r="M6" s="46" t="s">
        <v>9</v>
      </c>
      <c r="N6" s="88" t="s">
        <v>10</v>
      </c>
      <c r="O6" s="96" t="s">
        <v>92</v>
      </c>
      <c r="P6" s="88" t="s">
        <v>6</v>
      </c>
      <c r="Q6" s="46" t="s">
        <v>11</v>
      </c>
      <c r="R6" s="88" t="s">
        <v>12</v>
      </c>
      <c r="S6" s="88" t="s">
        <v>10</v>
      </c>
      <c r="T6" s="96" t="s">
        <v>92</v>
      </c>
      <c r="U6" s="88" t="s">
        <v>6</v>
      </c>
      <c r="V6" s="46" t="s">
        <v>11</v>
      </c>
      <c r="W6" s="88" t="s">
        <v>12</v>
      </c>
      <c r="X6" s="88" t="s">
        <v>10</v>
      </c>
      <c r="Y6" s="96" t="s">
        <v>92</v>
      </c>
      <c r="Z6" s="88" t="s">
        <v>6</v>
      </c>
      <c r="AA6" s="46" t="s">
        <v>11</v>
      </c>
      <c r="AB6" s="88" t="s">
        <v>13</v>
      </c>
      <c r="AC6" s="88" t="s">
        <v>10</v>
      </c>
      <c r="AD6" s="96" t="s">
        <v>92</v>
      </c>
    </row>
    <row r="7" spans="1:30" s="44" customFormat="1" ht="16.2" customHeight="1" x14ac:dyDescent="0.3">
      <c r="A7" s="47" t="s">
        <v>14</v>
      </c>
      <c r="B7" s="48">
        <f>SUM(B8:B16)</f>
        <v>1883930</v>
      </c>
      <c r="C7" s="48">
        <f>SUM(C8:C16)</f>
        <v>226071.59999999998</v>
      </c>
      <c r="D7" s="267" t="s">
        <v>386</v>
      </c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9"/>
    </row>
    <row r="8" spans="1:30" s="44" customFormat="1" ht="180" customHeight="1" x14ac:dyDescent="0.3">
      <c r="A8" s="166" t="s">
        <v>166</v>
      </c>
      <c r="B8" s="87">
        <f>SUM(H8:H8)+SUM(N8:N8)+SUM(S8:S8)+SUM(X8:X8)+SUM(AC8:AC8)</f>
        <v>366379.19999999995</v>
      </c>
      <c r="C8" s="87">
        <f>SUM(I8:I8)+SUM(O8:O8)+SUM(T8:T8)+SUM(Y8:Y8)+SUM(AD8:AD8)</f>
        <v>43965.503999999994</v>
      </c>
      <c r="D8" s="49"/>
      <c r="E8" s="50"/>
      <c r="F8" s="50"/>
      <c r="G8" s="50"/>
      <c r="H8" s="51"/>
      <c r="I8" s="51"/>
      <c r="J8" s="57" t="s">
        <v>214</v>
      </c>
      <c r="K8" s="53">
        <f>Prices!D4</f>
        <v>20354.399999999998</v>
      </c>
      <c r="L8" s="53">
        <v>6</v>
      </c>
      <c r="M8" s="53">
        <v>3</v>
      </c>
      <c r="N8" s="54">
        <f t="shared" ref="N8:N13" si="0">K8*L8*M8</f>
        <v>366379.19999999995</v>
      </c>
      <c r="O8" s="54">
        <f t="shared" ref="O8:O13" si="1">N8*0.12</f>
        <v>43965.503999999994</v>
      </c>
      <c r="P8" s="49"/>
      <c r="Q8" s="50"/>
      <c r="R8" s="50"/>
      <c r="S8" s="51">
        <f>Q8*R8</f>
        <v>0</v>
      </c>
      <c r="T8" s="51">
        <f t="shared" ref="T8:T13" si="2">S8*0.12</f>
        <v>0</v>
      </c>
      <c r="U8" s="55"/>
      <c r="V8" s="53"/>
      <c r="W8" s="53"/>
      <c r="X8" s="54"/>
      <c r="Y8" s="54"/>
      <c r="Z8" s="56"/>
      <c r="AA8" s="50"/>
      <c r="AB8" s="50"/>
      <c r="AC8" s="51">
        <f>AA8*AB8</f>
        <v>0</v>
      </c>
      <c r="AD8" s="51">
        <f t="shared" ref="AD8:AD13" si="3">AC8*0.12</f>
        <v>0</v>
      </c>
    </row>
    <row r="9" spans="1:30" s="44" customFormat="1" ht="95.4" customHeight="1" x14ac:dyDescent="0.3">
      <c r="A9" s="162" t="s">
        <v>190</v>
      </c>
      <c r="B9" s="94">
        <f>SUM(H9:H9)+SUM(N9:N9)+SUM(S9:S9)+SUM(X9:X9)+SUM(AC9:AC9)</f>
        <v>122126.39999999999</v>
      </c>
      <c r="C9" s="95">
        <f>SUM(I9:I9)+SUM(O9:O9)+SUM(T9:T9)+SUM(Y9:Y9)+SUM(AD9:AD9)</f>
        <v>14655.168</v>
      </c>
      <c r="D9" s="49"/>
      <c r="E9" s="50"/>
      <c r="F9" s="50"/>
      <c r="G9" s="50"/>
      <c r="H9" s="51"/>
      <c r="I9" s="51">
        <f t="shared" ref="I9:I14" si="4">H9*0.12</f>
        <v>0</v>
      </c>
      <c r="J9" s="57" t="s">
        <v>215</v>
      </c>
      <c r="K9" s="53">
        <f>Prices!D4</f>
        <v>20354.399999999998</v>
      </c>
      <c r="L9" s="53">
        <v>3</v>
      </c>
      <c r="M9" s="53">
        <v>2</v>
      </c>
      <c r="N9" s="54">
        <f t="shared" si="0"/>
        <v>122126.39999999999</v>
      </c>
      <c r="O9" s="54">
        <f t="shared" si="1"/>
        <v>14655.168</v>
      </c>
      <c r="P9" s="49"/>
      <c r="Q9" s="50"/>
      <c r="R9" s="50"/>
      <c r="S9" s="51"/>
      <c r="T9" s="51">
        <f t="shared" si="2"/>
        <v>0</v>
      </c>
      <c r="U9" s="52"/>
      <c r="V9" s="53"/>
      <c r="W9" s="53"/>
      <c r="X9" s="54"/>
      <c r="Y9" s="54"/>
      <c r="Z9" s="56"/>
      <c r="AA9" s="50"/>
      <c r="AB9" s="50"/>
      <c r="AC9" s="51"/>
      <c r="AD9" s="51">
        <f t="shared" si="3"/>
        <v>0</v>
      </c>
    </row>
    <row r="10" spans="1:30" s="44" customFormat="1" ht="84.45" customHeight="1" x14ac:dyDescent="0.3">
      <c r="A10" s="167" t="s">
        <v>170</v>
      </c>
      <c r="B10" s="87">
        <f>SUM(H10:H10)+SUM(N10:N10)+SUM(S10:S10)+SUM(X10)+SUM(AC10:AC10)</f>
        <v>162835.19999999998</v>
      </c>
      <c r="C10" s="87">
        <f>SUM(I10:I10)+SUM(O10:O10)+SUM(T10:T10)+SUM(Y10)+SUM(AD10:AD10)</f>
        <v>19540.223999999998</v>
      </c>
      <c r="D10" s="49"/>
      <c r="E10" s="50"/>
      <c r="F10" s="50"/>
      <c r="G10" s="50"/>
      <c r="H10" s="51"/>
      <c r="I10" s="51">
        <f t="shared" si="4"/>
        <v>0</v>
      </c>
      <c r="J10" s="57" t="s">
        <v>216</v>
      </c>
      <c r="K10" s="53">
        <f>K9</f>
        <v>20354.399999999998</v>
      </c>
      <c r="L10" s="53">
        <v>4</v>
      </c>
      <c r="M10" s="53">
        <v>2</v>
      </c>
      <c r="N10" s="54">
        <f t="shared" si="0"/>
        <v>162835.19999999998</v>
      </c>
      <c r="O10" s="54">
        <f t="shared" si="1"/>
        <v>19540.223999999998</v>
      </c>
      <c r="P10" s="49"/>
      <c r="Q10" s="50"/>
      <c r="R10" s="50"/>
      <c r="S10" s="51">
        <f>Q10*R10</f>
        <v>0</v>
      </c>
      <c r="T10" s="51">
        <f t="shared" si="2"/>
        <v>0</v>
      </c>
      <c r="U10" s="52"/>
      <c r="V10" s="53"/>
      <c r="W10" s="53"/>
      <c r="X10" s="54"/>
      <c r="Y10" s="54"/>
      <c r="Z10" s="56"/>
      <c r="AA10" s="50"/>
      <c r="AB10" s="50"/>
      <c r="AC10" s="51">
        <f>AA10*AB10</f>
        <v>0</v>
      </c>
      <c r="AD10" s="51">
        <f t="shared" si="3"/>
        <v>0</v>
      </c>
    </row>
    <row r="11" spans="1:30" s="44" customFormat="1" ht="75" customHeight="1" x14ac:dyDescent="0.3">
      <c r="A11" s="166" t="s">
        <v>171</v>
      </c>
      <c r="B11" s="161">
        <f>SUM(H11:H11)+SUM(N11:N11)+SUM(S11:S11)+SUM(X11:X11)+SUM(AC11:AC11)</f>
        <v>122126.39999999999</v>
      </c>
      <c r="C11" s="161">
        <f>SUM(I11:I11)+SUM(O11:O11)+SUM(T11:T11)+SUM(Y11:Y11)+SUM(AD11:AD11)</f>
        <v>14655.168</v>
      </c>
      <c r="D11" s="49"/>
      <c r="E11" s="50"/>
      <c r="F11" s="50"/>
      <c r="G11" s="50"/>
      <c r="H11" s="51"/>
      <c r="I11" s="51">
        <f t="shared" si="4"/>
        <v>0</v>
      </c>
      <c r="J11" s="57" t="s">
        <v>217</v>
      </c>
      <c r="K11" s="53">
        <f>K10</f>
        <v>20354.399999999998</v>
      </c>
      <c r="L11" s="53">
        <v>3</v>
      </c>
      <c r="M11" s="53">
        <v>2</v>
      </c>
      <c r="N11" s="54">
        <f t="shared" si="0"/>
        <v>122126.39999999999</v>
      </c>
      <c r="O11" s="54">
        <f t="shared" si="1"/>
        <v>14655.168</v>
      </c>
      <c r="P11" s="49"/>
      <c r="Q11" s="50"/>
      <c r="R11" s="50"/>
      <c r="S11" s="51"/>
      <c r="T11" s="51">
        <f t="shared" si="2"/>
        <v>0</v>
      </c>
      <c r="U11" s="52"/>
      <c r="V11" s="53"/>
      <c r="W11" s="53"/>
      <c r="X11" s="54"/>
      <c r="Y11" s="54"/>
      <c r="Z11" s="56"/>
      <c r="AA11" s="50"/>
      <c r="AB11" s="50"/>
      <c r="AC11" s="51"/>
      <c r="AD11" s="51">
        <f t="shared" si="3"/>
        <v>0</v>
      </c>
    </row>
    <row r="12" spans="1:30" s="44" customFormat="1" ht="86.4" x14ac:dyDescent="0.3">
      <c r="A12" s="168" t="s">
        <v>168</v>
      </c>
      <c r="B12" s="87">
        <f>SUM(H12)+SUM(N12)+SUM(S12)+SUM(X12)+SUM(AC12)</f>
        <v>244252.79999999999</v>
      </c>
      <c r="C12" s="87">
        <f>SUM(I12)+SUM(O12)+SUM(T12)+SUM(Y12)+SUM(AD12)</f>
        <v>29310.335999999999</v>
      </c>
      <c r="D12" s="49"/>
      <c r="E12" s="50"/>
      <c r="F12" s="50"/>
      <c r="G12" s="50"/>
      <c r="H12" s="51"/>
      <c r="I12" s="51">
        <f t="shared" si="4"/>
        <v>0</v>
      </c>
      <c r="J12" s="57" t="s">
        <v>218</v>
      </c>
      <c r="K12" s="53">
        <f>Prices!D4</f>
        <v>20354.399999999998</v>
      </c>
      <c r="L12" s="53">
        <v>4</v>
      </c>
      <c r="M12" s="53">
        <v>3</v>
      </c>
      <c r="N12" s="54">
        <f t="shared" si="0"/>
        <v>244252.79999999999</v>
      </c>
      <c r="O12" s="54">
        <f t="shared" si="1"/>
        <v>29310.335999999999</v>
      </c>
      <c r="P12" s="49"/>
      <c r="Q12" s="50"/>
      <c r="R12" s="50"/>
      <c r="S12" s="51"/>
      <c r="T12" s="51">
        <f t="shared" si="2"/>
        <v>0</v>
      </c>
      <c r="U12" s="52"/>
      <c r="V12" s="53"/>
      <c r="W12" s="53"/>
      <c r="X12" s="54"/>
      <c r="Y12" s="54"/>
      <c r="Z12" s="56"/>
      <c r="AA12" s="50"/>
      <c r="AB12" s="50"/>
      <c r="AC12" s="51"/>
      <c r="AD12" s="51">
        <f t="shared" si="3"/>
        <v>0</v>
      </c>
    </row>
    <row r="13" spans="1:30" s="44" customFormat="1" ht="42.6" customHeight="1" x14ac:dyDescent="0.3">
      <c r="A13" s="171" t="s">
        <v>191</v>
      </c>
      <c r="B13" s="172">
        <f>SUM(H13:H13)+SUM(N13:N13)+SUM(S13:S13)+SUM(X13:X13)+SUM(AC13:AC13)</f>
        <v>36960</v>
      </c>
      <c r="C13" s="172">
        <f>SUM(I13:I13)+SUM(O13:O13)+SUM(T13:T13)+SUM(Y13:Y13)+SUM(AD13:AD13)</f>
        <v>4435.2</v>
      </c>
      <c r="D13" s="49" t="s">
        <v>85</v>
      </c>
      <c r="E13" s="50">
        <f>Prices!B3</f>
        <v>3080</v>
      </c>
      <c r="F13" s="50">
        <v>6</v>
      </c>
      <c r="G13" s="50">
        <v>2</v>
      </c>
      <c r="H13" s="51">
        <f>E13*F13*G13</f>
        <v>36960</v>
      </c>
      <c r="I13" s="51">
        <f t="shared" si="4"/>
        <v>4435.2</v>
      </c>
      <c r="J13" s="89"/>
      <c r="K13" s="53"/>
      <c r="L13" s="53"/>
      <c r="M13" s="53"/>
      <c r="N13" s="54">
        <f t="shared" si="0"/>
        <v>0</v>
      </c>
      <c r="O13" s="54">
        <f t="shared" si="1"/>
        <v>0</v>
      </c>
      <c r="P13" s="49"/>
      <c r="Q13" s="50"/>
      <c r="R13" s="50"/>
      <c r="S13" s="51">
        <f>Q13*R13</f>
        <v>0</v>
      </c>
      <c r="T13" s="51">
        <f t="shared" si="2"/>
        <v>0</v>
      </c>
      <c r="U13" s="57"/>
      <c r="V13" s="53"/>
      <c r="W13" s="53"/>
      <c r="X13" s="53"/>
      <c r="Y13" s="54">
        <f>X13*0.12</f>
        <v>0</v>
      </c>
      <c r="Z13" s="56"/>
      <c r="AA13" s="50"/>
      <c r="AB13" s="50"/>
      <c r="AC13" s="51">
        <f>AA13*AB13</f>
        <v>0</v>
      </c>
      <c r="AD13" s="51">
        <f t="shared" si="3"/>
        <v>0</v>
      </c>
    </row>
    <row r="14" spans="1:30" s="44" customFormat="1" ht="115.2" x14ac:dyDescent="0.3">
      <c r="A14" s="262" t="s">
        <v>172</v>
      </c>
      <c r="B14" s="264">
        <f>SUM(H14:H16)+SUM(N14:N16)+SUM(S14:S16)+SUM(X14:X16)+SUM(AC14:AC16)</f>
        <v>829250</v>
      </c>
      <c r="C14" s="264">
        <f>SUM(I14:I16)+SUM(O14:O16)+SUM(T14:T16)+SUM(Y14:Y16)+SUM(AD14:AD16)</f>
        <v>99510</v>
      </c>
      <c r="D14" s="173" t="s">
        <v>232</v>
      </c>
      <c r="E14" s="61">
        <f>Prices!D2</f>
        <v>16500</v>
      </c>
      <c r="F14" s="61">
        <v>1.5</v>
      </c>
      <c r="G14" s="61">
        <v>3</v>
      </c>
      <c r="H14" s="62">
        <f>E14*F14*G14</f>
        <v>74250</v>
      </c>
      <c r="I14" s="62">
        <f t="shared" si="4"/>
        <v>8910</v>
      </c>
      <c r="J14" s="57"/>
      <c r="K14" s="53"/>
      <c r="L14" s="53"/>
      <c r="M14" s="53"/>
      <c r="N14" s="54"/>
      <c r="O14" s="54"/>
      <c r="P14" s="58"/>
      <c r="Q14" s="59"/>
      <c r="R14" s="59"/>
      <c r="S14" s="60"/>
      <c r="T14" s="51"/>
      <c r="U14" s="147" t="s">
        <v>163</v>
      </c>
      <c r="V14" s="53">
        <v>105000</v>
      </c>
      <c r="W14" s="53">
        <v>3</v>
      </c>
      <c r="X14" s="54">
        <f>V14*W14</f>
        <v>315000</v>
      </c>
      <c r="Y14" s="54">
        <f>X14*0.12</f>
        <v>37800</v>
      </c>
      <c r="Z14" s="56"/>
      <c r="AA14" s="50"/>
      <c r="AB14" s="50"/>
      <c r="AC14" s="51">
        <f>AA14*AB14</f>
        <v>0</v>
      </c>
      <c r="AD14" s="51"/>
    </row>
    <row r="15" spans="1:30" s="44" customFormat="1" ht="43.2" x14ac:dyDescent="0.3">
      <c r="A15" s="263"/>
      <c r="B15" s="265"/>
      <c r="C15" s="265"/>
      <c r="D15" s="49"/>
      <c r="E15" s="50"/>
      <c r="F15" s="50"/>
      <c r="G15" s="50"/>
      <c r="H15" s="51"/>
      <c r="I15" s="51"/>
      <c r="J15" s="57"/>
      <c r="K15" s="53"/>
      <c r="L15" s="53"/>
      <c r="M15" s="53"/>
      <c r="N15" s="54"/>
      <c r="O15" s="54"/>
      <c r="P15" s="58"/>
      <c r="Q15" s="59"/>
      <c r="R15" s="59"/>
      <c r="S15" s="60"/>
      <c r="T15" s="51"/>
      <c r="U15" s="52" t="s">
        <v>86</v>
      </c>
      <c r="V15" s="53">
        <v>12000</v>
      </c>
      <c r="W15" s="53">
        <v>20</v>
      </c>
      <c r="X15" s="54">
        <f>V15*W15</f>
        <v>240000</v>
      </c>
      <c r="Y15" s="54">
        <f>X15*0.12</f>
        <v>28800</v>
      </c>
      <c r="Z15" s="56"/>
      <c r="AA15" s="50"/>
      <c r="AB15" s="50"/>
      <c r="AC15" s="51"/>
      <c r="AD15" s="51"/>
    </row>
    <row r="16" spans="1:30" s="44" customFormat="1" ht="28.8" x14ac:dyDescent="0.3">
      <c r="A16" s="263"/>
      <c r="B16" s="266"/>
      <c r="C16" s="266"/>
      <c r="D16" s="49"/>
      <c r="E16" s="50"/>
      <c r="F16" s="50"/>
      <c r="G16" s="50"/>
      <c r="H16" s="51">
        <f>E16*F16*G16</f>
        <v>0</v>
      </c>
      <c r="I16" s="51"/>
      <c r="J16" s="57"/>
      <c r="K16" s="53"/>
      <c r="L16" s="53"/>
      <c r="M16" s="53"/>
      <c r="N16" s="54">
        <f>K16*L16*M16</f>
        <v>0</v>
      </c>
      <c r="O16" s="54"/>
      <c r="P16" s="49"/>
      <c r="Q16" s="50"/>
      <c r="R16" s="50"/>
      <c r="S16" s="51">
        <f>Q16*R16</f>
        <v>0</v>
      </c>
      <c r="T16" s="51"/>
      <c r="U16" s="85" t="s">
        <v>87</v>
      </c>
      <c r="V16" s="53">
        <v>20000</v>
      </c>
      <c r="W16" s="53">
        <v>10</v>
      </c>
      <c r="X16" s="54">
        <f>V16*W16</f>
        <v>200000</v>
      </c>
      <c r="Y16" s="54">
        <f>X16*0.12</f>
        <v>24000</v>
      </c>
      <c r="Z16" s="56"/>
      <c r="AA16" s="50"/>
      <c r="AB16" s="50"/>
      <c r="AC16" s="51">
        <f>AA16*AB16</f>
        <v>0</v>
      </c>
      <c r="AD16" s="51"/>
    </row>
    <row r="17" spans="1:30" s="44" customFormat="1" ht="14.4" customHeight="1" x14ac:dyDescent="0.3">
      <c r="A17" s="47" t="s">
        <v>15</v>
      </c>
      <c r="B17" s="48">
        <f>+SUM(B18:B24)</f>
        <v>16210500</v>
      </c>
      <c r="C17" s="48">
        <f>+SUM(C18:C24)</f>
        <v>1945260</v>
      </c>
      <c r="D17" s="267" t="s">
        <v>387</v>
      </c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  <c r="AC17" s="268"/>
      <c r="AD17" s="269"/>
    </row>
    <row r="18" spans="1:30" s="44" customFormat="1" ht="69.599999999999994" customHeight="1" x14ac:dyDescent="0.3">
      <c r="A18" s="262" t="s">
        <v>291</v>
      </c>
      <c r="B18" s="216">
        <f>SUM(H18:H18)+SUM(N18:N18)+SUM(S18:S18)+SUM(X18:X18)+SUM(AC18:AC18)</f>
        <v>606000</v>
      </c>
      <c r="C18" s="216">
        <f t="shared" ref="C18:C24" si="5">SUM(I18:I18)+SUM(O18:O18)+SUM(T18:T18)+SUM(Y18:Y18)+SUM(AD18:AD18)</f>
        <v>72720</v>
      </c>
      <c r="D18" s="173" t="s">
        <v>288</v>
      </c>
      <c r="E18" s="61">
        <f>Prices!D2</f>
        <v>16500</v>
      </c>
      <c r="F18" s="61">
        <v>24</v>
      </c>
      <c r="G18" s="61">
        <v>1</v>
      </c>
      <c r="H18" s="62">
        <f>E18*F18*G18+10000</f>
        <v>406000</v>
      </c>
      <c r="I18" s="62">
        <f t="shared" ref="I18" si="6">H18*0.12</f>
        <v>48720</v>
      </c>
      <c r="J18" s="57"/>
      <c r="K18" s="53"/>
      <c r="L18" s="53"/>
      <c r="M18" s="53"/>
      <c r="N18" s="54"/>
      <c r="O18" s="54"/>
      <c r="P18" s="49"/>
      <c r="Q18" s="50"/>
      <c r="R18" s="50"/>
      <c r="S18" s="51"/>
      <c r="T18" s="51">
        <f>S18*0.12</f>
        <v>0</v>
      </c>
      <c r="U18" s="147" t="s">
        <v>293</v>
      </c>
      <c r="V18" s="7">
        <v>50000</v>
      </c>
      <c r="W18" s="6">
        <v>4</v>
      </c>
      <c r="X18" s="54">
        <f>V18*W18</f>
        <v>200000</v>
      </c>
      <c r="Y18" s="54">
        <f>X18*0.12</f>
        <v>24000</v>
      </c>
      <c r="Z18" s="56"/>
      <c r="AA18" s="50"/>
      <c r="AB18" s="50"/>
      <c r="AC18" s="51">
        <f>AA18*AB18</f>
        <v>0</v>
      </c>
      <c r="AD18" s="51">
        <f>AC18*0.12</f>
        <v>0</v>
      </c>
    </row>
    <row r="19" spans="1:30" s="44" customFormat="1" ht="59.4" customHeight="1" x14ac:dyDescent="0.3">
      <c r="A19" s="263"/>
      <c r="B19" s="216">
        <f>SUM(H19:H19)+SUM(N19:N19)+SUM(S19:S19)+SUM(X19:X19)+SUM(AC19:AC19)</f>
        <v>498500</v>
      </c>
      <c r="C19" s="216">
        <f>SUM(I19:I19)+SUM(O19:O19)+SUM(T19:T19)+SUM(Y19:Y19)+SUM(AD19:AD19)</f>
        <v>59820</v>
      </c>
      <c r="D19" s="173" t="s">
        <v>289</v>
      </c>
      <c r="E19" s="61">
        <f>Prices!D2</f>
        <v>16500</v>
      </c>
      <c r="F19" s="61">
        <v>14.5</v>
      </c>
      <c r="G19" s="61">
        <v>2</v>
      </c>
      <c r="H19" s="62">
        <f>E19*F19*G19+20000</f>
        <v>498500</v>
      </c>
      <c r="I19" s="62">
        <f t="shared" ref="I19" si="7">H19*0.12</f>
        <v>59820</v>
      </c>
      <c r="J19" s="57"/>
      <c r="K19" s="53"/>
      <c r="L19" s="53"/>
      <c r="M19" s="53"/>
      <c r="N19" s="54"/>
      <c r="O19" s="54"/>
      <c r="P19" s="49"/>
      <c r="Q19" s="50"/>
      <c r="R19" s="50"/>
      <c r="S19" s="51"/>
      <c r="T19" s="51"/>
      <c r="U19" s="52"/>
      <c r="V19" s="53"/>
      <c r="W19" s="53"/>
      <c r="X19" s="54"/>
      <c r="Y19" s="54"/>
      <c r="Z19" s="56"/>
      <c r="AA19" s="50"/>
      <c r="AB19" s="50"/>
      <c r="AC19" s="51"/>
      <c r="AD19" s="51"/>
    </row>
    <row r="20" spans="1:30" s="44" customFormat="1" ht="57.6" customHeight="1" x14ac:dyDescent="0.3">
      <c r="A20" s="304"/>
      <c r="B20" s="216">
        <f>SUM(H20:H20)+SUM(N20:N20)+SUM(S20:S20)+SUM(X20:X20)+SUM(AC20:AC20)</f>
        <v>106000</v>
      </c>
      <c r="C20" s="216">
        <f t="shared" si="5"/>
        <v>12720</v>
      </c>
      <c r="D20" s="173" t="s">
        <v>290</v>
      </c>
      <c r="E20" s="61">
        <v>4000</v>
      </c>
      <c r="F20" s="61">
        <v>24</v>
      </c>
      <c r="G20" s="61">
        <v>1</v>
      </c>
      <c r="H20" s="62">
        <f>E20*F20*G20+10000</f>
        <v>106000</v>
      </c>
      <c r="I20" s="62">
        <f t="shared" ref="I20" si="8">H20*0.12</f>
        <v>12720</v>
      </c>
      <c r="J20" s="57"/>
      <c r="K20" s="53"/>
      <c r="L20" s="53"/>
      <c r="M20" s="53"/>
      <c r="N20" s="54"/>
      <c r="O20" s="54"/>
      <c r="P20" s="49"/>
      <c r="Q20" s="50"/>
      <c r="R20" s="50"/>
      <c r="S20" s="51"/>
      <c r="T20" s="51"/>
      <c r="U20" s="52"/>
      <c r="V20" s="53"/>
      <c r="W20" s="53"/>
      <c r="X20" s="54"/>
      <c r="Y20" s="54"/>
      <c r="Z20" s="56"/>
      <c r="AA20" s="50"/>
      <c r="AB20" s="50"/>
      <c r="AC20" s="51"/>
      <c r="AD20" s="51"/>
    </row>
    <row r="21" spans="1:30" s="44" customFormat="1" ht="57.6" customHeight="1" x14ac:dyDescent="0.3">
      <c r="A21" s="310" t="s">
        <v>385</v>
      </c>
      <c r="B21" s="312">
        <f>SUM(H21:H24)+SUM(N21:N24)+SUM(S21:S24)+SUM(X21:X24)+SUM(AC21:AC24)</f>
        <v>15000000</v>
      </c>
      <c r="C21" s="254">
        <f t="shared" si="5"/>
        <v>450000</v>
      </c>
      <c r="D21" s="173"/>
      <c r="E21" s="61"/>
      <c r="F21" s="61"/>
      <c r="G21" s="61"/>
      <c r="H21" s="62"/>
      <c r="I21" s="62"/>
      <c r="J21" s="57" t="s">
        <v>381</v>
      </c>
      <c r="K21" s="53"/>
      <c r="L21" s="53"/>
      <c r="M21" s="53"/>
      <c r="N21" s="54">
        <f t="shared" ref="N21:N23" si="9">15000000/4</f>
        <v>3750000</v>
      </c>
      <c r="O21" s="54">
        <f t="shared" ref="O21:O23" si="10">N21*0.12</f>
        <v>450000</v>
      </c>
      <c r="P21" s="49"/>
      <c r="Q21" s="50"/>
      <c r="R21" s="50"/>
      <c r="S21" s="51"/>
      <c r="T21" s="51"/>
      <c r="U21" s="52"/>
      <c r="V21" s="53"/>
      <c r="W21" s="53"/>
      <c r="X21" s="54"/>
      <c r="Y21" s="54"/>
      <c r="Z21" s="56"/>
      <c r="AA21" s="50"/>
      <c r="AB21" s="50"/>
      <c r="AC21" s="51"/>
      <c r="AD21" s="51"/>
    </row>
    <row r="22" spans="1:30" s="44" customFormat="1" ht="57.6" customHeight="1" x14ac:dyDescent="0.3">
      <c r="A22" s="310"/>
      <c r="B22" s="313"/>
      <c r="C22" s="254">
        <f t="shared" si="5"/>
        <v>450000</v>
      </c>
      <c r="D22" s="173"/>
      <c r="E22" s="61"/>
      <c r="F22" s="61"/>
      <c r="G22" s="61"/>
      <c r="H22" s="62"/>
      <c r="I22" s="62"/>
      <c r="J22" s="57" t="s">
        <v>382</v>
      </c>
      <c r="K22" s="53"/>
      <c r="L22" s="53"/>
      <c r="M22" s="53"/>
      <c r="N22" s="54">
        <f t="shared" si="9"/>
        <v>3750000</v>
      </c>
      <c r="O22" s="54">
        <f t="shared" si="10"/>
        <v>450000</v>
      </c>
      <c r="P22" s="49"/>
      <c r="Q22" s="50"/>
      <c r="R22" s="50"/>
      <c r="S22" s="51"/>
      <c r="T22" s="51"/>
      <c r="U22" s="52"/>
      <c r="V22" s="53"/>
      <c r="W22" s="53"/>
      <c r="X22" s="54"/>
      <c r="Y22" s="54"/>
      <c r="Z22" s="56"/>
      <c r="AA22" s="50"/>
      <c r="AB22" s="50"/>
      <c r="AC22" s="51"/>
      <c r="AD22" s="51"/>
    </row>
    <row r="23" spans="1:30" s="44" customFormat="1" ht="57.6" customHeight="1" x14ac:dyDescent="0.3">
      <c r="A23" s="310"/>
      <c r="B23" s="313"/>
      <c r="C23" s="254">
        <f t="shared" si="5"/>
        <v>450000</v>
      </c>
      <c r="D23" s="173"/>
      <c r="E23" s="61"/>
      <c r="F23" s="61"/>
      <c r="G23" s="61"/>
      <c r="H23" s="62"/>
      <c r="I23" s="62"/>
      <c r="J23" s="57" t="s">
        <v>384</v>
      </c>
      <c r="K23" s="53"/>
      <c r="L23" s="53"/>
      <c r="M23" s="53"/>
      <c r="N23" s="54">
        <f t="shared" si="9"/>
        <v>3750000</v>
      </c>
      <c r="O23" s="54">
        <f t="shared" si="10"/>
        <v>450000</v>
      </c>
      <c r="P23" s="49"/>
      <c r="Q23" s="50"/>
      <c r="R23" s="50"/>
      <c r="S23" s="51"/>
      <c r="T23" s="51"/>
      <c r="U23" s="52"/>
      <c r="V23" s="53"/>
      <c r="W23" s="53"/>
      <c r="X23" s="54"/>
      <c r="Y23" s="54"/>
      <c r="Z23" s="56"/>
      <c r="AA23" s="50"/>
      <c r="AB23" s="50"/>
      <c r="AC23" s="51"/>
      <c r="AD23" s="51"/>
    </row>
    <row r="24" spans="1:30" s="44" customFormat="1" ht="53.4" customHeight="1" x14ac:dyDescent="0.3">
      <c r="A24" s="311"/>
      <c r="B24" s="314"/>
      <c r="C24" s="254">
        <f t="shared" si="5"/>
        <v>450000</v>
      </c>
      <c r="D24" s="49"/>
      <c r="E24" s="50"/>
      <c r="F24" s="50"/>
      <c r="G24" s="50"/>
      <c r="H24" s="51"/>
      <c r="I24" s="51"/>
      <c r="J24" s="57" t="s">
        <v>383</v>
      </c>
      <c r="K24" s="53"/>
      <c r="L24" s="53"/>
      <c r="M24" s="53"/>
      <c r="N24" s="54">
        <f>15000000/4</f>
        <v>3750000</v>
      </c>
      <c r="O24" s="54">
        <f t="shared" ref="O24" si="11">N24*0.12</f>
        <v>450000</v>
      </c>
      <c r="P24" s="49"/>
      <c r="Q24" s="50"/>
      <c r="R24" s="50"/>
      <c r="S24" s="51"/>
      <c r="T24" s="51">
        <f>S24*0.12</f>
        <v>0</v>
      </c>
      <c r="U24" s="52"/>
      <c r="V24" s="53"/>
      <c r="W24" s="53"/>
      <c r="X24" s="54">
        <f t="shared" ref="X24:Y24" si="12">V24*W24</f>
        <v>0</v>
      </c>
      <c r="Y24" s="54">
        <f t="shared" si="12"/>
        <v>0</v>
      </c>
      <c r="Z24" s="56"/>
      <c r="AA24" s="50"/>
      <c r="AB24" s="50"/>
      <c r="AC24" s="51">
        <f>AA24*AB24</f>
        <v>0</v>
      </c>
      <c r="AD24" s="51">
        <f>AC24*0.12</f>
        <v>0</v>
      </c>
    </row>
    <row r="25" spans="1:30" s="44" customFormat="1" ht="14.4" customHeight="1" x14ac:dyDescent="0.3">
      <c r="A25" s="47" t="s">
        <v>84</v>
      </c>
      <c r="B25" s="48">
        <f>SUM(B26:B45)</f>
        <v>29095987.300000001</v>
      </c>
      <c r="C25" s="48">
        <f>SUM(C26:C45)</f>
        <v>11525613.711999999</v>
      </c>
      <c r="D25" s="267" t="s">
        <v>388</v>
      </c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  <c r="X25" s="268"/>
      <c r="Y25" s="268"/>
      <c r="Z25" s="268"/>
      <c r="AA25" s="268"/>
      <c r="AB25" s="268"/>
      <c r="AC25" s="268"/>
      <c r="AD25" s="269"/>
    </row>
    <row r="26" spans="1:30" s="44" customFormat="1" ht="72" customHeight="1" x14ac:dyDescent="0.3">
      <c r="A26" s="298" t="s">
        <v>157</v>
      </c>
      <c r="B26" s="300">
        <f>SUM(H26:H39)++SUM(N26:N39)+SUM(S26:S39)+SUM(X26:X39)+SUM(AC26:AC39)</f>
        <v>10826000</v>
      </c>
      <c r="C26" s="87">
        <f t="shared" ref="C26:C39" si="13">SUM(I26)+SUM(O26)+SUM(T26)+SUM(Y26)+SUM(AD26)</f>
        <v>60719.999999999993</v>
      </c>
      <c r="D26" s="82"/>
      <c r="E26" s="82"/>
      <c r="F26" s="82"/>
      <c r="G26" s="82"/>
      <c r="H26" s="83"/>
      <c r="I26" s="83"/>
      <c r="J26" s="52" t="s">
        <v>195</v>
      </c>
      <c r="K26" s="53"/>
      <c r="L26" s="53"/>
      <c r="M26" s="53"/>
      <c r="N26" s="54">
        <f>46000000*0.011</f>
        <v>505999.99999999994</v>
      </c>
      <c r="O26" s="54">
        <f t="shared" ref="O26:O39" si="14">N26*0.12</f>
        <v>60719.999999999993</v>
      </c>
      <c r="P26" s="49" t="s">
        <v>94</v>
      </c>
      <c r="Q26" s="50"/>
      <c r="R26" s="50"/>
      <c r="S26" s="51"/>
      <c r="T26" s="51">
        <f t="shared" ref="T26:T40" si="15">S26*0.12</f>
        <v>0</v>
      </c>
      <c r="U26" s="52"/>
      <c r="V26" s="53"/>
      <c r="W26" s="53"/>
      <c r="X26" s="54"/>
      <c r="Y26" s="54">
        <f t="shared" ref="Y26:Y40" si="16">X26*0.12</f>
        <v>0</v>
      </c>
      <c r="Z26" s="56"/>
      <c r="AA26" s="50"/>
      <c r="AB26" s="50"/>
      <c r="AC26" s="51">
        <f>AA26*AB26</f>
        <v>0</v>
      </c>
      <c r="AD26" s="51">
        <f t="shared" ref="AD26:AD39" si="17">AC26*0.12</f>
        <v>0</v>
      </c>
    </row>
    <row r="27" spans="1:30" s="44" customFormat="1" ht="47.4" customHeight="1" x14ac:dyDescent="0.3">
      <c r="A27" s="299"/>
      <c r="B27" s="301"/>
      <c r="C27" s="87">
        <f t="shared" si="13"/>
        <v>18000</v>
      </c>
      <c r="D27" s="82"/>
      <c r="E27" s="82"/>
      <c r="F27" s="82"/>
      <c r="G27" s="82"/>
      <c r="H27" s="83"/>
      <c r="I27" s="83"/>
      <c r="J27" s="52" t="s">
        <v>196</v>
      </c>
      <c r="K27" s="53"/>
      <c r="L27" s="53"/>
      <c r="M27" s="53"/>
      <c r="N27" s="54">
        <f>10000000*0.015</f>
        <v>150000</v>
      </c>
      <c r="O27" s="54">
        <f>N27*0.12</f>
        <v>18000</v>
      </c>
      <c r="P27" s="49"/>
      <c r="Q27" s="50"/>
      <c r="R27" s="50"/>
      <c r="S27" s="51"/>
      <c r="T27" s="51">
        <f t="shared" si="15"/>
        <v>0</v>
      </c>
      <c r="U27" s="52"/>
      <c r="V27" s="53"/>
      <c r="W27" s="53"/>
      <c r="X27" s="54"/>
      <c r="Y27" s="54">
        <f t="shared" si="16"/>
        <v>0</v>
      </c>
      <c r="Z27" s="56"/>
      <c r="AA27" s="50"/>
      <c r="AB27" s="50"/>
      <c r="AC27" s="51">
        <f t="shared" ref="AC27:AC39" si="18">AA27*AB27</f>
        <v>0</v>
      </c>
      <c r="AD27" s="51">
        <f t="shared" si="17"/>
        <v>0</v>
      </c>
    </row>
    <row r="28" spans="1:30" s="44" customFormat="1" ht="47.4" customHeight="1" x14ac:dyDescent="0.3">
      <c r="A28" s="299"/>
      <c r="B28" s="301"/>
      <c r="C28" s="87">
        <f t="shared" si="13"/>
        <v>140400</v>
      </c>
      <c r="D28" s="82"/>
      <c r="E28" s="82"/>
      <c r="F28" s="82"/>
      <c r="G28" s="82"/>
      <c r="H28" s="83"/>
      <c r="I28" s="83"/>
      <c r="J28" s="52" t="s">
        <v>197</v>
      </c>
      <c r="K28" s="53"/>
      <c r="L28" s="53"/>
      <c r="M28" s="53"/>
      <c r="N28" s="54">
        <f>78000000*0.015</f>
        <v>1170000</v>
      </c>
      <c r="O28" s="54">
        <f t="shared" si="14"/>
        <v>140400</v>
      </c>
      <c r="P28" s="49"/>
      <c r="Q28" s="50"/>
      <c r="R28" s="50"/>
      <c r="S28" s="51"/>
      <c r="T28" s="51">
        <f t="shared" si="15"/>
        <v>0</v>
      </c>
      <c r="U28" s="52"/>
      <c r="V28" s="53"/>
      <c r="W28" s="53"/>
      <c r="X28" s="54"/>
      <c r="Y28" s="54">
        <f t="shared" si="16"/>
        <v>0</v>
      </c>
      <c r="Z28" s="56"/>
      <c r="AA28" s="50"/>
      <c r="AB28" s="50"/>
      <c r="AC28" s="51">
        <f t="shared" si="18"/>
        <v>0</v>
      </c>
      <c r="AD28" s="51">
        <f t="shared" si="17"/>
        <v>0</v>
      </c>
    </row>
    <row r="29" spans="1:30" s="44" customFormat="1" ht="47.4" customHeight="1" x14ac:dyDescent="0.3">
      <c r="A29" s="299"/>
      <c r="B29" s="301"/>
      <c r="C29" s="87">
        <f t="shared" si="13"/>
        <v>21600</v>
      </c>
      <c r="D29" s="82"/>
      <c r="E29" s="82"/>
      <c r="F29" s="82"/>
      <c r="G29" s="82"/>
      <c r="H29" s="83"/>
      <c r="I29" s="83"/>
      <c r="J29" s="52" t="s">
        <v>198</v>
      </c>
      <c r="K29" s="53"/>
      <c r="L29" s="53"/>
      <c r="M29" s="53"/>
      <c r="N29" s="54">
        <f>12000000*0.015</f>
        <v>180000</v>
      </c>
      <c r="O29" s="54">
        <f t="shared" si="14"/>
        <v>21600</v>
      </c>
      <c r="P29" s="49"/>
      <c r="Q29" s="50"/>
      <c r="R29" s="50"/>
      <c r="S29" s="51"/>
      <c r="T29" s="51">
        <f t="shared" si="15"/>
        <v>0</v>
      </c>
      <c r="U29" s="52"/>
      <c r="V29" s="53"/>
      <c r="W29" s="53"/>
      <c r="X29" s="54"/>
      <c r="Y29" s="54">
        <f t="shared" si="16"/>
        <v>0</v>
      </c>
      <c r="Z29" s="56"/>
      <c r="AA29" s="50"/>
      <c r="AB29" s="50"/>
      <c r="AC29" s="51">
        <f t="shared" si="18"/>
        <v>0</v>
      </c>
      <c r="AD29" s="51">
        <f t="shared" si="17"/>
        <v>0</v>
      </c>
    </row>
    <row r="30" spans="1:30" s="44" customFormat="1" ht="47.4" customHeight="1" x14ac:dyDescent="0.3">
      <c r="A30" s="299"/>
      <c r="B30" s="301"/>
      <c r="C30" s="87">
        <f t="shared" si="13"/>
        <v>133200</v>
      </c>
      <c r="D30" s="82"/>
      <c r="E30" s="82"/>
      <c r="F30" s="82"/>
      <c r="G30" s="82"/>
      <c r="H30" s="83"/>
      <c r="I30" s="83"/>
      <c r="J30" s="52" t="s">
        <v>199</v>
      </c>
      <c r="K30" s="53"/>
      <c r="L30" s="53"/>
      <c r="M30" s="53"/>
      <c r="N30" s="54">
        <f>74000000*0.015</f>
        <v>1110000</v>
      </c>
      <c r="O30" s="54">
        <f t="shared" si="14"/>
        <v>133200</v>
      </c>
      <c r="P30" s="49"/>
      <c r="Q30" s="50"/>
      <c r="R30" s="50"/>
      <c r="S30" s="51"/>
      <c r="T30" s="51">
        <f t="shared" si="15"/>
        <v>0</v>
      </c>
      <c r="U30" s="52"/>
      <c r="V30" s="53"/>
      <c r="W30" s="53"/>
      <c r="X30" s="54"/>
      <c r="Y30" s="54">
        <f t="shared" si="16"/>
        <v>0</v>
      </c>
      <c r="Z30" s="56"/>
      <c r="AA30" s="50"/>
      <c r="AB30" s="50"/>
      <c r="AC30" s="51">
        <f t="shared" si="18"/>
        <v>0</v>
      </c>
      <c r="AD30" s="51">
        <f t="shared" si="17"/>
        <v>0</v>
      </c>
    </row>
    <row r="31" spans="1:30" s="44" customFormat="1" ht="47.4" customHeight="1" x14ac:dyDescent="0.3">
      <c r="A31" s="299"/>
      <c r="B31" s="301"/>
      <c r="C31" s="87">
        <f t="shared" si="13"/>
        <v>39600</v>
      </c>
      <c r="D31" s="82"/>
      <c r="E31" s="82"/>
      <c r="F31" s="82"/>
      <c r="G31" s="82"/>
      <c r="H31" s="83"/>
      <c r="I31" s="83"/>
      <c r="J31" s="52" t="s">
        <v>200</v>
      </c>
      <c r="K31" s="53"/>
      <c r="L31" s="53"/>
      <c r="M31" s="53"/>
      <c r="N31" s="54">
        <f>22000000*0.015</f>
        <v>330000</v>
      </c>
      <c r="O31" s="54">
        <f t="shared" si="14"/>
        <v>39600</v>
      </c>
      <c r="P31" s="49"/>
      <c r="Q31" s="50"/>
      <c r="R31" s="50"/>
      <c r="S31" s="51"/>
      <c r="T31" s="51">
        <f t="shared" si="15"/>
        <v>0</v>
      </c>
      <c r="U31" s="52"/>
      <c r="V31" s="53"/>
      <c r="W31" s="53"/>
      <c r="X31" s="54"/>
      <c r="Y31" s="54">
        <f t="shared" si="16"/>
        <v>0</v>
      </c>
      <c r="Z31" s="56"/>
      <c r="AA31" s="50"/>
      <c r="AB31" s="50"/>
      <c r="AC31" s="51">
        <f t="shared" si="18"/>
        <v>0</v>
      </c>
      <c r="AD31" s="51">
        <f t="shared" si="17"/>
        <v>0</v>
      </c>
    </row>
    <row r="32" spans="1:30" s="44" customFormat="1" ht="47.4" customHeight="1" x14ac:dyDescent="0.3">
      <c r="A32" s="299"/>
      <c r="B32" s="301"/>
      <c r="C32" s="87">
        <f t="shared" si="13"/>
        <v>219600</v>
      </c>
      <c r="D32" s="82"/>
      <c r="E32" s="82"/>
      <c r="F32" s="82"/>
      <c r="G32" s="82"/>
      <c r="H32" s="83"/>
      <c r="I32" s="83"/>
      <c r="J32" s="52" t="s">
        <v>201</v>
      </c>
      <c r="K32" s="53"/>
      <c r="L32" s="53"/>
      <c r="M32" s="53"/>
      <c r="N32" s="54">
        <f>122000000*0.015</f>
        <v>1830000</v>
      </c>
      <c r="O32" s="54">
        <f t="shared" si="14"/>
        <v>219600</v>
      </c>
      <c r="P32" s="49"/>
      <c r="Q32" s="50"/>
      <c r="R32" s="50"/>
      <c r="S32" s="51"/>
      <c r="T32" s="51">
        <f t="shared" si="15"/>
        <v>0</v>
      </c>
      <c r="U32" s="52"/>
      <c r="V32" s="53"/>
      <c r="W32" s="53"/>
      <c r="X32" s="54"/>
      <c r="Y32" s="54">
        <f t="shared" si="16"/>
        <v>0</v>
      </c>
      <c r="Z32" s="56"/>
      <c r="AA32" s="50"/>
      <c r="AB32" s="50"/>
      <c r="AC32" s="51">
        <f t="shared" si="18"/>
        <v>0</v>
      </c>
      <c r="AD32" s="51">
        <f t="shared" si="17"/>
        <v>0</v>
      </c>
    </row>
    <row r="33" spans="1:30" s="44" customFormat="1" ht="47.4" customHeight="1" x14ac:dyDescent="0.3">
      <c r="A33" s="299"/>
      <c r="B33" s="301"/>
      <c r="C33" s="87">
        <f t="shared" si="13"/>
        <v>324000</v>
      </c>
      <c r="D33" s="82"/>
      <c r="E33" s="82"/>
      <c r="F33" s="82"/>
      <c r="G33" s="82"/>
      <c r="H33" s="83"/>
      <c r="I33" s="83"/>
      <c r="J33" s="52" t="s">
        <v>202</v>
      </c>
      <c r="K33" s="53"/>
      <c r="L33" s="53"/>
      <c r="M33" s="53"/>
      <c r="N33" s="54">
        <f>180000000*0.015</f>
        <v>2700000</v>
      </c>
      <c r="O33" s="54">
        <f t="shared" si="14"/>
        <v>324000</v>
      </c>
      <c r="P33" s="49"/>
      <c r="Q33" s="50"/>
      <c r="R33" s="50"/>
      <c r="S33" s="51"/>
      <c r="T33" s="51">
        <f t="shared" si="15"/>
        <v>0</v>
      </c>
      <c r="U33" s="52"/>
      <c r="V33" s="53"/>
      <c r="W33" s="53"/>
      <c r="X33" s="54"/>
      <c r="Y33" s="54">
        <f t="shared" si="16"/>
        <v>0</v>
      </c>
      <c r="Z33" s="56"/>
      <c r="AA33" s="50"/>
      <c r="AB33" s="50"/>
      <c r="AC33" s="51">
        <f t="shared" si="18"/>
        <v>0</v>
      </c>
      <c r="AD33" s="51">
        <f t="shared" si="17"/>
        <v>0</v>
      </c>
    </row>
    <row r="34" spans="1:30" s="44" customFormat="1" ht="47.4" customHeight="1" x14ac:dyDescent="0.3">
      <c r="A34" s="299"/>
      <c r="B34" s="301"/>
      <c r="C34" s="87">
        <f t="shared" si="13"/>
        <v>54000</v>
      </c>
      <c r="D34" s="82"/>
      <c r="E34" s="82"/>
      <c r="F34" s="82"/>
      <c r="G34" s="82"/>
      <c r="H34" s="83"/>
      <c r="I34" s="83"/>
      <c r="J34" s="52" t="s">
        <v>203</v>
      </c>
      <c r="K34" s="53"/>
      <c r="L34" s="53"/>
      <c r="M34" s="53"/>
      <c r="N34" s="54">
        <f>30000000*0.015</f>
        <v>450000</v>
      </c>
      <c r="O34" s="54">
        <f t="shared" si="14"/>
        <v>54000</v>
      </c>
      <c r="P34" s="49"/>
      <c r="Q34" s="50"/>
      <c r="R34" s="50"/>
      <c r="S34" s="51"/>
      <c r="T34" s="51">
        <f t="shared" si="15"/>
        <v>0</v>
      </c>
      <c r="U34" s="52"/>
      <c r="V34" s="53"/>
      <c r="W34" s="53"/>
      <c r="X34" s="54"/>
      <c r="Y34" s="54">
        <f t="shared" si="16"/>
        <v>0</v>
      </c>
      <c r="Z34" s="56"/>
      <c r="AA34" s="50"/>
      <c r="AB34" s="50"/>
      <c r="AC34" s="51">
        <f t="shared" si="18"/>
        <v>0</v>
      </c>
      <c r="AD34" s="51">
        <f t="shared" si="17"/>
        <v>0</v>
      </c>
    </row>
    <row r="35" spans="1:30" s="44" customFormat="1" ht="47.4" customHeight="1" x14ac:dyDescent="0.3">
      <c r="A35" s="299"/>
      <c r="B35" s="301"/>
      <c r="C35" s="87">
        <f t="shared" si="13"/>
        <v>36000</v>
      </c>
      <c r="D35" s="82"/>
      <c r="E35" s="82"/>
      <c r="F35" s="82"/>
      <c r="G35" s="82"/>
      <c r="H35" s="83"/>
      <c r="I35" s="83"/>
      <c r="J35" s="52" t="s">
        <v>204</v>
      </c>
      <c r="K35" s="53"/>
      <c r="L35" s="53"/>
      <c r="M35" s="53"/>
      <c r="N35" s="54">
        <f>20000000*0.015</f>
        <v>300000</v>
      </c>
      <c r="O35" s="54">
        <f t="shared" si="14"/>
        <v>36000</v>
      </c>
      <c r="P35" s="49"/>
      <c r="Q35" s="50"/>
      <c r="R35" s="50"/>
      <c r="S35" s="51"/>
      <c r="T35" s="51">
        <f t="shared" si="15"/>
        <v>0</v>
      </c>
      <c r="U35" s="52"/>
      <c r="V35" s="53"/>
      <c r="W35" s="53"/>
      <c r="X35" s="54"/>
      <c r="Y35" s="54">
        <f t="shared" si="16"/>
        <v>0</v>
      </c>
      <c r="Z35" s="56"/>
      <c r="AA35" s="50"/>
      <c r="AB35" s="50"/>
      <c r="AC35" s="51">
        <f t="shared" si="18"/>
        <v>0</v>
      </c>
      <c r="AD35" s="51">
        <f t="shared" si="17"/>
        <v>0</v>
      </c>
    </row>
    <row r="36" spans="1:30" s="44" customFormat="1" ht="47.4" customHeight="1" x14ac:dyDescent="0.3">
      <c r="A36" s="299"/>
      <c r="B36" s="301"/>
      <c r="C36" s="87">
        <f t="shared" si="13"/>
        <v>36000</v>
      </c>
      <c r="D36" s="82"/>
      <c r="E36" s="82"/>
      <c r="F36" s="82"/>
      <c r="G36" s="82"/>
      <c r="H36" s="83"/>
      <c r="I36" s="83"/>
      <c r="J36" s="52" t="s">
        <v>205</v>
      </c>
      <c r="K36" s="53"/>
      <c r="L36" s="53"/>
      <c r="M36" s="53"/>
      <c r="N36" s="54">
        <f>20000000*0.015</f>
        <v>300000</v>
      </c>
      <c r="O36" s="54">
        <f t="shared" si="14"/>
        <v>36000</v>
      </c>
      <c r="P36" s="49"/>
      <c r="Q36" s="50"/>
      <c r="R36" s="50"/>
      <c r="S36" s="51"/>
      <c r="T36" s="51">
        <f t="shared" si="15"/>
        <v>0</v>
      </c>
      <c r="U36" s="52"/>
      <c r="V36" s="53"/>
      <c r="W36" s="53"/>
      <c r="X36" s="54"/>
      <c r="Y36" s="54">
        <f t="shared" si="16"/>
        <v>0</v>
      </c>
      <c r="Z36" s="56"/>
      <c r="AA36" s="50"/>
      <c r="AB36" s="50"/>
      <c r="AC36" s="51">
        <f t="shared" si="18"/>
        <v>0</v>
      </c>
      <c r="AD36" s="51">
        <f t="shared" si="17"/>
        <v>0</v>
      </c>
    </row>
    <row r="37" spans="1:30" s="44" customFormat="1" ht="47.4" customHeight="1" x14ac:dyDescent="0.3">
      <c r="A37" s="299"/>
      <c r="B37" s="301"/>
      <c r="C37" s="87">
        <f t="shared" si="13"/>
        <v>12600</v>
      </c>
      <c r="D37" s="82"/>
      <c r="E37" s="82"/>
      <c r="F37" s="82"/>
      <c r="G37" s="82"/>
      <c r="H37" s="83"/>
      <c r="I37" s="83"/>
      <c r="J37" s="52" t="s">
        <v>206</v>
      </c>
      <c r="K37" s="53"/>
      <c r="L37" s="53"/>
      <c r="M37" s="53"/>
      <c r="N37" s="54">
        <f>7000000*0.015</f>
        <v>105000</v>
      </c>
      <c r="O37" s="54">
        <f t="shared" si="14"/>
        <v>12600</v>
      </c>
      <c r="P37" s="49"/>
      <c r="Q37" s="50"/>
      <c r="R37" s="50"/>
      <c r="S37" s="51"/>
      <c r="T37" s="51">
        <f t="shared" si="15"/>
        <v>0</v>
      </c>
      <c r="U37" s="52"/>
      <c r="V37" s="53"/>
      <c r="W37" s="53"/>
      <c r="X37" s="54"/>
      <c r="Y37" s="54">
        <f t="shared" si="16"/>
        <v>0</v>
      </c>
      <c r="Z37" s="56"/>
      <c r="AA37" s="50"/>
      <c r="AB37" s="50"/>
      <c r="AC37" s="51">
        <f t="shared" si="18"/>
        <v>0</v>
      </c>
      <c r="AD37" s="51">
        <f t="shared" si="17"/>
        <v>0</v>
      </c>
    </row>
    <row r="38" spans="1:30" s="44" customFormat="1" ht="47.4" customHeight="1" x14ac:dyDescent="0.3">
      <c r="A38" s="299"/>
      <c r="B38" s="301"/>
      <c r="C38" s="87">
        <f t="shared" si="13"/>
        <v>108000</v>
      </c>
      <c r="D38" s="82"/>
      <c r="E38" s="82"/>
      <c r="F38" s="82"/>
      <c r="G38" s="82"/>
      <c r="H38" s="83"/>
      <c r="I38" s="83"/>
      <c r="J38" s="52" t="s">
        <v>207</v>
      </c>
      <c r="K38" s="53"/>
      <c r="L38" s="53"/>
      <c r="M38" s="53"/>
      <c r="N38" s="54">
        <f>60000000*0.015</f>
        <v>900000</v>
      </c>
      <c r="O38" s="54">
        <f t="shared" si="14"/>
        <v>108000</v>
      </c>
      <c r="P38" s="49"/>
      <c r="Q38" s="50"/>
      <c r="R38" s="50"/>
      <c r="S38" s="51"/>
      <c r="T38" s="51">
        <f t="shared" si="15"/>
        <v>0</v>
      </c>
      <c r="U38" s="52"/>
      <c r="V38" s="53"/>
      <c r="W38" s="53"/>
      <c r="X38" s="54"/>
      <c r="Y38" s="54">
        <f t="shared" si="16"/>
        <v>0</v>
      </c>
      <c r="Z38" s="56"/>
      <c r="AA38" s="50"/>
      <c r="AB38" s="50"/>
      <c r="AC38" s="51">
        <f t="shared" si="18"/>
        <v>0</v>
      </c>
      <c r="AD38" s="51">
        <f t="shared" si="17"/>
        <v>0</v>
      </c>
    </row>
    <row r="39" spans="1:30" s="44" customFormat="1" ht="71.400000000000006" customHeight="1" x14ac:dyDescent="0.3">
      <c r="A39" s="299"/>
      <c r="B39" s="301"/>
      <c r="C39" s="87">
        <f t="shared" si="13"/>
        <v>95400</v>
      </c>
      <c r="D39" s="82"/>
      <c r="E39" s="82"/>
      <c r="F39" s="82"/>
      <c r="G39" s="82"/>
      <c r="H39" s="83"/>
      <c r="I39" s="83"/>
      <c r="J39" s="52" t="s">
        <v>208</v>
      </c>
      <c r="K39" s="53"/>
      <c r="L39" s="53"/>
      <c r="M39" s="53"/>
      <c r="N39" s="54">
        <f>53000000*0.015</f>
        <v>795000</v>
      </c>
      <c r="O39" s="54">
        <f t="shared" si="14"/>
        <v>95400</v>
      </c>
      <c r="P39" s="49"/>
      <c r="Q39" s="50"/>
      <c r="R39" s="50"/>
      <c r="S39" s="51"/>
      <c r="T39" s="51">
        <f t="shared" si="15"/>
        <v>0</v>
      </c>
      <c r="U39" s="52"/>
      <c r="V39" s="53"/>
      <c r="W39" s="53"/>
      <c r="X39" s="54"/>
      <c r="Y39" s="54">
        <f t="shared" si="16"/>
        <v>0</v>
      </c>
      <c r="Z39" s="56"/>
      <c r="AA39" s="50"/>
      <c r="AB39" s="50"/>
      <c r="AC39" s="51">
        <f t="shared" si="18"/>
        <v>0</v>
      </c>
      <c r="AD39" s="51">
        <f t="shared" si="17"/>
        <v>0</v>
      </c>
    </row>
    <row r="40" spans="1:30" s="44" customFormat="1" ht="64.2" customHeight="1" x14ac:dyDescent="0.3">
      <c r="A40" s="298" t="s">
        <v>177</v>
      </c>
      <c r="B40" s="264">
        <f>SUM(H40:H41)+SUM(N40:N41)+SUM(S40:S41)+SUM(X40:X41)+SUM(AC40:AC41)</f>
        <v>524110</v>
      </c>
      <c r="C40" s="264">
        <f>SUM(I40:I41)+SUM(O40:O41)+SUM(T40:T41)+SUM(Y40:Y41)+SUM(AD40:AD41)</f>
        <v>62893.2</v>
      </c>
      <c r="D40" s="49" t="s">
        <v>281</v>
      </c>
      <c r="E40" s="50">
        <v>4500</v>
      </c>
      <c r="F40" s="50">
        <v>48</v>
      </c>
      <c r="G40" s="50">
        <v>1</v>
      </c>
      <c r="H40" s="51">
        <f>E40*F40*G40</f>
        <v>216000</v>
      </c>
      <c r="I40" s="51">
        <f>H40*0.12</f>
        <v>25920</v>
      </c>
      <c r="J40" s="52" t="s">
        <v>282</v>
      </c>
      <c r="K40" s="53">
        <f>Prices!D8</f>
        <v>4620</v>
      </c>
      <c r="L40" s="53">
        <v>48</v>
      </c>
      <c r="M40" s="53">
        <v>1</v>
      </c>
      <c r="N40" s="54">
        <f>K40*L40*M40</f>
        <v>221760</v>
      </c>
      <c r="O40" s="54">
        <f>N40*0.12</f>
        <v>26611.200000000001</v>
      </c>
      <c r="P40" s="173" t="s">
        <v>164</v>
      </c>
      <c r="Q40" s="51">
        <f>Prices!B26</f>
        <v>2000</v>
      </c>
      <c r="R40" s="51">
        <v>7</v>
      </c>
      <c r="S40" s="51">
        <f>R40*Q40</f>
        <v>14000</v>
      </c>
      <c r="T40" s="51">
        <f t="shared" si="15"/>
        <v>1680</v>
      </c>
      <c r="V40" s="7"/>
      <c r="W40" s="6"/>
      <c r="X40" s="54"/>
      <c r="Y40" s="54">
        <f t="shared" si="16"/>
        <v>0</v>
      </c>
      <c r="Z40" s="8"/>
      <c r="AA40" s="4"/>
      <c r="AB40" s="4"/>
      <c r="AC40" s="5"/>
      <c r="AD40" s="91"/>
    </row>
    <row r="41" spans="1:30" s="44" customFormat="1" ht="45.6" customHeight="1" x14ac:dyDescent="0.3">
      <c r="A41" s="303"/>
      <c r="B41" s="266"/>
      <c r="C41" s="266"/>
      <c r="D41" s="49" t="s">
        <v>156</v>
      </c>
      <c r="E41" s="50">
        <f>4000</f>
        <v>4000</v>
      </c>
      <c r="F41" s="50">
        <v>6</v>
      </c>
      <c r="G41" s="50">
        <v>3</v>
      </c>
      <c r="H41" s="51">
        <f>E41*F41*G41</f>
        <v>72000</v>
      </c>
      <c r="I41" s="51">
        <f>H41*0.12</f>
        <v>8640</v>
      </c>
      <c r="P41" s="173" t="s">
        <v>283</v>
      </c>
      <c r="Q41" s="51">
        <v>50</v>
      </c>
      <c r="R41" s="51">
        <v>7</v>
      </c>
      <c r="S41" s="51">
        <f>R41*Q41</f>
        <v>350</v>
      </c>
      <c r="T41" s="51">
        <f>S41*0.12</f>
        <v>42</v>
      </c>
      <c r="U41" s="148"/>
      <c r="V41" s="7"/>
      <c r="W41" s="6"/>
      <c r="X41" s="54"/>
      <c r="Y41" s="54"/>
      <c r="Z41" s="8"/>
      <c r="AA41" s="4"/>
      <c r="AB41" s="4"/>
      <c r="AC41" s="5"/>
      <c r="AD41" s="91"/>
    </row>
    <row r="42" spans="1:30" s="44" customFormat="1" ht="45.6" customHeight="1" x14ac:dyDescent="0.3">
      <c r="A42" s="171" t="s">
        <v>238</v>
      </c>
      <c r="B42" s="195">
        <f>12000000+4382539.7</f>
        <v>16382539.699999999</v>
      </c>
      <c r="C42" s="195">
        <v>10000000</v>
      </c>
      <c r="D42" s="49"/>
      <c r="E42" s="50"/>
      <c r="F42" s="50"/>
      <c r="G42" s="50"/>
      <c r="H42" s="51"/>
      <c r="I42" s="51"/>
      <c r="P42" s="173"/>
      <c r="Q42" s="51"/>
      <c r="R42" s="51"/>
      <c r="S42" s="51"/>
      <c r="T42" s="51"/>
      <c r="U42" s="148"/>
      <c r="V42" s="7"/>
      <c r="W42" s="6"/>
      <c r="X42" s="54"/>
      <c r="Y42" s="54"/>
      <c r="Z42" s="8"/>
      <c r="AA42" s="4"/>
      <c r="AB42" s="4"/>
      <c r="AC42" s="5"/>
      <c r="AD42" s="91"/>
    </row>
    <row r="43" spans="1:30" s="44" customFormat="1" ht="95.4" customHeight="1" x14ac:dyDescent="0.3">
      <c r="A43" s="262" t="s">
        <v>239</v>
      </c>
      <c r="B43" s="300">
        <f>SUM(H43:H45)+SUM(N43:N45)+SUM(S43:S45)+SUM(X43:X45)+SUM(AC43:AC45)</f>
        <v>1363337.6</v>
      </c>
      <c r="C43" s="300">
        <f>SUM(I43:I45)+SUM(O43:O45)+SUM(T43:T45)+SUM(Y43:Y45)+SUM(AD43:AD45)</f>
        <v>163600.51199999999</v>
      </c>
      <c r="D43" s="49" t="s">
        <v>159</v>
      </c>
      <c r="E43" s="61">
        <f>Prices!B3</f>
        <v>3080</v>
      </c>
      <c r="F43" s="61">
        <v>30</v>
      </c>
      <c r="G43" s="61">
        <v>2</v>
      </c>
      <c r="H43" s="62">
        <f>E43*F43*G43</f>
        <v>184800</v>
      </c>
      <c r="I43" s="62">
        <f>H43*0.12</f>
        <v>22176</v>
      </c>
      <c r="J43" s="52" t="s">
        <v>162</v>
      </c>
      <c r="K43" s="53">
        <f>Prices!D8</f>
        <v>4620</v>
      </c>
      <c r="L43" s="53">
        <v>4</v>
      </c>
      <c r="M43" s="53">
        <v>3</v>
      </c>
      <c r="N43" s="54">
        <f>K43*L43*M43</f>
        <v>55440</v>
      </c>
      <c r="O43" s="54">
        <f>N43*0.12</f>
        <v>6652.8</v>
      </c>
      <c r="P43" s="49"/>
      <c r="Q43" s="50"/>
      <c r="R43" s="50"/>
      <c r="S43" s="51"/>
      <c r="T43" s="51"/>
      <c r="U43" s="147" t="s">
        <v>160</v>
      </c>
      <c r="V43" s="7">
        <v>10000</v>
      </c>
      <c r="W43" s="6">
        <v>20</v>
      </c>
      <c r="X43" s="54">
        <f>V43*W43</f>
        <v>200000</v>
      </c>
      <c r="Y43" s="54">
        <f>X43*0.12</f>
        <v>24000</v>
      </c>
      <c r="Z43" s="56"/>
      <c r="AA43" s="50"/>
      <c r="AB43" s="50"/>
      <c r="AC43" s="51">
        <f>AA43*AB43</f>
        <v>0</v>
      </c>
      <c r="AD43" s="51"/>
    </row>
    <row r="44" spans="1:30" s="44" customFormat="1" ht="144" x14ac:dyDescent="0.3">
      <c r="A44" s="263"/>
      <c r="B44" s="301"/>
      <c r="C44" s="301"/>
      <c r="D44" s="49" t="s">
        <v>165</v>
      </c>
      <c r="E44" s="61">
        <f>Prices!D2</f>
        <v>16500</v>
      </c>
      <c r="F44" s="61">
        <v>15</v>
      </c>
      <c r="G44" s="61">
        <v>1</v>
      </c>
      <c r="H44" s="62">
        <f>E44*F44*G44</f>
        <v>247500</v>
      </c>
      <c r="I44" s="62">
        <f>H44*0.12</f>
        <v>29700</v>
      </c>
      <c r="J44" s="52"/>
      <c r="K44" s="53"/>
      <c r="L44" s="53"/>
      <c r="M44" s="53"/>
      <c r="N44" s="54"/>
      <c r="O44" s="54"/>
      <c r="P44" s="49"/>
      <c r="Q44" s="50"/>
      <c r="R44" s="50"/>
      <c r="S44" s="51"/>
      <c r="T44" s="51"/>
      <c r="U44" s="147" t="s">
        <v>161</v>
      </c>
      <c r="V44" s="53">
        <v>105000</v>
      </c>
      <c r="W44" s="53">
        <v>3</v>
      </c>
      <c r="X44" s="54">
        <f>V44*W44</f>
        <v>315000</v>
      </c>
      <c r="Y44" s="54">
        <f>X44*0.12</f>
        <v>37800</v>
      </c>
      <c r="Z44" s="56"/>
      <c r="AA44" s="50"/>
      <c r="AB44" s="50"/>
      <c r="AC44" s="51"/>
      <c r="AD44" s="51"/>
    </row>
    <row r="45" spans="1:30" s="44" customFormat="1" ht="43.2" x14ac:dyDescent="0.3">
      <c r="A45" s="302"/>
      <c r="B45" s="301"/>
      <c r="C45" s="301"/>
      <c r="D45" s="173" t="s">
        <v>232</v>
      </c>
      <c r="E45" s="61">
        <f>Prices!D2</f>
        <v>16500</v>
      </c>
      <c r="F45" s="61">
        <v>1.5</v>
      </c>
      <c r="G45" s="61">
        <v>1</v>
      </c>
      <c r="H45" s="62">
        <f>E45*F45*G45</f>
        <v>24750</v>
      </c>
      <c r="I45" s="62">
        <f>H45*0.12</f>
        <v>2970</v>
      </c>
      <c r="J45" s="52" t="s">
        <v>284</v>
      </c>
      <c r="K45" s="53">
        <f>Prices!D4</f>
        <v>20354.399999999998</v>
      </c>
      <c r="L45" s="53">
        <v>5.5</v>
      </c>
      <c r="M45" s="53">
        <v>3</v>
      </c>
      <c r="N45" s="54">
        <f>K45*L45*M45</f>
        <v>335847.6</v>
      </c>
      <c r="O45" s="54">
        <f>N45*0.12</f>
        <v>40301.711999999992</v>
      </c>
      <c r="P45" s="49"/>
      <c r="Q45" s="50"/>
      <c r="R45" s="50"/>
      <c r="S45" s="51"/>
      <c r="T45" s="62"/>
      <c r="V45" s="53"/>
      <c r="W45" s="53"/>
      <c r="X45" s="54"/>
      <c r="Y45" s="54"/>
      <c r="Z45" s="56"/>
      <c r="AA45" s="50"/>
      <c r="AB45" s="50"/>
      <c r="AC45" s="51">
        <f>AA45*AB45</f>
        <v>0</v>
      </c>
      <c r="AD45" s="62"/>
    </row>
    <row r="46" spans="1:30" s="44" customFormat="1" ht="31.95" customHeight="1" x14ac:dyDescent="0.3">
      <c r="A46" s="63" t="s">
        <v>16</v>
      </c>
      <c r="B46" s="64">
        <f>SUM(B47:B65)</f>
        <v>2305800</v>
      </c>
      <c r="C46" s="64">
        <f>SUM(C47:C65)</f>
        <v>276696</v>
      </c>
      <c r="D46" s="305" t="s">
        <v>17</v>
      </c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7"/>
    </row>
    <row r="47" spans="1:30" s="44" customFormat="1" ht="48" customHeight="1" x14ac:dyDescent="0.3">
      <c r="A47" s="52" t="s">
        <v>182</v>
      </c>
      <c r="B47" s="65">
        <f t="shared" ref="B47:B54" si="19">H47</f>
        <v>154000</v>
      </c>
      <c r="C47" s="94">
        <f t="shared" ref="C47:C65" si="20">H47*0.12+N47*0.12+S47*0.12+X47*0.12+AC47*0.12</f>
        <v>18480</v>
      </c>
      <c r="D47" s="49"/>
      <c r="E47" s="50">
        <f>Prices!B3</f>
        <v>3080</v>
      </c>
      <c r="F47" s="50">
        <v>50</v>
      </c>
      <c r="G47" s="50">
        <v>1</v>
      </c>
      <c r="H47" s="51">
        <f t="shared" ref="H47:H54" si="21">E47*F47*G47</f>
        <v>154000</v>
      </c>
      <c r="I47" s="51">
        <f t="shared" ref="I47:I54" si="22">H47*0.12</f>
        <v>18480</v>
      </c>
      <c r="J47" s="52"/>
      <c r="K47" s="53"/>
      <c r="L47" s="53"/>
      <c r="M47" s="53"/>
      <c r="N47" s="54"/>
      <c r="O47" s="54"/>
      <c r="P47" s="49"/>
      <c r="Q47" s="50"/>
      <c r="R47" s="50"/>
      <c r="S47" s="51"/>
      <c r="T47" s="51">
        <f t="shared" ref="T47:T65" si="23">S47*0.12</f>
        <v>0</v>
      </c>
      <c r="U47" s="54"/>
      <c r="V47" s="54"/>
      <c r="W47" s="54"/>
      <c r="X47" s="54"/>
      <c r="Y47" s="54"/>
      <c r="Z47" s="51"/>
      <c r="AA47" s="51"/>
      <c r="AB47" s="51"/>
      <c r="AC47" s="51"/>
      <c r="AD47" s="51">
        <f t="shared" ref="AD47:AD65" si="24">AC47*0.12</f>
        <v>0</v>
      </c>
    </row>
    <row r="48" spans="1:30" s="44" customFormat="1" ht="28.8" x14ac:dyDescent="0.3">
      <c r="A48" s="52" t="s">
        <v>183</v>
      </c>
      <c r="B48" s="65">
        <f t="shared" si="19"/>
        <v>154000</v>
      </c>
      <c r="C48" s="94">
        <f t="shared" si="20"/>
        <v>18480</v>
      </c>
      <c r="D48" s="49"/>
      <c r="E48" s="50">
        <f>Prices!B3</f>
        <v>3080</v>
      </c>
      <c r="F48" s="50">
        <v>50</v>
      </c>
      <c r="G48" s="50">
        <v>1</v>
      </c>
      <c r="H48" s="51">
        <f t="shared" si="21"/>
        <v>154000</v>
      </c>
      <c r="I48" s="51">
        <f t="shared" si="22"/>
        <v>18480</v>
      </c>
      <c r="J48" s="52"/>
      <c r="K48" s="53"/>
      <c r="L48" s="53"/>
      <c r="M48" s="53"/>
      <c r="N48" s="54">
        <f>K48*M48</f>
        <v>0</v>
      </c>
      <c r="O48" s="54">
        <f>L48*N48</f>
        <v>0</v>
      </c>
      <c r="P48" s="49"/>
      <c r="Q48" s="50"/>
      <c r="R48" s="50"/>
      <c r="S48" s="51">
        <f>Q48*R48</f>
        <v>0</v>
      </c>
      <c r="T48" s="51">
        <f t="shared" si="23"/>
        <v>0</v>
      </c>
      <c r="U48" s="54"/>
      <c r="V48" s="54"/>
      <c r="W48" s="54"/>
      <c r="X48" s="54">
        <f>V48*W48</f>
        <v>0</v>
      </c>
      <c r="Y48" s="54">
        <f>W48*X48</f>
        <v>0</v>
      </c>
      <c r="Z48" s="51"/>
      <c r="AA48" s="51"/>
      <c r="AB48" s="51"/>
      <c r="AC48" s="51">
        <f>AA48*AB48</f>
        <v>0</v>
      </c>
      <c r="AD48" s="51">
        <f t="shared" si="24"/>
        <v>0</v>
      </c>
    </row>
    <row r="49" spans="1:30" s="44" customFormat="1" ht="28.8" x14ac:dyDescent="0.3">
      <c r="A49" s="52" t="s">
        <v>224</v>
      </c>
      <c r="B49" s="65">
        <f t="shared" si="19"/>
        <v>185000</v>
      </c>
      <c r="C49" s="94">
        <f t="shared" si="20"/>
        <v>22200</v>
      </c>
      <c r="D49" s="49"/>
      <c r="E49" s="50">
        <v>3700</v>
      </c>
      <c r="F49" s="50">
        <v>50</v>
      </c>
      <c r="G49" s="50">
        <v>1</v>
      </c>
      <c r="H49" s="51">
        <f t="shared" si="21"/>
        <v>185000</v>
      </c>
      <c r="I49" s="51">
        <f t="shared" si="22"/>
        <v>22200</v>
      </c>
      <c r="J49" s="52">
        <f>H49/5</f>
        <v>37000</v>
      </c>
      <c r="K49" s="53">
        <f>B49/4</f>
        <v>46250</v>
      </c>
      <c r="L49" s="53"/>
      <c r="M49" s="53"/>
      <c r="N49" s="54"/>
      <c r="O49" s="54"/>
      <c r="P49" s="49"/>
      <c r="Q49" s="50"/>
      <c r="R49" s="50"/>
      <c r="S49" s="51"/>
      <c r="T49" s="51">
        <f t="shared" si="23"/>
        <v>0</v>
      </c>
      <c r="U49" s="54"/>
      <c r="V49" s="54"/>
      <c r="W49" s="54"/>
      <c r="X49" s="54"/>
      <c r="Y49" s="54"/>
      <c r="Z49" s="51"/>
      <c r="AA49" s="51"/>
      <c r="AB49" s="51"/>
      <c r="AC49" s="51"/>
      <c r="AD49" s="51">
        <f t="shared" si="24"/>
        <v>0</v>
      </c>
    </row>
    <row r="50" spans="1:30" s="44" customFormat="1" x14ac:dyDescent="0.3">
      <c r="A50" s="52" t="s">
        <v>223</v>
      </c>
      <c r="B50" s="65">
        <f t="shared" si="19"/>
        <v>275000</v>
      </c>
      <c r="C50" s="94">
        <f t="shared" ref="C50:C55" si="25">H50*0.12+N50*0.12+S50*0.12+X50*0.12+AC50*0.12</f>
        <v>33000</v>
      </c>
      <c r="D50" s="49"/>
      <c r="E50" s="50">
        <v>5500</v>
      </c>
      <c r="F50" s="50">
        <v>50</v>
      </c>
      <c r="G50" s="50">
        <v>1</v>
      </c>
      <c r="H50" s="51">
        <f t="shared" si="21"/>
        <v>275000</v>
      </c>
      <c r="I50" s="51">
        <f t="shared" si="22"/>
        <v>33000</v>
      </c>
      <c r="J50" s="52"/>
      <c r="K50" s="53"/>
      <c r="L50" s="53"/>
      <c r="M50" s="53"/>
      <c r="N50" s="54">
        <f>K50*M50</f>
        <v>0</v>
      </c>
      <c r="O50" s="54">
        <f>L50*N50</f>
        <v>0</v>
      </c>
      <c r="P50" s="49"/>
      <c r="Q50" s="50"/>
      <c r="R50" s="50"/>
      <c r="S50" s="51">
        <f>Q50*R50</f>
        <v>0</v>
      </c>
      <c r="T50" s="51">
        <f>S50*0.12</f>
        <v>0</v>
      </c>
      <c r="U50" s="54"/>
      <c r="V50" s="54"/>
      <c r="W50" s="54"/>
      <c r="X50" s="54">
        <f>V50*W50</f>
        <v>0</v>
      </c>
      <c r="Y50" s="54">
        <f>W50*X50</f>
        <v>0</v>
      </c>
      <c r="Z50" s="51"/>
      <c r="AA50" s="51"/>
      <c r="AB50" s="51"/>
      <c r="AC50" s="51">
        <f>AA50*AB50</f>
        <v>0</v>
      </c>
      <c r="AD50" s="51">
        <f>AC50*0.12</f>
        <v>0</v>
      </c>
    </row>
    <row r="51" spans="1:30" s="44" customFormat="1" x14ac:dyDescent="0.3">
      <c r="A51" s="52" t="s">
        <v>285</v>
      </c>
      <c r="B51" s="65">
        <f t="shared" si="19"/>
        <v>154000</v>
      </c>
      <c r="C51" s="95">
        <f t="shared" si="25"/>
        <v>18480</v>
      </c>
      <c r="D51" s="49"/>
      <c r="E51" s="50">
        <f>Prices!B3</f>
        <v>3080</v>
      </c>
      <c r="F51" s="50">
        <v>50</v>
      </c>
      <c r="G51" s="50">
        <v>1</v>
      </c>
      <c r="H51" s="51">
        <f t="shared" si="21"/>
        <v>154000</v>
      </c>
      <c r="I51" s="51">
        <f t="shared" si="22"/>
        <v>18480</v>
      </c>
      <c r="J51" s="52"/>
      <c r="K51" s="53"/>
      <c r="L51" s="53"/>
      <c r="M51" s="53"/>
      <c r="N51" s="54"/>
      <c r="O51" s="54"/>
      <c r="P51" s="49"/>
      <c r="Q51" s="50"/>
      <c r="R51" s="50"/>
      <c r="S51" s="51"/>
      <c r="T51" s="51"/>
      <c r="U51" s="54"/>
      <c r="V51" s="54"/>
      <c r="W51" s="54"/>
      <c r="X51" s="54"/>
      <c r="Y51" s="54"/>
      <c r="Z51" s="51"/>
      <c r="AA51" s="51"/>
      <c r="AB51" s="51"/>
      <c r="AC51" s="51"/>
      <c r="AD51" s="51"/>
    </row>
    <row r="52" spans="1:30" s="44" customFormat="1" x14ac:dyDescent="0.3">
      <c r="A52" s="52" t="s">
        <v>184</v>
      </c>
      <c r="B52" s="65">
        <f t="shared" si="19"/>
        <v>184800</v>
      </c>
      <c r="C52" s="95">
        <f t="shared" si="25"/>
        <v>22176</v>
      </c>
      <c r="D52" s="49"/>
      <c r="E52" s="50">
        <f>Prices!B3</f>
        <v>3080</v>
      </c>
      <c r="F52" s="50">
        <v>60</v>
      </c>
      <c r="G52" s="50">
        <v>1</v>
      </c>
      <c r="H52" s="51">
        <f t="shared" si="21"/>
        <v>184800</v>
      </c>
      <c r="I52" s="51">
        <f t="shared" si="22"/>
        <v>22176</v>
      </c>
      <c r="J52" s="52"/>
      <c r="K52" s="53"/>
      <c r="L52" s="53"/>
      <c r="M52" s="53"/>
      <c r="N52" s="54"/>
      <c r="O52" s="54"/>
      <c r="P52" s="49"/>
      <c r="Q52" s="50"/>
      <c r="R52" s="50"/>
      <c r="S52" s="51"/>
      <c r="T52" s="51"/>
      <c r="U52" s="54"/>
      <c r="V52" s="54"/>
      <c r="W52" s="54"/>
      <c r="X52" s="54"/>
      <c r="Y52" s="54"/>
      <c r="Z52" s="51"/>
      <c r="AA52" s="51"/>
      <c r="AB52" s="51"/>
      <c r="AC52" s="51"/>
      <c r="AD52" s="51"/>
    </row>
    <row r="53" spans="1:30" s="44" customFormat="1" ht="28.8" x14ac:dyDescent="0.3">
      <c r="A53" s="52" t="s">
        <v>185</v>
      </c>
      <c r="B53" s="65">
        <f t="shared" si="19"/>
        <v>184800</v>
      </c>
      <c r="C53" s="95">
        <f t="shared" si="25"/>
        <v>22176</v>
      </c>
      <c r="D53" s="49"/>
      <c r="E53" s="50">
        <f>Prices!B3</f>
        <v>3080</v>
      </c>
      <c r="F53" s="50">
        <v>60</v>
      </c>
      <c r="G53" s="50">
        <v>1</v>
      </c>
      <c r="H53" s="51">
        <f t="shared" si="21"/>
        <v>184800</v>
      </c>
      <c r="I53" s="51">
        <f t="shared" si="22"/>
        <v>22176</v>
      </c>
      <c r="J53" s="52"/>
      <c r="K53" s="53"/>
      <c r="L53" s="53"/>
      <c r="M53" s="53"/>
      <c r="N53" s="54"/>
      <c r="O53" s="54"/>
      <c r="P53" s="49"/>
      <c r="Q53" s="50"/>
      <c r="R53" s="50"/>
      <c r="S53" s="51"/>
      <c r="T53" s="51"/>
      <c r="U53" s="54"/>
      <c r="V53" s="54"/>
      <c r="W53" s="54"/>
      <c r="X53" s="54"/>
      <c r="Y53" s="54"/>
      <c r="Z53" s="51"/>
      <c r="AA53" s="51"/>
      <c r="AB53" s="51"/>
      <c r="AC53" s="51"/>
      <c r="AD53" s="51"/>
    </row>
    <row r="54" spans="1:30" s="44" customFormat="1" ht="28.8" x14ac:dyDescent="0.3">
      <c r="A54" s="52" t="s">
        <v>286</v>
      </c>
      <c r="B54" s="65">
        <f t="shared" si="19"/>
        <v>184800</v>
      </c>
      <c r="C54" s="95">
        <f t="shared" si="25"/>
        <v>22176</v>
      </c>
      <c r="D54" s="49"/>
      <c r="E54" s="50">
        <f>Prices!B3</f>
        <v>3080</v>
      </c>
      <c r="F54" s="50">
        <v>60</v>
      </c>
      <c r="G54" s="50">
        <v>1</v>
      </c>
      <c r="H54" s="51">
        <f t="shared" si="21"/>
        <v>184800</v>
      </c>
      <c r="I54" s="51">
        <f t="shared" si="22"/>
        <v>22176</v>
      </c>
      <c r="J54" s="52"/>
      <c r="K54" s="53"/>
      <c r="L54" s="53"/>
      <c r="M54" s="53"/>
      <c r="N54" s="54"/>
      <c r="O54" s="54"/>
      <c r="P54" s="49"/>
      <c r="Q54" s="50"/>
      <c r="R54" s="50"/>
      <c r="S54" s="51"/>
      <c r="T54" s="51"/>
      <c r="U54" s="54"/>
      <c r="V54" s="54"/>
      <c r="W54" s="54"/>
      <c r="X54" s="54"/>
      <c r="Y54" s="54"/>
      <c r="Z54" s="51"/>
      <c r="AA54" s="51"/>
      <c r="AB54" s="51"/>
      <c r="AC54" s="51"/>
      <c r="AD54" s="51"/>
    </row>
    <row r="55" spans="1:30" s="44" customFormat="1" x14ac:dyDescent="0.3">
      <c r="A55" s="149" t="s">
        <v>186</v>
      </c>
      <c r="B55" s="150">
        <f t="shared" ref="B55:B60" si="26">H55</f>
        <v>0</v>
      </c>
      <c r="C55" s="151">
        <f t="shared" si="25"/>
        <v>0</v>
      </c>
      <c r="D55" s="49"/>
      <c r="E55" s="50"/>
      <c r="F55" s="50"/>
      <c r="G55" s="50"/>
      <c r="H55" s="51"/>
      <c r="I55" s="51"/>
      <c r="J55" s="52"/>
      <c r="K55" s="53"/>
      <c r="L55" s="53"/>
      <c r="M55" s="53"/>
      <c r="N55" s="54">
        <f t="shared" ref="N55:O57" si="27">K55*M55</f>
        <v>0</v>
      </c>
      <c r="O55" s="54">
        <f t="shared" si="27"/>
        <v>0</v>
      </c>
      <c r="P55" s="49"/>
      <c r="Q55" s="50"/>
      <c r="R55" s="50"/>
      <c r="S55" s="51">
        <f>Q55*R55</f>
        <v>0</v>
      </c>
      <c r="T55" s="51">
        <f t="shared" si="23"/>
        <v>0</v>
      </c>
      <c r="U55" s="54"/>
      <c r="V55" s="54"/>
      <c r="W55" s="54"/>
      <c r="X55" s="54">
        <f t="shared" ref="X55:Y57" si="28">V55*W55</f>
        <v>0</v>
      </c>
      <c r="Y55" s="54">
        <f t="shared" si="28"/>
        <v>0</v>
      </c>
      <c r="Z55" s="51"/>
      <c r="AA55" s="51"/>
      <c r="AB55" s="51"/>
      <c r="AC55" s="51">
        <f>AA55*AB55</f>
        <v>0</v>
      </c>
      <c r="AD55" s="51">
        <f t="shared" si="24"/>
        <v>0</v>
      </c>
    </row>
    <row r="56" spans="1:30" s="44" customFormat="1" x14ac:dyDescent="0.3">
      <c r="A56" s="149" t="s">
        <v>187</v>
      </c>
      <c r="B56" s="150">
        <f>H56</f>
        <v>0</v>
      </c>
      <c r="C56" s="151">
        <f t="shared" si="20"/>
        <v>0</v>
      </c>
      <c r="D56" s="49"/>
      <c r="E56" s="50"/>
      <c r="F56" s="50"/>
      <c r="G56" s="50"/>
      <c r="H56" s="51"/>
      <c r="I56" s="51"/>
      <c r="J56" s="52"/>
      <c r="K56" s="53"/>
      <c r="L56" s="53"/>
      <c r="M56" s="53"/>
      <c r="N56" s="54">
        <f t="shared" si="27"/>
        <v>0</v>
      </c>
      <c r="O56" s="54">
        <f t="shared" si="27"/>
        <v>0</v>
      </c>
      <c r="P56" s="49"/>
      <c r="Q56" s="50"/>
      <c r="R56" s="50"/>
      <c r="S56" s="51">
        <f>Q56*R56</f>
        <v>0</v>
      </c>
      <c r="T56" s="51">
        <f t="shared" si="23"/>
        <v>0</v>
      </c>
      <c r="U56" s="54"/>
      <c r="V56" s="54"/>
      <c r="W56" s="54"/>
      <c r="X56" s="54">
        <f t="shared" si="28"/>
        <v>0</v>
      </c>
      <c r="Y56" s="54">
        <f t="shared" si="28"/>
        <v>0</v>
      </c>
      <c r="Z56" s="51"/>
      <c r="AA56" s="51"/>
      <c r="AB56" s="51"/>
      <c r="AC56" s="51">
        <f>AA56*AB56</f>
        <v>0</v>
      </c>
      <c r="AD56" s="51">
        <f t="shared" si="24"/>
        <v>0</v>
      </c>
    </row>
    <row r="57" spans="1:30" s="44" customFormat="1" x14ac:dyDescent="0.3">
      <c r="A57" s="149" t="s">
        <v>188</v>
      </c>
      <c r="B57" s="150">
        <f t="shared" si="26"/>
        <v>0</v>
      </c>
      <c r="C57" s="151">
        <f t="shared" si="20"/>
        <v>0</v>
      </c>
      <c r="D57" s="49"/>
      <c r="E57" s="50"/>
      <c r="F57" s="50"/>
      <c r="G57" s="50"/>
      <c r="H57" s="51"/>
      <c r="I57" s="51"/>
      <c r="J57" s="52"/>
      <c r="K57" s="53"/>
      <c r="L57" s="53"/>
      <c r="M57" s="53"/>
      <c r="N57" s="54">
        <f t="shared" si="27"/>
        <v>0</v>
      </c>
      <c r="O57" s="54">
        <f t="shared" si="27"/>
        <v>0</v>
      </c>
      <c r="P57" s="49"/>
      <c r="Q57" s="50"/>
      <c r="R57" s="50"/>
      <c r="S57" s="51">
        <f>Q57*R57</f>
        <v>0</v>
      </c>
      <c r="T57" s="51">
        <f t="shared" si="23"/>
        <v>0</v>
      </c>
      <c r="U57" s="54"/>
      <c r="V57" s="54"/>
      <c r="W57" s="54"/>
      <c r="X57" s="54">
        <f t="shared" si="28"/>
        <v>0</v>
      </c>
      <c r="Y57" s="54">
        <f t="shared" si="28"/>
        <v>0</v>
      </c>
      <c r="Z57" s="51"/>
      <c r="AA57" s="51"/>
      <c r="AB57" s="51"/>
      <c r="AC57" s="51">
        <f>AA57*AB57</f>
        <v>0</v>
      </c>
      <c r="AD57" s="51">
        <f t="shared" si="24"/>
        <v>0</v>
      </c>
    </row>
    <row r="58" spans="1:30" s="44" customFormat="1" x14ac:dyDescent="0.3">
      <c r="A58" s="149" t="s">
        <v>189</v>
      </c>
      <c r="B58" s="150">
        <f t="shared" si="26"/>
        <v>0</v>
      </c>
      <c r="C58" s="151">
        <f t="shared" si="20"/>
        <v>0</v>
      </c>
      <c r="D58" s="49"/>
      <c r="E58" s="50"/>
      <c r="F58" s="50"/>
      <c r="G58" s="50"/>
      <c r="H58" s="51"/>
      <c r="I58" s="51"/>
      <c r="J58" s="52"/>
      <c r="K58" s="53"/>
      <c r="L58" s="53"/>
      <c r="M58" s="53"/>
      <c r="N58" s="54">
        <f t="shared" ref="N58:O65" si="29">K58*M58</f>
        <v>0</v>
      </c>
      <c r="O58" s="54">
        <f t="shared" si="29"/>
        <v>0</v>
      </c>
      <c r="P58" s="49"/>
      <c r="Q58" s="50"/>
      <c r="R58" s="50"/>
      <c r="S58" s="51">
        <f t="shared" ref="S58:S65" si="30">Q58*R58</f>
        <v>0</v>
      </c>
      <c r="T58" s="51">
        <f t="shared" si="23"/>
        <v>0</v>
      </c>
      <c r="U58" s="54"/>
      <c r="V58" s="54"/>
      <c r="W58" s="54"/>
      <c r="X58" s="54">
        <f t="shared" ref="X58:Y65" si="31">V58*W58</f>
        <v>0</v>
      </c>
      <c r="Y58" s="54">
        <f t="shared" si="31"/>
        <v>0</v>
      </c>
      <c r="Z58" s="51"/>
      <c r="AA58" s="51"/>
      <c r="AB58" s="51"/>
      <c r="AC58" s="51">
        <f t="shared" ref="AC58:AC65" si="32">AA58*AB58</f>
        <v>0</v>
      </c>
      <c r="AD58" s="51">
        <f t="shared" si="24"/>
        <v>0</v>
      </c>
    </row>
    <row r="59" spans="1:30" s="44" customFormat="1" x14ac:dyDescent="0.3">
      <c r="A59" s="52" t="s">
        <v>180</v>
      </c>
      <c r="B59" s="65">
        <f t="shared" si="26"/>
        <v>184800</v>
      </c>
      <c r="C59" s="95">
        <f t="shared" si="20"/>
        <v>22176</v>
      </c>
      <c r="D59" s="49"/>
      <c r="E59" s="50">
        <f>Prices!B3</f>
        <v>3080</v>
      </c>
      <c r="F59" s="50">
        <v>60</v>
      </c>
      <c r="G59" s="50">
        <v>1</v>
      </c>
      <c r="H59" s="51">
        <f t="shared" ref="H59:H65" si="33">E59*F59*G59</f>
        <v>184800</v>
      </c>
      <c r="I59" s="51">
        <f t="shared" ref="I59:I65" si="34">H59*0.12</f>
        <v>22176</v>
      </c>
      <c r="J59" s="52"/>
      <c r="K59" s="53"/>
      <c r="L59" s="53"/>
      <c r="M59" s="53"/>
      <c r="N59" s="54"/>
      <c r="O59" s="54"/>
      <c r="P59" s="49"/>
      <c r="Q59" s="50"/>
      <c r="R59" s="50"/>
      <c r="S59" s="51"/>
      <c r="T59" s="51"/>
      <c r="U59" s="54"/>
      <c r="V59" s="54"/>
      <c r="W59" s="54"/>
      <c r="X59" s="54"/>
      <c r="Y59" s="54"/>
      <c r="Z59" s="51"/>
      <c r="AA59" s="51"/>
      <c r="AB59" s="51"/>
      <c r="AC59" s="51"/>
      <c r="AD59" s="51"/>
    </row>
    <row r="60" spans="1:30" s="44" customFormat="1" x14ac:dyDescent="0.3">
      <c r="A60" s="52" t="s">
        <v>181</v>
      </c>
      <c r="B60" s="65">
        <f t="shared" si="26"/>
        <v>184800</v>
      </c>
      <c r="C60" s="95">
        <f t="shared" si="20"/>
        <v>22176</v>
      </c>
      <c r="D60" s="49"/>
      <c r="E60" s="50">
        <f>Prices!B3</f>
        <v>3080</v>
      </c>
      <c r="F60" s="50">
        <v>60</v>
      </c>
      <c r="G60" s="50">
        <v>1</v>
      </c>
      <c r="H60" s="51">
        <f t="shared" si="33"/>
        <v>184800</v>
      </c>
      <c r="I60" s="51">
        <f t="shared" si="34"/>
        <v>22176</v>
      </c>
      <c r="J60" s="52"/>
      <c r="K60" s="53"/>
      <c r="L60" s="53"/>
      <c r="M60" s="53"/>
      <c r="N60" s="54"/>
      <c r="O60" s="54"/>
      <c r="P60" s="49"/>
      <c r="Q60" s="50"/>
      <c r="R60" s="50"/>
      <c r="S60" s="51"/>
      <c r="T60" s="51"/>
      <c r="U60" s="54"/>
      <c r="V60" s="54"/>
      <c r="W60" s="54"/>
      <c r="X60" s="54"/>
      <c r="Y60" s="54"/>
      <c r="Z60" s="51"/>
      <c r="AA60" s="51"/>
      <c r="AB60" s="51"/>
      <c r="AC60" s="51"/>
      <c r="AD60" s="51"/>
    </row>
    <row r="61" spans="1:30" s="44" customFormat="1" x14ac:dyDescent="0.3">
      <c r="A61" s="52" t="s">
        <v>287</v>
      </c>
      <c r="B61" s="65">
        <f>H61</f>
        <v>184800</v>
      </c>
      <c r="C61" s="95">
        <f>H61*0.12+N61*0.12+S61*0.12+X61*0.12+AC61*0.12</f>
        <v>22176</v>
      </c>
      <c r="D61" s="49"/>
      <c r="E61" s="50">
        <f>Prices!B3</f>
        <v>3080</v>
      </c>
      <c r="F61" s="50">
        <v>60</v>
      </c>
      <c r="G61" s="50">
        <v>1</v>
      </c>
      <c r="H61" s="51">
        <f>E61*F61*G61</f>
        <v>184800</v>
      </c>
      <c r="I61" s="51">
        <f t="shared" si="34"/>
        <v>22176</v>
      </c>
      <c r="J61" s="52"/>
      <c r="K61" s="53"/>
      <c r="L61" s="53"/>
      <c r="M61" s="53"/>
      <c r="N61" s="54"/>
      <c r="O61" s="54"/>
      <c r="P61" s="49"/>
      <c r="Q61" s="50"/>
      <c r="R61" s="50"/>
      <c r="S61" s="51"/>
      <c r="T61" s="51"/>
      <c r="U61" s="54"/>
      <c r="V61" s="54"/>
      <c r="W61" s="54"/>
      <c r="X61" s="54"/>
      <c r="Y61" s="54"/>
      <c r="Z61" s="51"/>
      <c r="AA61" s="51"/>
      <c r="AB61" s="51"/>
      <c r="AC61" s="51"/>
      <c r="AD61" s="51"/>
    </row>
    <row r="62" spans="1:30" s="44" customFormat="1" x14ac:dyDescent="0.3">
      <c r="A62" s="296" t="s">
        <v>18</v>
      </c>
      <c r="B62" s="308">
        <f>SUM(H62:H64)</f>
        <v>150000</v>
      </c>
      <c r="C62" s="94">
        <f t="shared" si="20"/>
        <v>2400</v>
      </c>
      <c r="D62" s="49" t="s">
        <v>154</v>
      </c>
      <c r="E62" s="50">
        <v>20000</v>
      </c>
      <c r="F62" s="50">
        <v>1</v>
      </c>
      <c r="G62" s="50">
        <v>1</v>
      </c>
      <c r="H62" s="51">
        <f t="shared" si="33"/>
        <v>20000</v>
      </c>
      <c r="I62" s="51">
        <f t="shared" si="34"/>
        <v>2400</v>
      </c>
      <c r="J62" s="52"/>
      <c r="K62" s="53"/>
      <c r="L62" s="53"/>
      <c r="M62" s="53"/>
      <c r="N62" s="54">
        <f t="shared" si="29"/>
        <v>0</v>
      </c>
      <c r="O62" s="54">
        <f t="shared" si="29"/>
        <v>0</v>
      </c>
      <c r="P62" s="49"/>
      <c r="Q62" s="50"/>
      <c r="R62" s="50"/>
      <c r="S62" s="51">
        <f t="shared" si="30"/>
        <v>0</v>
      </c>
      <c r="T62" s="51">
        <f t="shared" si="23"/>
        <v>0</v>
      </c>
      <c r="U62" s="54"/>
      <c r="V62" s="54"/>
      <c r="W62" s="54"/>
      <c r="X62" s="54">
        <f t="shared" si="31"/>
        <v>0</v>
      </c>
      <c r="Y62" s="54">
        <f t="shared" si="31"/>
        <v>0</v>
      </c>
      <c r="Z62" s="51"/>
      <c r="AA62" s="51"/>
      <c r="AB62" s="51"/>
      <c r="AC62" s="51">
        <f t="shared" si="32"/>
        <v>0</v>
      </c>
      <c r="AD62" s="51">
        <f t="shared" si="24"/>
        <v>0</v>
      </c>
    </row>
    <row r="63" spans="1:30" s="44" customFormat="1" x14ac:dyDescent="0.3">
      <c r="A63" s="297"/>
      <c r="B63" s="309"/>
      <c r="C63" s="95">
        <f t="shared" si="20"/>
        <v>12000</v>
      </c>
      <c r="D63" s="49" t="s">
        <v>389</v>
      </c>
      <c r="E63" s="50">
        <v>100000</v>
      </c>
      <c r="F63" s="50">
        <v>1</v>
      </c>
      <c r="G63" s="50">
        <v>1</v>
      </c>
      <c r="H63" s="51">
        <f t="shared" ref="H63" si="35">E63*F63*G63</f>
        <v>100000</v>
      </c>
      <c r="I63" s="51">
        <f t="shared" ref="I63" si="36">H63*0.12</f>
        <v>12000</v>
      </c>
      <c r="J63" s="52"/>
      <c r="K63" s="53"/>
      <c r="L63" s="53"/>
      <c r="M63" s="53"/>
      <c r="N63" s="54"/>
      <c r="O63" s="54"/>
      <c r="P63" s="49"/>
      <c r="Q63" s="50"/>
      <c r="R63" s="50"/>
      <c r="S63" s="51"/>
      <c r="T63" s="51"/>
      <c r="U63" s="54"/>
      <c r="V63" s="54"/>
      <c r="W63" s="54"/>
      <c r="X63" s="54"/>
      <c r="Y63" s="54"/>
      <c r="Z63" s="51"/>
      <c r="AA63" s="51"/>
      <c r="AB63" s="51"/>
      <c r="AC63" s="51"/>
      <c r="AD63" s="51"/>
    </row>
    <row r="64" spans="1:30" s="44" customFormat="1" ht="15" customHeight="1" x14ac:dyDescent="0.3">
      <c r="A64" s="297"/>
      <c r="B64" s="309"/>
      <c r="C64" s="94">
        <f t="shared" si="20"/>
        <v>3600</v>
      </c>
      <c r="D64" s="49" t="s">
        <v>155</v>
      </c>
      <c r="E64" s="50">
        <v>30000</v>
      </c>
      <c r="F64" s="50">
        <v>1</v>
      </c>
      <c r="G64" s="50">
        <v>1</v>
      </c>
      <c r="H64" s="51">
        <f t="shared" si="33"/>
        <v>30000</v>
      </c>
      <c r="I64" s="51">
        <f t="shared" si="34"/>
        <v>3600</v>
      </c>
      <c r="J64" s="52"/>
      <c r="K64" s="53"/>
      <c r="L64" s="53"/>
      <c r="M64" s="53"/>
      <c r="N64" s="54">
        <f t="shared" si="29"/>
        <v>0</v>
      </c>
      <c r="O64" s="54">
        <f t="shared" si="29"/>
        <v>0</v>
      </c>
      <c r="P64" s="49"/>
      <c r="Q64" s="50"/>
      <c r="R64" s="50"/>
      <c r="S64" s="51">
        <f t="shared" si="30"/>
        <v>0</v>
      </c>
      <c r="T64" s="51">
        <f t="shared" si="23"/>
        <v>0</v>
      </c>
      <c r="U64" s="54"/>
      <c r="V64" s="54"/>
      <c r="W64" s="54"/>
      <c r="X64" s="54">
        <f t="shared" si="31"/>
        <v>0</v>
      </c>
      <c r="Y64" s="54">
        <f t="shared" si="31"/>
        <v>0</v>
      </c>
      <c r="Z64" s="51"/>
      <c r="AA64" s="51"/>
      <c r="AB64" s="51"/>
      <c r="AC64" s="51">
        <f t="shared" si="32"/>
        <v>0</v>
      </c>
      <c r="AD64" s="51">
        <f t="shared" si="24"/>
        <v>0</v>
      </c>
    </row>
    <row r="65" spans="1:30" s="44" customFormat="1" x14ac:dyDescent="0.3">
      <c r="A65" s="52" t="s">
        <v>19</v>
      </c>
      <c r="B65" s="90">
        <f>H65</f>
        <v>125000</v>
      </c>
      <c r="C65" s="94">
        <f t="shared" si="20"/>
        <v>15000</v>
      </c>
      <c r="D65" s="49" t="s">
        <v>20</v>
      </c>
      <c r="E65" s="50">
        <v>25000</v>
      </c>
      <c r="F65" s="50">
        <v>5</v>
      </c>
      <c r="G65" s="50">
        <v>1</v>
      </c>
      <c r="H65" s="51">
        <f t="shared" si="33"/>
        <v>125000</v>
      </c>
      <c r="I65" s="51">
        <f t="shared" si="34"/>
        <v>15000</v>
      </c>
      <c r="J65" s="52"/>
      <c r="K65" s="53"/>
      <c r="L65" s="53"/>
      <c r="M65" s="53"/>
      <c r="N65" s="54">
        <f t="shared" si="29"/>
        <v>0</v>
      </c>
      <c r="O65" s="54">
        <f t="shared" si="29"/>
        <v>0</v>
      </c>
      <c r="P65" s="49"/>
      <c r="Q65" s="50"/>
      <c r="R65" s="50"/>
      <c r="S65" s="51">
        <f t="shared" si="30"/>
        <v>0</v>
      </c>
      <c r="T65" s="51">
        <f t="shared" si="23"/>
        <v>0</v>
      </c>
      <c r="U65" s="54"/>
      <c r="V65" s="54"/>
      <c r="W65" s="54"/>
      <c r="X65" s="54">
        <f t="shared" si="31"/>
        <v>0</v>
      </c>
      <c r="Y65" s="54">
        <f t="shared" si="31"/>
        <v>0</v>
      </c>
      <c r="Z65" s="51"/>
      <c r="AA65" s="51"/>
      <c r="AB65" s="51"/>
      <c r="AC65" s="51">
        <f t="shared" si="32"/>
        <v>0</v>
      </c>
      <c r="AD65" s="51">
        <f t="shared" si="24"/>
        <v>0</v>
      </c>
    </row>
    <row r="66" spans="1:30" s="44" customFormat="1" x14ac:dyDescent="0.3">
      <c r="A66" s="291" t="s">
        <v>21</v>
      </c>
      <c r="B66" s="292"/>
      <c r="C66" s="92"/>
      <c r="D66" s="66"/>
      <c r="E66" s="67"/>
      <c r="F66" s="67"/>
      <c r="G66" s="67"/>
      <c r="H66" s="68">
        <f>SUM(H47:H65)</f>
        <v>2305800</v>
      </c>
      <c r="I66" s="68">
        <f>SUM(I47:I65)</f>
        <v>276696</v>
      </c>
      <c r="J66" s="69"/>
      <c r="K66" s="67"/>
      <c r="L66" s="67"/>
      <c r="M66" s="67"/>
      <c r="N66" s="68"/>
      <c r="O66" s="68">
        <f>SUM(O47:O65)</f>
        <v>0</v>
      </c>
      <c r="P66" s="66"/>
      <c r="Q66" s="67"/>
      <c r="R66" s="67"/>
      <c r="S66" s="68"/>
      <c r="T66" s="68">
        <f>SUM(T47:T65)</f>
        <v>0</v>
      </c>
      <c r="U66" s="69"/>
      <c r="V66" s="67"/>
      <c r="W66" s="67"/>
      <c r="X66" s="68"/>
      <c r="Y66" s="68">
        <f>SUM(Y47:Y65)</f>
        <v>0</v>
      </c>
      <c r="Z66" s="69"/>
      <c r="AA66" s="67"/>
      <c r="AB66" s="67"/>
      <c r="AC66" s="68"/>
      <c r="AD66" s="68">
        <f>SUM(AD47:AD65)</f>
        <v>0</v>
      </c>
    </row>
    <row r="67" spans="1:30" s="44" customFormat="1" x14ac:dyDescent="0.3">
      <c r="A67" s="70" t="s">
        <v>233</v>
      </c>
      <c r="B67" s="160">
        <f>0.01*(B25+11000000)-100000</f>
        <v>300959.87299999996</v>
      </c>
      <c r="C67" s="93">
        <f>B67*0.12</f>
        <v>36115.184759999996</v>
      </c>
      <c r="D67" s="293"/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  <c r="P67" s="294"/>
      <c r="Q67" s="294"/>
      <c r="R67" s="294"/>
      <c r="S67" s="294"/>
      <c r="T67" s="294"/>
      <c r="U67" s="294"/>
      <c r="V67" s="294"/>
      <c r="W67" s="294"/>
      <c r="X67" s="294"/>
      <c r="Y67" s="294"/>
      <c r="Z67" s="294"/>
      <c r="AA67" s="294"/>
      <c r="AB67" s="294"/>
      <c r="AC67" s="295"/>
    </row>
    <row r="68" spans="1:30" x14ac:dyDescent="0.3">
      <c r="A68" s="70" t="s">
        <v>234</v>
      </c>
      <c r="B68" s="160">
        <f>0.01*(B7+B17+1000000)+11878.53</f>
        <v>202822.83000000002</v>
      </c>
      <c r="C68" s="93">
        <f>B68*0.12</f>
        <v>24338.739600000001</v>
      </c>
    </row>
    <row r="69" spans="1:30" x14ac:dyDescent="0.3">
      <c r="D69" s="31"/>
      <c r="H69" s="31"/>
      <c r="I69" s="31"/>
      <c r="N69" s="31"/>
      <c r="O69" s="31"/>
      <c r="P69" s="32"/>
      <c r="S69" s="31"/>
      <c r="T69" s="31"/>
      <c r="X69" s="31"/>
      <c r="Y69" s="31"/>
      <c r="AD69" s="31"/>
    </row>
    <row r="70" spans="1:30" x14ac:dyDescent="0.3">
      <c r="B70" s="2"/>
      <c r="C70" s="2"/>
      <c r="D70" s="31"/>
    </row>
    <row r="71" spans="1:30" x14ac:dyDescent="0.3">
      <c r="B71" s="2"/>
      <c r="C71" s="2"/>
      <c r="D71" s="31"/>
    </row>
    <row r="72" spans="1:30" ht="14.7" customHeight="1" x14ac:dyDescent="0.3">
      <c r="B72" s="31"/>
      <c r="C72" s="31"/>
    </row>
    <row r="73" spans="1:30" x14ac:dyDescent="0.3">
      <c r="B73" s="31"/>
      <c r="C73" s="31"/>
      <c r="S73" s="32"/>
    </row>
    <row r="76" spans="1:30" x14ac:dyDescent="0.3">
      <c r="E76" s="41"/>
    </row>
    <row r="77" spans="1:30" x14ac:dyDescent="0.3">
      <c r="E77" s="41"/>
    </row>
    <row r="78" spans="1:30" x14ac:dyDescent="0.3">
      <c r="E78" s="42"/>
    </row>
    <row r="79" spans="1:30" x14ac:dyDescent="0.3">
      <c r="E79" s="42"/>
      <c r="J79" s="40"/>
    </row>
    <row r="80" spans="1:30" x14ac:dyDescent="0.3">
      <c r="E80" s="42"/>
    </row>
    <row r="81" spans="5:5" x14ac:dyDescent="0.3">
      <c r="E81" s="42"/>
    </row>
    <row r="82" spans="5:5" x14ac:dyDescent="0.3">
      <c r="E82" s="42"/>
    </row>
    <row r="83" spans="5:5" x14ac:dyDescent="0.3">
      <c r="E83" s="42"/>
    </row>
    <row r="84" spans="5:5" x14ac:dyDescent="0.3">
      <c r="E84" s="41"/>
    </row>
    <row r="86" spans="5:5" x14ac:dyDescent="0.3">
      <c r="E86" s="31"/>
    </row>
  </sheetData>
  <mergeCells count="32">
    <mergeCell ref="A18:A20"/>
    <mergeCell ref="D17:AD17"/>
    <mergeCell ref="D25:AD25"/>
    <mergeCell ref="D46:AD46"/>
    <mergeCell ref="B62:B64"/>
    <mergeCell ref="A21:A24"/>
    <mergeCell ref="B21:B24"/>
    <mergeCell ref="A66:B66"/>
    <mergeCell ref="D67:AC67"/>
    <mergeCell ref="A62:A64"/>
    <mergeCell ref="A26:A39"/>
    <mergeCell ref="B26:B39"/>
    <mergeCell ref="A43:A45"/>
    <mergeCell ref="A40:A41"/>
    <mergeCell ref="C43:C45"/>
    <mergeCell ref="B43:B45"/>
    <mergeCell ref="B40:B41"/>
    <mergeCell ref="C40:C41"/>
    <mergeCell ref="D3:AD3"/>
    <mergeCell ref="A14:A16"/>
    <mergeCell ref="B14:B16"/>
    <mergeCell ref="D7:AD7"/>
    <mergeCell ref="D4:F5"/>
    <mergeCell ref="J4:O5"/>
    <mergeCell ref="P4:T5"/>
    <mergeCell ref="U4:Y5"/>
    <mergeCell ref="Z4:AD5"/>
    <mergeCell ref="B3:C3"/>
    <mergeCell ref="A5:A6"/>
    <mergeCell ref="B5:B6"/>
    <mergeCell ref="C5:C6"/>
    <mergeCell ref="C14:C1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F3EAE-4B9D-4A5F-BF1F-8098BE420780}">
  <dimension ref="A2:H37"/>
  <sheetViews>
    <sheetView tabSelected="1" zoomScale="80" zoomScaleNormal="80" workbookViewId="0">
      <selection activeCell="E27" sqref="E27"/>
    </sheetView>
  </sheetViews>
  <sheetFormatPr defaultColWidth="8.69921875" defaultRowHeight="14.4" x14ac:dyDescent="0.3"/>
  <cols>
    <col min="1" max="1" width="51.69921875" style="200" customWidth="1"/>
    <col min="2" max="2" width="13.19921875" style="200" customWidth="1"/>
    <col min="3" max="3" width="17" style="200" customWidth="1"/>
    <col min="4" max="4" width="13.69921875" style="200" bestFit="1" customWidth="1"/>
    <col min="5" max="6" width="13.19921875" style="200" customWidth="1"/>
    <col min="7" max="7" width="16.8984375" style="200" customWidth="1"/>
    <col min="8" max="8" width="12.19921875" style="200" bestFit="1" customWidth="1"/>
    <col min="9" max="16384" width="8.69921875" style="200"/>
  </cols>
  <sheetData>
    <row r="2" spans="1:8" x14ac:dyDescent="0.3">
      <c r="B2" s="201" t="s">
        <v>254</v>
      </c>
      <c r="C2" s="201" t="s">
        <v>255</v>
      </c>
      <c r="D2" s="201" t="s">
        <v>256</v>
      </c>
      <c r="E2" s="201" t="s">
        <v>257</v>
      </c>
      <c r="F2" s="201" t="s">
        <v>258</v>
      </c>
      <c r="G2" s="202" t="s">
        <v>259</v>
      </c>
    </row>
    <row r="3" spans="1:8" ht="28.8" x14ac:dyDescent="0.3">
      <c r="A3" s="203" t="s">
        <v>260</v>
      </c>
      <c r="B3" s="210">
        <f>B6+B14+B17+B22+B25</f>
        <v>8208901.2699999996</v>
      </c>
      <c r="C3" s="210">
        <f>C6+C14+C17+C22+C25-C20</f>
        <v>7637477.2799999993</v>
      </c>
      <c r="D3" s="210">
        <f>D6+D14+D17+D22+D25</f>
        <v>25814707.600000005</v>
      </c>
      <c r="E3" s="210">
        <f>E6+E14+E17+E22+E25-E20</f>
        <v>5609817.0700000003</v>
      </c>
      <c r="F3" s="210">
        <f t="shared" ref="F3" si="0">F6+F14+F17+F22+F25</f>
        <v>2729095.4930000002</v>
      </c>
      <c r="G3" s="210">
        <f>SUM(B3:F3)+1</f>
        <v>49999999.713000007</v>
      </c>
      <c r="H3" s="255"/>
    </row>
    <row r="4" spans="1:8" x14ac:dyDescent="0.3">
      <c r="A4" s="204" t="s">
        <v>280</v>
      </c>
      <c r="B4" s="210">
        <f>B3*0.12</f>
        <v>985068.1523999999</v>
      </c>
      <c r="C4" s="210">
        <f>(C3*0.12)+5000000</f>
        <v>5916497.2736</v>
      </c>
      <c r="D4" s="210">
        <f>(D3-D20)*0.12</f>
        <v>1131860.2320000005</v>
      </c>
      <c r="E4" s="211">
        <f>E3*0.12+5000000</f>
        <v>5673178.0483999997</v>
      </c>
      <c r="F4" s="211">
        <f t="shared" ref="F4" si="1">F3*0.12</f>
        <v>327491.45916000003</v>
      </c>
      <c r="G4" s="211">
        <f>SUM(B4:F4)</f>
        <v>14034095.16556</v>
      </c>
      <c r="H4" s="255"/>
    </row>
    <row r="5" spans="1:8" ht="28.8" x14ac:dyDescent="0.3">
      <c r="A5" s="205" t="s">
        <v>260</v>
      </c>
      <c r="B5" s="212">
        <f t="shared" ref="B5:G5" si="2">SUM(B3:B4)</f>
        <v>9193969.4223999996</v>
      </c>
      <c r="C5" s="212">
        <f t="shared" si="2"/>
        <v>13553974.553599998</v>
      </c>
      <c r="D5" s="212">
        <f t="shared" si="2"/>
        <v>26946567.832000006</v>
      </c>
      <c r="E5" s="212">
        <f t="shared" si="2"/>
        <v>11282995.1184</v>
      </c>
      <c r="F5" s="212">
        <f t="shared" si="2"/>
        <v>3056586.9521600003</v>
      </c>
      <c r="G5" s="212">
        <f t="shared" si="2"/>
        <v>64034094.878560007</v>
      </c>
    </row>
    <row r="6" spans="1:8" ht="43.2" x14ac:dyDescent="0.3">
      <c r="A6" s="205" t="str">
        <f>'1. Detailed Budget'!D7</f>
        <v>Componente 1. Creación y fortalecimiento de los instrumentos de gestión fiscal responsable de la inversión pública a través de APP (Ejecuta Ministerio de Economía y Finanzas - MEF)</v>
      </c>
      <c r="B6" s="206">
        <f t="shared" ref="B6:F6" si="3">SUM(B7:B13)</f>
        <v>642463.51</v>
      </c>
      <c r="C6" s="206">
        <f t="shared" si="3"/>
        <v>499715.49</v>
      </c>
      <c r="D6" s="206">
        <f t="shared" si="3"/>
        <v>533500</v>
      </c>
      <c r="E6" s="206">
        <f t="shared" si="3"/>
        <v>8250</v>
      </c>
      <c r="F6" s="206">
        <f t="shared" si="3"/>
        <v>200000</v>
      </c>
      <c r="G6" s="206">
        <f t="shared" ref="G6:G24" si="4">SUM(B6:F6)</f>
        <v>1883929</v>
      </c>
    </row>
    <row r="7" spans="1:8" ht="28.8" x14ac:dyDescent="0.3">
      <c r="A7" s="250" t="str">
        <f>'1. Detailed Budget'!A8</f>
        <v>1.1 Modelo que apoye la identificación, análisis y mitigación de riesgos de proyectos APP desarrollado e implementado</v>
      </c>
      <c r="B7" s="251">
        <v>366379</v>
      </c>
      <c r="C7" s="251">
        <v>0</v>
      </c>
      <c r="D7" s="251">
        <v>0</v>
      </c>
      <c r="E7" s="251">
        <v>0</v>
      </c>
      <c r="F7" s="251">
        <v>0</v>
      </c>
      <c r="G7" s="251">
        <f t="shared" si="4"/>
        <v>366379</v>
      </c>
    </row>
    <row r="8" spans="1:8" ht="28.8" x14ac:dyDescent="0.3">
      <c r="A8" s="250" t="str">
        <f>'1. Detailed Budget'!A9</f>
        <v>1.2 Modelo optimizado de análisis de disponibilidad presupuestaria implementado</v>
      </c>
      <c r="B8" s="208">
        <v>122126</v>
      </c>
      <c r="C8" s="208">
        <v>0</v>
      </c>
      <c r="D8" s="208">
        <v>0</v>
      </c>
      <c r="E8" s="208">
        <v>0</v>
      </c>
      <c r="F8" s="208">
        <v>0</v>
      </c>
      <c r="G8" s="208">
        <f t="shared" si="4"/>
        <v>122126</v>
      </c>
    </row>
    <row r="9" spans="1:8" ht="28.8" x14ac:dyDescent="0.3">
      <c r="A9" s="250" t="str">
        <f>'1. Detailed Budget'!A10</f>
        <v>1.3 Lineamientos para la valoración, registro y gestión de los pasivos firmes y contingentes desarrollados e implementados</v>
      </c>
      <c r="B9" s="208">
        <v>18092.78</v>
      </c>
      <c r="C9" s="208">
        <v>144742.22</v>
      </c>
      <c r="D9" s="208">
        <v>0</v>
      </c>
      <c r="E9" s="208">
        <v>0</v>
      </c>
      <c r="F9" s="208">
        <v>0</v>
      </c>
      <c r="G9" s="208">
        <f t="shared" si="4"/>
        <v>162835</v>
      </c>
    </row>
    <row r="10" spans="1:8" ht="28.8" x14ac:dyDescent="0.3">
      <c r="A10" s="250" t="str">
        <f>'1. Detailed Budget'!A11</f>
        <v>1.4 Modelo optimizado de análisis de sostenibilidad fiscal desarrollado e implementado</v>
      </c>
      <c r="B10" s="208">
        <v>0</v>
      </c>
      <c r="C10" s="208">
        <v>122126</v>
      </c>
      <c r="D10" s="208">
        <v>0</v>
      </c>
      <c r="E10" s="208">
        <v>0</v>
      </c>
      <c r="F10" s="208">
        <v>0</v>
      </c>
      <c r="G10" s="208">
        <f t="shared" si="4"/>
        <v>122126</v>
      </c>
    </row>
    <row r="11" spans="1:8" x14ac:dyDescent="0.3">
      <c r="A11" s="250" t="str">
        <f>'1. Detailed Budget'!A12</f>
        <v xml:space="preserve">1.5 Modelo de gestión de contratos implementado </v>
      </c>
      <c r="B11" s="208">
        <v>135865.73000000001</v>
      </c>
      <c r="C11" s="208">
        <v>108387.27</v>
      </c>
      <c r="D11" s="208">
        <v>0</v>
      </c>
      <c r="E11" s="208">
        <v>0</v>
      </c>
      <c r="F11" s="208">
        <v>0</v>
      </c>
      <c r="G11" s="208">
        <f t="shared" si="4"/>
        <v>244253</v>
      </c>
    </row>
    <row r="12" spans="1:8" ht="28.8" x14ac:dyDescent="0.3">
      <c r="A12" s="250" t="str">
        <f>'1. Detailed Budget'!A13</f>
        <v>1.6 Modulo de registro de proyectos APP en coordinación con SENPLADES para apoyar la gestión del programa implementado</v>
      </c>
      <c r="B12" s="208">
        <v>0</v>
      </c>
      <c r="C12" s="208">
        <v>36960</v>
      </c>
      <c r="D12" s="208">
        <v>0</v>
      </c>
      <c r="E12" s="208">
        <v>0</v>
      </c>
      <c r="F12" s="208">
        <v>0</v>
      </c>
      <c r="G12" s="208">
        <f t="shared" si="4"/>
        <v>36960</v>
      </c>
    </row>
    <row r="13" spans="1:8" ht="28.8" x14ac:dyDescent="0.3">
      <c r="A13" s="250" t="str">
        <f>'1. Detailed Budget'!A14</f>
        <v>1.7  Programa de  capacitación de funcionarios públicos en APP implantado</v>
      </c>
      <c r="B13" s="208">
        <v>0</v>
      </c>
      <c r="C13" s="208">
        <v>87500</v>
      </c>
      <c r="D13" s="208">
        <v>533500</v>
      </c>
      <c r="E13" s="208">
        <v>8250</v>
      </c>
      <c r="F13" s="208">
        <v>200000</v>
      </c>
      <c r="G13" s="208">
        <f t="shared" si="4"/>
        <v>829250</v>
      </c>
    </row>
    <row r="14" spans="1:8" ht="43.2" x14ac:dyDescent="0.3">
      <c r="A14" s="205" t="str">
        <f>'1. Detailed Budget'!D17</f>
        <v>Componente 2. Fortalecimiento de los Instrumentos de estructuración de proyectos de inversión pública bajo a modalidad de APP a nivel nacional (Ejecuta MEF)</v>
      </c>
      <c r="B14" s="206">
        <f t="shared" ref="B14:E14" si="5">SUM(B15:B16)</f>
        <v>5605250</v>
      </c>
      <c r="C14" s="206">
        <f>SUM(C15:C16)</f>
        <v>5605250</v>
      </c>
      <c r="D14" s="206">
        <f t="shared" si="5"/>
        <v>5000000</v>
      </c>
      <c r="E14" s="206">
        <f t="shared" si="5"/>
        <v>0</v>
      </c>
      <c r="F14" s="206">
        <f>SUM(F15:F16)</f>
        <v>0</v>
      </c>
      <c r="G14" s="206">
        <f t="shared" si="4"/>
        <v>16210500</v>
      </c>
    </row>
    <row r="15" spans="1:8" ht="14.4" customHeight="1" x14ac:dyDescent="0.3">
      <c r="A15" s="250" t="str">
        <f>'1. Detailed Budget'!A18</f>
        <v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v>
      </c>
      <c r="B15" s="208">
        <f>1210500/2</f>
        <v>605250</v>
      </c>
      <c r="C15" s="208">
        <f>1210500/2</f>
        <v>605250</v>
      </c>
      <c r="D15" s="208">
        <v>0</v>
      </c>
      <c r="E15" s="208">
        <v>0</v>
      </c>
      <c r="F15" s="208">
        <v>0</v>
      </c>
      <c r="G15" s="208">
        <f t="shared" si="4"/>
        <v>1210500</v>
      </c>
    </row>
    <row r="16" spans="1:8" ht="42" customHeight="1" x14ac:dyDescent="0.3">
      <c r="A16" s="250" t="str">
        <f>'1. Detailed Budget'!A21</f>
        <v>2.2 Estudios de pre-estructuración y estructuración de proyectos de inversión pública bajo APP elaborados</v>
      </c>
      <c r="B16" s="208">
        <v>5000000</v>
      </c>
      <c r="C16" s="208">
        <v>5000000</v>
      </c>
      <c r="D16" s="208">
        <v>5000000</v>
      </c>
      <c r="E16" s="208">
        <v>0</v>
      </c>
      <c r="F16" s="208">
        <v>0</v>
      </c>
      <c r="G16" s="208">
        <f t="shared" si="4"/>
        <v>15000000</v>
      </c>
    </row>
    <row r="17" spans="1:8" ht="43.2" x14ac:dyDescent="0.3">
      <c r="A17" s="205" t="str">
        <f>'1. Detailed Budget'!D25</f>
        <v>Componente 3. Mejora de la inversión pública de los Gobiernos Autónomos Descentralizados (GAD) con participación privada (Ejecuta Banco de Desarrollo de Ecuador B.P. (BDE)</v>
      </c>
      <c r="B17" s="206">
        <f t="shared" ref="B17:E17" si="6">SUM(B18:B21)</f>
        <v>1649138</v>
      </c>
      <c r="C17" s="206">
        <f t="shared" si="6"/>
        <v>6071491.0199999996</v>
      </c>
      <c r="D17" s="206">
        <f t="shared" si="6"/>
        <v>19816990.910000004</v>
      </c>
      <c r="E17" s="206">
        <f t="shared" si="6"/>
        <v>10095170.689999999</v>
      </c>
      <c r="F17" s="206">
        <f>SUM(F18:F21)</f>
        <v>1463196.37</v>
      </c>
      <c r="G17" s="206">
        <f t="shared" si="4"/>
        <v>39095986.990000002</v>
      </c>
    </row>
    <row r="18" spans="1:8" ht="28.8" x14ac:dyDescent="0.3">
      <c r="A18" s="250" t="str">
        <f>'1. Detailed Budget'!A26</f>
        <v>3.1 Estudios de pre-estructuración y estructuración de proyectos de inversión pública bajo APP elaborados</v>
      </c>
      <c r="B18" s="208">
        <f>260000+940000</f>
        <v>1200000</v>
      </c>
      <c r="C18" s="208">
        <v>567291.66999999993</v>
      </c>
      <c r="D18" s="208">
        <v>2741374.99</v>
      </c>
      <c r="E18" s="208">
        <v>4970083.33</v>
      </c>
      <c r="F18" s="208">
        <v>1347250.01</v>
      </c>
      <c r="G18" s="208">
        <f t="shared" si="4"/>
        <v>10826000</v>
      </c>
    </row>
    <row r="19" spans="1:8" ht="28.8" x14ac:dyDescent="0.3">
      <c r="A19" s="250" t="str">
        <f>'1. Detailed Budget'!A40</f>
        <v>3.2 Fondo de garantía para la bancabilidad de proyectos APP de los GADs diseñado e implementado</v>
      </c>
      <c r="B19" s="208">
        <v>57850</v>
      </c>
      <c r="C19" s="208">
        <v>270696</v>
      </c>
      <c r="D19" s="208">
        <v>195564</v>
      </c>
      <c r="E19" s="208">
        <v>0</v>
      </c>
      <c r="F19" s="208">
        <v>0</v>
      </c>
      <c r="G19" s="208">
        <f t="shared" si="4"/>
        <v>524110</v>
      </c>
    </row>
    <row r="20" spans="1:8" x14ac:dyDescent="0.3">
      <c r="A20" s="250" t="str">
        <f>'1. Detailed Budget'!A42</f>
        <v>3.3. Proyectos que reciben garantías del Fondo de Garantías de APP</v>
      </c>
      <c r="B20" s="208">
        <v>0</v>
      </c>
      <c r="C20" s="208">
        <v>5000000</v>
      </c>
      <c r="D20" s="208">
        <f>6382539+10000000</f>
        <v>16382539</v>
      </c>
      <c r="E20" s="208">
        <v>5000000</v>
      </c>
      <c r="G20" s="208">
        <f>SUM(B20:E20)</f>
        <v>26382539</v>
      </c>
      <c r="H20" s="219"/>
    </row>
    <row r="21" spans="1:8" ht="25.8" customHeight="1" x14ac:dyDescent="0.3">
      <c r="A21" s="250" t="str">
        <f>'1. Detailed Budget'!A43</f>
        <v>3.4 Plan continuo de fortalecimiento institucional del Banco de Desarrollo de Ecuador B.P. (BDE) y GAD implantado</v>
      </c>
      <c r="B21" s="208">
        <f>79350.57+311937.43</f>
        <v>391288</v>
      </c>
      <c r="C21" s="208">
        <v>233503.34999999998</v>
      </c>
      <c r="D21" s="208">
        <v>497512.92</v>
      </c>
      <c r="E21" s="208">
        <v>125087.35999999999</v>
      </c>
      <c r="F21" s="208">
        <v>115946.35999999999</v>
      </c>
      <c r="G21" s="208">
        <f t="shared" si="4"/>
        <v>1363337.9899999998</v>
      </c>
    </row>
    <row r="22" spans="1:8" x14ac:dyDescent="0.3">
      <c r="A22" s="257" t="s">
        <v>395</v>
      </c>
      <c r="B22" s="206">
        <f>SUM(B23:B24)</f>
        <v>287049.76</v>
      </c>
      <c r="C22" s="206">
        <f t="shared" ref="C22:F22" si="7">SUM(C23:C24)</f>
        <v>389770.77</v>
      </c>
      <c r="D22" s="206">
        <f t="shared" si="7"/>
        <v>392966.69</v>
      </c>
      <c r="E22" s="206">
        <f t="shared" si="7"/>
        <v>415146.38</v>
      </c>
      <c r="F22" s="206">
        <f t="shared" si="7"/>
        <v>864649.12300000002</v>
      </c>
      <c r="G22" s="206">
        <f t="shared" si="4"/>
        <v>2349582.7230000002</v>
      </c>
    </row>
    <row r="23" spans="1:8" x14ac:dyDescent="0.3">
      <c r="A23" s="207" t="s">
        <v>277</v>
      </c>
      <c r="B23" s="208">
        <f>312049.76-B25</f>
        <v>287049.76</v>
      </c>
      <c r="C23" s="208">
        <f>461020.77-C25</f>
        <v>389770.77</v>
      </c>
      <c r="D23" s="208">
        <f>464216.69-D25</f>
        <v>392966.69</v>
      </c>
      <c r="E23" s="208">
        <f>506396.38-E25</f>
        <v>415146.38</v>
      </c>
      <c r="F23" s="208">
        <f>562116.42-F25</f>
        <v>360866.42000000004</v>
      </c>
      <c r="G23" s="208">
        <f t="shared" si="4"/>
        <v>1845800.02</v>
      </c>
    </row>
    <row r="24" spans="1:8" x14ac:dyDescent="0.3">
      <c r="A24" s="207" t="s">
        <v>278</v>
      </c>
      <c r="B24" s="208">
        <v>0</v>
      </c>
      <c r="C24" s="208">
        <v>0</v>
      </c>
      <c r="D24" s="208">
        <v>0</v>
      </c>
      <c r="E24" s="208">
        <v>0</v>
      </c>
      <c r="F24" s="208">
        <f>'1. Detailed Budget'!B67+'1. Detailed Budget'!B68</f>
        <v>503782.70299999998</v>
      </c>
      <c r="G24" s="208">
        <f t="shared" si="4"/>
        <v>503782.70299999998</v>
      </c>
    </row>
    <row r="25" spans="1:8" ht="28.8" x14ac:dyDescent="0.3">
      <c r="A25" s="205" t="s">
        <v>393</v>
      </c>
      <c r="B25" s="206">
        <f t="shared" ref="B25:G25" si="8">SUM(B26:B30)</f>
        <v>25000</v>
      </c>
      <c r="C25" s="206">
        <f t="shared" si="8"/>
        <v>71250</v>
      </c>
      <c r="D25" s="206">
        <f t="shared" si="8"/>
        <v>71250</v>
      </c>
      <c r="E25" s="206">
        <f t="shared" si="8"/>
        <v>91250</v>
      </c>
      <c r="F25" s="206">
        <f t="shared" si="8"/>
        <v>201250</v>
      </c>
      <c r="G25" s="206">
        <f t="shared" si="8"/>
        <v>460000</v>
      </c>
    </row>
    <row r="26" spans="1:8" x14ac:dyDescent="0.3">
      <c r="A26" s="207" t="s">
        <v>390</v>
      </c>
      <c r="B26" s="208"/>
      <c r="C26" s="208">
        <v>46250</v>
      </c>
      <c r="D26" s="208">
        <v>46250</v>
      </c>
      <c r="E26" s="208">
        <v>46250</v>
      </c>
      <c r="F26" s="208">
        <v>46250</v>
      </c>
      <c r="G26" s="208">
        <f>SUM(B26:F26)</f>
        <v>185000</v>
      </c>
    </row>
    <row r="27" spans="1:8" x14ac:dyDescent="0.3">
      <c r="A27" s="258" t="s">
        <v>396</v>
      </c>
      <c r="B27" s="208"/>
      <c r="C27" s="208"/>
      <c r="D27" s="208"/>
      <c r="E27" s="208"/>
      <c r="F27" s="208"/>
      <c r="G27" s="208">
        <f>SUM(B27:F27)</f>
        <v>0</v>
      </c>
    </row>
    <row r="28" spans="1:8" ht="28.8" x14ac:dyDescent="0.3">
      <c r="A28" s="258" t="s">
        <v>397</v>
      </c>
      <c r="B28" s="208"/>
      <c r="C28" s="208"/>
      <c r="D28" s="208"/>
      <c r="E28" s="208"/>
      <c r="F28" s="208"/>
      <c r="G28" s="208">
        <f>SUM(B28:F28)</f>
        <v>0</v>
      </c>
    </row>
    <row r="29" spans="1:8" x14ac:dyDescent="0.3">
      <c r="A29" s="207" t="s">
        <v>391</v>
      </c>
      <c r="B29" s="208"/>
      <c r="C29" s="208"/>
      <c r="D29" s="208"/>
      <c r="E29" s="208">
        <v>20000</v>
      </c>
      <c r="F29" s="208">
        <v>130000</v>
      </c>
      <c r="G29" s="208">
        <f>SUM(B29:F29)</f>
        <v>150000</v>
      </c>
    </row>
    <row r="30" spans="1:8" x14ac:dyDescent="0.3">
      <c r="A30" s="207" t="s">
        <v>392</v>
      </c>
      <c r="B30" s="208">
        <v>25000</v>
      </c>
      <c r="C30" s="208">
        <v>25000</v>
      </c>
      <c r="D30" s="208">
        <v>25000</v>
      </c>
      <c r="E30" s="208">
        <v>25000</v>
      </c>
      <c r="F30" s="208">
        <v>25000</v>
      </c>
      <c r="G30" s="208">
        <f>SUM(B30:F30)</f>
        <v>125000</v>
      </c>
    </row>
    <row r="31" spans="1:8" x14ac:dyDescent="0.3">
      <c r="A31" s="252" t="s">
        <v>279</v>
      </c>
      <c r="B31" s="253">
        <v>0</v>
      </c>
      <c r="C31" s="253">
        <v>0</v>
      </c>
      <c r="D31" s="253">
        <v>0</v>
      </c>
      <c r="E31" s="253">
        <v>0</v>
      </c>
      <c r="F31" s="253">
        <v>0</v>
      </c>
      <c r="G31" s="253">
        <v>0</v>
      </c>
    </row>
    <row r="32" spans="1:8" x14ac:dyDescent="0.3">
      <c r="B32" s="209"/>
      <c r="C32" s="209"/>
      <c r="D32" s="209"/>
      <c r="E32" s="209"/>
      <c r="F32" s="209"/>
      <c r="G32" s="209"/>
    </row>
    <row r="35" spans="2:7" x14ac:dyDescent="0.3">
      <c r="B35" s="219"/>
      <c r="C35" s="219"/>
      <c r="D35" s="219"/>
      <c r="E35" s="219"/>
      <c r="F35" s="219"/>
      <c r="G35" s="219"/>
    </row>
    <row r="36" spans="2:7" x14ac:dyDescent="0.3">
      <c r="B36" s="219"/>
      <c r="C36" s="219"/>
      <c r="D36" s="219"/>
      <c r="E36" s="219"/>
      <c r="F36" s="219"/>
      <c r="G36" s="219"/>
    </row>
    <row r="37" spans="2:7" x14ac:dyDescent="0.3">
      <c r="B37" s="219"/>
      <c r="C37" s="219"/>
      <c r="D37" s="219"/>
      <c r="E37" s="219"/>
      <c r="F37" s="219"/>
      <c r="G37" s="219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48009-C748-4B3F-A54C-79536C13D676}">
  <dimension ref="A2:T97"/>
  <sheetViews>
    <sheetView zoomScale="80" zoomScaleNormal="80" workbookViewId="0">
      <selection activeCell="C112" sqref="C112"/>
    </sheetView>
  </sheetViews>
  <sheetFormatPr defaultColWidth="8.19921875" defaultRowHeight="13.8" x14ac:dyDescent="0.25"/>
  <cols>
    <col min="1" max="1" width="36.59765625" style="126" customWidth="1"/>
    <col min="2" max="2" width="8.19921875" style="126" customWidth="1"/>
    <col min="3" max="3" width="46.3984375" style="126" customWidth="1"/>
    <col min="4" max="4" width="26" style="126" customWidth="1"/>
    <col min="5" max="5" width="11.59765625" style="126" customWidth="1"/>
    <col min="6" max="6" width="14" style="126" customWidth="1"/>
    <col min="7" max="7" width="17.3984375" style="133" customWidth="1"/>
    <col min="8" max="8" width="16.5" style="134" customWidth="1"/>
    <col min="9" max="9" width="14.09765625" style="134" customWidth="1"/>
    <col min="10" max="10" width="24.69921875" style="126" customWidth="1"/>
    <col min="11" max="11" width="17.59765625" style="126" customWidth="1"/>
    <col min="12" max="12" width="14" style="135" customWidth="1"/>
    <col min="13" max="13" width="13.5" style="135" customWidth="1"/>
    <col min="14" max="14" width="31.3984375" style="126" customWidth="1"/>
    <col min="15" max="16" width="8.19921875" style="126" customWidth="1"/>
    <col min="17" max="17" width="61.69921875" style="126" customWidth="1"/>
    <col min="18" max="18" width="51.69921875" style="126" customWidth="1"/>
    <col min="19" max="20" width="8.19921875" style="126" customWidth="1"/>
    <col min="21" max="16384" width="8.19921875" style="126"/>
  </cols>
  <sheetData>
    <row r="2" spans="1:20" ht="16.2" customHeight="1" thickBot="1" x14ac:dyDescent="0.3">
      <c r="A2" s="113"/>
      <c r="B2" s="113" t="s">
        <v>98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5"/>
      <c r="P2" s="115"/>
      <c r="Q2" s="116"/>
      <c r="R2" s="117"/>
      <c r="S2" s="115"/>
      <c r="T2" s="115"/>
    </row>
    <row r="3" spans="1:20" ht="15.6" x14ac:dyDescent="0.25">
      <c r="B3" s="315" t="s">
        <v>40</v>
      </c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7"/>
      <c r="O3" s="115"/>
      <c r="P3" s="115"/>
      <c r="Q3" s="118" t="s">
        <v>99</v>
      </c>
      <c r="R3" s="117"/>
      <c r="S3" s="115"/>
      <c r="T3" s="115"/>
    </row>
    <row r="4" spans="1:20" ht="14.4" customHeight="1" x14ac:dyDescent="0.25">
      <c r="A4" s="318"/>
      <c r="B4" s="318" t="s">
        <v>100</v>
      </c>
      <c r="C4" s="319" t="s">
        <v>101</v>
      </c>
      <c r="D4" s="319" t="s">
        <v>227</v>
      </c>
      <c r="E4" s="319" t="s">
        <v>102</v>
      </c>
      <c r="F4" s="319" t="s">
        <v>103</v>
      </c>
      <c r="G4" s="320" t="s">
        <v>104</v>
      </c>
      <c r="H4" s="320"/>
      <c r="I4" s="320"/>
      <c r="J4" s="319" t="s">
        <v>105</v>
      </c>
      <c r="K4" s="319" t="s">
        <v>228</v>
      </c>
      <c r="L4" s="319" t="s">
        <v>106</v>
      </c>
      <c r="M4" s="319"/>
      <c r="N4" s="321" t="s">
        <v>229</v>
      </c>
      <c r="O4" s="115"/>
      <c r="P4" s="115"/>
      <c r="Q4" s="118" t="s">
        <v>107</v>
      </c>
      <c r="R4" s="117"/>
      <c r="S4" s="115"/>
      <c r="T4" s="115"/>
    </row>
    <row r="5" spans="1:20" ht="33" customHeight="1" x14ac:dyDescent="0.25">
      <c r="A5" s="318"/>
      <c r="B5" s="318"/>
      <c r="C5" s="319"/>
      <c r="D5" s="319"/>
      <c r="E5" s="319"/>
      <c r="F5" s="319"/>
      <c r="G5" s="187" t="s">
        <v>108</v>
      </c>
      <c r="H5" s="197" t="s">
        <v>109</v>
      </c>
      <c r="I5" s="197" t="s">
        <v>110</v>
      </c>
      <c r="J5" s="319"/>
      <c r="K5" s="319"/>
      <c r="L5" s="188" t="s">
        <v>111</v>
      </c>
      <c r="M5" s="188" t="s">
        <v>112</v>
      </c>
      <c r="N5" s="321"/>
      <c r="O5" s="115"/>
      <c r="P5" s="115"/>
      <c r="Q5" s="119" t="s">
        <v>113</v>
      </c>
      <c r="R5" s="117"/>
      <c r="S5" s="115"/>
      <c r="T5" s="115"/>
    </row>
    <row r="6" spans="1:20" x14ac:dyDescent="0.25">
      <c r="A6" s="120"/>
      <c r="B6" s="120"/>
      <c r="C6" s="121"/>
      <c r="D6" s="121"/>
      <c r="E6" s="121"/>
      <c r="F6" s="121"/>
      <c r="G6" s="122"/>
      <c r="H6" s="123"/>
      <c r="I6" s="123"/>
      <c r="J6" s="121"/>
      <c r="K6" s="121"/>
      <c r="L6" s="124"/>
      <c r="M6" s="124"/>
      <c r="N6" s="125"/>
      <c r="O6" s="115"/>
      <c r="P6" s="115"/>
      <c r="Q6" s="118" t="s">
        <v>114</v>
      </c>
      <c r="R6" s="117"/>
      <c r="S6" s="115"/>
      <c r="T6" s="115"/>
    </row>
    <row r="7" spans="1:20" ht="14.4" thickBot="1" x14ac:dyDescent="0.3">
      <c r="A7" s="127"/>
      <c r="B7" s="127"/>
      <c r="C7" s="128"/>
      <c r="D7" s="128"/>
      <c r="E7" s="128"/>
      <c r="F7" s="128"/>
      <c r="G7" s="129"/>
      <c r="H7" s="130"/>
      <c r="I7" s="130"/>
      <c r="J7" s="128"/>
      <c r="K7" s="128"/>
      <c r="L7" s="131"/>
      <c r="M7" s="131"/>
      <c r="N7" s="132"/>
      <c r="O7" s="115"/>
      <c r="P7" s="115"/>
      <c r="Q7" s="118" t="s">
        <v>115</v>
      </c>
      <c r="R7" s="117"/>
      <c r="S7" s="115"/>
      <c r="T7" s="115"/>
    </row>
    <row r="8" spans="1:20" ht="14.4" thickBot="1" x14ac:dyDescent="0.3">
      <c r="L8" s="124"/>
      <c r="Q8" s="118" t="s">
        <v>116</v>
      </c>
      <c r="R8" s="119"/>
    </row>
    <row r="9" spans="1:20" ht="15.6" x14ac:dyDescent="0.25">
      <c r="B9" s="315" t="s">
        <v>39</v>
      </c>
      <c r="C9" s="316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7"/>
      <c r="O9" s="115"/>
      <c r="P9" s="115"/>
      <c r="Q9" s="118" t="s">
        <v>117</v>
      </c>
      <c r="R9" s="117"/>
      <c r="S9" s="115"/>
      <c r="T9" s="115"/>
    </row>
    <row r="10" spans="1:20" ht="15" customHeight="1" x14ac:dyDescent="0.25">
      <c r="A10" s="318"/>
      <c r="B10" s="318" t="s">
        <v>100</v>
      </c>
      <c r="C10" s="319" t="s">
        <v>101</v>
      </c>
      <c r="D10" s="319" t="s">
        <v>230</v>
      </c>
      <c r="E10" s="319" t="s">
        <v>102</v>
      </c>
      <c r="F10" s="319" t="s">
        <v>103</v>
      </c>
      <c r="G10" s="320" t="s">
        <v>104</v>
      </c>
      <c r="H10" s="320"/>
      <c r="I10" s="320"/>
      <c r="J10" s="319" t="s">
        <v>105</v>
      </c>
      <c r="K10" s="319" t="s">
        <v>228</v>
      </c>
      <c r="L10" s="319" t="s">
        <v>106</v>
      </c>
      <c r="M10" s="319"/>
      <c r="N10" s="321" t="s">
        <v>229</v>
      </c>
      <c r="O10" s="115"/>
      <c r="P10" s="115"/>
      <c r="Q10" s="118" t="s">
        <v>118</v>
      </c>
      <c r="R10" s="117"/>
      <c r="S10" s="115"/>
      <c r="T10" s="115"/>
    </row>
    <row r="11" spans="1:20" ht="36" customHeight="1" x14ac:dyDescent="0.25">
      <c r="A11" s="318"/>
      <c r="B11" s="318"/>
      <c r="C11" s="319"/>
      <c r="D11" s="319"/>
      <c r="E11" s="319"/>
      <c r="F11" s="319"/>
      <c r="G11" s="187" t="s">
        <v>108</v>
      </c>
      <c r="H11" s="197" t="s">
        <v>109</v>
      </c>
      <c r="I11" s="197" t="s">
        <v>110</v>
      </c>
      <c r="J11" s="319"/>
      <c r="K11" s="319"/>
      <c r="L11" s="188" t="s">
        <v>111</v>
      </c>
      <c r="M11" s="188" t="s">
        <v>112</v>
      </c>
      <c r="N11" s="321"/>
      <c r="O11" s="115"/>
      <c r="P11" s="115"/>
      <c r="Q11" s="116"/>
      <c r="R11" s="117"/>
      <c r="S11" s="115"/>
      <c r="T11" s="115"/>
    </row>
    <row r="12" spans="1:20" ht="78.75" customHeight="1" x14ac:dyDescent="0.25">
      <c r="A12" s="322" t="str">
        <f>'1. Detailed Budget'!$A$40</f>
        <v>3.2 Fondo de garantía para la bancabilidad de proyectos APP de los GADs diseñado e implementado</v>
      </c>
      <c r="B12" s="136" t="s">
        <v>90</v>
      </c>
      <c r="C12" s="137" t="str">
        <f>'1. Detailed Budget'!P40</f>
        <v>Computadoras para la Unidad APP</v>
      </c>
      <c r="D12" s="137" t="s">
        <v>119</v>
      </c>
      <c r="E12" s="137"/>
      <c r="F12" s="137" t="s">
        <v>120</v>
      </c>
      <c r="G12" s="154">
        <f>'1. Detailed Budget'!S40</f>
        <v>14000</v>
      </c>
      <c r="H12" s="138">
        <v>1</v>
      </c>
      <c r="I12" s="138">
        <v>0</v>
      </c>
      <c r="J12" s="137" t="s">
        <v>122</v>
      </c>
      <c r="K12" s="137" t="s">
        <v>107</v>
      </c>
      <c r="L12" s="178">
        <v>43497</v>
      </c>
      <c r="M12" s="178">
        <v>43556</v>
      </c>
      <c r="N12" s="139"/>
      <c r="O12" s="115"/>
      <c r="P12" s="115"/>
      <c r="Q12" s="118"/>
      <c r="R12" s="117"/>
      <c r="S12" s="115"/>
      <c r="T12" s="115"/>
    </row>
    <row r="13" spans="1:20" ht="37.950000000000003" customHeight="1" x14ac:dyDescent="0.25">
      <c r="A13" s="323"/>
      <c r="B13" s="136" t="s">
        <v>90</v>
      </c>
      <c r="C13" s="137" t="str">
        <f>'1. Detailed Budget'!P41</f>
        <v>Teléfonos para la Unidad del APP</v>
      </c>
      <c r="D13" s="137" t="s">
        <v>119</v>
      </c>
      <c r="E13" s="137"/>
      <c r="F13" s="137" t="s">
        <v>120</v>
      </c>
      <c r="G13" s="154">
        <f>'1. Detailed Budget'!S41</f>
        <v>350</v>
      </c>
      <c r="H13" s="138">
        <v>1</v>
      </c>
      <c r="I13" s="138">
        <v>0</v>
      </c>
      <c r="J13" s="137" t="s">
        <v>122</v>
      </c>
      <c r="K13" s="137" t="s">
        <v>107</v>
      </c>
      <c r="L13" s="178">
        <v>43497</v>
      </c>
      <c r="M13" s="178">
        <v>43556</v>
      </c>
      <c r="N13" s="139"/>
      <c r="O13" s="115"/>
      <c r="P13" s="115"/>
      <c r="Q13" s="118"/>
      <c r="R13" s="117"/>
      <c r="S13" s="115"/>
      <c r="T13" s="115"/>
    </row>
    <row r="14" spans="1:20" ht="14.4" thickBot="1" x14ac:dyDescent="0.3">
      <c r="A14" s="127"/>
      <c r="B14" s="127"/>
      <c r="C14" s="128"/>
      <c r="D14" s="128"/>
      <c r="E14" s="128"/>
      <c r="F14" s="128"/>
      <c r="G14" s="129"/>
      <c r="H14" s="130"/>
      <c r="I14" s="130"/>
      <c r="J14" s="128"/>
      <c r="K14" s="128"/>
      <c r="L14" s="131"/>
      <c r="M14" s="131"/>
      <c r="N14" s="132"/>
      <c r="O14" s="115"/>
      <c r="P14" s="115"/>
      <c r="Q14" s="118" t="s">
        <v>115</v>
      </c>
      <c r="R14" s="117"/>
      <c r="S14" s="115"/>
      <c r="T14" s="115"/>
    </row>
    <row r="15" spans="1:20" ht="14.4" thickBot="1" x14ac:dyDescent="0.3">
      <c r="G15" s="156">
        <f>SUM(G12:G13)</f>
        <v>14350</v>
      </c>
      <c r="Q15" s="118" t="s">
        <v>222</v>
      </c>
      <c r="R15" s="119"/>
    </row>
    <row r="16" spans="1:20" ht="15.6" x14ac:dyDescent="0.25">
      <c r="B16" s="315" t="s">
        <v>123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7"/>
      <c r="Q16" s="118" t="s">
        <v>221</v>
      </c>
      <c r="R16" s="119"/>
    </row>
    <row r="17" spans="1:18" ht="15" customHeight="1" x14ac:dyDescent="0.25">
      <c r="A17" s="318" t="s">
        <v>124</v>
      </c>
      <c r="B17" s="318" t="s">
        <v>100</v>
      </c>
      <c r="C17" s="319" t="s">
        <v>101</v>
      </c>
      <c r="D17" s="319" t="s">
        <v>230</v>
      </c>
      <c r="E17" s="319" t="s">
        <v>102</v>
      </c>
      <c r="F17" s="319" t="s">
        <v>103</v>
      </c>
      <c r="G17" s="320" t="s">
        <v>104</v>
      </c>
      <c r="H17" s="320"/>
      <c r="I17" s="320"/>
      <c r="J17" s="319" t="s">
        <v>105</v>
      </c>
      <c r="K17" s="319" t="s">
        <v>228</v>
      </c>
      <c r="L17" s="319" t="s">
        <v>106</v>
      </c>
      <c r="M17" s="319"/>
      <c r="N17" s="321" t="s">
        <v>229</v>
      </c>
      <c r="Q17" s="118" t="s">
        <v>125</v>
      </c>
      <c r="R17" s="119"/>
    </row>
    <row r="18" spans="1:18" ht="36.75" customHeight="1" x14ac:dyDescent="0.25">
      <c r="A18" s="318"/>
      <c r="B18" s="318"/>
      <c r="C18" s="319"/>
      <c r="D18" s="319"/>
      <c r="E18" s="319"/>
      <c r="F18" s="319"/>
      <c r="G18" s="187" t="s">
        <v>108</v>
      </c>
      <c r="H18" s="197" t="s">
        <v>109</v>
      </c>
      <c r="I18" s="197" t="s">
        <v>110</v>
      </c>
      <c r="J18" s="319"/>
      <c r="K18" s="319"/>
      <c r="L18" s="188" t="s">
        <v>126</v>
      </c>
      <c r="M18" s="188" t="s">
        <v>112</v>
      </c>
      <c r="N18" s="321"/>
      <c r="Q18" s="118" t="s">
        <v>119</v>
      </c>
      <c r="R18" s="119"/>
    </row>
    <row r="19" spans="1:18" ht="63.6" customHeight="1" x14ac:dyDescent="0.25">
      <c r="A19" s="137" t="str">
        <f>'1. Detailed Budget'!$A$14</f>
        <v>1.7  Programa de  capacitación de funcionarios públicos en APP implantado</v>
      </c>
      <c r="B19" s="136" t="s">
        <v>89</v>
      </c>
      <c r="C19" s="137" t="str">
        <f>'1. Detailed Budget'!U14</f>
        <v xml:space="preserve">Capacitación técnica, financiera y legal a funcionarios del MEF en la determinación y desarrollo de proyectos APP (curso de 120 horas: (i) C3P; (ii) análisis valor por dinero, financiero y de riesgos; y (iii) gestión de contratos). </v>
      </c>
      <c r="D19" s="121" t="s">
        <v>221</v>
      </c>
      <c r="E19" s="137"/>
      <c r="F19" s="137" t="s">
        <v>120</v>
      </c>
      <c r="G19" s="154">
        <f>'1. Detailed Budget'!X14</f>
        <v>315000</v>
      </c>
      <c r="H19" s="138">
        <v>1</v>
      </c>
      <c r="I19" s="138">
        <v>0</v>
      </c>
      <c r="J19" s="137" t="s">
        <v>121</v>
      </c>
      <c r="K19" s="137" t="s">
        <v>113</v>
      </c>
      <c r="L19" s="178">
        <v>44078</v>
      </c>
      <c r="M19" s="178">
        <v>44159</v>
      </c>
      <c r="N19" s="139"/>
      <c r="Q19" s="116"/>
      <c r="R19" s="119"/>
    </row>
    <row r="20" spans="1:18" ht="63.6" customHeight="1" x14ac:dyDescent="0.25">
      <c r="A20" s="137" t="str">
        <f>'1. Detailed Budget'!$A$14</f>
        <v>1.7  Programa de  capacitación de funcionarios públicos en APP implantado</v>
      </c>
      <c r="B20" s="136" t="s">
        <v>89</v>
      </c>
      <c r="C20" s="137" t="str">
        <f>'1. Detailed Budget'!U15</f>
        <v>Certificación internacional de funcionarios del MEF vinculados a APP</v>
      </c>
      <c r="D20" s="121" t="s">
        <v>222</v>
      </c>
      <c r="E20" s="137"/>
      <c r="F20" s="137" t="s">
        <v>120</v>
      </c>
      <c r="G20" s="154">
        <f>'1. Detailed Budget'!X15</f>
        <v>240000</v>
      </c>
      <c r="H20" s="138">
        <v>1</v>
      </c>
      <c r="I20" s="138">
        <v>0</v>
      </c>
      <c r="J20" s="137" t="s">
        <v>121</v>
      </c>
      <c r="K20" s="137" t="s">
        <v>107</v>
      </c>
      <c r="L20" s="178">
        <v>44078</v>
      </c>
      <c r="M20" s="178">
        <v>44159</v>
      </c>
      <c r="N20" s="139"/>
      <c r="Q20" s="116"/>
      <c r="R20" s="119"/>
    </row>
    <row r="21" spans="1:18" ht="63.6" customHeight="1" x14ac:dyDescent="0.25">
      <c r="A21" s="137" t="str">
        <f>'1. Detailed Budget'!$A$14</f>
        <v>1.7  Programa de  capacitación de funcionarios públicos en APP implantado</v>
      </c>
      <c r="B21" s="136" t="s">
        <v>89</v>
      </c>
      <c r="C21" s="137" t="str">
        <f>'1. Detailed Budget'!U16</f>
        <v xml:space="preserve">Diploma académico internacional </v>
      </c>
      <c r="D21" s="121" t="s">
        <v>222</v>
      </c>
      <c r="E21" s="137"/>
      <c r="F21" s="137" t="s">
        <v>120</v>
      </c>
      <c r="G21" s="154">
        <f>'1. Detailed Budget'!X16</f>
        <v>200000</v>
      </c>
      <c r="H21" s="138">
        <v>1</v>
      </c>
      <c r="I21" s="138">
        <v>0</v>
      </c>
      <c r="J21" s="137" t="s">
        <v>121</v>
      </c>
      <c r="K21" s="137" t="s">
        <v>107</v>
      </c>
      <c r="L21" s="178">
        <v>44443</v>
      </c>
      <c r="M21" s="178">
        <v>44524</v>
      </c>
      <c r="N21" s="139"/>
      <c r="Q21" s="116"/>
      <c r="R21" s="119"/>
    </row>
    <row r="22" spans="1:18" ht="63.6" customHeight="1" x14ac:dyDescent="0.25">
      <c r="A22" s="137" t="str">
        <f>'1. Detailed Budget'!$A$18</f>
        <v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v>
      </c>
      <c r="B22" s="136" t="s">
        <v>89</v>
      </c>
      <c r="C22" s="137" t="str">
        <f>'1. Detailed Budget'!U18</f>
        <v>Socialización del programa de reciclaje de activos de infraestructura pública</v>
      </c>
      <c r="D22" s="121" t="s">
        <v>222</v>
      </c>
      <c r="E22" s="137"/>
      <c r="F22" s="137" t="s">
        <v>120</v>
      </c>
      <c r="G22" s="154">
        <f>'1. Detailed Budget'!X18</f>
        <v>200000</v>
      </c>
      <c r="H22" s="138">
        <v>1</v>
      </c>
      <c r="I22" s="138">
        <v>0</v>
      </c>
      <c r="J22" s="137" t="s">
        <v>127</v>
      </c>
      <c r="K22" s="137" t="s">
        <v>107</v>
      </c>
      <c r="L22" s="217">
        <v>43436</v>
      </c>
      <c r="M22" s="217">
        <v>43520</v>
      </c>
      <c r="N22" s="139"/>
      <c r="Q22" s="116"/>
      <c r="R22" s="119"/>
    </row>
    <row r="23" spans="1:18" ht="63.6" customHeight="1" x14ac:dyDescent="0.25">
      <c r="A23" s="137" t="str">
        <f>'1. Detailed Budget'!$A$43</f>
        <v>3.4 Plan continuo de fortalecimiento institucional del Banco de Desarrollo de Ecuador B.P. (BDE) y GAD implantado</v>
      </c>
      <c r="B23" s="136" t="s">
        <v>89</v>
      </c>
      <c r="C23" s="137" t="str">
        <f>'1. Detailed Budget'!U43</f>
        <v xml:space="preserve">Jornadas de socialización del Programa APP BDE (corta duración de amplia difusión) </v>
      </c>
      <c r="D23" s="121" t="s">
        <v>221</v>
      </c>
      <c r="E23" s="137"/>
      <c r="F23" s="137" t="s">
        <v>120</v>
      </c>
      <c r="G23" s="154">
        <f>'1. Detailed Budget'!X43</f>
        <v>200000</v>
      </c>
      <c r="H23" s="138">
        <v>1</v>
      </c>
      <c r="I23" s="138">
        <v>0</v>
      </c>
      <c r="J23" s="137" t="s">
        <v>127</v>
      </c>
      <c r="K23" s="137" t="s">
        <v>113</v>
      </c>
      <c r="L23" s="178">
        <v>43831</v>
      </c>
      <c r="M23" s="178">
        <v>43863</v>
      </c>
      <c r="N23" s="139"/>
      <c r="Q23" s="116"/>
      <c r="R23" s="119"/>
    </row>
    <row r="24" spans="1:18" ht="63.6" customHeight="1" x14ac:dyDescent="0.25">
      <c r="A24" s="137" t="str">
        <f>'1. Detailed Budget'!$A$43</f>
        <v>3.4 Plan continuo de fortalecimiento institucional del Banco de Desarrollo de Ecuador B.P. (BDE) y GAD implantado</v>
      </c>
      <c r="B24" s="136" t="s">
        <v>90</v>
      </c>
      <c r="C24" s="137" t="str">
        <f>'1. Detailed Budget'!U44</f>
        <v>Capacitación técnica, financiera y legal a GAD en la determinación y desarrollo de proyectos APP (curso de 120 horas: (i) C3P; (ii) análisis valor por dinero, financiero y de riesgos; y (iii) gestión de contratos). Condición para que los GAD accedan a la línea de crédito</v>
      </c>
      <c r="D24" s="121" t="s">
        <v>221</v>
      </c>
      <c r="E24" s="137"/>
      <c r="F24" s="137" t="s">
        <v>120</v>
      </c>
      <c r="G24" s="154">
        <f>'1. Detailed Budget'!X44</f>
        <v>315000</v>
      </c>
      <c r="H24" s="138">
        <v>1</v>
      </c>
      <c r="I24" s="138">
        <v>0</v>
      </c>
      <c r="J24" s="137" t="s">
        <v>122</v>
      </c>
      <c r="K24" s="137" t="s">
        <v>113</v>
      </c>
      <c r="L24" s="178">
        <v>44078</v>
      </c>
      <c r="M24" s="178">
        <v>44189</v>
      </c>
      <c r="N24" s="139"/>
      <c r="Q24" s="116"/>
      <c r="R24" s="119"/>
    </row>
    <row r="25" spans="1:18" ht="14.4" thickBot="1" x14ac:dyDescent="0.3">
      <c r="G25" s="156">
        <f>SUM(G19:G24)</f>
        <v>1470000</v>
      </c>
      <c r="Q25" s="118" t="s">
        <v>247</v>
      </c>
      <c r="R25" s="119"/>
    </row>
    <row r="26" spans="1:18" ht="15.75" customHeight="1" x14ac:dyDescent="0.25">
      <c r="B26" s="315" t="s">
        <v>129</v>
      </c>
      <c r="C26" s="316"/>
      <c r="D26" s="316"/>
      <c r="E26" s="316"/>
      <c r="F26" s="316"/>
      <c r="G26" s="316"/>
      <c r="H26" s="316"/>
      <c r="I26" s="316"/>
      <c r="J26" s="316"/>
      <c r="K26" s="316"/>
      <c r="L26" s="316"/>
      <c r="M26" s="316"/>
      <c r="N26" s="317"/>
      <c r="Q26" s="118" t="s">
        <v>130</v>
      </c>
      <c r="R26" s="119"/>
    </row>
    <row r="27" spans="1:18" ht="15" customHeight="1" x14ac:dyDescent="0.25">
      <c r="A27" s="318" t="s">
        <v>124</v>
      </c>
      <c r="B27" s="324" t="s">
        <v>100</v>
      </c>
      <c r="C27" s="319" t="s">
        <v>101</v>
      </c>
      <c r="D27" s="319" t="s">
        <v>131</v>
      </c>
      <c r="E27" s="326" t="s">
        <v>103</v>
      </c>
      <c r="F27" s="327"/>
      <c r="G27" s="320" t="s">
        <v>104</v>
      </c>
      <c r="H27" s="320"/>
      <c r="I27" s="320"/>
      <c r="J27" s="319" t="s">
        <v>105</v>
      </c>
      <c r="K27" s="319" t="s">
        <v>228</v>
      </c>
      <c r="L27" s="319" t="s">
        <v>106</v>
      </c>
      <c r="M27" s="319"/>
      <c r="N27" s="321" t="s">
        <v>229</v>
      </c>
      <c r="Q27" s="118" t="s">
        <v>99</v>
      </c>
      <c r="R27" s="119"/>
    </row>
    <row r="28" spans="1:18" ht="39.6" x14ac:dyDescent="0.25">
      <c r="A28" s="318"/>
      <c r="B28" s="325"/>
      <c r="C28" s="319"/>
      <c r="D28" s="319"/>
      <c r="E28" s="198" t="s">
        <v>132</v>
      </c>
      <c r="F28" s="199" t="s">
        <v>133</v>
      </c>
      <c r="G28" s="196" t="s">
        <v>108</v>
      </c>
      <c r="H28" s="187" t="s">
        <v>109</v>
      </c>
      <c r="I28" s="197" t="s">
        <v>110</v>
      </c>
      <c r="J28" s="319"/>
      <c r="K28" s="319"/>
      <c r="L28" s="188" t="s">
        <v>134</v>
      </c>
      <c r="M28" s="188" t="s">
        <v>112</v>
      </c>
      <c r="N28" s="321"/>
      <c r="Q28" s="118" t="s">
        <v>135</v>
      </c>
      <c r="R28" s="119"/>
    </row>
    <row r="29" spans="1:18" ht="262.2" customHeight="1" x14ac:dyDescent="0.25">
      <c r="A29" s="121" t="s">
        <v>248</v>
      </c>
      <c r="B29" s="136" t="s">
        <v>89</v>
      </c>
      <c r="C29" s="137" t="s">
        <v>249</v>
      </c>
      <c r="D29" s="137" t="s">
        <v>136</v>
      </c>
      <c r="E29" s="137">
        <v>1</v>
      </c>
      <c r="F29" s="137" t="s">
        <v>120</v>
      </c>
      <c r="G29" s="154">
        <f>'1. Detailed Budget'!N8+'1. Detailed Budget'!N9+'1. Detailed Budget'!N10+'1. Detailed Budget'!N11</f>
        <v>773467.2</v>
      </c>
      <c r="H29" s="138">
        <v>1</v>
      </c>
      <c r="I29" s="138">
        <v>0</v>
      </c>
      <c r="J29" s="137" t="s">
        <v>121</v>
      </c>
      <c r="K29" s="137" t="s">
        <v>113</v>
      </c>
      <c r="L29" s="178">
        <v>43313</v>
      </c>
      <c r="M29" s="178">
        <v>43434</v>
      </c>
      <c r="N29" s="139"/>
      <c r="R29" s="116"/>
    </row>
    <row r="30" spans="1:18" ht="130.5" customHeight="1" x14ac:dyDescent="0.25">
      <c r="A30" s="137" t="str">
        <f>'1. Detailed Budget'!A12</f>
        <v xml:space="preserve">1.5 Modelo de gestión de contratos implementado </v>
      </c>
      <c r="B30" s="136" t="s">
        <v>89</v>
      </c>
      <c r="C30" s="137" t="str">
        <f>'1. Detailed Budget'!J12</f>
        <v>Consultoría especializada para el desarrollo de políticas y procesos de gestión de contratos (formulación y adjudicación, renegociaciones, adendas, seguimiento y ejecución de garantías soberanas). Incluye capacitación sobre el modelo de gestión del contrato.</v>
      </c>
      <c r="D30" s="137" t="s">
        <v>136</v>
      </c>
      <c r="E30" s="137">
        <v>1</v>
      </c>
      <c r="F30" s="137" t="s">
        <v>120</v>
      </c>
      <c r="G30" s="154">
        <f>'1. Detailed Budget'!N12</f>
        <v>244252.79999999999</v>
      </c>
      <c r="H30" s="138">
        <v>1</v>
      </c>
      <c r="I30" s="138">
        <v>0</v>
      </c>
      <c r="J30" s="137" t="s">
        <v>121</v>
      </c>
      <c r="K30" s="137" t="s">
        <v>113</v>
      </c>
      <c r="L30" s="178">
        <v>43466</v>
      </c>
      <c r="M30" s="178">
        <v>43585</v>
      </c>
      <c r="N30" s="139"/>
      <c r="R30" s="116"/>
    </row>
    <row r="31" spans="1:18" ht="53.4" customHeight="1" x14ac:dyDescent="0.25">
      <c r="A31" s="137" t="str">
        <f>'1. Detailed Budget'!A21</f>
        <v>2.2 Estudios de pre-estructuración y estructuración de proyectos de inversión pública bajo APP elaborados</v>
      </c>
      <c r="B31" s="136" t="s">
        <v>89</v>
      </c>
      <c r="C31" s="137" t="str">
        <f>'1. Detailed Budget'!J21</f>
        <v>Proyecto estructuracion 1: Hidroeléctrica Sopladora</v>
      </c>
      <c r="D31" s="121" t="s">
        <v>136</v>
      </c>
      <c r="E31" s="121">
        <v>1</v>
      </c>
      <c r="F31" s="121" t="s">
        <v>120</v>
      </c>
      <c r="G31" s="213">
        <f>'1. Detailed Budget'!N21</f>
        <v>3750000</v>
      </c>
      <c r="H31" s="138">
        <v>1</v>
      </c>
      <c r="I31" s="138">
        <v>0</v>
      </c>
      <c r="J31" s="137" t="s">
        <v>127</v>
      </c>
      <c r="K31" s="137" t="s">
        <v>113</v>
      </c>
      <c r="L31" s="217">
        <v>43466</v>
      </c>
      <c r="M31" s="217">
        <v>43585</v>
      </c>
      <c r="N31" s="139"/>
      <c r="R31" s="116"/>
    </row>
    <row r="32" spans="1:18" ht="53.4" customHeight="1" x14ac:dyDescent="0.25">
      <c r="A32" s="137" t="str">
        <f>'1. Detailed Budget'!A21</f>
        <v>2.2 Estudios de pre-estructuración y estructuración de proyectos de inversión pública bajo APP elaborados</v>
      </c>
      <c r="B32" s="136" t="s">
        <v>89</v>
      </c>
      <c r="C32" s="137" t="str">
        <f>'1. Detailed Budget'!J22</f>
        <v>Proyecto estructuracion 2: Hidroeléctrica Paute-Cardenillo</v>
      </c>
      <c r="D32" s="121" t="s">
        <v>136</v>
      </c>
      <c r="E32" s="121">
        <v>1</v>
      </c>
      <c r="F32" s="121" t="s">
        <v>120</v>
      </c>
      <c r="G32" s="213">
        <f>'1. Detailed Budget'!N22</f>
        <v>3750000</v>
      </c>
      <c r="H32" s="138">
        <v>1</v>
      </c>
      <c r="I32" s="138">
        <v>0</v>
      </c>
      <c r="J32" s="137" t="s">
        <v>127</v>
      </c>
      <c r="K32" s="137" t="s">
        <v>113</v>
      </c>
      <c r="L32" s="217">
        <v>43466</v>
      </c>
      <c r="M32" s="217">
        <v>43585</v>
      </c>
      <c r="N32" s="139"/>
      <c r="R32" s="116"/>
    </row>
    <row r="33" spans="1:18" ht="53.4" customHeight="1" x14ac:dyDescent="0.25">
      <c r="A33" s="137" t="str">
        <f>'1. Detailed Budget'!A21</f>
        <v>2.2 Estudios de pre-estructuración y estructuración de proyectos de inversión pública bajo APP elaborados</v>
      </c>
      <c r="B33" s="136" t="s">
        <v>89</v>
      </c>
      <c r="C33" s="137" t="str">
        <f>'1. Detailed Budget'!J23</f>
        <v xml:space="preserve">Proyecto estructuracion 3: vías Santo Domingo-Quevedo </v>
      </c>
      <c r="D33" s="121" t="s">
        <v>136</v>
      </c>
      <c r="E33" s="121">
        <v>1</v>
      </c>
      <c r="F33" s="121" t="s">
        <v>120</v>
      </c>
      <c r="G33" s="213">
        <f>'1. Detailed Budget'!N23</f>
        <v>3750000</v>
      </c>
      <c r="H33" s="138">
        <v>1</v>
      </c>
      <c r="I33" s="138">
        <v>0</v>
      </c>
      <c r="J33" s="137" t="s">
        <v>127</v>
      </c>
      <c r="K33" s="137" t="s">
        <v>113</v>
      </c>
      <c r="L33" s="217">
        <v>43831</v>
      </c>
      <c r="M33" s="217">
        <v>43951</v>
      </c>
      <c r="N33" s="139"/>
      <c r="R33" s="116"/>
    </row>
    <row r="34" spans="1:18" ht="53.4" customHeight="1" x14ac:dyDescent="0.25">
      <c r="A34" s="137" t="str">
        <f>'1. Detailed Budget'!A21</f>
        <v>2.2 Estudios de pre-estructuración y estructuración de proyectos de inversión pública bajo APP elaborados</v>
      </c>
      <c r="B34" s="136" t="s">
        <v>89</v>
      </c>
      <c r="C34" s="137" t="str">
        <f>'1. Detailed Budget'!J24</f>
        <v>Proyecto estructuracion 4: vías Quevedo-Jujan.</v>
      </c>
      <c r="D34" s="121" t="s">
        <v>136</v>
      </c>
      <c r="E34" s="121">
        <v>1</v>
      </c>
      <c r="F34" s="121" t="s">
        <v>120</v>
      </c>
      <c r="G34" s="213">
        <f>'1. Detailed Budget'!N24</f>
        <v>3750000</v>
      </c>
      <c r="H34" s="138">
        <v>1</v>
      </c>
      <c r="I34" s="138">
        <v>0</v>
      </c>
      <c r="J34" s="137" t="s">
        <v>127</v>
      </c>
      <c r="K34" s="137" t="s">
        <v>113</v>
      </c>
      <c r="L34" s="217">
        <v>43831</v>
      </c>
      <c r="M34" s="217">
        <v>43951</v>
      </c>
      <c r="N34" s="139"/>
      <c r="R34" s="116"/>
    </row>
    <row r="35" spans="1:18" ht="55.2" customHeight="1" x14ac:dyDescent="0.25">
      <c r="A35" s="137" t="str">
        <f>'1. Detailed Budget'!$A$26</f>
        <v>3.1 Estudios de pre-estructuración y estructuración de proyectos de inversión pública bajo APP elaborados</v>
      </c>
      <c r="B35" s="136" t="s">
        <v>90</v>
      </c>
      <c r="C35" s="137" t="str">
        <f>'1. Detailed Budget'!J26</f>
        <v>GAD Provincial de Santo Domingo - Plataforma ZONA - ILCO</v>
      </c>
      <c r="D35" s="121" t="s">
        <v>136</v>
      </c>
      <c r="E35" s="121">
        <v>1</v>
      </c>
      <c r="F35" s="121" t="s">
        <v>120</v>
      </c>
      <c r="G35" s="213">
        <f>'1. Detailed Budget'!N26</f>
        <v>505999.99999999994</v>
      </c>
      <c r="H35" s="123">
        <v>1</v>
      </c>
      <c r="I35" s="123">
        <v>0</v>
      </c>
      <c r="J35" s="121" t="s">
        <v>122</v>
      </c>
      <c r="K35" s="121" t="s">
        <v>113</v>
      </c>
      <c r="L35" s="124">
        <v>43831</v>
      </c>
      <c r="M35" s="124">
        <v>44073</v>
      </c>
      <c r="N35" s="139"/>
      <c r="Q35" s="116"/>
      <c r="R35" s="116"/>
    </row>
    <row r="36" spans="1:18" ht="39.6" x14ac:dyDescent="0.25">
      <c r="A36" s="137" t="str">
        <f>'1. Detailed Budget'!$A$26</f>
        <v>3.1 Estudios de pre-estructuración y estructuración de proyectos de inversión pública bajo APP elaborados</v>
      </c>
      <c r="B36" s="136" t="s">
        <v>90</v>
      </c>
      <c r="C36" s="137" t="str">
        <f>'1. Detailed Budget'!J27</f>
        <v>GAD Municipal de Chone - Regeneración urbana de la Av. Eloy Alfaro</v>
      </c>
      <c r="D36" s="121" t="s">
        <v>247</v>
      </c>
      <c r="E36" s="121">
        <v>1</v>
      </c>
      <c r="F36" s="121" t="s">
        <v>120</v>
      </c>
      <c r="G36" s="213">
        <f>'1. Detailed Budget'!N27</f>
        <v>150000</v>
      </c>
      <c r="H36" s="123">
        <v>1</v>
      </c>
      <c r="I36" s="123">
        <v>0</v>
      </c>
      <c r="J36" s="121" t="s">
        <v>122</v>
      </c>
      <c r="K36" s="121" t="s">
        <v>113</v>
      </c>
      <c r="L36" s="124">
        <v>43831</v>
      </c>
      <c r="M36" s="124">
        <v>43951</v>
      </c>
      <c r="N36" s="139"/>
      <c r="Q36" s="116"/>
      <c r="R36" s="116"/>
    </row>
    <row r="37" spans="1:18" ht="39.6" x14ac:dyDescent="0.25">
      <c r="A37" s="137" t="str">
        <f>'1. Detailed Budget'!$A$26</f>
        <v>3.1 Estudios de pre-estructuración y estructuración de proyectos de inversión pública bajo APP elaborados</v>
      </c>
      <c r="B37" s="136" t="s">
        <v>90</v>
      </c>
      <c r="C37" s="137" t="str">
        <f>'1. Detailed Budget'!J28</f>
        <v>GAD Municipal de Cuenca - Planta de tratamiento de aguas residuales de Guangarcucho</v>
      </c>
      <c r="D37" s="121" t="s">
        <v>136</v>
      </c>
      <c r="E37" s="121">
        <v>1</v>
      </c>
      <c r="F37" s="121" t="s">
        <v>120</v>
      </c>
      <c r="G37" s="213">
        <f>'1. Detailed Budget'!N28</f>
        <v>1170000</v>
      </c>
      <c r="H37" s="123">
        <v>1</v>
      </c>
      <c r="I37" s="123">
        <v>0</v>
      </c>
      <c r="J37" s="121" t="s">
        <v>122</v>
      </c>
      <c r="K37" s="121" t="s">
        <v>113</v>
      </c>
      <c r="L37" s="124">
        <v>43831</v>
      </c>
      <c r="M37" s="124">
        <v>43951</v>
      </c>
      <c r="N37" s="139"/>
      <c r="Q37" s="116"/>
      <c r="R37" s="116"/>
    </row>
    <row r="38" spans="1:18" ht="39.6" x14ac:dyDescent="0.25">
      <c r="A38" s="137" t="str">
        <f>'1. Detailed Budget'!$A$26</f>
        <v>3.1 Estudios de pre-estructuración y estructuración de proyectos de inversión pública bajo APP elaborados</v>
      </c>
      <c r="B38" s="136" t="s">
        <v>90</v>
      </c>
      <c r="C38" s="137" t="str">
        <f>'1. Detailed Budget'!J29</f>
        <v>GAD Municipal de Quito - Desarrollo turístico en el Panecillo</v>
      </c>
      <c r="D38" s="121" t="s">
        <v>247</v>
      </c>
      <c r="E38" s="121">
        <v>1</v>
      </c>
      <c r="F38" s="121" t="s">
        <v>120</v>
      </c>
      <c r="G38" s="213">
        <f>'1. Detailed Budget'!N29</f>
        <v>180000</v>
      </c>
      <c r="H38" s="123">
        <v>1</v>
      </c>
      <c r="I38" s="123">
        <v>0</v>
      </c>
      <c r="J38" s="121" t="s">
        <v>122</v>
      </c>
      <c r="K38" s="121" t="s">
        <v>113</v>
      </c>
      <c r="L38" s="124">
        <v>43831</v>
      </c>
      <c r="M38" s="124">
        <v>43951</v>
      </c>
      <c r="N38" s="139"/>
      <c r="Q38" s="116"/>
      <c r="R38" s="116"/>
    </row>
    <row r="39" spans="1:18" ht="39.6" x14ac:dyDescent="0.25">
      <c r="A39" s="137" t="str">
        <f>'1. Detailed Budget'!$A$26</f>
        <v>3.1 Estudios de pre-estructuración y estructuración de proyectos de inversión pública bajo APP elaborados</v>
      </c>
      <c r="B39" s="136" t="s">
        <v>90</v>
      </c>
      <c r="C39" s="137" t="str">
        <f>'1. Detailed Budget'!J30</f>
        <v xml:space="preserve">GAD Provincial de El Oro - Parque Ecoindustrial </v>
      </c>
      <c r="D39" s="121" t="s">
        <v>136</v>
      </c>
      <c r="E39" s="121">
        <v>1</v>
      </c>
      <c r="F39" s="121" t="s">
        <v>120</v>
      </c>
      <c r="G39" s="213">
        <f>'1. Detailed Budget'!N30</f>
        <v>1110000</v>
      </c>
      <c r="H39" s="123">
        <v>1</v>
      </c>
      <c r="I39" s="123">
        <v>0</v>
      </c>
      <c r="J39" s="121" t="s">
        <v>122</v>
      </c>
      <c r="K39" s="121" t="s">
        <v>113</v>
      </c>
      <c r="L39" s="124">
        <v>43831</v>
      </c>
      <c r="M39" s="124">
        <v>43951</v>
      </c>
      <c r="N39" s="139"/>
      <c r="Q39" s="116"/>
      <c r="R39" s="116"/>
    </row>
    <row r="40" spans="1:18" ht="39.6" x14ac:dyDescent="0.25">
      <c r="A40" s="137" t="str">
        <f>'1. Detailed Budget'!$A$26</f>
        <v>3.1 Estudios de pre-estructuración y estructuración de proyectos de inversión pública bajo APP elaborados</v>
      </c>
      <c r="B40" s="136" t="s">
        <v>90</v>
      </c>
      <c r="C40" s="137" t="str">
        <f>'1. Detailed Budget'!J31</f>
        <v xml:space="preserve">GAD Municipal de Santo Domingo - PARQUEADERO Y CENTRO COMERCIAL, UBICADO EN LA AV QUITO Y RIO TOACHI    </v>
      </c>
      <c r="D40" s="121" t="s">
        <v>136</v>
      </c>
      <c r="E40" s="121">
        <v>1</v>
      </c>
      <c r="F40" s="121" t="s">
        <v>120</v>
      </c>
      <c r="G40" s="213">
        <f>'1. Detailed Budget'!N31</f>
        <v>330000</v>
      </c>
      <c r="H40" s="123">
        <v>1</v>
      </c>
      <c r="I40" s="123">
        <v>0</v>
      </c>
      <c r="J40" s="121" t="s">
        <v>122</v>
      </c>
      <c r="K40" s="121" t="s">
        <v>113</v>
      </c>
      <c r="L40" s="124">
        <v>44197</v>
      </c>
      <c r="M40" s="124">
        <v>44316</v>
      </c>
      <c r="N40" s="139"/>
      <c r="Q40" s="116"/>
      <c r="R40" s="116"/>
    </row>
    <row r="41" spans="1:18" ht="39.6" x14ac:dyDescent="0.25">
      <c r="A41" s="137" t="str">
        <f>'1. Detailed Budget'!$A$26</f>
        <v>3.1 Estudios de pre-estructuración y estructuración de proyectos de inversión pública bajo APP elaborados</v>
      </c>
      <c r="B41" s="136" t="s">
        <v>90</v>
      </c>
      <c r="C41" s="137" t="str">
        <f>'1. Detailed Budget'!J32</f>
        <v>GAD Municipal de Loja - AMPLIACIÓN A CUATRO CARRILES DE LA VÍA LOJA A CATAMAYO CON ACCESO AL AEROPUERTO</v>
      </c>
      <c r="D41" s="121" t="s">
        <v>136</v>
      </c>
      <c r="E41" s="121">
        <v>1</v>
      </c>
      <c r="F41" s="121" t="s">
        <v>120</v>
      </c>
      <c r="G41" s="213">
        <f>'1. Detailed Budget'!N32</f>
        <v>1830000</v>
      </c>
      <c r="H41" s="123">
        <v>1</v>
      </c>
      <c r="I41" s="123">
        <v>0</v>
      </c>
      <c r="J41" s="121" t="s">
        <v>122</v>
      </c>
      <c r="K41" s="121" t="s">
        <v>113</v>
      </c>
      <c r="L41" s="124">
        <v>44197</v>
      </c>
      <c r="M41" s="124">
        <v>44316</v>
      </c>
      <c r="N41" s="139"/>
      <c r="Q41" s="116"/>
      <c r="R41" s="116"/>
    </row>
    <row r="42" spans="1:18" ht="39.6" x14ac:dyDescent="0.25">
      <c r="A42" s="137" t="str">
        <f>'1. Detailed Budget'!$A$26</f>
        <v>3.1 Estudios de pre-estructuración y estructuración de proyectos de inversión pública bajo APP elaborados</v>
      </c>
      <c r="B42" s="136" t="s">
        <v>90</v>
      </c>
      <c r="C42" s="137" t="str">
        <f>'1. Detailed Budget'!J33</f>
        <v>GAD Provincial de Pichincha - PROPUESTA SISTEMA DE TRANSPORTE MASIVO PARA EL CANTÓN RUMIÑAHUI (MONORRIEL)</v>
      </c>
      <c r="D42" s="121" t="s">
        <v>136</v>
      </c>
      <c r="E42" s="121">
        <v>1</v>
      </c>
      <c r="F42" s="121" t="s">
        <v>120</v>
      </c>
      <c r="G42" s="213">
        <f>'1. Detailed Budget'!N33</f>
        <v>2700000</v>
      </c>
      <c r="H42" s="123">
        <v>1</v>
      </c>
      <c r="I42" s="123">
        <v>0</v>
      </c>
      <c r="J42" s="121" t="s">
        <v>122</v>
      </c>
      <c r="K42" s="121" t="s">
        <v>113</v>
      </c>
      <c r="L42" s="124">
        <v>44197</v>
      </c>
      <c r="M42" s="124">
        <v>44316</v>
      </c>
      <c r="N42" s="139"/>
      <c r="Q42" s="116"/>
      <c r="R42" s="116"/>
    </row>
    <row r="43" spans="1:18" ht="55.5" customHeight="1" x14ac:dyDescent="0.25">
      <c r="A43" s="137" t="str">
        <f>'1. Detailed Budget'!$A$26</f>
        <v>3.1 Estudios de pre-estructuración y estructuración de proyectos de inversión pública bajo APP elaborados</v>
      </c>
      <c r="B43" s="136" t="s">
        <v>90</v>
      </c>
      <c r="C43" s="137" t="str">
        <f>'1. Detailed Budget'!J34</f>
        <v>GAD Municipal de Milagro - PARQUE INDUSTRIAL Y LOGÍSTICO DEL CANTÓN MILAGRO</v>
      </c>
      <c r="D43" s="121" t="s">
        <v>136</v>
      </c>
      <c r="E43" s="121">
        <v>1</v>
      </c>
      <c r="F43" s="121" t="s">
        <v>120</v>
      </c>
      <c r="G43" s="213">
        <f>'1. Detailed Budget'!N34</f>
        <v>450000</v>
      </c>
      <c r="H43" s="123">
        <v>1</v>
      </c>
      <c r="I43" s="123">
        <v>0</v>
      </c>
      <c r="J43" s="121" t="s">
        <v>122</v>
      </c>
      <c r="K43" s="121" t="s">
        <v>113</v>
      </c>
      <c r="L43" s="124">
        <v>44197</v>
      </c>
      <c r="M43" s="124">
        <v>44316</v>
      </c>
      <c r="N43" s="139"/>
      <c r="Q43" s="116"/>
      <c r="R43" s="116"/>
    </row>
    <row r="44" spans="1:18" ht="39.6" x14ac:dyDescent="0.25">
      <c r="A44" s="137" t="str">
        <f>'1. Detailed Budget'!$A$26</f>
        <v>3.1 Estudios de pre-estructuración y estructuración de proyectos de inversión pública bajo APP elaborados</v>
      </c>
      <c r="B44" s="136" t="s">
        <v>90</v>
      </c>
      <c r="C44" s="137" t="str">
        <f>'1. Detailed Budget'!J35</f>
        <v>GAD Municipal de San Vicente - Propuesta para la construcción del Mercado Municipal de San Vicente bajo la modalidad de asociación público privada</v>
      </c>
      <c r="D44" s="121" t="s">
        <v>136</v>
      </c>
      <c r="E44" s="121">
        <v>1</v>
      </c>
      <c r="F44" s="121" t="s">
        <v>120</v>
      </c>
      <c r="G44" s="213">
        <f>'1. Detailed Budget'!N35</f>
        <v>300000</v>
      </c>
      <c r="H44" s="123">
        <v>1</v>
      </c>
      <c r="I44" s="123">
        <v>0</v>
      </c>
      <c r="J44" s="121" t="s">
        <v>122</v>
      </c>
      <c r="K44" s="121" t="s">
        <v>113</v>
      </c>
      <c r="L44" s="124">
        <v>44197</v>
      </c>
      <c r="M44" s="124">
        <v>44316</v>
      </c>
      <c r="N44" s="139"/>
      <c r="Q44" s="116"/>
      <c r="R44" s="116"/>
    </row>
    <row r="45" spans="1:18" ht="39.6" x14ac:dyDescent="0.25">
      <c r="A45" s="137" t="str">
        <f>'1. Detailed Budget'!$A$26</f>
        <v>3.1 Estudios de pre-estructuración y estructuración de proyectos de inversión pública bajo APP elaborados</v>
      </c>
      <c r="B45" s="136" t="s">
        <v>90</v>
      </c>
      <c r="C45" s="137" t="str">
        <f>'1. Detailed Budget'!J36</f>
        <v>GAD Municipal de Ambato - Proyecto: Construcción del Terminal Terrestre Sur de la ciudad de Ambato, Provincia de Tungurahua</v>
      </c>
      <c r="D45" s="121" t="s">
        <v>136</v>
      </c>
      <c r="E45" s="121">
        <v>1</v>
      </c>
      <c r="F45" s="121" t="s">
        <v>120</v>
      </c>
      <c r="G45" s="213">
        <f>'1. Detailed Budget'!N36</f>
        <v>300000</v>
      </c>
      <c r="H45" s="123">
        <v>1</v>
      </c>
      <c r="I45" s="123">
        <v>0</v>
      </c>
      <c r="J45" s="121" t="s">
        <v>122</v>
      </c>
      <c r="K45" s="121" t="s">
        <v>113</v>
      </c>
      <c r="L45" s="124">
        <v>44562</v>
      </c>
      <c r="M45" s="124">
        <v>44681</v>
      </c>
      <c r="N45" s="139"/>
      <c r="Q45" s="116"/>
      <c r="R45" s="116"/>
    </row>
    <row r="46" spans="1:18" ht="39.6" x14ac:dyDescent="0.25">
      <c r="A46" s="137" t="str">
        <f>'1. Detailed Budget'!$A$26</f>
        <v>3.1 Estudios de pre-estructuración y estructuración de proyectos de inversión pública bajo APP elaborados</v>
      </c>
      <c r="B46" s="136" t="s">
        <v>90</v>
      </c>
      <c r="C46" s="137" t="str">
        <f>'1. Detailed Budget'!J37</f>
        <v>GAD Municipal de Quito - Estacionamientos en el subsuelo del Parque La Carolina</v>
      </c>
      <c r="D46" s="121" t="s">
        <v>247</v>
      </c>
      <c r="E46" s="121">
        <v>1</v>
      </c>
      <c r="F46" s="121" t="s">
        <v>120</v>
      </c>
      <c r="G46" s="213">
        <f>'1. Detailed Budget'!N37</f>
        <v>105000</v>
      </c>
      <c r="H46" s="123">
        <v>1</v>
      </c>
      <c r="I46" s="123">
        <v>0</v>
      </c>
      <c r="J46" s="121" t="s">
        <v>122</v>
      </c>
      <c r="K46" s="121" t="s">
        <v>113</v>
      </c>
      <c r="L46" s="124">
        <v>44562</v>
      </c>
      <c r="M46" s="124">
        <v>44681</v>
      </c>
      <c r="N46" s="139"/>
      <c r="Q46" s="116"/>
      <c r="R46" s="116"/>
    </row>
    <row r="47" spans="1:18" ht="39.6" x14ac:dyDescent="0.25">
      <c r="A47" s="137" t="str">
        <f>'1. Detailed Budget'!$A$26</f>
        <v>3.1 Estudios de pre-estructuración y estructuración de proyectos de inversión pública bajo APP elaborados</v>
      </c>
      <c r="B47" s="136" t="s">
        <v>90</v>
      </c>
      <c r="C47" s="137" t="str">
        <f>'1. Detailed Budget'!J38</f>
        <v>GAD Municipal de Quito - Construcción de la Ruta Viva Fase III</v>
      </c>
      <c r="D47" s="121" t="s">
        <v>136</v>
      </c>
      <c r="E47" s="121">
        <v>1</v>
      </c>
      <c r="F47" s="121" t="s">
        <v>120</v>
      </c>
      <c r="G47" s="213">
        <f>'1. Detailed Budget'!N38</f>
        <v>900000</v>
      </c>
      <c r="H47" s="123">
        <v>1</v>
      </c>
      <c r="I47" s="123">
        <v>0</v>
      </c>
      <c r="J47" s="121" t="s">
        <v>122</v>
      </c>
      <c r="K47" s="121" t="s">
        <v>113</v>
      </c>
      <c r="L47" s="124">
        <v>44562</v>
      </c>
      <c r="M47" s="124">
        <v>44681</v>
      </c>
      <c r="N47" s="139"/>
      <c r="Q47" s="116"/>
      <c r="R47" s="116"/>
    </row>
    <row r="48" spans="1:18" ht="39.6" x14ac:dyDescent="0.25">
      <c r="A48" s="137" t="str">
        <f>'1. Detailed Budget'!$A$26</f>
        <v>3.1 Estudios de pre-estructuración y estructuración de proyectos de inversión pública bajo APP elaborados</v>
      </c>
      <c r="B48" s="136" t="s">
        <v>90</v>
      </c>
      <c r="C48" s="137" t="str">
        <f>'1. Detailed Budget'!J39</f>
        <v>GAD Municipal de Quito - Centralidad Bicentenario - Centro de Convenciones Metropolitano de Quito</v>
      </c>
      <c r="D48" s="121" t="s">
        <v>136</v>
      </c>
      <c r="E48" s="121">
        <v>1</v>
      </c>
      <c r="F48" s="121" t="s">
        <v>120</v>
      </c>
      <c r="G48" s="213">
        <f>'1. Detailed Budget'!N39</f>
        <v>795000</v>
      </c>
      <c r="H48" s="123">
        <v>1</v>
      </c>
      <c r="I48" s="123">
        <v>0</v>
      </c>
      <c r="J48" s="121" t="s">
        <v>122</v>
      </c>
      <c r="K48" s="121" t="s">
        <v>113</v>
      </c>
      <c r="L48" s="124">
        <v>44562</v>
      </c>
      <c r="M48" s="124">
        <v>44681</v>
      </c>
      <c r="N48" s="139"/>
      <c r="Q48" s="116"/>
      <c r="R48" s="116"/>
    </row>
    <row r="49" spans="1:18" ht="76.2" customHeight="1" x14ac:dyDescent="0.25">
      <c r="A49" s="137" t="str">
        <f>'1. Detailed Budget'!A40</f>
        <v>3.2 Fondo de garantía para la bancabilidad de proyectos APP de los GADs diseñado e implementado</v>
      </c>
      <c r="B49" s="136" t="s">
        <v>90</v>
      </c>
      <c r="C49" s="137" t="str">
        <f>'1. Detailed Budget'!J40</f>
        <v>Consultoría especializada - fiduciaria del fideicomiso que gestiona el fondo de garantía</v>
      </c>
      <c r="D49" s="121" t="s">
        <v>136</v>
      </c>
      <c r="E49" s="121">
        <v>1</v>
      </c>
      <c r="F49" s="121" t="s">
        <v>120</v>
      </c>
      <c r="G49" s="213">
        <f>'1. Detailed Budget'!N40</f>
        <v>221760</v>
      </c>
      <c r="H49" s="123">
        <v>1</v>
      </c>
      <c r="I49" s="123">
        <v>0</v>
      </c>
      <c r="J49" s="121" t="s">
        <v>122</v>
      </c>
      <c r="K49" s="121" t="s">
        <v>113</v>
      </c>
      <c r="L49" s="178">
        <v>43831</v>
      </c>
      <c r="M49" s="178">
        <v>43889</v>
      </c>
      <c r="N49" s="139" t="s">
        <v>252</v>
      </c>
      <c r="Q49" s="116"/>
      <c r="R49" s="116"/>
    </row>
    <row r="50" spans="1:18" ht="66" customHeight="1" x14ac:dyDescent="0.25">
      <c r="A50" s="137" t="str">
        <f>'1. Detailed Budget'!A43</f>
        <v>3.4 Plan continuo de fortalecimiento institucional del Banco de Desarrollo de Ecuador B.P. (BDE) y GAD implantado</v>
      </c>
      <c r="B50" s="136" t="s">
        <v>90</v>
      </c>
      <c r="C50" s="137" t="str">
        <f>'1. Detailed Budget'!J43</f>
        <v>Consultoría especializada para plataforma virtual (link al aula virtual) con contenidos audiovisuales</v>
      </c>
      <c r="D50" s="121" t="s">
        <v>247</v>
      </c>
      <c r="E50" s="121">
        <v>1</v>
      </c>
      <c r="F50" s="121" t="s">
        <v>120</v>
      </c>
      <c r="G50" s="213">
        <f>'1. Detailed Budget'!N43</f>
        <v>55440</v>
      </c>
      <c r="H50" s="123">
        <v>1</v>
      </c>
      <c r="I50" s="123">
        <v>0</v>
      </c>
      <c r="J50" s="121" t="s">
        <v>122</v>
      </c>
      <c r="K50" s="121" t="s">
        <v>107</v>
      </c>
      <c r="L50" s="178">
        <v>44562</v>
      </c>
      <c r="M50" s="178">
        <v>44594</v>
      </c>
      <c r="N50" s="139"/>
      <c r="Q50" s="116"/>
      <c r="R50" s="116"/>
    </row>
    <row r="51" spans="1:18" ht="66" customHeight="1" x14ac:dyDescent="0.25">
      <c r="A51" s="137" t="str">
        <f>'1. Detailed Budget'!A43</f>
        <v>3.4 Plan continuo de fortalecimiento institucional del Banco de Desarrollo de Ecuador B.P. (BDE) y GAD implantado</v>
      </c>
      <c r="B51" s="136" t="s">
        <v>90</v>
      </c>
      <c r="C51" s="137" t="str">
        <f>'1. Detailed Budget'!J45</f>
        <v xml:space="preserve">Creación de unidad de project finance en la gerencia de división de crédito. Incluye capacitación </v>
      </c>
      <c r="D51" s="121" t="s">
        <v>136</v>
      </c>
      <c r="E51" s="121">
        <v>1</v>
      </c>
      <c r="F51" s="121" t="s">
        <v>120</v>
      </c>
      <c r="G51" s="213">
        <f>'1. Detailed Budget'!N45</f>
        <v>335847.6</v>
      </c>
      <c r="H51" s="123">
        <v>1</v>
      </c>
      <c r="I51" s="123">
        <v>0</v>
      </c>
      <c r="J51" s="121" t="s">
        <v>122</v>
      </c>
      <c r="K51" s="121" t="s">
        <v>113</v>
      </c>
      <c r="L51" s="178">
        <v>44197</v>
      </c>
      <c r="M51" s="178">
        <v>44316</v>
      </c>
      <c r="N51" s="139"/>
      <c r="Q51" s="116"/>
      <c r="R51" s="116"/>
    </row>
    <row r="52" spans="1:18" ht="40.200000000000003" customHeight="1" x14ac:dyDescent="0.25">
      <c r="A52" s="137" t="s">
        <v>16</v>
      </c>
      <c r="B52" s="136" t="s">
        <v>89</v>
      </c>
      <c r="C52" s="137" t="str">
        <f>'1. Detailed Budget'!A65</f>
        <v>Auditoría</v>
      </c>
      <c r="D52" s="121" t="s">
        <v>247</v>
      </c>
      <c r="E52" s="121">
        <v>1</v>
      </c>
      <c r="F52" s="121" t="s">
        <v>120</v>
      </c>
      <c r="G52" s="213">
        <f>'1. Detailed Budget'!B65</f>
        <v>125000</v>
      </c>
      <c r="H52" s="123">
        <v>1</v>
      </c>
      <c r="I52" s="123">
        <v>0</v>
      </c>
      <c r="J52" s="121" t="s">
        <v>97</v>
      </c>
      <c r="K52" s="121" t="s">
        <v>113</v>
      </c>
      <c r="L52" s="124">
        <v>43647</v>
      </c>
      <c r="M52" s="124">
        <v>43707</v>
      </c>
      <c r="N52" s="139"/>
      <c r="Q52" s="116"/>
      <c r="R52" s="116"/>
    </row>
    <row r="53" spans="1:18" x14ac:dyDescent="0.25">
      <c r="A53" s="141"/>
      <c r="B53" s="141"/>
      <c r="C53" s="141"/>
      <c r="D53" s="141"/>
      <c r="E53" s="141"/>
      <c r="F53" s="141"/>
      <c r="G53" s="156">
        <f>SUM(G29:G52)</f>
        <v>27581767.600000001</v>
      </c>
      <c r="H53" s="142"/>
      <c r="I53" s="142"/>
      <c r="J53" s="141"/>
      <c r="K53" s="141"/>
      <c r="L53" s="189"/>
      <c r="M53" s="189"/>
      <c r="N53" s="141"/>
      <c r="Q53" s="116"/>
      <c r="R53" s="116"/>
    </row>
    <row r="54" spans="1:18" ht="14.4" thickBot="1" x14ac:dyDescent="0.3">
      <c r="Q54" s="143" t="s">
        <v>137</v>
      </c>
      <c r="R54" s="143" t="s">
        <v>138</v>
      </c>
    </row>
    <row r="55" spans="1:18" ht="15.6" x14ac:dyDescent="0.25">
      <c r="B55" s="315" t="s">
        <v>139</v>
      </c>
      <c r="C55" s="316"/>
      <c r="D55" s="316"/>
      <c r="E55" s="316"/>
      <c r="F55" s="316"/>
      <c r="G55" s="316"/>
      <c r="H55" s="316"/>
      <c r="I55" s="316"/>
      <c r="J55" s="316"/>
      <c r="K55" s="316"/>
      <c r="L55" s="316"/>
      <c r="M55" s="316"/>
      <c r="N55" s="317"/>
      <c r="Q55" s="143" t="s">
        <v>140</v>
      </c>
      <c r="R55" s="143" t="s">
        <v>138</v>
      </c>
    </row>
    <row r="56" spans="1:18" ht="15" customHeight="1" x14ac:dyDescent="0.25">
      <c r="A56" s="318"/>
      <c r="B56" s="318" t="s">
        <v>100</v>
      </c>
      <c r="C56" s="319" t="s">
        <v>101</v>
      </c>
      <c r="D56" s="319" t="s">
        <v>230</v>
      </c>
      <c r="E56" s="319" t="s">
        <v>103</v>
      </c>
      <c r="F56" s="320" t="s">
        <v>104</v>
      </c>
      <c r="G56" s="320"/>
      <c r="H56" s="320"/>
      <c r="I56" s="328" t="s">
        <v>141</v>
      </c>
      <c r="J56" s="319" t="s">
        <v>105</v>
      </c>
      <c r="K56" s="319" t="s">
        <v>228</v>
      </c>
      <c r="L56" s="319" t="s">
        <v>106</v>
      </c>
      <c r="M56" s="319"/>
      <c r="N56" s="321" t="s">
        <v>229</v>
      </c>
      <c r="Q56" s="143" t="s">
        <v>142</v>
      </c>
      <c r="R56" s="143" t="s">
        <v>143</v>
      </c>
    </row>
    <row r="57" spans="1:18" ht="39.6" x14ac:dyDescent="0.25">
      <c r="A57" s="318"/>
      <c r="B57" s="318"/>
      <c r="C57" s="319"/>
      <c r="D57" s="319"/>
      <c r="E57" s="319"/>
      <c r="F57" s="196" t="s">
        <v>108</v>
      </c>
      <c r="G57" s="187" t="s">
        <v>109</v>
      </c>
      <c r="H57" s="197" t="s">
        <v>110</v>
      </c>
      <c r="I57" s="328"/>
      <c r="J57" s="319"/>
      <c r="K57" s="319"/>
      <c r="L57" s="188" t="s">
        <v>144</v>
      </c>
      <c r="M57" s="188" t="s">
        <v>145</v>
      </c>
      <c r="N57" s="321"/>
      <c r="Q57" s="143" t="s">
        <v>137</v>
      </c>
      <c r="R57" s="143" t="s">
        <v>143</v>
      </c>
    </row>
    <row r="58" spans="1:18" ht="92.4" customHeight="1" x14ac:dyDescent="0.25">
      <c r="A58" s="137" t="str">
        <f>'1. Detailed Budget'!A13</f>
        <v>1.6 Modulo de registro de proyectos APP en coordinación con SENPLADES para apoyar la gestión del programa implementado</v>
      </c>
      <c r="B58" s="136" t="s">
        <v>89</v>
      </c>
      <c r="C58" s="137" t="str">
        <f>'1. Detailed Budget'!D13</f>
        <v>Desarrollo e implementación de Banco de proyectos APP, incluyendo las interfaces con SENPLADES.</v>
      </c>
      <c r="D58" s="137" t="s">
        <v>146</v>
      </c>
      <c r="E58" s="137" t="s">
        <v>120</v>
      </c>
      <c r="F58" s="154">
        <f>'1. Detailed Budget'!H13</f>
        <v>36960</v>
      </c>
      <c r="G58" s="144">
        <v>1</v>
      </c>
      <c r="H58" s="138">
        <v>0</v>
      </c>
      <c r="I58" s="140">
        <v>2</v>
      </c>
      <c r="J58" s="137" t="s">
        <v>121</v>
      </c>
      <c r="K58" s="137" t="s">
        <v>107</v>
      </c>
      <c r="L58" s="178">
        <v>43831</v>
      </c>
      <c r="M58" s="178">
        <v>43889</v>
      </c>
      <c r="N58" s="139"/>
      <c r="Q58" s="143"/>
      <c r="R58" s="143"/>
    </row>
    <row r="59" spans="1:18" ht="92.4" customHeight="1" x14ac:dyDescent="0.25">
      <c r="A59" s="137" t="str">
        <f>'1. Detailed Budget'!A14</f>
        <v>1.7  Programa de  capacitación de funcionarios públicos en APP implantado</v>
      </c>
      <c r="B59" s="136" t="s">
        <v>89</v>
      </c>
      <c r="C59" s="137" t="str">
        <f>'1. Detailed Budget'!D14</f>
        <v>Consultoría especializada para la elaboración de productos de conocimiento en APP Ecuador</v>
      </c>
      <c r="D59" s="137" t="s">
        <v>146</v>
      </c>
      <c r="E59" s="137" t="s">
        <v>120</v>
      </c>
      <c r="F59" s="154">
        <f>'1. Detailed Budget'!H14</f>
        <v>74250</v>
      </c>
      <c r="G59" s="144">
        <v>1</v>
      </c>
      <c r="H59" s="138">
        <v>0</v>
      </c>
      <c r="I59" s="140">
        <v>3</v>
      </c>
      <c r="J59" s="137" t="s">
        <v>121</v>
      </c>
      <c r="K59" s="137" t="s">
        <v>113</v>
      </c>
      <c r="L59" s="178">
        <v>44349</v>
      </c>
      <c r="M59" s="178">
        <v>44469</v>
      </c>
      <c r="N59" s="139" t="s">
        <v>250</v>
      </c>
      <c r="Q59" s="143"/>
      <c r="R59" s="143"/>
    </row>
    <row r="60" spans="1:18" ht="76.95" customHeight="1" x14ac:dyDescent="0.25">
      <c r="A60" s="329" t="str">
        <f>'1. Detailed Budget'!A18</f>
        <v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v>
      </c>
      <c r="B60" s="136" t="s">
        <v>89</v>
      </c>
      <c r="C60" s="137" t="str">
        <f>'1. Detailed Budget'!D18</f>
        <v>Consultoría especializada para la coordinación del programa de reciclaje de activos de infraestructura publica</v>
      </c>
      <c r="D60" s="137" t="s">
        <v>146</v>
      </c>
      <c r="E60" s="137" t="s">
        <v>120</v>
      </c>
      <c r="F60" s="154">
        <f>'1. Detailed Budget'!H18</f>
        <v>406000</v>
      </c>
      <c r="G60" s="144">
        <v>1</v>
      </c>
      <c r="H60" s="138">
        <v>0</v>
      </c>
      <c r="I60" s="140">
        <v>4</v>
      </c>
      <c r="J60" s="137" t="s">
        <v>127</v>
      </c>
      <c r="K60" s="137" t="s">
        <v>113</v>
      </c>
      <c r="L60" s="217">
        <v>43436</v>
      </c>
      <c r="M60" s="217">
        <v>43520</v>
      </c>
      <c r="N60" s="218"/>
      <c r="Q60" s="143"/>
      <c r="R60" s="143"/>
    </row>
    <row r="61" spans="1:18" ht="92.4" customHeight="1" x14ac:dyDescent="0.25">
      <c r="A61" s="330"/>
      <c r="B61" s="136" t="s">
        <v>89</v>
      </c>
      <c r="C61" s="137" t="str">
        <f>'1. Detailed Budget'!D19</f>
        <v>Consultoría especializada para el desarrollo de programa de reciclaje de activos de infraestructura publica</v>
      </c>
      <c r="D61" s="137" t="s">
        <v>146</v>
      </c>
      <c r="E61" s="137" t="s">
        <v>120</v>
      </c>
      <c r="F61" s="154">
        <f>'1. Detailed Budget'!H19</f>
        <v>498500</v>
      </c>
      <c r="G61" s="144">
        <v>1</v>
      </c>
      <c r="H61" s="138">
        <v>0</v>
      </c>
      <c r="I61" s="140">
        <v>5</v>
      </c>
      <c r="J61" s="137" t="s">
        <v>127</v>
      </c>
      <c r="K61" s="137" t="s">
        <v>113</v>
      </c>
      <c r="L61" s="217">
        <v>43436</v>
      </c>
      <c r="M61" s="217">
        <v>43520</v>
      </c>
      <c r="N61" s="218"/>
      <c r="Q61" s="143"/>
      <c r="R61" s="143"/>
    </row>
    <row r="62" spans="1:18" ht="82.2" customHeight="1" x14ac:dyDescent="0.25">
      <c r="A62" s="331"/>
      <c r="B62" s="136" t="s">
        <v>89</v>
      </c>
      <c r="C62" s="137" t="str">
        <f>'1. Detailed Budget'!D20</f>
        <v>Consultoría de apoyo para el desarrollo de programa de reciclaje de activos de infraestructura publica</v>
      </c>
      <c r="D62" s="137" t="s">
        <v>146</v>
      </c>
      <c r="E62" s="137" t="s">
        <v>120</v>
      </c>
      <c r="F62" s="154">
        <f>'1. Detailed Budget'!H20</f>
        <v>106000</v>
      </c>
      <c r="G62" s="144">
        <v>1</v>
      </c>
      <c r="H62" s="138">
        <v>0</v>
      </c>
      <c r="I62" s="140">
        <v>6</v>
      </c>
      <c r="J62" s="137" t="s">
        <v>127</v>
      </c>
      <c r="K62" s="137" t="s">
        <v>113</v>
      </c>
      <c r="L62" s="217">
        <v>43436</v>
      </c>
      <c r="M62" s="217">
        <v>43520</v>
      </c>
      <c r="N62" s="218"/>
      <c r="Q62" s="143"/>
      <c r="R62" s="143"/>
    </row>
    <row r="63" spans="1:18" ht="67.5" customHeight="1" x14ac:dyDescent="0.25">
      <c r="A63" s="137" t="str">
        <f>'1. Detailed Budget'!A40</f>
        <v>3.2 Fondo de garantía para la bancabilidad de proyectos APP de los GADs diseñado e implementado</v>
      </c>
      <c r="B63" s="136" t="s">
        <v>90</v>
      </c>
      <c r="C63" s="137" t="str">
        <f>'1. Detailed Budget'!D40</f>
        <v>Consultoría especializada para la gestión del fondo de garantía</v>
      </c>
      <c r="D63" s="137" t="s">
        <v>146</v>
      </c>
      <c r="E63" s="137" t="s">
        <v>120</v>
      </c>
      <c r="F63" s="154">
        <f>'1. Detailed Budget'!H40</f>
        <v>216000</v>
      </c>
      <c r="G63" s="144">
        <v>1</v>
      </c>
      <c r="H63" s="138">
        <v>0</v>
      </c>
      <c r="I63" s="140">
        <v>1</v>
      </c>
      <c r="J63" s="137" t="s">
        <v>122</v>
      </c>
      <c r="K63" s="137" t="s">
        <v>113</v>
      </c>
      <c r="L63" s="178">
        <v>43831</v>
      </c>
      <c r="M63" s="178">
        <v>43889</v>
      </c>
      <c r="N63" s="139" t="s">
        <v>251</v>
      </c>
      <c r="Q63" s="143"/>
      <c r="R63" s="143"/>
    </row>
    <row r="64" spans="1:18" ht="39.6" x14ac:dyDescent="0.25">
      <c r="A64" s="137" t="str">
        <f>'1. Detailed Budget'!A40</f>
        <v>3.2 Fondo de garantía para la bancabilidad de proyectos APP de los GADs diseñado e implementado</v>
      </c>
      <c r="B64" s="136" t="s">
        <v>90</v>
      </c>
      <c r="C64" s="137" t="str">
        <f>'1. Detailed Budget'!D41</f>
        <v>Consultoría especializada para el diseño del fondo de garantía para proyectos APP de los GAD</v>
      </c>
      <c r="D64" s="137" t="s">
        <v>146</v>
      </c>
      <c r="E64" s="137" t="s">
        <v>120</v>
      </c>
      <c r="F64" s="154">
        <f>'1. Detailed Budget'!H41</f>
        <v>72000</v>
      </c>
      <c r="G64" s="144">
        <v>1</v>
      </c>
      <c r="H64" s="138">
        <v>0</v>
      </c>
      <c r="I64" s="140">
        <v>3</v>
      </c>
      <c r="J64" s="137" t="s">
        <v>122</v>
      </c>
      <c r="K64" s="137" t="s">
        <v>113</v>
      </c>
      <c r="L64" s="178">
        <v>43525</v>
      </c>
      <c r="M64" s="178">
        <v>43582</v>
      </c>
      <c r="N64" s="139"/>
      <c r="Q64" s="143"/>
      <c r="R64" s="143"/>
    </row>
    <row r="65" spans="1:18" ht="52.8" x14ac:dyDescent="0.25">
      <c r="A65" s="137" t="str">
        <f>'1. Detailed Budget'!A43</f>
        <v>3.4 Plan continuo de fortalecimiento institucional del Banco de Desarrollo de Ecuador B.P. (BDE) y GAD implantado</v>
      </c>
      <c r="B65" s="136" t="s">
        <v>90</v>
      </c>
      <c r="C65" s="137" t="str">
        <f>'1. Detailed Budget'!D43</f>
        <v>Consultoría especializada para el diagnóstico de sistemas de gestión financiera de los GAD y elaboración de plan de fortalecimiento (15 municipios)</v>
      </c>
      <c r="D65" s="137" t="s">
        <v>146</v>
      </c>
      <c r="E65" s="137" t="s">
        <v>120</v>
      </c>
      <c r="F65" s="154">
        <f>'1. Detailed Budget'!H43</f>
        <v>184800</v>
      </c>
      <c r="G65" s="144">
        <v>1</v>
      </c>
      <c r="H65" s="138">
        <v>0</v>
      </c>
      <c r="I65" s="140">
        <v>2</v>
      </c>
      <c r="J65" s="137" t="s">
        <v>122</v>
      </c>
      <c r="K65" s="137" t="s">
        <v>113</v>
      </c>
      <c r="L65" s="178">
        <v>43867</v>
      </c>
      <c r="M65" s="178">
        <v>43948</v>
      </c>
      <c r="N65" s="139" t="s">
        <v>240</v>
      </c>
      <c r="Q65" s="143"/>
      <c r="R65" s="143"/>
    </row>
    <row r="66" spans="1:18" ht="84.6" customHeight="1" x14ac:dyDescent="0.25">
      <c r="A66" s="137" t="str">
        <f>'1. Detailed Budget'!A43</f>
        <v>3.4 Plan continuo de fortalecimiento institucional del Banco de Desarrollo de Ecuador B.P. (BDE) y GAD implantado</v>
      </c>
      <c r="B66" s="136" t="s">
        <v>90</v>
      </c>
      <c r="C66" s="137" t="str">
        <f>'1. Detailed Budget'!D44</f>
        <v>Consultoría especializada para el acompañamiento técnico para proyectos APP de los GAD</v>
      </c>
      <c r="D66" s="137" t="s">
        <v>146</v>
      </c>
      <c r="E66" s="137" t="s">
        <v>120</v>
      </c>
      <c r="F66" s="154">
        <f>'1. Detailed Budget'!H44</f>
        <v>247500</v>
      </c>
      <c r="G66" s="144">
        <v>1</v>
      </c>
      <c r="H66" s="138">
        <v>0</v>
      </c>
      <c r="I66" s="140">
        <v>1</v>
      </c>
      <c r="J66" s="137" t="s">
        <v>122</v>
      </c>
      <c r="K66" s="137" t="s">
        <v>113</v>
      </c>
      <c r="L66" s="178">
        <v>43618</v>
      </c>
      <c r="M66" s="178">
        <v>43738</v>
      </c>
      <c r="N66" s="139" t="s">
        <v>241</v>
      </c>
      <c r="Q66" s="143"/>
      <c r="R66" s="143"/>
    </row>
    <row r="67" spans="1:18" ht="84.6" customHeight="1" x14ac:dyDescent="0.25">
      <c r="A67" s="137" t="str">
        <f>'1. Detailed Budget'!A43</f>
        <v>3.4 Plan continuo de fortalecimiento institucional del Banco de Desarrollo de Ecuador B.P. (BDE) y GAD implantado</v>
      </c>
      <c r="B67" s="136" t="s">
        <v>90</v>
      </c>
      <c r="C67" s="121" t="str">
        <f>'1. Detailed Budget'!D45</f>
        <v>Consultoría especializada para la elaboración de productos de conocimiento en APP Ecuador</v>
      </c>
      <c r="D67" s="121" t="s">
        <v>146</v>
      </c>
      <c r="E67" s="121" t="s">
        <v>120</v>
      </c>
      <c r="F67" s="213">
        <f>'1. Detailed Budget'!H45</f>
        <v>24750</v>
      </c>
      <c r="G67" s="214">
        <v>1</v>
      </c>
      <c r="H67" s="123">
        <v>0</v>
      </c>
      <c r="I67" s="215">
        <v>1</v>
      </c>
      <c r="J67" s="121" t="s">
        <v>122</v>
      </c>
      <c r="K67" s="121" t="s">
        <v>113</v>
      </c>
      <c r="L67" s="124">
        <v>44349</v>
      </c>
      <c r="M67" s="124">
        <v>44469</v>
      </c>
      <c r="N67" s="125"/>
      <c r="Q67" s="143"/>
      <c r="R67" s="143"/>
    </row>
    <row r="68" spans="1:18" ht="158.4" x14ac:dyDescent="0.25">
      <c r="A68" s="137" t="s">
        <v>226</v>
      </c>
      <c r="B68" s="136" t="s">
        <v>89</v>
      </c>
      <c r="C68" s="121" t="str">
        <f>'1. Detailed Budget'!A47</f>
        <v>Oficial financiero Componente 1 y 2</v>
      </c>
      <c r="D68" s="121" t="s">
        <v>130</v>
      </c>
      <c r="E68" s="121" t="s">
        <v>120</v>
      </c>
      <c r="F68" s="213">
        <f>'1. Detailed Budget'!B47</f>
        <v>154000</v>
      </c>
      <c r="G68" s="214">
        <v>1</v>
      </c>
      <c r="H68" s="123">
        <v>0</v>
      </c>
      <c r="I68" s="215">
        <v>1</v>
      </c>
      <c r="J68" s="121" t="s">
        <v>97</v>
      </c>
      <c r="K68" s="121" t="s">
        <v>113</v>
      </c>
      <c r="L68" s="124">
        <v>43770</v>
      </c>
      <c r="M68" s="124">
        <v>43800</v>
      </c>
      <c r="N68" s="125" t="s">
        <v>242</v>
      </c>
      <c r="Q68" s="143"/>
      <c r="R68" s="143"/>
    </row>
    <row r="69" spans="1:18" ht="158.4" x14ac:dyDescent="0.25">
      <c r="A69" s="137" t="s">
        <v>226</v>
      </c>
      <c r="B69" s="136" t="s">
        <v>89</v>
      </c>
      <c r="C69" s="121" t="str">
        <f>'1. Detailed Budget'!A48</f>
        <v>Experto Adquisiciones Componente 1 y 2</v>
      </c>
      <c r="D69" s="121" t="s">
        <v>130</v>
      </c>
      <c r="E69" s="121" t="s">
        <v>120</v>
      </c>
      <c r="F69" s="213">
        <f>'1. Detailed Budget'!B48</f>
        <v>154000</v>
      </c>
      <c r="G69" s="214">
        <v>1</v>
      </c>
      <c r="H69" s="123">
        <v>0</v>
      </c>
      <c r="I69" s="215">
        <v>1</v>
      </c>
      <c r="J69" s="121" t="s">
        <v>97</v>
      </c>
      <c r="K69" s="121" t="s">
        <v>113</v>
      </c>
      <c r="L69" s="124">
        <v>43770</v>
      </c>
      <c r="M69" s="124">
        <v>43800</v>
      </c>
      <c r="N69" s="125" t="s">
        <v>243</v>
      </c>
      <c r="Q69" s="143"/>
      <c r="R69" s="143"/>
    </row>
    <row r="70" spans="1:18" ht="158.4" x14ac:dyDescent="0.25">
      <c r="A70" s="137" t="s">
        <v>226</v>
      </c>
      <c r="B70" s="136" t="s">
        <v>89</v>
      </c>
      <c r="C70" s="121" t="str">
        <f>'1. Detailed Budget'!A49</f>
        <v>Monitoreo Y Planificación Componente 1 y 2</v>
      </c>
      <c r="D70" s="121" t="s">
        <v>130</v>
      </c>
      <c r="E70" s="121" t="s">
        <v>120</v>
      </c>
      <c r="F70" s="213">
        <f>'1. Detailed Budget'!B49</f>
        <v>185000</v>
      </c>
      <c r="G70" s="214">
        <v>1</v>
      </c>
      <c r="H70" s="123">
        <v>0</v>
      </c>
      <c r="I70" s="215">
        <v>1</v>
      </c>
      <c r="J70" s="121" t="s">
        <v>97</v>
      </c>
      <c r="K70" s="121" t="s">
        <v>113</v>
      </c>
      <c r="L70" s="124">
        <v>43770</v>
      </c>
      <c r="M70" s="124">
        <v>43800</v>
      </c>
      <c r="N70" s="125" t="s">
        <v>244</v>
      </c>
      <c r="Q70" s="143"/>
      <c r="R70" s="143"/>
    </row>
    <row r="71" spans="1:18" ht="158.4" x14ac:dyDescent="0.25">
      <c r="A71" s="137" t="s">
        <v>226</v>
      </c>
      <c r="B71" s="136" t="s">
        <v>89</v>
      </c>
      <c r="C71" s="121" t="str">
        <f>'1. Detailed Budget'!A50</f>
        <v>Coordinador Operativo Comp. 1 y 2</v>
      </c>
      <c r="D71" s="121" t="s">
        <v>130</v>
      </c>
      <c r="E71" s="121" t="s">
        <v>120</v>
      </c>
      <c r="F71" s="213">
        <f>'1. Detailed Budget'!B50</f>
        <v>275000</v>
      </c>
      <c r="G71" s="214">
        <v>1</v>
      </c>
      <c r="H71" s="123">
        <v>0</v>
      </c>
      <c r="I71" s="215">
        <v>1</v>
      </c>
      <c r="J71" s="121" t="s">
        <v>97</v>
      </c>
      <c r="K71" s="121" t="s">
        <v>113</v>
      </c>
      <c r="L71" s="124">
        <v>43770</v>
      </c>
      <c r="M71" s="124">
        <v>43800</v>
      </c>
      <c r="N71" s="125" t="s">
        <v>245</v>
      </c>
      <c r="Q71" s="143"/>
      <c r="R71" s="143"/>
    </row>
    <row r="72" spans="1:18" ht="158.4" x14ac:dyDescent="0.25">
      <c r="A72" s="137" t="s">
        <v>226</v>
      </c>
      <c r="B72" s="136" t="s">
        <v>89</v>
      </c>
      <c r="C72" s="121" t="str">
        <f>'1. Detailed Budget'!A51</f>
        <v>Apoyo ejecución Comp. 1 y 2</v>
      </c>
      <c r="D72" s="121" t="s">
        <v>130</v>
      </c>
      <c r="E72" s="121" t="s">
        <v>120</v>
      </c>
      <c r="F72" s="213">
        <f>'1. Detailed Budget'!B51</f>
        <v>154000</v>
      </c>
      <c r="G72" s="214">
        <v>1</v>
      </c>
      <c r="H72" s="123">
        <v>0</v>
      </c>
      <c r="I72" s="215">
        <v>1</v>
      </c>
      <c r="J72" s="121" t="s">
        <v>97</v>
      </c>
      <c r="K72" s="121" t="s">
        <v>113</v>
      </c>
      <c r="L72" s="124">
        <v>43770</v>
      </c>
      <c r="M72" s="124">
        <v>43800</v>
      </c>
      <c r="N72" s="125" t="s">
        <v>246</v>
      </c>
      <c r="Q72" s="143"/>
      <c r="R72" s="143"/>
    </row>
    <row r="73" spans="1:18" ht="26.4" x14ac:dyDescent="0.25">
      <c r="A73" s="137" t="s">
        <v>226</v>
      </c>
      <c r="B73" s="136" t="s">
        <v>89</v>
      </c>
      <c r="C73" s="121" t="str">
        <f>'1. Detailed Budget'!A52</f>
        <v>Experto Legal APP Componente 1 y 2</v>
      </c>
      <c r="D73" s="121" t="s">
        <v>146</v>
      </c>
      <c r="E73" s="121" t="s">
        <v>120</v>
      </c>
      <c r="F73" s="213">
        <f>'1. Detailed Budget'!B52</f>
        <v>184800</v>
      </c>
      <c r="G73" s="214">
        <v>1</v>
      </c>
      <c r="H73" s="123">
        <v>0</v>
      </c>
      <c r="I73" s="215">
        <v>1</v>
      </c>
      <c r="J73" s="121" t="s">
        <v>97</v>
      </c>
      <c r="K73" s="121" t="s">
        <v>113</v>
      </c>
      <c r="L73" s="124">
        <v>43466</v>
      </c>
      <c r="M73" s="124">
        <v>43498</v>
      </c>
      <c r="N73" s="125" t="s">
        <v>225</v>
      </c>
      <c r="Q73" s="143"/>
      <c r="R73" s="143"/>
    </row>
    <row r="74" spans="1:18" ht="26.4" x14ac:dyDescent="0.25">
      <c r="A74" s="137" t="s">
        <v>226</v>
      </c>
      <c r="B74" s="136" t="s">
        <v>89</v>
      </c>
      <c r="C74" s="121" t="str">
        <f>'1. Detailed Budget'!A53</f>
        <v>Experto Financiero APP Componente 1 y 2</v>
      </c>
      <c r="D74" s="121" t="s">
        <v>146</v>
      </c>
      <c r="E74" s="121" t="s">
        <v>120</v>
      </c>
      <c r="F74" s="213">
        <f>'1. Detailed Budget'!B53</f>
        <v>184800</v>
      </c>
      <c r="G74" s="214">
        <v>1</v>
      </c>
      <c r="H74" s="123">
        <v>0</v>
      </c>
      <c r="I74" s="215">
        <v>1</v>
      </c>
      <c r="J74" s="121" t="s">
        <v>97</v>
      </c>
      <c r="K74" s="121" t="s">
        <v>113</v>
      </c>
      <c r="L74" s="124">
        <v>43466</v>
      </c>
      <c r="M74" s="124">
        <v>43498</v>
      </c>
      <c r="N74" s="125" t="s">
        <v>225</v>
      </c>
      <c r="Q74" s="143"/>
      <c r="R74" s="143"/>
    </row>
    <row r="75" spans="1:18" ht="26.4" x14ac:dyDescent="0.25">
      <c r="A75" s="137" t="s">
        <v>226</v>
      </c>
      <c r="B75" s="136" t="s">
        <v>89</v>
      </c>
      <c r="C75" s="121" t="str">
        <f>'1. Detailed Budget'!A54</f>
        <v>Experto Técnico Ingeniero APP Componente 1 y 2</v>
      </c>
      <c r="D75" s="121" t="s">
        <v>146</v>
      </c>
      <c r="E75" s="121" t="s">
        <v>120</v>
      </c>
      <c r="F75" s="213">
        <f>'1. Detailed Budget'!B54</f>
        <v>184800</v>
      </c>
      <c r="G75" s="214">
        <v>1</v>
      </c>
      <c r="H75" s="123">
        <v>0</v>
      </c>
      <c r="I75" s="215">
        <v>1</v>
      </c>
      <c r="J75" s="121" t="s">
        <v>97</v>
      </c>
      <c r="K75" s="121" t="s">
        <v>113</v>
      </c>
      <c r="L75" s="124">
        <v>43466</v>
      </c>
      <c r="M75" s="124">
        <v>43498</v>
      </c>
      <c r="N75" s="125" t="s">
        <v>225</v>
      </c>
      <c r="Q75" s="143"/>
      <c r="R75" s="143"/>
    </row>
    <row r="76" spans="1:18" ht="26.4" x14ac:dyDescent="0.25">
      <c r="A76" s="137" t="s">
        <v>226</v>
      </c>
      <c r="B76" s="136" t="s">
        <v>90</v>
      </c>
      <c r="C76" s="121" t="str">
        <f>'1. Detailed Budget'!A59</f>
        <v>Experto Legal Unidad APP Comp.3</v>
      </c>
      <c r="D76" s="121" t="s">
        <v>146</v>
      </c>
      <c r="E76" s="121" t="s">
        <v>120</v>
      </c>
      <c r="F76" s="213">
        <f>'1. Detailed Budget'!B59</f>
        <v>184800</v>
      </c>
      <c r="G76" s="214">
        <v>1</v>
      </c>
      <c r="H76" s="123">
        <v>0</v>
      </c>
      <c r="I76" s="215">
        <v>1</v>
      </c>
      <c r="J76" s="121" t="s">
        <v>97</v>
      </c>
      <c r="K76" s="121" t="s">
        <v>113</v>
      </c>
      <c r="L76" s="124">
        <v>43466</v>
      </c>
      <c r="M76" s="124">
        <v>43498</v>
      </c>
      <c r="N76" s="125" t="s">
        <v>225</v>
      </c>
      <c r="Q76" s="143"/>
      <c r="R76" s="143"/>
    </row>
    <row r="77" spans="1:18" ht="26.4" x14ac:dyDescent="0.25">
      <c r="A77" s="137" t="s">
        <v>226</v>
      </c>
      <c r="B77" s="136" t="s">
        <v>90</v>
      </c>
      <c r="C77" s="121" t="str">
        <f>'1. Detailed Budget'!A60</f>
        <v>Experto Financiero Unidad APP Comp.3</v>
      </c>
      <c r="D77" s="121" t="s">
        <v>146</v>
      </c>
      <c r="E77" s="121" t="s">
        <v>120</v>
      </c>
      <c r="F77" s="213">
        <f>'1. Detailed Budget'!B60</f>
        <v>184800</v>
      </c>
      <c r="G77" s="214">
        <v>1</v>
      </c>
      <c r="H77" s="123">
        <v>0</v>
      </c>
      <c r="I77" s="215">
        <v>1</v>
      </c>
      <c r="J77" s="121" t="s">
        <v>97</v>
      </c>
      <c r="K77" s="121" t="s">
        <v>113</v>
      </c>
      <c r="L77" s="124">
        <v>43466</v>
      </c>
      <c r="M77" s="124">
        <v>43498</v>
      </c>
      <c r="N77" s="125" t="s">
        <v>225</v>
      </c>
      <c r="Q77" s="143"/>
      <c r="R77" s="143"/>
    </row>
    <row r="78" spans="1:18" ht="26.4" x14ac:dyDescent="0.25">
      <c r="A78" s="137" t="s">
        <v>226</v>
      </c>
      <c r="B78" s="136" t="s">
        <v>90</v>
      </c>
      <c r="C78" s="121" t="str">
        <f>'1. Detailed Budget'!A61</f>
        <v>Experto Técnico Ingeniero APP Comp.3</v>
      </c>
      <c r="D78" s="121" t="s">
        <v>146</v>
      </c>
      <c r="E78" s="121" t="s">
        <v>120</v>
      </c>
      <c r="F78" s="213">
        <f>'1. Detailed Budget'!B61</f>
        <v>184800</v>
      </c>
      <c r="G78" s="214">
        <v>1</v>
      </c>
      <c r="H78" s="123">
        <v>0</v>
      </c>
      <c r="I78" s="215">
        <v>1</v>
      </c>
      <c r="J78" s="121" t="s">
        <v>97</v>
      </c>
      <c r="K78" s="121" t="s">
        <v>113</v>
      </c>
      <c r="L78" s="124">
        <v>43466</v>
      </c>
      <c r="M78" s="124">
        <v>43498</v>
      </c>
      <c r="N78" s="125" t="s">
        <v>225</v>
      </c>
      <c r="Q78" s="143"/>
      <c r="R78" s="143"/>
    </row>
    <row r="79" spans="1:18" ht="26.4" x14ac:dyDescent="0.25">
      <c r="A79" s="137" t="s">
        <v>226</v>
      </c>
      <c r="B79" s="136" t="s">
        <v>90</v>
      </c>
      <c r="C79" s="121" t="str">
        <f>'1. Detailed Budget'!A62</f>
        <v>Evaluación</v>
      </c>
      <c r="D79" s="121" t="s">
        <v>146</v>
      </c>
      <c r="E79" s="121" t="s">
        <v>120</v>
      </c>
      <c r="F79" s="213">
        <f>'1. Detailed Budget'!B62</f>
        <v>150000</v>
      </c>
      <c r="G79" s="214">
        <v>1</v>
      </c>
      <c r="H79" s="123">
        <v>0</v>
      </c>
      <c r="I79" s="215">
        <v>1</v>
      </c>
      <c r="J79" s="121" t="s">
        <v>97</v>
      </c>
      <c r="K79" s="121" t="s">
        <v>107</v>
      </c>
      <c r="L79" s="124">
        <v>44561</v>
      </c>
      <c r="M79" s="124">
        <v>44591</v>
      </c>
      <c r="N79" s="125" t="s">
        <v>225</v>
      </c>
      <c r="Q79" s="143"/>
      <c r="R79" s="143"/>
    </row>
    <row r="80" spans="1:18" ht="14.4" thickBot="1" x14ac:dyDescent="0.3">
      <c r="F80" s="155">
        <f>SUM(F58:F79)</f>
        <v>4047560</v>
      </c>
      <c r="Q80" s="143" t="s">
        <v>147</v>
      </c>
      <c r="R80" s="143" t="s">
        <v>148</v>
      </c>
    </row>
    <row r="81" spans="1:18" ht="15.75" customHeight="1" x14ac:dyDescent="0.25">
      <c r="B81" s="315" t="s">
        <v>192</v>
      </c>
      <c r="C81" s="316"/>
      <c r="D81" s="316"/>
      <c r="E81" s="316"/>
      <c r="F81" s="316"/>
      <c r="G81" s="316"/>
      <c r="H81" s="316"/>
      <c r="I81" s="316"/>
      <c r="J81" s="316"/>
      <c r="K81" s="316"/>
      <c r="L81" s="316"/>
      <c r="M81" s="316"/>
      <c r="N81" s="317"/>
      <c r="Q81" s="143" t="s">
        <v>149</v>
      </c>
      <c r="R81" s="143" t="s">
        <v>148</v>
      </c>
    </row>
    <row r="82" spans="1:18" ht="15" customHeight="1" x14ac:dyDescent="0.25">
      <c r="A82" s="318"/>
      <c r="B82" s="318" t="s">
        <v>100</v>
      </c>
      <c r="C82" s="319" t="s">
        <v>101</v>
      </c>
      <c r="D82" s="319" t="s">
        <v>230</v>
      </c>
      <c r="E82" s="334"/>
      <c r="F82" s="334"/>
      <c r="G82" s="320" t="s">
        <v>104</v>
      </c>
      <c r="H82" s="320"/>
      <c r="I82" s="320"/>
      <c r="J82" s="319" t="s">
        <v>105</v>
      </c>
      <c r="K82" s="319" t="s">
        <v>228</v>
      </c>
      <c r="L82" s="319" t="s">
        <v>106</v>
      </c>
      <c r="M82" s="319"/>
      <c r="N82" s="321" t="s">
        <v>229</v>
      </c>
      <c r="Q82" s="143"/>
      <c r="R82" s="143" t="s">
        <v>150</v>
      </c>
    </row>
    <row r="83" spans="1:18" ht="39.6" x14ac:dyDescent="0.25">
      <c r="A83" s="318"/>
      <c r="B83" s="318"/>
      <c r="C83" s="319"/>
      <c r="D83" s="319"/>
      <c r="E83" s="319" t="s">
        <v>103</v>
      </c>
      <c r="F83" s="319"/>
      <c r="G83" s="196" t="s">
        <v>108</v>
      </c>
      <c r="H83" s="187" t="s">
        <v>109</v>
      </c>
      <c r="I83" s="197" t="s">
        <v>110</v>
      </c>
      <c r="J83" s="319"/>
      <c r="K83" s="319"/>
      <c r="L83" s="188" t="s">
        <v>134</v>
      </c>
      <c r="M83" s="188" t="s">
        <v>112</v>
      </c>
      <c r="N83" s="321"/>
      <c r="Q83" s="143"/>
      <c r="R83" s="143" t="s">
        <v>150</v>
      </c>
    </row>
    <row r="84" spans="1:18" ht="60" customHeight="1" thickBot="1" x14ac:dyDescent="0.3">
      <c r="A84" s="180" t="str">
        <f>'1. Detailed Budget'!A42</f>
        <v>3.3. Proyectos que reciben garantías del Fondo de Garantías de APP</v>
      </c>
      <c r="B84" s="180" t="s">
        <v>90</v>
      </c>
      <c r="C84" s="181" t="str">
        <f>'1. Detailed Budget'!A42</f>
        <v>3.3. Proyectos que reciben garantías del Fondo de Garantías de APP</v>
      </c>
      <c r="D84" s="181"/>
      <c r="E84" s="332"/>
      <c r="F84" s="333"/>
      <c r="G84" s="190">
        <f>'1. Detailed Budget'!B42+'1. Detailed Budget'!C42</f>
        <v>26382539.699999999</v>
      </c>
      <c r="H84" s="182">
        <f>12000000/$G$84</f>
        <v>0.45484627850289944</v>
      </c>
      <c r="I84" s="182">
        <f>10000000/$G$84</f>
        <v>0.37903856541908282</v>
      </c>
      <c r="J84" s="179" t="s">
        <v>122</v>
      </c>
      <c r="K84" s="181"/>
      <c r="L84" s="183"/>
      <c r="M84" s="183"/>
      <c r="N84" s="184" t="s">
        <v>231</v>
      </c>
      <c r="Q84" s="143" t="s">
        <v>151</v>
      </c>
      <c r="R84" s="143" t="s">
        <v>138</v>
      </c>
    </row>
    <row r="85" spans="1:18" x14ac:dyDescent="0.25">
      <c r="A85" s="141"/>
      <c r="B85" s="141"/>
      <c r="C85" s="141"/>
      <c r="D85" s="141"/>
      <c r="E85" s="141"/>
      <c r="F85" s="141"/>
      <c r="G85" s="157">
        <f>SUM(G84:G84)</f>
        <v>26382539.699999999</v>
      </c>
      <c r="H85" s="145"/>
      <c r="I85" s="142"/>
      <c r="J85" s="142"/>
      <c r="K85" s="141"/>
      <c r="L85" s="189"/>
      <c r="M85" s="189"/>
      <c r="N85" s="141"/>
      <c r="Q85" s="143"/>
      <c r="R85" s="143"/>
    </row>
    <row r="86" spans="1:18" x14ac:dyDescent="0.25">
      <c r="Q86" s="116"/>
      <c r="R86" s="143" t="s">
        <v>143</v>
      </c>
    </row>
    <row r="87" spans="1:18" x14ac:dyDescent="0.25">
      <c r="B87" s="191" t="s">
        <v>233</v>
      </c>
      <c r="G87" s="133">
        <f>'1. Detailed Budget'!B67</f>
        <v>300959.87299999996</v>
      </c>
      <c r="Q87" s="143" t="s">
        <v>152</v>
      </c>
      <c r="R87" s="143" t="s">
        <v>148</v>
      </c>
    </row>
    <row r="88" spans="1:18" s="191" customFormat="1" x14ac:dyDescent="0.25">
      <c r="B88" s="191" t="s">
        <v>234</v>
      </c>
      <c r="G88" s="133">
        <f>'1. Detailed Budget'!B68</f>
        <v>202822.83000000002</v>
      </c>
      <c r="L88" s="192"/>
      <c r="M88" s="192"/>
      <c r="Q88" s="146"/>
      <c r="R88" s="146"/>
    </row>
    <row r="89" spans="1:18" x14ac:dyDescent="0.25">
      <c r="B89" s="191" t="s">
        <v>10</v>
      </c>
      <c r="C89" s="191"/>
      <c r="D89" s="191"/>
      <c r="E89" s="191"/>
      <c r="F89" s="191"/>
      <c r="G89" s="156">
        <f>G88++G87+G85+F80+G53+G25+G15+G8</f>
        <v>60000000.003000006</v>
      </c>
      <c r="H89" s="193">
        <f>(G89-10000000)/G89</f>
        <v>0.8333333333416667</v>
      </c>
      <c r="I89" s="193">
        <f>10000000/G89</f>
        <v>0.16666666665833332</v>
      </c>
      <c r="Q89" s="119"/>
      <c r="R89" s="119"/>
    </row>
    <row r="90" spans="1:18" x14ac:dyDescent="0.25">
      <c r="Q90" s="143" t="s">
        <v>153</v>
      </c>
      <c r="R90" s="116"/>
    </row>
    <row r="91" spans="1:18" x14ac:dyDescent="0.25">
      <c r="Q91" s="143" t="s">
        <v>149</v>
      </c>
      <c r="R91" s="116"/>
    </row>
    <row r="92" spans="1:18" x14ac:dyDescent="0.25">
      <c r="Q92" s="119"/>
      <c r="R92" s="119"/>
    </row>
    <row r="93" spans="1:18" x14ac:dyDescent="0.25">
      <c r="Q93" s="119"/>
      <c r="R93" s="119"/>
    </row>
    <row r="94" spans="1:18" x14ac:dyDescent="0.25">
      <c r="Q94" s="118" t="s">
        <v>128</v>
      </c>
      <c r="R94" s="116"/>
    </row>
    <row r="95" spans="1:18" x14ac:dyDescent="0.25">
      <c r="Q95" s="118" t="s">
        <v>130</v>
      </c>
      <c r="R95" s="116"/>
    </row>
    <row r="96" spans="1:18" x14ac:dyDescent="0.25">
      <c r="Q96" s="118" t="s">
        <v>146</v>
      </c>
      <c r="R96" s="116"/>
    </row>
    <row r="97" spans="17:18" x14ac:dyDescent="0.25">
      <c r="Q97" s="118" t="s">
        <v>99</v>
      </c>
      <c r="R97" s="119"/>
    </row>
  </sheetData>
  <autoFilter ref="J1:J97" xr:uid="{820CDC7F-1BC4-4582-980E-5D1422DF53A7}"/>
  <mergeCells count="74">
    <mergeCell ref="A60:A62"/>
    <mergeCell ref="E84:F84"/>
    <mergeCell ref="B81:N81"/>
    <mergeCell ref="A82:A83"/>
    <mergeCell ref="B82:B83"/>
    <mergeCell ref="C82:C83"/>
    <mergeCell ref="D82:D83"/>
    <mergeCell ref="E82:F82"/>
    <mergeCell ref="G82:I82"/>
    <mergeCell ref="J82:J83"/>
    <mergeCell ref="K82:K83"/>
    <mergeCell ref="L82:M82"/>
    <mergeCell ref="N82:N83"/>
    <mergeCell ref="E83:F83"/>
    <mergeCell ref="N56:N57"/>
    <mergeCell ref="J27:J28"/>
    <mergeCell ref="K27:K28"/>
    <mergeCell ref="L27:M27"/>
    <mergeCell ref="N27:N28"/>
    <mergeCell ref="B55:N55"/>
    <mergeCell ref="G27:I27"/>
    <mergeCell ref="F56:H56"/>
    <mergeCell ref="I56:I57"/>
    <mergeCell ref="J56:J57"/>
    <mergeCell ref="K56:K57"/>
    <mergeCell ref="L56:M56"/>
    <mergeCell ref="A56:A57"/>
    <mergeCell ref="B56:B57"/>
    <mergeCell ref="C56:C57"/>
    <mergeCell ref="D56:D57"/>
    <mergeCell ref="E56:E57"/>
    <mergeCell ref="A27:A28"/>
    <mergeCell ref="B27:B28"/>
    <mergeCell ref="C27:C28"/>
    <mergeCell ref="D27:D28"/>
    <mergeCell ref="E27:F27"/>
    <mergeCell ref="B26:N26"/>
    <mergeCell ref="A17:A18"/>
    <mergeCell ref="B17:B18"/>
    <mergeCell ref="C17:C18"/>
    <mergeCell ref="D17:D18"/>
    <mergeCell ref="E17:E18"/>
    <mergeCell ref="F17:F18"/>
    <mergeCell ref="G17:I17"/>
    <mergeCell ref="J17:J18"/>
    <mergeCell ref="K17:K18"/>
    <mergeCell ref="L17:M17"/>
    <mergeCell ref="N17:N18"/>
    <mergeCell ref="B16:N16"/>
    <mergeCell ref="L4:M4"/>
    <mergeCell ref="N4:N5"/>
    <mergeCell ref="B9:N9"/>
    <mergeCell ref="A10:A11"/>
    <mergeCell ref="B10:B11"/>
    <mergeCell ref="C10:C11"/>
    <mergeCell ref="D10:D11"/>
    <mergeCell ref="E10:E11"/>
    <mergeCell ref="F10:F11"/>
    <mergeCell ref="G10:I10"/>
    <mergeCell ref="J10:J11"/>
    <mergeCell ref="K10:K11"/>
    <mergeCell ref="L10:M10"/>
    <mergeCell ref="N10:N11"/>
    <mergeCell ref="A12:A13"/>
    <mergeCell ref="B3:N3"/>
    <mergeCell ref="A4:A5"/>
    <mergeCell ref="B4:B5"/>
    <mergeCell ref="C4:C5"/>
    <mergeCell ref="D4:D5"/>
    <mergeCell ref="E4:E5"/>
    <mergeCell ref="F4:F5"/>
    <mergeCell ref="G4:I4"/>
    <mergeCell ref="J4:J5"/>
    <mergeCell ref="K4:K5"/>
  </mergeCells>
  <dataValidations count="5">
    <dataValidation type="list" allowBlank="1" showInputMessage="1" showErrorMessage="1" sqref="K85" xr:uid="{D04243ED-354D-4E84-83C5-C120B5C56C33}">
      <formula1>$Q$3:$Q$4</formula1>
    </dataValidation>
    <dataValidation type="list" allowBlank="1" showInputMessage="1" showErrorMessage="1" sqref="D6:D7 D14 D19:D24" xr:uid="{6EE8190B-45C5-413A-8A82-D72D9CC5EAB0}">
      <formula1>$Q$15:$Q$18</formula1>
    </dataValidation>
    <dataValidation type="list" allowBlank="1" showInputMessage="1" showErrorMessage="1" sqref="K6:K7 K12:K14 K58:K79 K19:K24 K29:K53 K84" xr:uid="{24984540-E8A9-4375-A0D7-B680D1A9745B}">
      <formula1>$Q$3:$Q$5</formula1>
    </dataValidation>
    <dataValidation type="list" allowBlank="1" showInputMessage="1" showErrorMessage="1" sqref="D29:D53 D84:D85" xr:uid="{78F189F3-F02F-46D6-AFF3-79C56FE1CFDB}">
      <formula1>$Q$25:$Q$28</formula1>
    </dataValidation>
    <dataValidation type="list" allowBlank="1" showInputMessage="1" showErrorMessage="1" sqref="D58:D79" xr:uid="{4B070C8D-8B79-42C3-9091-41DB04DF25B3}">
      <formula1>$Q$94:$Q$97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AA558-FF3B-4A6D-AA9F-0194DDB7CDA6}">
  <dimension ref="A1:C34"/>
  <sheetViews>
    <sheetView topLeftCell="A13" workbookViewId="0">
      <selection activeCell="B40" sqref="B40"/>
    </sheetView>
  </sheetViews>
  <sheetFormatPr defaultColWidth="8.69921875" defaultRowHeight="15.6" x14ac:dyDescent="0.3"/>
  <cols>
    <col min="1" max="1" width="41.19921875" customWidth="1"/>
    <col min="2" max="3" width="32" customWidth="1"/>
  </cols>
  <sheetData>
    <row r="1" spans="1:3" ht="16.2" thickBot="1" x14ac:dyDescent="0.35">
      <c r="A1" s="338"/>
      <c r="B1" s="338"/>
      <c r="C1" s="338"/>
    </row>
    <row r="2" spans="1:3" x14ac:dyDescent="0.3">
      <c r="A2" s="339" t="s">
        <v>95</v>
      </c>
      <c r="B2" s="340"/>
      <c r="C2" s="341"/>
    </row>
    <row r="3" spans="1:3" x14ac:dyDescent="0.3">
      <c r="A3" s="106" t="s">
        <v>44</v>
      </c>
      <c r="B3" s="107" t="s">
        <v>45</v>
      </c>
      <c r="C3" s="108" t="s">
        <v>46</v>
      </c>
    </row>
    <row r="4" spans="1:3" ht="16.2" thickBot="1" x14ac:dyDescent="0.35">
      <c r="A4" s="34" t="s">
        <v>47</v>
      </c>
      <c r="B4" s="35">
        <v>43296</v>
      </c>
      <c r="C4" s="35">
        <f>B4+(365*5.5)</f>
        <v>45303.5</v>
      </c>
    </row>
    <row r="5" spans="1:3" x14ac:dyDescent="0.3">
      <c r="A5" s="342"/>
      <c r="B5" s="342"/>
      <c r="C5" s="342"/>
    </row>
    <row r="6" spans="1:3" x14ac:dyDescent="0.3">
      <c r="A6" s="343" t="s">
        <v>48</v>
      </c>
      <c r="B6" s="344"/>
      <c r="C6" s="345"/>
    </row>
    <row r="7" spans="1:3" ht="16.2" thickBot="1" x14ac:dyDescent="0.35">
      <c r="A7" s="36"/>
      <c r="B7" s="346"/>
      <c r="C7" s="347"/>
    </row>
    <row r="8" spans="1:3" ht="16.2" thickBot="1" x14ac:dyDescent="0.35">
      <c r="A8" s="342"/>
      <c r="B8" s="342"/>
      <c r="C8" s="342"/>
    </row>
    <row r="9" spans="1:3" x14ac:dyDescent="0.3">
      <c r="A9" s="335" t="s">
        <v>49</v>
      </c>
      <c r="B9" s="336"/>
      <c r="C9" s="337"/>
    </row>
    <row r="10" spans="1:3" ht="31.2" x14ac:dyDescent="0.3">
      <c r="A10" s="109" t="s">
        <v>96</v>
      </c>
      <c r="B10" s="110" t="s">
        <v>50</v>
      </c>
      <c r="C10" s="109" t="s">
        <v>51</v>
      </c>
    </row>
    <row r="11" spans="1:3" x14ac:dyDescent="0.3">
      <c r="A11" s="37" t="s">
        <v>41</v>
      </c>
      <c r="B11" s="71">
        <f>+'3. Procurement Plan - PA'!F80</f>
        <v>4047560</v>
      </c>
      <c r="C11" s="71">
        <f>+B11</f>
        <v>4047560</v>
      </c>
    </row>
    <row r="12" spans="1:3" x14ac:dyDescent="0.3">
      <c r="A12" s="37" t="s">
        <v>42</v>
      </c>
      <c r="B12" s="71">
        <f>+'3. Procurement Plan - PA'!G53</f>
        <v>27581767.600000001</v>
      </c>
      <c r="C12" s="71">
        <f>+B12</f>
        <v>27581767.600000001</v>
      </c>
    </row>
    <row r="13" spans="1:3" x14ac:dyDescent="0.3">
      <c r="A13" s="37" t="s">
        <v>4</v>
      </c>
      <c r="B13" s="71">
        <f>+'3. Procurement Plan - PA'!G15</f>
        <v>14350</v>
      </c>
      <c r="C13" s="71">
        <f>+B13</f>
        <v>14350</v>
      </c>
    </row>
    <row r="14" spans="1:3" x14ac:dyDescent="0.3">
      <c r="A14" s="38" t="s">
        <v>43</v>
      </c>
      <c r="B14" s="71">
        <f>+'3. Procurement Plan - PA'!G25</f>
        <v>1470000</v>
      </c>
      <c r="C14" s="71">
        <f>+B14</f>
        <v>1470000</v>
      </c>
    </row>
    <row r="15" spans="1:3" x14ac:dyDescent="0.3">
      <c r="A15" s="175" t="s">
        <v>209</v>
      </c>
      <c r="B15" s="159">
        <f>+'3. Procurement Plan - PA'!G87+'3. Procurement Plan - PA'!G88</f>
        <v>503782.70299999998</v>
      </c>
      <c r="C15" s="159">
        <f>+B15</f>
        <v>503782.70299999998</v>
      </c>
    </row>
    <row r="16" spans="1:3" x14ac:dyDescent="0.3">
      <c r="A16" s="158" t="s">
        <v>193</v>
      </c>
      <c r="B16" s="159">
        <f>'3. Procurement Plan - PA'!G85-10000000</f>
        <v>16382539.699999999</v>
      </c>
      <c r="C16" s="159">
        <f>'3. Procurement Plan - PA'!G85</f>
        <v>26382539.699999999</v>
      </c>
    </row>
    <row r="17" spans="1:3" x14ac:dyDescent="0.3">
      <c r="A17" s="109" t="s">
        <v>10</v>
      </c>
      <c r="B17" s="111">
        <f>SUM(B11:B16)</f>
        <v>50000000.003000006</v>
      </c>
      <c r="C17" s="111">
        <f>SUM(C11:C16)</f>
        <v>60000000.003000006</v>
      </c>
    </row>
    <row r="18" spans="1:3" ht="16.2" thickBot="1" x14ac:dyDescent="0.35"/>
    <row r="19" spans="1:3" x14ac:dyDescent="0.3">
      <c r="A19" s="335" t="s">
        <v>52</v>
      </c>
      <c r="B19" s="336"/>
      <c r="C19" s="337"/>
    </row>
    <row r="20" spans="1:3" ht="31.2" x14ac:dyDescent="0.3">
      <c r="A20" s="109" t="s">
        <v>53</v>
      </c>
      <c r="B20" s="109" t="s">
        <v>50</v>
      </c>
      <c r="C20" s="109" t="s">
        <v>54</v>
      </c>
    </row>
    <row r="21" spans="1:3" ht="52.8" customHeight="1" x14ac:dyDescent="0.3">
      <c r="A21" s="153" t="str">
        <f>'1. Detailed Budget'!D7</f>
        <v>Componente 1. Creación y fortalecimiento de los instrumentos de gestión fiscal responsable de la inversión pública a través de APP (Ejecuta Ministerio de Economía y Finanzas - MEF)</v>
      </c>
      <c r="B21" s="112">
        <f>'1. Detailed Budget'!B7</f>
        <v>1883930</v>
      </c>
      <c r="C21" s="112">
        <f>+B21</f>
        <v>1883930</v>
      </c>
    </row>
    <row r="22" spans="1:3" ht="41.4" x14ac:dyDescent="0.3">
      <c r="A22" s="153" t="str">
        <f>'1. Detailed Budget'!D17</f>
        <v>Componente 2. Fortalecimiento de los Instrumentos de estructuración de proyectos de inversión pública bajo a modalidad de APP a nivel nacional (Ejecuta MEF)</v>
      </c>
      <c r="B22" s="112">
        <f>'1. Detailed Budget'!B17</f>
        <v>16210500</v>
      </c>
      <c r="C22" s="112">
        <f>+B22</f>
        <v>16210500</v>
      </c>
    </row>
    <row r="23" spans="1:3" ht="55.2" x14ac:dyDescent="0.3">
      <c r="A23" s="153" t="str">
        <f>'1. Detailed Budget'!D25</f>
        <v>Componente 3. Mejora de la inversión pública de los Gobiernos Autónomos Descentralizados (GAD) con participación privada (Ejecuta Banco de Desarrollo de Ecuador B.P. (BDE)</v>
      </c>
      <c r="B23" s="112">
        <f>'1. Detailed Budget'!B25</f>
        <v>29095987.300000001</v>
      </c>
      <c r="C23" s="112">
        <f>+B23+10000000</f>
        <v>39095987.299999997</v>
      </c>
    </row>
    <row r="24" spans="1:3" x14ac:dyDescent="0.3">
      <c r="A24" s="72" t="s">
        <v>97</v>
      </c>
      <c r="B24" s="112">
        <f>'1. Detailed Budget'!B46</f>
        <v>2305800</v>
      </c>
      <c r="C24" s="112">
        <f>+B24</f>
        <v>2305800</v>
      </c>
    </row>
    <row r="25" spans="1:3" x14ac:dyDescent="0.3">
      <c r="A25" s="174" t="s">
        <v>209</v>
      </c>
      <c r="B25" s="112">
        <f>'1. Detailed Budget'!B67+'1. Detailed Budget'!B68</f>
        <v>503782.70299999998</v>
      </c>
      <c r="C25" s="112">
        <f>+B25</f>
        <v>503782.70299999998</v>
      </c>
    </row>
    <row r="26" spans="1:3" x14ac:dyDescent="0.3">
      <c r="A26" s="109" t="s">
        <v>10</v>
      </c>
      <c r="B26" s="111">
        <f>SUM(B21:B25)</f>
        <v>50000000.002999999</v>
      </c>
      <c r="C26" s="111">
        <f>SUM(C21:C25)</f>
        <v>60000000.002999999</v>
      </c>
    </row>
    <row r="29" spans="1:3" x14ac:dyDescent="0.3">
      <c r="B29" s="10"/>
      <c r="C29" s="39"/>
    </row>
    <row r="34" spans="3:3" x14ac:dyDescent="0.3">
      <c r="C34" t="s">
        <v>394</v>
      </c>
    </row>
  </sheetData>
  <mergeCells count="8">
    <mergeCell ref="A9:C9"/>
    <mergeCell ref="A19:C19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0"/>
  <sheetViews>
    <sheetView topLeftCell="B13" zoomScale="80" zoomScaleNormal="80" zoomScalePageLayoutView="115" workbookViewId="0">
      <selection activeCell="F38" sqref="F38"/>
    </sheetView>
  </sheetViews>
  <sheetFormatPr defaultColWidth="8.69921875" defaultRowHeight="15.6" x14ac:dyDescent="0.3"/>
  <cols>
    <col min="1" max="1" width="39.19921875" style="11" customWidth="1"/>
    <col min="2" max="3" width="12.8984375" style="11" customWidth="1"/>
    <col min="4" max="5" width="12.8984375" style="99" customWidth="1"/>
    <col min="6" max="7" width="12.8984375" style="11" customWidth="1"/>
    <col min="8" max="9" width="11.19921875" style="11" customWidth="1"/>
    <col min="10" max="10" width="11" style="11" customWidth="1"/>
    <col min="11" max="11" width="8.69921875" style="11"/>
  </cols>
  <sheetData>
    <row r="1" spans="1:7" ht="16.2" thickBot="1" x14ac:dyDescent="0.35">
      <c r="A1" s="348" t="s">
        <v>23</v>
      </c>
      <c r="B1" s="349"/>
      <c r="C1" s="349"/>
      <c r="D1" s="349"/>
      <c r="E1" s="349"/>
      <c r="F1" s="349"/>
      <c r="G1" s="349"/>
    </row>
    <row r="2" spans="1:7" ht="12" customHeight="1" thickBot="1" x14ac:dyDescent="0.35">
      <c r="A2" s="356" t="s">
        <v>24</v>
      </c>
      <c r="B2" s="354" t="s">
        <v>25</v>
      </c>
      <c r="C2" s="355"/>
      <c r="D2" s="356" t="s">
        <v>93</v>
      </c>
      <c r="E2" s="356" t="s">
        <v>219</v>
      </c>
      <c r="F2" s="356" t="s">
        <v>10</v>
      </c>
      <c r="G2" s="356" t="s">
        <v>22</v>
      </c>
    </row>
    <row r="3" spans="1:7" ht="10.199999999999999" customHeight="1" thickBot="1" x14ac:dyDescent="0.35">
      <c r="A3" s="357"/>
      <c r="B3" s="97" t="s">
        <v>89</v>
      </c>
      <c r="C3" s="97" t="s">
        <v>90</v>
      </c>
      <c r="D3" s="357"/>
      <c r="E3" s="357"/>
      <c r="F3" s="357"/>
      <c r="G3" s="357"/>
    </row>
    <row r="4" spans="1:7" ht="16.2" thickBot="1" x14ac:dyDescent="0.35">
      <c r="A4" s="12" t="s">
        <v>27</v>
      </c>
      <c r="B4" s="13">
        <f>SUM(B5:B7)</f>
        <v>18094430</v>
      </c>
      <c r="C4" s="13">
        <f>SUM(C5:C7)</f>
        <v>29095987.300000001</v>
      </c>
      <c r="D4" s="13">
        <f>SUM(D5:D7)</f>
        <v>2171331.6</v>
      </c>
      <c r="E4" s="13">
        <f>SUM(E5:E7)</f>
        <v>11525613.711999999</v>
      </c>
      <c r="F4" s="13">
        <f>SUM(B4:E4)</f>
        <v>60887362.611999996</v>
      </c>
      <c r="G4" s="14">
        <f t="shared" ref="G4:G20" si="0">F4/$F$20*100</f>
        <v>95.08584822570306</v>
      </c>
    </row>
    <row r="5" spans="1:7" ht="41.4" customHeight="1" thickBot="1" x14ac:dyDescent="0.35">
      <c r="A5" s="86" t="str">
        <f>'1. Detailed Budget'!D7</f>
        <v>Componente 1. Creación y fortalecimiento de los instrumentos de gestión fiscal responsable de la inversión pública a través de APP (Ejecuta Ministerio de Economía y Finanzas - MEF)</v>
      </c>
      <c r="B5" s="16">
        <f>'1. Detailed Budget'!B7</f>
        <v>1883930</v>
      </c>
      <c r="C5" s="16"/>
      <c r="D5" s="16">
        <f>'1. Detailed Budget'!C7</f>
        <v>226071.59999999998</v>
      </c>
      <c r="E5" s="16"/>
      <c r="F5" s="16">
        <f>SUM(B5:E5)</f>
        <v>2110001.6</v>
      </c>
      <c r="G5" s="17">
        <f t="shared" si="0"/>
        <v>3.2951220628835252</v>
      </c>
    </row>
    <row r="6" spans="1:7" ht="43.2" customHeight="1" thickBot="1" x14ac:dyDescent="0.35">
      <c r="A6" s="86" t="str">
        <f>'1. Detailed Budget'!D17</f>
        <v>Componente 2. Fortalecimiento de los Instrumentos de estructuración de proyectos de inversión pública bajo a modalidad de APP a nivel nacional (Ejecuta MEF)</v>
      </c>
      <c r="B6" s="16">
        <f>'1. Detailed Budget'!B17</f>
        <v>16210500</v>
      </c>
      <c r="C6" s="16"/>
      <c r="D6" s="16">
        <f>'1. Detailed Budget'!C17</f>
        <v>1945260</v>
      </c>
      <c r="E6" s="16"/>
      <c r="F6" s="16">
        <f t="shared" ref="F6:F16" si="1">SUM(B6:E6)</f>
        <v>18155760</v>
      </c>
      <c r="G6" s="17">
        <f t="shared" si="0"/>
        <v>28.353270132315629</v>
      </c>
    </row>
    <row r="7" spans="1:7" ht="40.950000000000003" customHeight="1" thickBot="1" x14ac:dyDescent="0.35">
      <c r="A7" s="86" t="str">
        <f>'1. Detailed Budget'!D25</f>
        <v>Componente 3. Mejora de la inversión pública de los Gobiernos Autónomos Descentralizados (GAD) con participación privada (Ejecuta Banco de Desarrollo de Ecuador B.P. (BDE)</v>
      </c>
      <c r="B7" s="16"/>
      <c r="C7" s="16">
        <f>'1. Detailed Budget'!B25</f>
        <v>29095987.300000001</v>
      </c>
      <c r="D7" s="16"/>
      <c r="E7" s="16">
        <f>'1. Detailed Budget'!C25</f>
        <v>11525613.711999999</v>
      </c>
      <c r="F7" s="16">
        <f t="shared" si="1"/>
        <v>40621601.012000002</v>
      </c>
      <c r="G7" s="17">
        <f t="shared" si="0"/>
        <v>63.437456030503924</v>
      </c>
    </row>
    <row r="8" spans="1:7" ht="16.2" thickBot="1" x14ac:dyDescent="0.35">
      <c r="A8" s="12" t="s">
        <v>28</v>
      </c>
      <c r="B8" s="13">
        <f>SUM(B9:B18)</f>
        <v>1751400</v>
      </c>
      <c r="C8" s="13">
        <f>SUM(C9:C18)</f>
        <v>554400</v>
      </c>
      <c r="D8" s="13">
        <f>SUM(D9:D18)</f>
        <v>210168</v>
      </c>
      <c r="E8" s="13">
        <f>SUM(E9:E18)</f>
        <v>66528</v>
      </c>
      <c r="F8" s="13">
        <f>SUM(B8:E8)</f>
        <v>2582496</v>
      </c>
      <c r="G8" s="14">
        <f t="shared" si="0"/>
        <v>4.0330014664009974</v>
      </c>
    </row>
    <row r="9" spans="1:7" ht="16.2" thickBot="1" x14ac:dyDescent="0.35">
      <c r="A9" s="15" t="s">
        <v>235</v>
      </c>
      <c r="B9" s="16">
        <f>'1. Detailed Budget'!B47</f>
        <v>154000</v>
      </c>
      <c r="C9" s="16">
        <f>+'1. Detailed Budget'!B55</f>
        <v>0</v>
      </c>
      <c r="D9" s="16">
        <f>'1. Detailed Budget'!C47</f>
        <v>18480</v>
      </c>
      <c r="E9" s="16">
        <f>'1. Detailed Budget'!C55</f>
        <v>0</v>
      </c>
      <c r="F9" s="16">
        <f>SUM(B9:E9)</f>
        <v>172480</v>
      </c>
      <c r="G9" s="17">
        <f t="shared" si="0"/>
        <v>0.26935650352404961</v>
      </c>
    </row>
    <row r="10" spans="1:7" ht="16.2" thickBot="1" x14ac:dyDescent="0.35">
      <c r="A10" s="15" t="s">
        <v>236</v>
      </c>
      <c r="B10" s="16">
        <f>'1. Detailed Budget'!B48</f>
        <v>154000</v>
      </c>
      <c r="C10" s="16">
        <f>+'1. Detailed Budget'!B56</f>
        <v>0</v>
      </c>
      <c r="D10" s="16">
        <f>'1. Detailed Budget'!C48</f>
        <v>18480</v>
      </c>
      <c r="E10" s="16">
        <f>'1. Detailed Budget'!C56</f>
        <v>0</v>
      </c>
      <c r="F10" s="16">
        <f t="shared" si="1"/>
        <v>172480</v>
      </c>
      <c r="G10" s="17">
        <f t="shared" si="0"/>
        <v>0.26935650352404961</v>
      </c>
    </row>
    <row r="11" spans="1:7" ht="16.2" thickBot="1" x14ac:dyDescent="0.35">
      <c r="A11" s="15" t="s">
        <v>237</v>
      </c>
      <c r="B11" s="16">
        <f>'1. Detailed Budget'!B49</f>
        <v>185000</v>
      </c>
      <c r="C11" s="16">
        <f>+'1. Detailed Budget'!B57</f>
        <v>0</v>
      </c>
      <c r="D11" s="16">
        <f>'1. Detailed Budget'!C49</f>
        <v>22200</v>
      </c>
      <c r="E11" s="16">
        <f>'1. Detailed Budget'!C57</f>
        <v>0</v>
      </c>
      <c r="F11" s="16">
        <f t="shared" si="1"/>
        <v>207200</v>
      </c>
      <c r="G11" s="17">
        <f t="shared" si="0"/>
        <v>0.32357761786979988</v>
      </c>
    </row>
    <row r="12" spans="1:7" ht="16.2" thickBot="1" x14ac:dyDescent="0.35">
      <c r="A12" s="15" t="s">
        <v>223</v>
      </c>
      <c r="B12" s="16">
        <f>'1. Detailed Budget'!B50</f>
        <v>275000</v>
      </c>
      <c r="C12" s="16"/>
      <c r="D12" s="16">
        <f>'1. Detailed Budget'!C50</f>
        <v>33000</v>
      </c>
      <c r="E12" s="16"/>
      <c r="F12" s="16">
        <f t="shared" si="1"/>
        <v>308000</v>
      </c>
      <c r="G12" s="17">
        <f t="shared" si="0"/>
        <v>0.48099375629294577</v>
      </c>
    </row>
    <row r="13" spans="1:7" ht="16.2" thickBot="1" x14ac:dyDescent="0.35">
      <c r="A13" s="15" t="s">
        <v>213</v>
      </c>
      <c r="B13" s="16">
        <f>'1. Detailed Budget'!B51</f>
        <v>154000</v>
      </c>
      <c r="C13" s="16"/>
      <c r="D13" s="16">
        <f>'1. Detailed Budget'!C51</f>
        <v>18480</v>
      </c>
      <c r="E13" s="16"/>
      <c r="F13" s="16">
        <f>SUM(B13:E13)</f>
        <v>172480</v>
      </c>
      <c r="G13" s="17">
        <f t="shared" si="0"/>
        <v>0.26935650352404961</v>
      </c>
    </row>
    <row r="14" spans="1:7" ht="16.2" thickBot="1" x14ac:dyDescent="0.35">
      <c r="A14" s="15" t="s">
        <v>212</v>
      </c>
      <c r="B14" s="16">
        <f>'1. Detailed Budget'!B52</f>
        <v>184800</v>
      </c>
      <c r="C14" s="16">
        <f>+'1. Detailed Budget'!B59</f>
        <v>184800</v>
      </c>
      <c r="D14" s="16">
        <f>'1. Detailed Budget'!C52</f>
        <v>22176</v>
      </c>
      <c r="E14" s="16">
        <f>+'1. Detailed Budget'!C59</f>
        <v>22176</v>
      </c>
      <c r="F14" s="16">
        <f t="shared" si="1"/>
        <v>413952</v>
      </c>
      <c r="G14" s="17">
        <f t="shared" si="0"/>
        <v>0.6464556084577191</v>
      </c>
    </row>
    <row r="15" spans="1:7" ht="16.2" thickBot="1" x14ac:dyDescent="0.35">
      <c r="A15" s="15" t="s">
        <v>210</v>
      </c>
      <c r="B15" s="16">
        <f>'1. Detailed Budget'!B53</f>
        <v>184800</v>
      </c>
      <c r="C15" s="16">
        <f>+'1. Detailed Budget'!B60</f>
        <v>184800</v>
      </c>
      <c r="D15" s="16">
        <f>'1. Detailed Budget'!C53</f>
        <v>22176</v>
      </c>
      <c r="E15" s="16">
        <f>+'1. Detailed Budget'!C60</f>
        <v>22176</v>
      </c>
      <c r="F15" s="16">
        <f t="shared" si="1"/>
        <v>413952</v>
      </c>
      <c r="G15" s="17">
        <f t="shared" si="0"/>
        <v>0.6464556084577191</v>
      </c>
    </row>
    <row r="16" spans="1:7" ht="16.2" thickBot="1" x14ac:dyDescent="0.35">
      <c r="A16" s="15" t="s">
        <v>211</v>
      </c>
      <c r="B16" s="16">
        <f>'1. Detailed Budget'!B54</f>
        <v>184800</v>
      </c>
      <c r="C16" s="16">
        <f>+'1. Detailed Budget'!B61</f>
        <v>184800</v>
      </c>
      <c r="D16" s="16">
        <f>'1. Detailed Budget'!C54</f>
        <v>22176</v>
      </c>
      <c r="E16" s="16">
        <f>+'1. Detailed Budget'!C61</f>
        <v>22176</v>
      </c>
      <c r="F16" s="16">
        <f t="shared" si="1"/>
        <v>413952</v>
      </c>
      <c r="G16" s="17">
        <f t="shared" si="0"/>
        <v>0.6464556084577191</v>
      </c>
    </row>
    <row r="17" spans="1:12" ht="16.2" thickBot="1" x14ac:dyDescent="0.35">
      <c r="A17" s="15" t="s">
        <v>18</v>
      </c>
      <c r="B17" s="16">
        <f>SUM('1. Detailed Budget'!B62:B64)</f>
        <v>150000</v>
      </c>
      <c r="C17" s="16"/>
      <c r="D17" s="16">
        <f>SUM('1. Detailed Budget'!C62:C64)</f>
        <v>18000</v>
      </c>
      <c r="E17" s="16"/>
      <c r="F17" s="16">
        <f>SUM(B17:D17)</f>
        <v>168000</v>
      </c>
      <c r="G17" s="17">
        <f t="shared" si="0"/>
        <v>0.26236023070524311</v>
      </c>
    </row>
    <row r="18" spans="1:12" ht="16.2" thickBot="1" x14ac:dyDescent="0.35">
      <c r="A18" s="15" t="s">
        <v>29</v>
      </c>
      <c r="B18" s="16">
        <f>'1. Detailed Budget'!B65</f>
        <v>125000</v>
      </c>
      <c r="C18" s="16"/>
      <c r="D18" s="16">
        <f>'1. Detailed Budget'!C65</f>
        <v>15000</v>
      </c>
      <c r="E18" s="16"/>
      <c r="F18" s="16">
        <f>SUM(B18:D18)</f>
        <v>140000</v>
      </c>
      <c r="G18" s="17">
        <f t="shared" si="0"/>
        <v>0.2186335255877026</v>
      </c>
    </row>
    <row r="19" spans="1:12" ht="16.2" thickBot="1" x14ac:dyDescent="0.35">
      <c r="A19" s="12" t="s">
        <v>30</v>
      </c>
      <c r="B19" s="13">
        <f>'1. Detailed Budget'!B68</f>
        <v>202822.83000000002</v>
      </c>
      <c r="C19" s="13">
        <f>'1. Detailed Budget'!B67</f>
        <v>300959.87299999996</v>
      </c>
      <c r="D19" s="13">
        <f>'1. Detailed Budget'!C68</f>
        <v>24338.739600000001</v>
      </c>
      <c r="E19" s="13">
        <f>'1. Detailed Budget'!C67</f>
        <v>36115.184759999996</v>
      </c>
      <c r="F19" s="13">
        <f>SUM(B19:E19)</f>
        <v>564236.62735999993</v>
      </c>
      <c r="G19" s="14">
        <f t="shared" si="0"/>
        <v>0.88115030789593984</v>
      </c>
    </row>
    <row r="20" spans="1:12" ht="16.2" thickBot="1" x14ac:dyDescent="0.35">
      <c r="A20" s="18" t="s">
        <v>10</v>
      </c>
      <c r="B20" s="19">
        <f>B19+B8+B4</f>
        <v>20048652.829999998</v>
      </c>
      <c r="C20" s="19">
        <f>C19+C8+C4</f>
        <v>29951347.173</v>
      </c>
      <c r="D20" s="19">
        <f>D19+D8+D4</f>
        <v>2405838.3396000001</v>
      </c>
      <c r="E20" s="19">
        <f>E19+E8+E4</f>
        <v>11628256.89676</v>
      </c>
      <c r="F20" s="19">
        <f>SUM(B20:E20)</f>
        <v>64034095.239359997</v>
      </c>
      <c r="G20" s="20">
        <f t="shared" si="0"/>
        <v>100</v>
      </c>
    </row>
    <row r="21" spans="1:12" ht="16.2" thickBot="1" x14ac:dyDescent="0.35">
      <c r="A21" s="18" t="s">
        <v>22</v>
      </c>
      <c r="B21" s="21">
        <f>B20/F20*100</f>
        <v>31.309340367905509</v>
      </c>
      <c r="C21" s="21">
        <f>C20/F20*100</f>
        <v>46.774061632387571</v>
      </c>
      <c r="D21" s="21">
        <f>D20/F20*100</f>
        <v>3.7571208441486612</v>
      </c>
      <c r="E21" s="21">
        <f>E20/F20*100</f>
        <v>18.159477155558264</v>
      </c>
      <c r="F21" s="185">
        <f>SUM(B21:E21)</f>
        <v>100</v>
      </c>
      <c r="G21" s="21"/>
      <c r="I21" s="22"/>
    </row>
    <row r="22" spans="1:12" x14ac:dyDescent="0.3">
      <c r="A22" s="350"/>
      <c r="B22" s="350"/>
      <c r="C22" s="350"/>
      <c r="D22" s="350"/>
      <c r="E22" s="350"/>
      <c r="F22" s="350"/>
      <c r="G22" s="350"/>
    </row>
    <row r="23" spans="1:12" x14ac:dyDescent="0.3">
      <c r="A23" s="186" t="s">
        <v>220</v>
      </c>
      <c r="D23" s="100"/>
      <c r="E23" s="100"/>
      <c r="F23" s="100"/>
      <c r="G23" s="100"/>
      <c r="H23" s="100"/>
      <c r="I23" s="100"/>
      <c r="J23" s="100"/>
      <c r="K23" s="100"/>
      <c r="L23" s="101"/>
    </row>
    <row r="24" spans="1:12" x14ac:dyDescent="0.3">
      <c r="D24" s="100"/>
      <c r="E24" s="100"/>
      <c r="F24" s="100"/>
      <c r="G24" s="100"/>
      <c r="H24" s="100"/>
      <c r="I24" s="100"/>
      <c r="J24" s="100"/>
      <c r="K24" s="100"/>
      <c r="L24" s="101"/>
    </row>
    <row r="25" spans="1:12" ht="16.2" hidden="1" thickBot="1" x14ac:dyDescent="0.35">
      <c r="A25"/>
      <c r="D25" s="100"/>
      <c r="E25" s="351" t="s">
        <v>31</v>
      </c>
      <c r="F25" s="352"/>
      <c r="G25" s="352"/>
      <c r="H25" s="352"/>
      <c r="I25" s="352"/>
      <c r="J25" s="353"/>
      <c r="K25" s="353"/>
      <c r="L25" s="353"/>
    </row>
    <row r="26" spans="1:12" ht="16.2" hidden="1" thickBot="1" x14ac:dyDescent="0.35">
      <c r="A26"/>
      <c r="D26" s="102" t="s">
        <v>32</v>
      </c>
      <c r="E26" s="23" t="s">
        <v>32</v>
      </c>
      <c r="F26" s="23" t="s">
        <v>33</v>
      </c>
      <c r="G26" s="23" t="s">
        <v>34</v>
      </c>
      <c r="H26" s="23" t="s">
        <v>35</v>
      </c>
      <c r="I26" s="23" t="s">
        <v>36</v>
      </c>
      <c r="J26" s="23" t="s">
        <v>37</v>
      </c>
      <c r="K26" s="24" t="s">
        <v>10</v>
      </c>
      <c r="L26" s="25" t="s">
        <v>22</v>
      </c>
    </row>
    <row r="27" spans="1:12" ht="16.2" hidden="1" thickBot="1" x14ac:dyDescent="0.35">
      <c r="A27"/>
      <c r="D27" s="103" t="s">
        <v>38</v>
      </c>
      <c r="E27" s="26" t="s">
        <v>38</v>
      </c>
      <c r="F27" s="26">
        <v>2919778.2</v>
      </c>
      <c r="G27" s="26">
        <v>10641069.200000001</v>
      </c>
      <c r="H27" s="26">
        <v>8855881.4000000004</v>
      </c>
      <c r="I27" s="26">
        <v>8685036.5999999996</v>
      </c>
      <c r="J27" s="26">
        <v>8685036.5999999996</v>
      </c>
      <c r="K27" s="27">
        <f>SUM(F27:J27)</f>
        <v>39786802.000000007</v>
      </c>
      <c r="L27" s="28">
        <f>K27/K29*100</f>
        <v>76.629176565330141</v>
      </c>
    </row>
    <row r="28" spans="1:12" ht="16.2" hidden="1" thickBot="1" x14ac:dyDescent="0.35">
      <c r="A28"/>
      <c r="D28" s="103" t="s">
        <v>26</v>
      </c>
      <c r="E28" s="26" t="s">
        <v>26</v>
      </c>
      <c r="F28" s="26">
        <v>350373.38400000002</v>
      </c>
      <c r="G28" s="26">
        <v>3116928.3040000005</v>
      </c>
      <c r="H28" s="26">
        <v>2902705.7680000002</v>
      </c>
      <c r="I28" s="26">
        <v>2882204.3920000005</v>
      </c>
      <c r="J28" s="26">
        <v>2882204.3920000005</v>
      </c>
      <c r="K28" s="27">
        <f>SUM(F28:J28)</f>
        <v>12134416.240000002</v>
      </c>
      <c r="L28" s="28">
        <f>K28/K29*100</f>
        <v>23.370823434669859</v>
      </c>
    </row>
    <row r="29" spans="1:12" ht="16.2" hidden="1" thickBot="1" x14ac:dyDescent="0.35">
      <c r="A29"/>
      <c r="D29" s="104" t="s">
        <v>10</v>
      </c>
      <c r="E29" s="29" t="s">
        <v>10</v>
      </c>
      <c r="F29" s="29">
        <f t="shared" ref="F29:K29" si="2">F27+F28</f>
        <v>3270151.5840000003</v>
      </c>
      <c r="G29" s="29">
        <f t="shared" si="2"/>
        <v>13757997.504000001</v>
      </c>
      <c r="H29" s="29">
        <f t="shared" si="2"/>
        <v>11758587.168000001</v>
      </c>
      <c r="I29" s="29">
        <f t="shared" si="2"/>
        <v>11567240.992000001</v>
      </c>
      <c r="J29" s="29">
        <f t="shared" si="2"/>
        <v>11567240.992000001</v>
      </c>
      <c r="K29" s="29">
        <f t="shared" si="2"/>
        <v>51921218.24000001</v>
      </c>
      <c r="L29" s="98">
        <f>SUM(L27:L28)</f>
        <v>100</v>
      </c>
    </row>
    <row r="30" spans="1:12" ht="16.2" hidden="1" thickBot="1" x14ac:dyDescent="0.35">
      <c r="A30"/>
      <c r="D30" s="105" t="s">
        <v>22</v>
      </c>
      <c r="E30" s="33" t="s">
        <v>22</v>
      </c>
      <c r="F30" s="33" t="e">
        <f>#REF!</f>
        <v>#REF!</v>
      </c>
      <c r="G30" s="33" t="e">
        <f>#REF!</f>
        <v>#REF!</v>
      </c>
      <c r="H30" s="33" t="e">
        <f>#REF!</f>
        <v>#REF!</v>
      </c>
      <c r="I30" s="33" t="e">
        <f>#REF!</f>
        <v>#REF!</v>
      </c>
      <c r="J30" s="33" t="e">
        <f>#REF!</f>
        <v>#REF!</v>
      </c>
      <c r="K30" s="33" t="e">
        <f>SUM(F30:J30)</f>
        <v>#REF!</v>
      </c>
      <c r="L30" s="30"/>
    </row>
    <row r="31" spans="1:12" s="101" customFormat="1" x14ac:dyDescent="0.3">
      <c r="A31" s="100"/>
      <c r="B31" s="100"/>
      <c r="C31" s="100"/>
      <c r="D31" s="100"/>
      <c r="E31" s="100"/>
      <c r="F31" s="100"/>
      <c r="G31" s="100"/>
      <c r="H31" s="100"/>
      <c r="I31" s="100"/>
      <c r="J31" s="100"/>
      <c r="K31" s="100"/>
    </row>
    <row r="32" spans="1:12" s="101" customFormat="1" ht="16.2" thickBot="1" x14ac:dyDescent="0.35">
      <c r="A32" s="100"/>
      <c r="B32" s="100"/>
      <c r="C32" s="100"/>
      <c r="D32" s="100"/>
      <c r="E32" s="100"/>
      <c r="F32" s="100"/>
      <c r="G32" s="100"/>
      <c r="H32" s="100"/>
      <c r="I32" s="100"/>
      <c r="J32" s="100"/>
      <c r="K32" s="100"/>
    </row>
    <row r="33" spans="1:11" s="101" customFormat="1" ht="16.2" thickBot="1" x14ac:dyDescent="0.35">
      <c r="A33" s="100"/>
      <c r="B33" s="100"/>
      <c r="C33" s="100"/>
      <c r="D33" s="220" t="s">
        <v>292</v>
      </c>
      <c r="E33" s="221">
        <v>2019</v>
      </c>
      <c r="F33" s="221">
        <v>2020</v>
      </c>
      <c r="G33" s="221">
        <v>2021</v>
      </c>
      <c r="H33" s="221">
        <v>2022</v>
      </c>
      <c r="I33" s="222">
        <v>2023</v>
      </c>
      <c r="J33" s="222" t="s">
        <v>10</v>
      </c>
      <c r="K33" s="100"/>
    </row>
    <row r="34" spans="1:11" s="101" customFormat="1" ht="16.2" thickBot="1" x14ac:dyDescent="0.35">
      <c r="A34" s="100"/>
      <c r="B34" s="100"/>
      <c r="C34" s="100"/>
      <c r="D34" s="223" t="s">
        <v>25</v>
      </c>
      <c r="E34" s="224">
        <f>'2. Pluriannual Plan PEP'!B3</f>
        <v>8208901.2699999996</v>
      </c>
      <c r="F34" s="224">
        <f>'2. Pluriannual Plan PEP'!C3</f>
        <v>7637477.2799999993</v>
      </c>
      <c r="G34" s="224">
        <f>'2. Pluriannual Plan PEP'!D3</f>
        <v>25814707.600000005</v>
      </c>
      <c r="H34" s="224">
        <f>'2. Pluriannual Plan PEP'!E3</f>
        <v>5609817.0700000003</v>
      </c>
      <c r="I34" s="224">
        <f>'2. Pluriannual Plan PEP'!F3</f>
        <v>2729095.4930000002</v>
      </c>
      <c r="J34" s="224">
        <f>SUM(E34:I34)+1</f>
        <v>49999999.713000007</v>
      </c>
      <c r="K34" s="100"/>
    </row>
    <row r="35" spans="1:11" s="101" customFormat="1" ht="16.2" thickBot="1" x14ac:dyDescent="0.35">
      <c r="A35" s="100"/>
      <c r="B35" s="100"/>
      <c r="C35" s="100"/>
      <c r="D35" s="223" t="s">
        <v>26</v>
      </c>
      <c r="E35" s="224">
        <f>'2. Pluriannual Plan PEP'!B4</f>
        <v>985068.1523999999</v>
      </c>
      <c r="F35" s="224">
        <f>'2. Pluriannual Plan PEP'!C4</f>
        <v>5916497.2736</v>
      </c>
      <c r="G35" s="224">
        <f>'2. Pluriannual Plan PEP'!D4</f>
        <v>1131860.2320000005</v>
      </c>
      <c r="H35" s="224">
        <f>'2. Pluriannual Plan PEP'!E4</f>
        <v>5673178.0483999997</v>
      </c>
      <c r="I35" s="224">
        <f>'2. Pluriannual Plan PEP'!F4</f>
        <v>327491.45916000003</v>
      </c>
      <c r="J35" s="224">
        <f>SUM(E35:I35)</f>
        <v>14034095.16556</v>
      </c>
      <c r="K35" s="256"/>
    </row>
    <row r="36" spans="1:11" s="101" customFormat="1" ht="16.2" thickBot="1" x14ac:dyDescent="0.35">
      <c r="A36" s="100"/>
      <c r="B36" s="100"/>
      <c r="C36" s="100"/>
      <c r="D36" s="225" t="s">
        <v>10</v>
      </c>
      <c r="E36" s="226">
        <f>SUM(E34:E35)</f>
        <v>9193969.4223999996</v>
      </c>
      <c r="F36" s="226">
        <f t="shared" ref="F36:I36" si="3">SUM(F34:F35)</f>
        <v>13553974.553599998</v>
      </c>
      <c r="G36" s="226">
        <f t="shared" si="3"/>
        <v>26946567.832000006</v>
      </c>
      <c r="H36" s="226">
        <f t="shared" si="3"/>
        <v>11282995.1184</v>
      </c>
      <c r="I36" s="226">
        <f t="shared" si="3"/>
        <v>3056586.9521600003</v>
      </c>
      <c r="J36" s="226">
        <f>SUM(E36:I36)+1</f>
        <v>64034094.878559999</v>
      </c>
      <c r="K36" s="100"/>
    </row>
    <row r="37" spans="1:11" s="101" customFormat="1" ht="16.2" thickBot="1" x14ac:dyDescent="0.35">
      <c r="A37" s="100"/>
      <c r="B37" s="100"/>
      <c r="C37" s="100"/>
      <c r="D37" s="225" t="s">
        <v>22</v>
      </c>
      <c r="E37" s="227">
        <f>E36/$J$36</f>
        <v>0.14357928287791477</v>
      </c>
      <c r="F37" s="227">
        <f>F36/$J$36</f>
        <v>0.21166808993404171</v>
      </c>
      <c r="G37" s="227">
        <f t="shared" ref="G37:I37" si="4">G36/$J$36</f>
        <v>0.42081594005668221</v>
      </c>
      <c r="H37" s="227">
        <f t="shared" si="4"/>
        <v>0.17620292970171725</v>
      </c>
      <c r="I37" s="227">
        <f t="shared" si="4"/>
        <v>4.7733741812963637E-2</v>
      </c>
      <c r="J37" s="228">
        <f>SUM(E37:I37)</f>
        <v>0.99999998438331961</v>
      </c>
      <c r="K37" s="100"/>
    </row>
    <row r="38" spans="1:11" s="101" customFormat="1" x14ac:dyDescent="0.3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1" s="101" customFormat="1" x14ac:dyDescent="0.3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</row>
    <row r="40" spans="1:11" s="101" customFormat="1" x14ac:dyDescent="0.3">
      <c r="A40" s="100"/>
      <c r="B40" s="100"/>
      <c r="C40" s="100"/>
      <c r="D40" s="100"/>
      <c r="E40" s="100"/>
      <c r="F40" s="100"/>
      <c r="G40" s="100"/>
      <c r="H40" s="100"/>
      <c r="I40" s="100"/>
      <c r="J40" s="100"/>
      <c r="K40" s="100"/>
    </row>
    <row r="41" spans="1:11" s="101" customFormat="1" x14ac:dyDescent="0.3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</row>
    <row r="42" spans="1:11" s="101" customFormat="1" x14ac:dyDescent="0.3">
      <c r="A42" s="100"/>
      <c r="B42" s="100"/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s="101" customFormat="1" x14ac:dyDescent="0.3">
      <c r="A43" s="100"/>
      <c r="B43" s="100"/>
      <c r="C43" s="100"/>
      <c r="D43" s="100"/>
      <c r="E43" s="100"/>
      <c r="F43" s="100"/>
      <c r="G43" s="100"/>
      <c r="H43" s="100"/>
      <c r="I43" s="100"/>
      <c r="J43" s="100"/>
      <c r="K43" s="100"/>
    </row>
    <row r="44" spans="1:11" s="101" customFormat="1" x14ac:dyDescent="0.3">
      <c r="A44" s="100"/>
      <c r="B44" s="100"/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s="101" customFormat="1" x14ac:dyDescent="0.3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1" s="101" customFormat="1" x14ac:dyDescent="0.3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s="101" customFormat="1" x14ac:dyDescent="0.3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</row>
    <row r="48" spans="1:11" s="101" customFormat="1" x14ac:dyDescent="0.3">
      <c r="A48" s="100"/>
      <c r="B48" s="100"/>
      <c r="C48" s="100"/>
      <c r="D48" s="100"/>
      <c r="E48" s="100"/>
      <c r="F48" s="100"/>
      <c r="G48" s="100"/>
      <c r="H48" s="100"/>
      <c r="I48" s="100"/>
      <c r="J48" s="100"/>
      <c r="K48" s="100"/>
    </row>
    <row r="49" spans="1:11" s="101" customFormat="1" x14ac:dyDescent="0.3">
      <c r="A49" s="100"/>
      <c r="B49" s="100"/>
      <c r="C49" s="100"/>
      <c r="D49" s="100"/>
      <c r="E49" s="100"/>
      <c r="F49" s="100"/>
      <c r="G49" s="100"/>
      <c r="H49" s="100"/>
      <c r="I49" s="100"/>
      <c r="J49" s="100"/>
      <c r="K49" s="100"/>
    </row>
    <row r="50" spans="1:11" s="101" customFormat="1" x14ac:dyDescent="0.3">
      <c r="A50" s="100"/>
      <c r="B50" s="100"/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s="101" customFormat="1" x14ac:dyDescent="0.3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</row>
    <row r="52" spans="1:11" s="101" customFormat="1" x14ac:dyDescent="0.3">
      <c r="A52" s="100"/>
      <c r="B52" s="100"/>
      <c r="C52" s="100"/>
      <c r="D52" s="100"/>
      <c r="E52" s="100"/>
      <c r="F52" s="100"/>
      <c r="G52" s="100"/>
      <c r="H52" s="100"/>
      <c r="I52" s="100"/>
      <c r="J52" s="100"/>
      <c r="K52" s="100"/>
    </row>
    <row r="53" spans="1:11" s="101" customFormat="1" x14ac:dyDescent="0.3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</row>
    <row r="54" spans="1:11" s="101" customFormat="1" x14ac:dyDescent="0.3">
      <c r="A54" s="100"/>
      <c r="B54" s="100"/>
      <c r="C54" s="100"/>
      <c r="D54" s="100"/>
      <c r="E54" s="100"/>
      <c r="F54" s="100"/>
      <c r="G54" s="100"/>
      <c r="H54" s="100"/>
      <c r="I54" s="100"/>
      <c r="J54" s="100"/>
      <c r="K54" s="100"/>
    </row>
    <row r="55" spans="1:11" s="101" customFormat="1" x14ac:dyDescent="0.3">
      <c r="A55" s="100"/>
      <c r="B55" s="100"/>
      <c r="C55" s="100"/>
      <c r="D55" s="100"/>
      <c r="E55" s="100"/>
      <c r="F55" s="100"/>
      <c r="G55" s="100"/>
      <c r="H55" s="100"/>
      <c r="I55" s="100"/>
      <c r="J55" s="100"/>
      <c r="K55" s="100"/>
    </row>
    <row r="56" spans="1:11" s="101" customFormat="1" x14ac:dyDescent="0.3">
      <c r="A56" s="100"/>
      <c r="B56" s="100"/>
      <c r="C56" s="100"/>
      <c r="D56" s="100"/>
      <c r="E56" s="100"/>
      <c r="F56" s="100"/>
      <c r="G56" s="100"/>
      <c r="H56" s="100"/>
      <c r="I56" s="100"/>
      <c r="J56" s="100"/>
      <c r="K56" s="100"/>
    </row>
    <row r="57" spans="1:11" s="101" customFormat="1" x14ac:dyDescent="0.3">
      <c r="A57" s="100"/>
      <c r="B57" s="100"/>
      <c r="C57" s="100"/>
      <c r="D57" s="100"/>
      <c r="E57" s="100"/>
      <c r="F57" s="100"/>
      <c r="G57" s="100"/>
      <c r="H57" s="100"/>
      <c r="I57" s="100"/>
      <c r="J57" s="100"/>
      <c r="K57" s="100"/>
    </row>
    <row r="58" spans="1:11" s="101" customFormat="1" x14ac:dyDescent="0.3">
      <c r="A58" s="100"/>
      <c r="B58" s="100"/>
      <c r="C58" s="100"/>
      <c r="D58" s="100"/>
      <c r="E58" s="100"/>
      <c r="F58" s="100"/>
      <c r="G58" s="100"/>
      <c r="H58" s="100"/>
      <c r="I58" s="100"/>
      <c r="J58" s="100"/>
      <c r="K58" s="100"/>
    </row>
    <row r="59" spans="1:11" s="101" customFormat="1" x14ac:dyDescent="0.3">
      <c r="A59" s="100"/>
      <c r="B59" s="100"/>
      <c r="C59" s="100"/>
      <c r="D59" s="100"/>
      <c r="E59" s="100"/>
      <c r="F59" s="100"/>
      <c r="G59" s="100"/>
      <c r="H59" s="100"/>
      <c r="I59" s="100"/>
      <c r="J59" s="100"/>
      <c r="K59" s="100"/>
    </row>
    <row r="60" spans="1:11" s="101" customFormat="1" x14ac:dyDescent="0.3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</row>
    <row r="61" spans="1:11" s="101" customFormat="1" x14ac:dyDescent="0.3">
      <c r="A61" s="100"/>
      <c r="B61" s="100"/>
      <c r="C61" s="100"/>
      <c r="D61" s="100"/>
      <c r="E61" s="100"/>
      <c r="F61" s="100"/>
      <c r="G61" s="100"/>
      <c r="H61" s="100"/>
      <c r="I61" s="100"/>
      <c r="J61" s="100"/>
      <c r="K61" s="100"/>
    </row>
    <row r="62" spans="1:11" s="101" customFormat="1" x14ac:dyDescent="0.3">
      <c r="A62" s="100"/>
      <c r="B62" s="100"/>
      <c r="C62" s="100"/>
      <c r="D62" s="100"/>
      <c r="E62" s="100"/>
      <c r="F62" s="100"/>
      <c r="G62" s="100"/>
      <c r="H62" s="100"/>
      <c r="I62" s="100"/>
      <c r="J62" s="100"/>
      <c r="K62" s="100"/>
    </row>
    <row r="63" spans="1:11" s="101" customFormat="1" x14ac:dyDescent="0.3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</row>
    <row r="64" spans="1:11" s="101" customFormat="1" x14ac:dyDescent="0.3">
      <c r="A64" s="100"/>
      <c r="B64" s="100"/>
      <c r="C64" s="100"/>
      <c r="D64" s="100"/>
      <c r="E64" s="100"/>
      <c r="F64" s="100"/>
      <c r="G64" s="100"/>
      <c r="H64" s="100"/>
      <c r="I64" s="100"/>
      <c r="J64" s="100"/>
      <c r="K64" s="100"/>
    </row>
    <row r="65" spans="1:11" s="101" customFormat="1" x14ac:dyDescent="0.3">
      <c r="A65" s="100"/>
      <c r="B65" s="100"/>
      <c r="C65" s="100"/>
      <c r="D65" s="100"/>
      <c r="E65" s="100"/>
      <c r="F65" s="100"/>
      <c r="G65" s="100"/>
      <c r="H65" s="100"/>
      <c r="I65" s="100"/>
      <c r="J65" s="100"/>
      <c r="K65" s="100"/>
    </row>
    <row r="66" spans="1:11" s="101" customFormat="1" x14ac:dyDescent="0.3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</row>
    <row r="67" spans="1:11" s="101" customFormat="1" x14ac:dyDescent="0.3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</row>
    <row r="68" spans="1:11" s="101" customFormat="1" x14ac:dyDescent="0.3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</row>
    <row r="69" spans="1:11" s="101" customFormat="1" x14ac:dyDescent="0.3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</row>
    <row r="70" spans="1:11" s="101" customFormat="1" x14ac:dyDescent="0.3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</row>
    <row r="71" spans="1:11" s="101" customFormat="1" x14ac:dyDescent="0.3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</row>
    <row r="72" spans="1:11" s="101" customFormat="1" x14ac:dyDescent="0.3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</row>
    <row r="73" spans="1:11" s="101" customFormat="1" x14ac:dyDescent="0.3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</row>
    <row r="74" spans="1:11" s="101" customFormat="1" x14ac:dyDescent="0.3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</row>
    <row r="75" spans="1:11" s="101" customFormat="1" x14ac:dyDescent="0.3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</row>
    <row r="76" spans="1:11" s="101" customFormat="1" x14ac:dyDescent="0.3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</row>
    <row r="77" spans="1:11" s="101" customFormat="1" x14ac:dyDescent="0.3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</row>
    <row r="78" spans="1:11" s="101" customFormat="1" x14ac:dyDescent="0.3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</row>
    <row r="79" spans="1:11" s="101" customFormat="1" x14ac:dyDescent="0.3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</row>
    <row r="80" spans="1:11" s="101" customFormat="1" x14ac:dyDescent="0.3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</row>
    <row r="81" spans="1:11" s="101" customFormat="1" x14ac:dyDescent="0.3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</row>
    <row r="82" spans="1:11" s="101" customFormat="1" x14ac:dyDescent="0.3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</row>
    <row r="83" spans="1:11" s="101" customFormat="1" x14ac:dyDescent="0.3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</row>
    <row r="84" spans="1:11" s="101" customFormat="1" x14ac:dyDescent="0.3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</row>
    <row r="85" spans="1:11" s="101" customFormat="1" x14ac:dyDescent="0.3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</row>
    <row r="86" spans="1:11" s="101" customFormat="1" x14ac:dyDescent="0.3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</row>
    <row r="87" spans="1:11" s="101" customFormat="1" x14ac:dyDescent="0.3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</row>
    <row r="88" spans="1:11" s="101" customFormat="1" x14ac:dyDescent="0.3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</row>
    <row r="89" spans="1:11" s="101" customFormat="1" x14ac:dyDescent="0.3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</row>
    <row r="90" spans="1:11" s="101" customFormat="1" x14ac:dyDescent="0.3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01" customFormat="1" x14ac:dyDescent="0.3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01" customFormat="1" x14ac:dyDescent="0.3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</row>
    <row r="93" spans="1:11" s="101" customFormat="1" x14ac:dyDescent="0.3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</row>
    <row r="94" spans="1:11" s="101" customFormat="1" x14ac:dyDescent="0.3">
      <c r="A94" s="100"/>
      <c r="B94" s="100"/>
      <c r="C94" s="100"/>
      <c r="D94" s="100"/>
      <c r="E94" s="100"/>
      <c r="F94" s="100"/>
      <c r="G94" s="100"/>
      <c r="H94" s="100"/>
      <c r="I94" s="100"/>
      <c r="J94" s="100"/>
      <c r="K94" s="100"/>
    </row>
    <row r="95" spans="1:11" s="101" customFormat="1" x14ac:dyDescent="0.3">
      <c r="A95" s="100"/>
      <c r="B95" s="100"/>
      <c r="C95" s="100"/>
      <c r="D95" s="100"/>
      <c r="E95" s="100"/>
      <c r="F95" s="100"/>
      <c r="G95" s="100"/>
      <c r="H95" s="100"/>
      <c r="I95" s="100"/>
      <c r="J95" s="100"/>
      <c r="K95" s="100"/>
    </row>
    <row r="96" spans="1:11" s="101" customFormat="1" x14ac:dyDescent="0.3">
      <c r="A96" s="100"/>
      <c r="B96" s="100"/>
      <c r="C96" s="100"/>
      <c r="D96" s="100"/>
      <c r="E96" s="100"/>
      <c r="F96" s="100"/>
      <c r="G96" s="100"/>
      <c r="H96" s="100"/>
      <c r="I96" s="100"/>
      <c r="J96" s="100"/>
      <c r="K96" s="100"/>
    </row>
    <row r="97" spans="1:11" s="101" customFormat="1" x14ac:dyDescent="0.3">
      <c r="A97" s="100"/>
      <c r="B97" s="100"/>
      <c r="C97" s="100"/>
      <c r="D97" s="100"/>
      <c r="E97" s="100"/>
      <c r="F97" s="100"/>
      <c r="G97" s="100"/>
      <c r="H97" s="100"/>
      <c r="I97" s="100"/>
      <c r="J97" s="100"/>
      <c r="K97" s="100"/>
    </row>
    <row r="98" spans="1:11" s="101" customFormat="1" x14ac:dyDescent="0.3">
      <c r="A98" s="100"/>
      <c r="B98" s="100"/>
      <c r="C98" s="100"/>
      <c r="D98" s="100"/>
      <c r="E98" s="100"/>
      <c r="F98" s="100"/>
      <c r="G98" s="100"/>
      <c r="H98" s="100"/>
      <c r="I98" s="100"/>
      <c r="J98" s="100"/>
      <c r="K98" s="100"/>
    </row>
    <row r="99" spans="1:11" s="101" customFormat="1" x14ac:dyDescent="0.3">
      <c r="A99" s="100"/>
      <c r="B99" s="100"/>
      <c r="C99" s="100"/>
      <c r="D99" s="100"/>
      <c r="E99" s="100"/>
      <c r="F99" s="100"/>
      <c r="G99" s="100"/>
      <c r="H99" s="100"/>
      <c r="I99" s="100"/>
      <c r="J99" s="100"/>
      <c r="K99" s="100"/>
    </row>
    <row r="100" spans="1:11" s="101" customFormat="1" x14ac:dyDescent="0.3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</row>
    <row r="101" spans="1:11" s="101" customFormat="1" x14ac:dyDescent="0.3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</row>
    <row r="102" spans="1:11" s="101" customFormat="1" x14ac:dyDescent="0.3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</row>
    <row r="103" spans="1:11" s="101" customFormat="1" x14ac:dyDescent="0.3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</row>
    <row r="104" spans="1:11" s="101" customFormat="1" x14ac:dyDescent="0.3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</row>
    <row r="105" spans="1:11" s="101" customFormat="1" x14ac:dyDescent="0.3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</row>
    <row r="106" spans="1:11" s="101" customFormat="1" x14ac:dyDescent="0.3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</row>
    <row r="107" spans="1:11" s="101" customFormat="1" x14ac:dyDescent="0.3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</row>
    <row r="108" spans="1:11" s="101" customFormat="1" x14ac:dyDescent="0.3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</row>
    <row r="109" spans="1:11" s="101" customFormat="1" x14ac:dyDescent="0.3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</row>
    <row r="110" spans="1:11" s="101" customFormat="1" x14ac:dyDescent="0.3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</row>
    <row r="111" spans="1:11" s="101" customFormat="1" x14ac:dyDescent="0.3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</row>
    <row r="112" spans="1:11" s="101" customFormat="1" x14ac:dyDescent="0.3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</row>
    <row r="113" spans="1:11" s="101" customFormat="1" x14ac:dyDescent="0.3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</row>
    <row r="114" spans="1:11" s="101" customFormat="1" x14ac:dyDescent="0.3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</row>
    <row r="115" spans="1:11" s="101" customFormat="1" x14ac:dyDescent="0.3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</row>
    <row r="116" spans="1:11" s="101" customFormat="1" x14ac:dyDescent="0.3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</row>
    <row r="117" spans="1:11" s="101" customFormat="1" x14ac:dyDescent="0.3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</row>
    <row r="118" spans="1:11" s="101" customFormat="1" x14ac:dyDescent="0.3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</row>
    <row r="119" spans="1:11" s="101" customFormat="1" x14ac:dyDescent="0.3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</row>
    <row r="120" spans="1:11" s="101" customFormat="1" x14ac:dyDescent="0.3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</row>
    <row r="121" spans="1:11" s="101" customFormat="1" x14ac:dyDescent="0.3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</row>
    <row r="122" spans="1:11" s="101" customFormat="1" x14ac:dyDescent="0.3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</row>
    <row r="123" spans="1:11" s="101" customFormat="1" x14ac:dyDescent="0.3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</row>
    <row r="124" spans="1:11" s="101" customFormat="1" x14ac:dyDescent="0.3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</row>
    <row r="125" spans="1:11" s="101" customFormat="1" x14ac:dyDescent="0.3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</row>
    <row r="126" spans="1:11" s="101" customFormat="1" x14ac:dyDescent="0.3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</row>
    <row r="127" spans="1:11" s="101" customFormat="1" x14ac:dyDescent="0.3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</row>
    <row r="128" spans="1:11" s="101" customFormat="1" x14ac:dyDescent="0.3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</row>
    <row r="129" spans="1:11" s="101" customFormat="1" x14ac:dyDescent="0.3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</row>
    <row r="130" spans="1:11" s="101" customFormat="1" x14ac:dyDescent="0.3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</row>
    <row r="131" spans="1:11" s="101" customFormat="1" x14ac:dyDescent="0.3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</row>
    <row r="132" spans="1:11" s="101" customFormat="1" x14ac:dyDescent="0.3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</row>
    <row r="133" spans="1:11" s="101" customFormat="1" x14ac:dyDescent="0.3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</row>
    <row r="134" spans="1:11" s="101" customFormat="1" x14ac:dyDescent="0.3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</row>
    <row r="135" spans="1:11" s="101" customFormat="1" x14ac:dyDescent="0.3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</row>
    <row r="136" spans="1:11" s="101" customFormat="1" x14ac:dyDescent="0.3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</row>
    <row r="137" spans="1:11" s="101" customFormat="1" x14ac:dyDescent="0.3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</row>
    <row r="138" spans="1:11" s="101" customFormat="1" x14ac:dyDescent="0.3">
      <c r="A138" s="100"/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</row>
    <row r="139" spans="1:11" s="101" customFormat="1" x14ac:dyDescent="0.3">
      <c r="A139" s="100"/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</row>
    <row r="140" spans="1:11" s="101" customFormat="1" x14ac:dyDescent="0.3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</row>
    <row r="141" spans="1:11" s="101" customFormat="1" x14ac:dyDescent="0.3">
      <c r="A141" s="100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</row>
    <row r="142" spans="1:11" s="101" customFormat="1" x14ac:dyDescent="0.3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</row>
    <row r="143" spans="1:11" s="101" customFormat="1" x14ac:dyDescent="0.3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</row>
    <row r="144" spans="1:11" s="101" customFormat="1" x14ac:dyDescent="0.3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</row>
    <row r="145" spans="1:11" s="101" customFormat="1" x14ac:dyDescent="0.3">
      <c r="A145" s="100"/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</row>
    <row r="146" spans="1:11" s="101" customFormat="1" x14ac:dyDescent="0.3">
      <c r="A146" s="100"/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</row>
    <row r="147" spans="1:11" s="101" customFormat="1" x14ac:dyDescent="0.3">
      <c r="A147" s="100"/>
      <c r="B147" s="100"/>
      <c r="C147" s="100"/>
      <c r="D147" s="100"/>
      <c r="E147" s="100"/>
      <c r="F147" s="100"/>
      <c r="G147" s="100"/>
      <c r="H147" s="100"/>
      <c r="I147" s="100"/>
      <c r="J147" s="100"/>
      <c r="K147" s="100"/>
    </row>
    <row r="148" spans="1:11" s="101" customFormat="1" x14ac:dyDescent="0.3">
      <c r="A148" s="100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</row>
    <row r="149" spans="1:11" s="101" customFormat="1" x14ac:dyDescent="0.3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</row>
    <row r="150" spans="1:11" s="101" customFormat="1" x14ac:dyDescent="0.3">
      <c r="A150" s="100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</row>
    <row r="151" spans="1:11" s="101" customFormat="1" x14ac:dyDescent="0.3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</row>
    <row r="152" spans="1:11" s="101" customFormat="1" x14ac:dyDescent="0.3">
      <c r="A152" s="100"/>
      <c r="B152" s="100"/>
      <c r="C152" s="100"/>
      <c r="D152" s="100"/>
      <c r="E152" s="100"/>
      <c r="F152" s="100"/>
      <c r="G152" s="100"/>
      <c r="H152" s="100"/>
      <c r="I152" s="100"/>
      <c r="J152" s="100"/>
      <c r="K152" s="100"/>
    </row>
    <row r="153" spans="1:11" s="101" customFormat="1" x14ac:dyDescent="0.3">
      <c r="A153" s="100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</row>
    <row r="154" spans="1:11" s="101" customFormat="1" x14ac:dyDescent="0.3">
      <c r="A154" s="100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01" customFormat="1" x14ac:dyDescent="0.3">
      <c r="A155" s="100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01" customFormat="1" x14ac:dyDescent="0.3">
      <c r="A156" s="100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</row>
    <row r="157" spans="1:11" s="101" customFormat="1" x14ac:dyDescent="0.3">
      <c r="A157" s="100"/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</row>
    <row r="158" spans="1:11" s="101" customFormat="1" x14ac:dyDescent="0.3">
      <c r="A158" s="100"/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</row>
    <row r="159" spans="1:11" s="101" customFormat="1" x14ac:dyDescent="0.3">
      <c r="A159" s="100"/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</row>
    <row r="160" spans="1:11" s="101" customFormat="1" x14ac:dyDescent="0.3">
      <c r="A160" s="100"/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</row>
    <row r="161" spans="1:11" s="101" customFormat="1" x14ac:dyDescent="0.3">
      <c r="A161" s="100"/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</row>
    <row r="162" spans="1:11" s="101" customFormat="1" x14ac:dyDescent="0.3">
      <c r="A162" s="100"/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</row>
    <row r="163" spans="1:11" s="101" customFormat="1" x14ac:dyDescent="0.3">
      <c r="A163" s="100"/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</row>
    <row r="164" spans="1:11" s="101" customFormat="1" x14ac:dyDescent="0.3">
      <c r="A164" s="100"/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</row>
    <row r="165" spans="1:11" s="101" customFormat="1" x14ac:dyDescent="0.3">
      <c r="A165" s="100"/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</row>
    <row r="166" spans="1:11" s="101" customFormat="1" x14ac:dyDescent="0.3">
      <c r="A166" s="100"/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</row>
    <row r="167" spans="1:11" s="101" customFormat="1" x14ac:dyDescent="0.3">
      <c r="A167" s="100"/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</row>
    <row r="168" spans="1:11" s="101" customFormat="1" x14ac:dyDescent="0.3">
      <c r="A168" s="100"/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</row>
    <row r="169" spans="1:11" s="101" customFormat="1" x14ac:dyDescent="0.3">
      <c r="A169" s="100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</row>
    <row r="170" spans="1:11" s="101" customFormat="1" x14ac:dyDescent="0.3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</row>
    <row r="171" spans="1:11" s="101" customFormat="1" x14ac:dyDescent="0.3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</row>
    <row r="172" spans="1:11" s="101" customFormat="1" x14ac:dyDescent="0.3">
      <c r="A172" s="100"/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</row>
    <row r="173" spans="1:11" s="101" customFormat="1" x14ac:dyDescent="0.3">
      <c r="A173" s="100"/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</row>
    <row r="174" spans="1:11" s="101" customFormat="1" x14ac:dyDescent="0.3">
      <c r="A174" s="100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</row>
    <row r="175" spans="1:11" s="101" customFormat="1" x14ac:dyDescent="0.3">
      <c r="A175" s="100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</row>
    <row r="176" spans="1:11" s="101" customFormat="1" x14ac:dyDescent="0.3">
      <c r="A176" s="100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</row>
    <row r="177" spans="1:11" s="101" customFormat="1" x14ac:dyDescent="0.3">
      <c r="A177" s="100"/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</row>
    <row r="178" spans="1:11" s="101" customFormat="1" x14ac:dyDescent="0.3">
      <c r="A178" s="100"/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</row>
    <row r="179" spans="1:11" s="101" customFormat="1" x14ac:dyDescent="0.3">
      <c r="A179" s="100"/>
      <c r="B179" s="100"/>
      <c r="C179" s="100"/>
      <c r="D179" s="100"/>
      <c r="E179" s="100"/>
      <c r="F179" s="100"/>
      <c r="G179" s="100"/>
      <c r="H179" s="100"/>
      <c r="I179" s="100"/>
      <c r="J179" s="100"/>
      <c r="K179" s="100"/>
    </row>
    <row r="180" spans="1:11" s="101" customFormat="1" x14ac:dyDescent="0.3">
      <c r="A180" s="100"/>
      <c r="B180" s="100"/>
      <c r="C180" s="100"/>
      <c r="D180" s="100"/>
      <c r="E180" s="100"/>
      <c r="F180" s="100"/>
      <c r="G180" s="100"/>
      <c r="H180" s="100"/>
      <c r="I180" s="100"/>
      <c r="J180" s="100"/>
      <c r="K180" s="100"/>
    </row>
    <row r="181" spans="1:11" s="101" customFormat="1" x14ac:dyDescent="0.3">
      <c r="A181" s="100"/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</row>
    <row r="182" spans="1:11" s="101" customFormat="1" x14ac:dyDescent="0.3">
      <c r="A182" s="100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</row>
    <row r="183" spans="1:11" s="101" customFormat="1" x14ac:dyDescent="0.3">
      <c r="A183" s="100"/>
      <c r="B183" s="100"/>
      <c r="C183" s="100"/>
      <c r="D183" s="100"/>
      <c r="E183" s="100"/>
      <c r="F183" s="100"/>
      <c r="G183" s="100"/>
      <c r="H183" s="100"/>
      <c r="I183" s="100"/>
      <c r="J183" s="100"/>
      <c r="K183" s="100"/>
    </row>
    <row r="184" spans="1:11" s="101" customFormat="1" x14ac:dyDescent="0.3">
      <c r="A184" s="100"/>
      <c r="B184" s="100"/>
      <c r="C184" s="100"/>
      <c r="D184" s="100"/>
      <c r="E184" s="100"/>
      <c r="F184" s="100"/>
      <c r="G184" s="100"/>
      <c r="H184" s="100"/>
      <c r="I184" s="100"/>
      <c r="J184" s="100"/>
      <c r="K184" s="100"/>
    </row>
    <row r="185" spans="1:11" s="101" customFormat="1" x14ac:dyDescent="0.3">
      <c r="A185" s="100"/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</row>
    <row r="186" spans="1:11" s="101" customFormat="1" x14ac:dyDescent="0.3">
      <c r="A186" s="100"/>
      <c r="B186" s="100"/>
      <c r="C186" s="100"/>
      <c r="D186" s="100"/>
      <c r="E186" s="100"/>
      <c r="F186" s="100"/>
      <c r="G186" s="100"/>
      <c r="H186" s="100"/>
      <c r="I186" s="100"/>
      <c r="J186" s="100"/>
      <c r="K186" s="100"/>
    </row>
    <row r="187" spans="1:11" s="101" customFormat="1" x14ac:dyDescent="0.3">
      <c r="A187" s="100"/>
      <c r="B187" s="100"/>
      <c r="C187" s="100"/>
      <c r="D187" s="100"/>
      <c r="E187" s="100"/>
      <c r="F187" s="100"/>
      <c r="G187" s="100"/>
      <c r="H187" s="100"/>
      <c r="I187" s="100"/>
      <c r="J187" s="100"/>
      <c r="K187" s="100"/>
    </row>
    <row r="188" spans="1:11" s="101" customFormat="1" x14ac:dyDescent="0.3">
      <c r="A188" s="100"/>
      <c r="B188" s="100"/>
      <c r="C188" s="100"/>
      <c r="D188" s="100"/>
      <c r="E188" s="100"/>
      <c r="F188" s="100"/>
      <c r="G188" s="100"/>
      <c r="H188" s="100"/>
      <c r="I188" s="100"/>
      <c r="J188" s="100"/>
      <c r="K188" s="100"/>
    </row>
    <row r="189" spans="1:11" s="101" customFormat="1" x14ac:dyDescent="0.3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</row>
    <row r="190" spans="1:11" s="101" customFormat="1" x14ac:dyDescent="0.3">
      <c r="A190" s="100"/>
      <c r="B190" s="100"/>
      <c r="C190" s="100"/>
      <c r="D190" s="100"/>
      <c r="E190" s="100"/>
      <c r="F190" s="100"/>
      <c r="G190" s="100"/>
      <c r="H190" s="100"/>
      <c r="I190" s="100"/>
      <c r="J190" s="100"/>
      <c r="K190" s="100"/>
    </row>
    <row r="191" spans="1:11" s="101" customFormat="1" x14ac:dyDescent="0.3">
      <c r="A191" s="100"/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</row>
    <row r="192" spans="1:11" s="101" customFormat="1" x14ac:dyDescent="0.3">
      <c r="A192" s="100"/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</row>
    <row r="193" spans="1:11" s="101" customFormat="1" x14ac:dyDescent="0.3">
      <c r="A193" s="100"/>
      <c r="B193" s="100"/>
      <c r="C193" s="100"/>
      <c r="D193" s="100"/>
      <c r="E193" s="100"/>
      <c r="F193" s="100"/>
      <c r="G193" s="100"/>
      <c r="H193" s="100"/>
      <c r="I193" s="100"/>
      <c r="J193" s="100"/>
      <c r="K193" s="100"/>
    </row>
    <row r="194" spans="1:11" s="101" customFormat="1" x14ac:dyDescent="0.3">
      <c r="A194" s="100"/>
      <c r="B194" s="100"/>
      <c r="C194" s="100"/>
      <c r="D194" s="100"/>
      <c r="E194" s="100"/>
      <c r="F194" s="100"/>
      <c r="G194" s="100"/>
      <c r="H194" s="100"/>
      <c r="I194" s="100"/>
      <c r="J194" s="100"/>
      <c r="K194" s="100"/>
    </row>
    <row r="195" spans="1:11" s="101" customFormat="1" x14ac:dyDescent="0.3">
      <c r="A195" s="100"/>
      <c r="B195" s="100"/>
      <c r="C195" s="100"/>
      <c r="D195" s="100"/>
      <c r="E195" s="100"/>
      <c r="F195" s="100"/>
      <c r="G195" s="100"/>
      <c r="H195" s="100"/>
      <c r="I195" s="100"/>
      <c r="J195" s="100"/>
      <c r="K195" s="100"/>
    </row>
    <row r="196" spans="1:11" s="101" customFormat="1" x14ac:dyDescent="0.3">
      <c r="A196" s="100"/>
      <c r="B196" s="100"/>
      <c r="C196" s="100"/>
      <c r="D196" s="100"/>
      <c r="E196" s="100"/>
      <c r="F196" s="100"/>
      <c r="G196" s="100"/>
      <c r="H196" s="100"/>
      <c r="I196" s="100"/>
      <c r="J196" s="100"/>
      <c r="K196" s="100"/>
    </row>
    <row r="197" spans="1:11" s="101" customFormat="1" x14ac:dyDescent="0.3">
      <c r="A197" s="100"/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</row>
    <row r="198" spans="1:11" s="101" customFormat="1" x14ac:dyDescent="0.3">
      <c r="A198" s="100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</row>
    <row r="199" spans="1:11" s="101" customFormat="1" x14ac:dyDescent="0.3">
      <c r="A199" s="100"/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</row>
    <row r="200" spans="1:11" s="101" customFormat="1" x14ac:dyDescent="0.3">
      <c r="A200" s="100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</row>
    <row r="201" spans="1:11" s="101" customFormat="1" x14ac:dyDescent="0.3">
      <c r="A201" s="100"/>
      <c r="B201" s="100"/>
      <c r="C201" s="100"/>
      <c r="D201" s="100"/>
      <c r="E201" s="100"/>
      <c r="F201" s="100"/>
      <c r="G201" s="100"/>
      <c r="H201" s="100"/>
      <c r="I201" s="100"/>
      <c r="J201" s="100"/>
      <c r="K201" s="100"/>
    </row>
    <row r="202" spans="1:11" s="101" customFormat="1" x14ac:dyDescent="0.3">
      <c r="A202" s="100"/>
      <c r="B202" s="100"/>
      <c r="C202" s="100"/>
      <c r="D202" s="100"/>
      <c r="E202" s="100"/>
      <c r="F202" s="100"/>
      <c r="G202" s="100"/>
      <c r="H202" s="100"/>
      <c r="I202" s="100"/>
      <c r="J202" s="100"/>
      <c r="K202" s="100"/>
    </row>
    <row r="203" spans="1:11" s="101" customFormat="1" x14ac:dyDescent="0.3">
      <c r="A203" s="100"/>
      <c r="B203" s="100"/>
      <c r="C203" s="100"/>
      <c r="D203" s="100"/>
      <c r="E203" s="100"/>
      <c r="F203" s="100"/>
      <c r="G203" s="100"/>
      <c r="H203" s="100"/>
      <c r="I203" s="100"/>
      <c r="J203" s="100"/>
      <c r="K203" s="100"/>
    </row>
    <row r="204" spans="1:11" s="101" customFormat="1" x14ac:dyDescent="0.3">
      <c r="A204" s="100"/>
      <c r="B204" s="100"/>
      <c r="C204" s="100"/>
      <c r="D204" s="100"/>
      <c r="E204" s="100"/>
      <c r="F204" s="100"/>
      <c r="G204" s="100"/>
      <c r="H204" s="100"/>
      <c r="I204" s="100"/>
      <c r="J204" s="100"/>
      <c r="K204" s="100"/>
    </row>
    <row r="205" spans="1:11" s="101" customFormat="1" x14ac:dyDescent="0.3">
      <c r="A205" s="100"/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</row>
    <row r="206" spans="1:11" s="101" customFormat="1" x14ac:dyDescent="0.3">
      <c r="A206" s="100"/>
      <c r="B206" s="100"/>
      <c r="C206" s="100"/>
      <c r="D206" s="100"/>
      <c r="E206" s="100"/>
      <c r="F206" s="100"/>
      <c r="G206" s="100"/>
      <c r="H206" s="100"/>
      <c r="I206" s="100"/>
      <c r="J206" s="100"/>
      <c r="K206" s="100"/>
    </row>
    <row r="207" spans="1:11" s="101" customFormat="1" x14ac:dyDescent="0.3">
      <c r="A207" s="100"/>
      <c r="B207" s="100"/>
      <c r="C207" s="100"/>
      <c r="D207" s="100"/>
      <c r="E207" s="100"/>
      <c r="F207" s="100"/>
      <c r="G207" s="100"/>
      <c r="H207" s="100"/>
      <c r="I207" s="100"/>
      <c r="J207" s="100"/>
      <c r="K207" s="100"/>
    </row>
    <row r="208" spans="1:11" s="101" customFormat="1" x14ac:dyDescent="0.3">
      <c r="A208" s="100"/>
      <c r="B208" s="100"/>
      <c r="C208" s="100"/>
      <c r="D208" s="100"/>
      <c r="E208" s="100"/>
      <c r="F208" s="100"/>
      <c r="G208" s="100"/>
      <c r="H208" s="100"/>
      <c r="I208" s="100"/>
      <c r="J208" s="100"/>
      <c r="K208" s="100"/>
    </row>
    <row r="209" spans="1:11" s="101" customFormat="1" x14ac:dyDescent="0.3">
      <c r="A209" s="100"/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</row>
    <row r="210" spans="1:11" s="101" customFormat="1" x14ac:dyDescent="0.3">
      <c r="A210" s="100"/>
      <c r="B210" s="100"/>
      <c r="C210" s="100"/>
      <c r="D210" s="100"/>
      <c r="E210" s="100"/>
      <c r="F210" s="100"/>
      <c r="G210" s="100"/>
      <c r="H210" s="100"/>
      <c r="I210" s="100"/>
      <c r="J210" s="100"/>
      <c r="K210" s="100"/>
    </row>
    <row r="211" spans="1:11" s="101" customFormat="1" x14ac:dyDescent="0.3">
      <c r="A211" s="100"/>
      <c r="B211" s="100"/>
      <c r="C211" s="100"/>
      <c r="D211" s="100"/>
      <c r="E211" s="100"/>
      <c r="F211" s="100"/>
      <c r="G211" s="100"/>
      <c r="H211" s="100"/>
      <c r="I211" s="100"/>
      <c r="J211" s="100"/>
      <c r="K211" s="100"/>
    </row>
    <row r="212" spans="1:11" s="101" customFormat="1" x14ac:dyDescent="0.3">
      <c r="A212" s="100"/>
      <c r="B212" s="100"/>
      <c r="C212" s="100"/>
      <c r="D212" s="100"/>
      <c r="E212" s="100"/>
      <c r="F212" s="100"/>
      <c r="G212" s="100"/>
      <c r="H212" s="100"/>
      <c r="I212" s="100"/>
      <c r="J212" s="100"/>
      <c r="K212" s="100"/>
    </row>
    <row r="213" spans="1:11" s="101" customFormat="1" x14ac:dyDescent="0.3">
      <c r="A213" s="100"/>
      <c r="B213" s="100"/>
      <c r="C213" s="100"/>
      <c r="D213" s="100"/>
      <c r="E213" s="100"/>
      <c r="F213" s="100"/>
      <c r="G213" s="100"/>
      <c r="H213" s="100"/>
      <c r="I213" s="100"/>
      <c r="J213" s="100"/>
      <c r="K213" s="100"/>
    </row>
    <row r="214" spans="1:11" s="101" customFormat="1" x14ac:dyDescent="0.3">
      <c r="A214" s="100"/>
      <c r="B214" s="100"/>
      <c r="C214" s="100"/>
      <c r="D214" s="100"/>
      <c r="E214" s="100"/>
      <c r="F214" s="100"/>
      <c r="G214" s="100"/>
      <c r="H214" s="100"/>
      <c r="I214" s="100"/>
      <c r="J214" s="100"/>
      <c r="K214" s="100"/>
    </row>
    <row r="215" spans="1:11" s="101" customFormat="1" x14ac:dyDescent="0.3">
      <c r="A215" s="100"/>
      <c r="B215" s="100"/>
      <c r="C215" s="100"/>
      <c r="D215" s="100"/>
      <c r="E215" s="100"/>
      <c r="F215" s="100"/>
      <c r="G215" s="100"/>
      <c r="H215" s="100"/>
      <c r="I215" s="100"/>
      <c r="J215" s="100"/>
      <c r="K215" s="100"/>
    </row>
    <row r="216" spans="1:11" s="101" customFormat="1" x14ac:dyDescent="0.3">
      <c r="A216" s="100"/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</row>
    <row r="217" spans="1:11" s="101" customFormat="1" x14ac:dyDescent="0.3">
      <c r="A217" s="100"/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</row>
    <row r="218" spans="1:11" s="101" customFormat="1" x14ac:dyDescent="0.3">
      <c r="A218" s="100"/>
      <c r="B218" s="100"/>
      <c r="C218" s="100"/>
      <c r="D218" s="100"/>
      <c r="E218" s="100"/>
      <c r="F218" s="100"/>
      <c r="G218" s="100"/>
      <c r="H218" s="100"/>
      <c r="I218" s="100"/>
      <c r="J218" s="100"/>
      <c r="K218" s="100"/>
    </row>
    <row r="219" spans="1:11" s="101" customFormat="1" x14ac:dyDescent="0.3">
      <c r="A219" s="100"/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</row>
    <row r="220" spans="1:11" s="101" customFormat="1" x14ac:dyDescent="0.3">
      <c r="A220" s="100"/>
      <c r="B220" s="100"/>
      <c r="C220" s="100"/>
      <c r="D220" s="100"/>
      <c r="E220" s="100"/>
      <c r="F220" s="100"/>
      <c r="G220" s="100"/>
      <c r="H220" s="100"/>
      <c r="I220" s="100"/>
      <c r="J220" s="100"/>
      <c r="K220" s="100"/>
    </row>
    <row r="221" spans="1:11" s="101" customFormat="1" x14ac:dyDescent="0.3">
      <c r="A221" s="100"/>
      <c r="B221" s="100"/>
      <c r="C221" s="100"/>
      <c r="D221" s="100"/>
      <c r="E221" s="100"/>
      <c r="F221" s="100"/>
      <c r="G221" s="100"/>
      <c r="H221" s="100"/>
      <c r="I221" s="100"/>
      <c r="J221" s="100"/>
      <c r="K221" s="100"/>
    </row>
    <row r="222" spans="1:11" s="101" customFormat="1" x14ac:dyDescent="0.3">
      <c r="A222" s="100"/>
      <c r="B222" s="100"/>
      <c r="C222" s="100"/>
      <c r="D222" s="100"/>
      <c r="E222" s="100"/>
      <c r="F222" s="100"/>
      <c r="G222" s="100"/>
      <c r="H222" s="100"/>
      <c r="I222" s="100"/>
      <c r="J222" s="100"/>
      <c r="K222" s="100"/>
    </row>
    <row r="223" spans="1:11" s="101" customFormat="1" x14ac:dyDescent="0.3">
      <c r="A223" s="100"/>
      <c r="B223" s="100"/>
      <c r="C223" s="100"/>
      <c r="D223" s="100"/>
      <c r="E223" s="100"/>
      <c r="F223" s="100"/>
      <c r="G223" s="100"/>
      <c r="H223" s="100"/>
      <c r="I223" s="100"/>
      <c r="J223" s="100"/>
      <c r="K223" s="100"/>
    </row>
    <row r="224" spans="1:11" s="101" customFormat="1" x14ac:dyDescent="0.3">
      <c r="A224" s="100"/>
      <c r="B224" s="100"/>
      <c r="C224" s="100"/>
      <c r="D224" s="100"/>
      <c r="E224" s="100"/>
      <c r="F224" s="100"/>
      <c r="G224" s="100"/>
      <c r="H224" s="100"/>
      <c r="I224" s="100"/>
      <c r="J224" s="100"/>
      <c r="K224" s="100"/>
    </row>
    <row r="225" spans="1:11" s="101" customFormat="1" x14ac:dyDescent="0.3">
      <c r="A225" s="100"/>
      <c r="B225" s="100"/>
      <c r="C225" s="100"/>
      <c r="D225" s="100"/>
      <c r="E225" s="100"/>
      <c r="F225" s="100"/>
      <c r="G225" s="100"/>
      <c r="H225" s="100"/>
      <c r="I225" s="100"/>
      <c r="J225" s="100"/>
      <c r="K225" s="100"/>
    </row>
    <row r="226" spans="1:11" s="101" customFormat="1" x14ac:dyDescent="0.3">
      <c r="A226" s="100"/>
      <c r="B226" s="100"/>
      <c r="C226" s="100"/>
      <c r="D226" s="100"/>
      <c r="E226" s="100"/>
      <c r="F226" s="100"/>
      <c r="G226" s="100"/>
      <c r="H226" s="100"/>
      <c r="I226" s="100"/>
      <c r="J226" s="100"/>
      <c r="K226" s="100"/>
    </row>
    <row r="227" spans="1:11" s="101" customFormat="1" x14ac:dyDescent="0.3">
      <c r="A227" s="100"/>
      <c r="B227" s="100"/>
      <c r="C227" s="100"/>
      <c r="D227" s="100"/>
      <c r="E227" s="100"/>
      <c r="F227" s="100"/>
      <c r="G227" s="100"/>
      <c r="H227" s="100"/>
      <c r="I227" s="100"/>
      <c r="J227" s="100"/>
      <c r="K227" s="100"/>
    </row>
    <row r="228" spans="1:11" s="101" customFormat="1" x14ac:dyDescent="0.3">
      <c r="A228" s="100"/>
      <c r="B228" s="100"/>
      <c r="C228" s="100"/>
      <c r="D228" s="100"/>
      <c r="E228" s="100"/>
      <c r="F228" s="100"/>
      <c r="G228" s="100"/>
      <c r="H228" s="100"/>
      <c r="I228" s="100"/>
      <c r="J228" s="100"/>
      <c r="K228" s="100"/>
    </row>
    <row r="229" spans="1:11" s="101" customFormat="1" x14ac:dyDescent="0.3">
      <c r="A229" s="100"/>
      <c r="B229" s="100"/>
      <c r="C229" s="100"/>
      <c r="D229" s="100"/>
      <c r="E229" s="100"/>
      <c r="F229" s="100"/>
      <c r="G229" s="100"/>
      <c r="H229" s="100"/>
      <c r="I229" s="100"/>
      <c r="J229" s="100"/>
      <c r="K229" s="100"/>
    </row>
    <row r="230" spans="1:11" s="101" customFormat="1" x14ac:dyDescent="0.3">
      <c r="A230" s="100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101" customFormat="1" x14ac:dyDescent="0.3">
      <c r="A231" s="100"/>
      <c r="B231" s="100"/>
      <c r="C231" s="100"/>
      <c r="D231" s="100"/>
      <c r="E231" s="100"/>
      <c r="F231" s="100"/>
      <c r="G231" s="100"/>
      <c r="H231" s="100"/>
      <c r="I231" s="100"/>
      <c r="J231" s="100"/>
      <c r="K231" s="100"/>
    </row>
    <row r="232" spans="1:11" s="101" customFormat="1" x14ac:dyDescent="0.3">
      <c r="A232" s="100"/>
      <c r="B232" s="100"/>
      <c r="C232" s="100"/>
      <c r="D232" s="100"/>
      <c r="E232" s="100"/>
      <c r="F232" s="100"/>
      <c r="G232" s="100"/>
      <c r="H232" s="100"/>
      <c r="I232" s="100"/>
      <c r="J232" s="100"/>
      <c r="K232" s="100"/>
    </row>
    <row r="233" spans="1:11" s="101" customFormat="1" x14ac:dyDescent="0.3">
      <c r="A233" s="100"/>
      <c r="B233" s="100"/>
      <c r="C233" s="100"/>
      <c r="D233" s="100"/>
      <c r="E233" s="100"/>
      <c r="F233" s="100"/>
      <c r="G233" s="100"/>
      <c r="H233" s="100"/>
      <c r="I233" s="100"/>
      <c r="J233" s="100"/>
      <c r="K233" s="100"/>
    </row>
    <row r="234" spans="1:11" s="101" customFormat="1" x14ac:dyDescent="0.3">
      <c r="A234" s="100"/>
      <c r="B234" s="100"/>
      <c r="C234" s="100"/>
      <c r="D234" s="100"/>
      <c r="E234" s="100"/>
      <c r="F234" s="100"/>
      <c r="G234" s="100"/>
      <c r="H234" s="100"/>
      <c r="I234" s="100"/>
      <c r="J234" s="100"/>
      <c r="K234" s="100"/>
    </row>
    <row r="235" spans="1:11" s="101" customFormat="1" x14ac:dyDescent="0.3">
      <c r="A235" s="100"/>
      <c r="B235" s="100"/>
      <c r="C235" s="100"/>
      <c r="D235" s="100"/>
      <c r="E235" s="100"/>
      <c r="F235" s="100"/>
      <c r="G235" s="100"/>
      <c r="H235" s="100"/>
      <c r="I235" s="100"/>
      <c r="J235" s="100"/>
      <c r="K235" s="100"/>
    </row>
    <row r="236" spans="1:11" s="101" customFormat="1" x14ac:dyDescent="0.3">
      <c r="A236" s="100"/>
      <c r="B236" s="100"/>
      <c r="C236" s="100"/>
      <c r="D236" s="100"/>
      <c r="E236" s="100"/>
      <c r="F236" s="100"/>
      <c r="G236" s="100"/>
      <c r="H236" s="100"/>
      <c r="I236" s="100"/>
      <c r="J236" s="100"/>
      <c r="K236" s="100"/>
    </row>
    <row r="237" spans="1:11" s="101" customFormat="1" x14ac:dyDescent="0.3">
      <c r="A237" s="100"/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</row>
    <row r="238" spans="1:11" s="101" customFormat="1" x14ac:dyDescent="0.3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</row>
    <row r="239" spans="1:11" s="101" customFormat="1" x14ac:dyDescent="0.3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</row>
    <row r="240" spans="1:11" s="101" customFormat="1" x14ac:dyDescent="0.3">
      <c r="A240" s="100"/>
      <c r="B240" s="100"/>
      <c r="C240" s="100"/>
      <c r="D240" s="100"/>
      <c r="E240" s="100"/>
      <c r="F240" s="100"/>
      <c r="G240" s="100"/>
      <c r="H240" s="100"/>
      <c r="I240" s="100"/>
      <c r="J240" s="100"/>
      <c r="K240" s="100"/>
    </row>
    <row r="241" spans="1:11" s="101" customFormat="1" x14ac:dyDescent="0.3">
      <c r="A241" s="100"/>
      <c r="B241" s="100"/>
      <c r="C241" s="100"/>
      <c r="D241" s="100"/>
      <c r="E241" s="100"/>
      <c r="F241" s="100"/>
      <c r="G241" s="100"/>
      <c r="H241" s="100"/>
      <c r="I241" s="100"/>
      <c r="J241" s="100"/>
      <c r="K241" s="100"/>
    </row>
    <row r="242" spans="1:11" s="101" customFormat="1" x14ac:dyDescent="0.3">
      <c r="A242" s="100"/>
      <c r="B242" s="100"/>
      <c r="C242" s="100"/>
      <c r="D242" s="100"/>
      <c r="E242" s="100"/>
      <c r="F242" s="100"/>
      <c r="G242" s="100"/>
      <c r="H242" s="100"/>
      <c r="I242" s="100"/>
      <c r="J242" s="100"/>
      <c r="K242" s="100"/>
    </row>
    <row r="243" spans="1:11" s="101" customFormat="1" x14ac:dyDescent="0.3">
      <c r="A243" s="100"/>
      <c r="B243" s="100"/>
      <c r="C243" s="100"/>
      <c r="D243" s="100"/>
      <c r="E243" s="100"/>
      <c r="F243" s="100"/>
      <c r="G243" s="100"/>
      <c r="H243" s="100"/>
      <c r="I243" s="100"/>
      <c r="J243" s="100"/>
      <c r="K243" s="100"/>
    </row>
    <row r="244" spans="1:11" s="101" customFormat="1" x14ac:dyDescent="0.3">
      <c r="A244" s="100"/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</row>
    <row r="245" spans="1:11" s="101" customFormat="1" x14ac:dyDescent="0.3">
      <c r="A245" s="100"/>
      <c r="B245" s="100"/>
      <c r="C245" s="100"/>
      <c r="D245" s="100"/>
      <c r="E245" s="100"/>
      <c r="F245" s="100"/>
      <c r="G245" s="100"/>
      <c r="H245" s="100"/>
      <c r="I245" s="100"/>
      <c r="J245" s="100"/>
      <c r="K245" s="100"/>
    </row>
    <row r="246" spans="1:11" s="101" customFormat="1" x14ac:dyDescent="0.3">
      <c r="A246" s="100"/>
      <c r="B246" s="100"/>
      <c r="C246" s="100"/>
      <c r="D246" s="100"/>
      <c r="E246" s="100"/>
      <c r="F246" s="100"/>
      <c r="G246" s="100"/>
      <c r="H246" s="100"/>
      <c r="I246" s="100"/>
      <c r="J246" s="100"/>
      <c r="K246" s="100"/>
    </row>
    <row r="247" spans="1:11" s="101" customFormat="1" x14ac:dyDescent="0.3">
      <c r="A247" s="100"/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</row>
    <row r="248" spans="1:11" s="101" customFormat="1" x14ac:dyDescent="0.3">
      <c r="A248" s="100"/>
      <c r="B248" s="100"/>
      <c r="C248" s="100"/>
      <c r="D248" s="100"/>
      <c r="E248" s="100"/>
      <c r="F248" s="100"/>
      <c r="G248" s="100"/>
      <c r="H248" s="100"/>
      <c r="I248" s="100"/>
      <c r="J248" s="100"/>
      <c r="K248" s="100"/>
    </row>
    <row r="249" spans="1:11" s="101" customFormat="1" x14ac:dyDescent="0.3">
      <c r="A249" s="100"/>
      <c r="B249" s="100"/>
      <c r="C249" s="100"/>
      <c r="D249" s="100"/>
      <c r="E249" s="100"/>
      <c r="F249" s="100"/>
      <c r="G249" s="100"/>
      <c r="H249" s="100"/>
      <c r="I249" s="100"/>
      <c r="J249" s="100"/>
      <c r="K249" s="100"/>
    </row>
    <row r="250" spans="1:11" s="101" customFormat="1" x14ac:dyDescent="0.3">
      <c r="A250" s="100"/>
      <c r="B250" s="100"/>
      <c r="C250" s="100"/>
      <c r="D250" s="100"/>
      <c r="E250" s="100"/>
      <c r="F250" s="100"/>
      <c r="G250" s="100"/>
      <c r="H250" s="100"/>
      <c r="I250" s="100"/>
      <c r="J250" s="100"/>
      <c r="K250" s="100"/>
    </row>
    <row r="251" spans="1:11" s="101" customFormat="1" x14ac:dyDescent="0.3">
      <c r="A251" s="100"/>
      <c r="B251" s="100"/>
      <c r="C251" s="100"/>
      <c r="D251" s="100"/>
      <c r="E251" s="100"/>
      <c r="F251" s="100"/>
      <c r="G251" s="100"/>
      <c r="H251" s="100"/>
      <c r="I251" s="100"/>
      <c r="J251" s="100"/>
      <c r="K251" s="100"/>
    </row>
    <row r="252" spans="1:11" s="101" customFormat="1" x14ac:dyDescent="0.3">
      <c r="A252" s="100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</row>
    <row r="253" spans="1:11" s="101" customFormat="1" x14ac:dyDescent="0.3">
      <c r="A253" s="100"/>
      <c r="B253" s="100"/>
      <c r="C253" s="100"/>
      <c r="D253" s="100"/>
      <c r="E253" s="100"/>
      <c r="F253" s="100"/>
      <c r="G253" s="100"/>
      <c r="H253" s="100"/>
      <c r="I253" s="100"/>
      <c r="J253" s="100"/>
      <c r="K253" s="100"/>
    </row>
    <row r="254" spans="1:11" s="101" customFormat="1" x14ac:dyDescent="0.3">
      <c r="A254" s="100"/>
      <c r="B254" s="100"/>
      <c r="C254" s="100"/>
      <c r="D254" s="100"/>
      <c r="E254" s="100"/>
      <c r="F254" s="100"/>
      <c r="G254" s="100"/>
      <c r="H254" s="100"/>
      <c r="I254" s="100"/>
      <c r="J254" s="100"/>
      <c r="K254" s="100"/>
    </row>
    <row r="255" spans="1:11" s="101" customFormat="1" x14ac:dyDescent="0.3">
      <c r="A255" s="100"/>
      <c r="B255" s="100"/>
      <c r="C255" s="100"/>
      <c r="D255" s="100"/>
      <c r="E255" s="100"/>
      <c r="F255" s="100"/>
      <c r="G255" s="100"/>
      <c r="H255" s="100"/>
      <c r="I255" s="100"/>
      <c r="J255" s="100"/>
      <c r="K255" s="100"/>
    </row>
    <row r="256" spans="1:11" s="101" customFormat="1" x14ac:dyDescent="0.3">
      <c r="A256" s="100"/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</row>
    <row r="257" spans="1:11" s="101" customFormat="1" x14ac:dyDescent="0.3">
      <c r="A257" s="100"/>
      <c r="B257" s="100"/>
      <c r="C257" s="100"/>
      <c r="D257" s="100"/>
      <c r="E257" s="100"/>
      <c r="F257" s="100"/>
      <c r="G257" s="100"/>
      <c r="H257" s="100"/>
      <c r="I257" s="100"/>
      <c r="J257" s="100"/>
      <c r="K257" s="100"/>
    </row>
    <row r="258" spans="1:11" s="101" customFormat="1" x14ac:dyDescent="0.3">
      <c r="A258" s="100"/>
      <c r="B258" s="100"/>
      <c r="C258" s="100"/>
      <c r="D258" s="100"/>
      <c r="E258" s="100"/>
      <c r="F258" s="100"/>
      <c r="G258" s="100"/>
      <c r="H258" s="100"/>
      <c r="I258" s="100"/>
      <c r="J258" s="100"/>
      <c r="K258" s="100"/>
    </row>
    <row r="259" spans="1:11" s="101" customFormat="1" x14ac:dyDescent="0.3">
      <c r="A259" s="100"/>
      <c r="B259" s="100"/>
      <c r="C259" s="100"/>
      <c r="D259" s="100"/>
      <c r="E259" s="100"/>
      <c r="F259" s="100"/>
      <c r="G259" s="100"/>
      <c r="H259" s="100"/>
      <c r="I259" s="100"/>
      <c r="J259" s="100"/>
      <c r="K259" s="100"/>
    </row>
    <row r="260" spans="1:11" s="101" customFormat="1" x14ac:dyDescent="0.3">
      <c r="A260" s="100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</row>
    <row r="261" spans="1:11" s="101" customFormat="1" x14ac:dyDescent="0.3">
      <c r="A261" s="100"/>
      <c r="B261" s="100"/>
      <c r="C261" s="100"/>
      <c r="D261" s="100"/>
      <c r="E261" s="100"/>
      <c r="F261" s="100"/>
      <c r="G261" s="100"/>
      <c r="H261" s="100"/>
      <c r="I261" s="100"/>
      <c r="J261" s="100"/>
      <c r="K261" s="100"/>
    </row>
    <row r="262" spans="1:11" s="101" customFormat="1" x14ac:dyDescent="0.3">
      <c r="A262" s="100"/>
      <c r="B262" s="100"/>
      <c r="C262" s="100"/>
      <c r="D262" s="100"/>
      <c r="E262" s="100"/>
      <c r="F262" s="100"/>
      <c r="G262" s="100"/>
      <c r="H262" s="100"/>
      <c r="I262" s="100"/>
      <c r="J262" s="100"/>
      <c r="K262" s="100"/>
    </row>
    <row r="263" spans="1:11" s="101" customFormat="1" x14ac:dyDescent="0.3">
      <c r="A263" s="100"/>
      <c r="B263" s="100"/>
      <c r="C263" s="100"/>
      <c r="D263" s="100"/>
      <c r="E263" s="100"/>
      <c r="F263" s="100"/>
      <c r="G263" s="100"/>
      <c r="H263" s="100"/>
      <c r="I263" s="100"/>
      <c r="J263" s="100"/>
      <c r="K263" s="100"/>
    </row>
    <row r="264" spans="1:11" s="101" customFormat="1" x14ac:dyDescent="0.3">
      <c r="A264" s="100"/>
      <c r="B264" s="100"/>
      <c r="C264" s="100"/>
      <c r="D264" s="100"/>
      <c r="E264" s="100"/>
      <c r="F264" s="100"/>
      <c r="G264" s="100"/>
      <c r="H264" s="100"/>
      <c r="I264" s="100"/>
      <c r="J264" s="100"/>
      <c r="K264" s="100"/>
    </row>
    <row r="265" spans="1:11" s="101" customFormat="1" x14ac:dyDescent="0.3">
      <c r="A265" s="100"/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</row>
    <row r="266" spans="1:11" s="101" customFormat="1" x14ac:dyDescent="0.3">
      <c r="A266" s="100"/>
      <c r="B266" s="100"/>
      <c r="C266" s="100"/>
      <c r="D266" s="100"/>
      <c r="E266" s="100"/>
      <c r="F266" s="100"/>
      <c r="G266" s="100"/>
      <c r="H266" s="100"/>
      <c r="I266" s="100"/>
      <c r="J266" s="100"/>
      <c r="K266" s="100"/>
    </row>
    <row r="267" spans="1:11" s="101" customFormat="1" x14ac:dyDescent="0.3">
      <c r="A267" s="100"/>
      <c r="B267" s="100"/>
      <c r="C267" s="100"/>
      <c r="D267" s="100"/>
      <c r="E267" s="100"/>
      <c r="F267" s="100"/>
      <c r="G267" s="100"/>
      <c r="H267" s="100"/>
      <c r="I267" s="100"/>
      <c r="J267" s="100"/>
      <c r="K267" s="100"/>
    </row>
    <row r="268" spans="1:11" s="101" customFormat="1" x14ac:dyDescent="0.3">
      <c r="A268" s="100"/>
      <c r="B268" s="100"/>
      <c r="C268" s="100"/>
      <c r="D268" s="100"/>
      <c r="E268" s="100"/>
      <c r="F268" s="100"/>
      <c r="G268" s="100"/>
      <c r="H268" s="100"/>
      <c r="I268" s="100"/>
      <c r="J268" s="100"/>
      <c r="K268" s="100"/>
    </row>
    <row r="269" spans="1:11" s="101" customFormat="1" x14ac:dyDescent="0.3">
      <c r="A269" s="100"/>
      <c r="B269" s="100"/>
      <c r="C269" s="100"/>
      <c r="D269" s="100"/>
      <c r="E269" s="100"/>
      <c r="F269" s="100"/>
      <c r="G269" s="100"/>
      <c r="H269" s="100"/>
      <c r="I269" s="100"/>
      <c r="J269" s="100"/>
      <c r="K269" s="100"/>
    </row>
    <row r="270" spans="1:11" s="101" customFormat="1" x14ac:dyDescent="0.3">
      <c r="A270" s="100"/>
      <c r="B270" s="100"/>
      <c r="C270" s="100"/>
      <c r="D270" s="100"/>
      <c r="E270" s="100"/>
      <c r="F270" s="100"/>
      <c r="G270" s="100"/>
      <c r="H270" s="100"/>
      <c r="I270" s="100"/>
      <c r="J270" s="100"/>
      <c r="K270" s="100"/>
    </row>
    <row r="271" spans="1:11" s="101" customFormat="1" x14ac:dyDescent="0.3">
      <c r="A271" s="100"/>
      <c r="B271" s="100"/>
      <c r="C271" s="100"/>
      <c r="D271" s="100"/>
      <c r="E271" s="100"/>
      <c r="F271" s="100"/>
      <c r="G271" s="100"/>
      <c r="H271" s="100"/>
      <c r="I271" s="100"/>
      <c r="J271" s="100"/>
      <c r="K271" s="100"/>
    </row>
    <row r="272" spans="1:11" s="101" customFormat="1" x14ac:dyDescent="0.3">
      <c r="A272" s="100"/>
      <c r="B272" s="100"/>
      <c r="C272" s="100"/>
      <c r="D272" s="100"/>
      <c r="E272" s="100"/>
      <c r="F272" s="100"/>
      <c r="G272" s="100"/>
      <c r="H272" s="100"/>
      <c r="I272" s="100"/>
      <c r="J272" s="100"/>
      <c r="K272" s="100"/>
    </row>
    <row r="273" spans="1:11" s="101" customFormat="1" x14ac:dyDescent="0.3">
      <c r="A273" s="100"/>
      <c r="B273" s="100"/>
      <c r="C273" s="100"/>
      <c r="D273" s="100"/>
      <c r="E273" s="100"/>
      <c r="F273" s="100"/>
      <c r="G273" s="100"/>
      <c r="H273" s="100"/>
      <c r="I273" s="100"/>
      <c r="J273" s="100"/>
      <c r="K273" s="100"/>
    </row>
    <row r="274" spans="1:11" s="101" customFormat="1" x14ac:dyDescent="0.3">
      <c r="A274" s="100"/>
      <c r="B274" s="100"/>
      <c r="C274" s="100"/>
      <c r="D274" s="100"/>
      <c r="E274" s="100"/>
      <c r="F274" s="100"/>
      <c r="G274" s="100"/>
      <c r="H274" s="100"/>
      <c r="I274" s="100"/>
      <c r="J274" s="100"/>
      <c r="K274" s="100"/>
    </row>
    <row r="275" spans="1:11" s="101" customFormat="1" x14ac:dyDescent="0.3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</row>
    <row r="276" spans="1:11" s="101" customFormat="1" x14ac:dyDescent="0.3">
      <c r="A276" s="100"/>
      <c r="B276" s="100"/>
      <c r="C276" s="100"/>
      <c r="D276" s="100"/>
      <c r="E276" s="100"/>
      <c r="F276" s="100"/>
      <c r="G276" s="100"/>
      <c r="H276" s="100"/>
      <c r="I276" s="100"/>
      <c r="J276" s="100"/>
      <c r="K276" s="100"/>
    </row>
    <row r="277" spans="1:11" s="101" customFormat="1" x14ac:dyDescent="0.3">
      <c r="A277" s="100"/>
      <c r="B277" s="100"/>
      <c r="C277" s="100"/>
      <c r="D277" s="100"/>
      <c r="E277" s="100"/>
      <c r="F277" s="100"/>
      <c r="G277" s="100"/>
      <c r="H277" s="100"/>
      <c r="I277" s="100"/>
      <c r="J277" s="100"/>
      <c r="K277" s="100"/>
    </row>
    <row r="278" spans="1:11" s="101" customFormat="1" x14ac:dyDescent="0.3">
      <c r="A278" s="100"/>
      <c r="B278" s="100"/>
      <c r="C278" s="100"/>
      <c r="D278" s="100"/>
      <c r="E278" s="100"/>
      <c r="F278" s="100"/>
      <c r="G278" s="100"/>
      <c r="H278" s="100"/>
      <c r="I278" s="100"/>
      <c r="J278" s="100"/>
      <c r="K278" s="100"/>
    </row>
    <row r="279" spans="1:11" s="101" customFormat="1" x14ac:dyDescent="0.3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</row>
    <row r="280" spans="1:11" s="101" customFormat="1" x14ac:dyDescent="0.3">
      <c r="A280" s="100"/>
      <c r="B280" s="100"/>
      <c r="C280" s="100"/>
      <c r="D280" s="100"/>
      <c r="E280" s="100"/>
      <c r="F280" s="100"/>
      <c r="G280" s="100"/>
      <c r="H280" s="100"/>
      <c r="I280" s="100"/>
      <c r="J280" s="100"/>
      <c r="K280" s="100"/>
    </row>
    <row r="281" spans="1:11" s="101" customFormat="1" x14ac:dyDescent="0.3">
      <c r="A281" s="100"/>
      <c r="B281" s="100"/>
      <c r="C281" s="100"/>
      <c r="D281" s="100"/>
      <c r="E281" s="100"/>
      <c r="F281" s="100"/>
      <c r="G281" s="100"/>
      <c r="H281" s="100"/>
      <c r="I281" s="100"/>
      <c r="J281" s="100"/>
      <c r="K281" s="100"/>
    </row>
    <row r="282" spans="1:11" s="101" customFormat="1" x14ac:dyDescent="0.3">
      <c r="A282" s="100"/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</row>
    <row r="283" spans="1:11" s="101" customFormat="1" x14ac:dyDescent="0.3">
      <c r="A283" s="100"/>
      <c r="B283" s="100"/>
      <c r="C283" s="100"/>
      <c r="D283" s="100"/>
      <c r="E283" s="100"/>
      <c r="F283" s="100"/>
      <c r="G283" s="100"/>
      <c r="H283" s="100"/>
      <c r="I283" s="100"/>
      <c r="J283" s="100"/>
      <c r="K283" s="100"/>
    </row>
    <row r="284" spans="1:11" s="101" customFormat="1" x14ac:dyDescent="0.3">
      <c r="A284" s="100"/>
      <c r="B284" s="100"/>
      <c r="C284" s="100"/>
      <c r="D284" s="100"/>
      <c r="E284" s="100"/>
      <c r="F284" s="100"/>
      <c r="G284" s="100"/>
      <c r="H284" s="100"/>
      <c r="I284" s="100"/>
      <c r="J284" s="100"/>
      <c r="K284" s="100"/>
    </row>
    <row r="285" spans="1:11" s="101" customFormat="1" x14ac:dyDescent="0.3">
      <c r="A285" s="100"/>
      <c r="B285" s="100"/>
      <c r="C285" s="100"/>
      <c r="D285" s="100"/>
      <c r="E285" s="100"/>
      <c r="F285" s="100"/>
      <c r="G285" s="100"/>
      <c r="H285" s="100"/>
      <c r="I285" s="100"/>
      <c r="J285" s="100"/>
      <c r="K285" s="100"/>
    </row>
    <row r="286" spans="1:11" s="101" customFormat="1" x14ac:dyDescent="0.3">
      <c r="A286" s="100"/>
      <c r="B286" s="100"/>
      <c r="C286" s="100"/>
      <c r="D286" s="100"/>
      <c r="E286" s="100"/>
      <c r="F286" s="100"/>
      <c r="G286" s="100"/>
      <c r="H286" s="100"/>
      <c r="I286" s="100"/>
      <c r="J286" s="100"/>
      <c r="K286" s="100"/>
    </row>
    <row r="287" spans="1:11" s="101" customFormat="1" x14ac:dyDescent="0.3">
      <c r="A287" s="100"/>
      <c r="B287" s="100"/>
      <c r="C287" s="100"/>
      <c r="D287" s="100"/>
      <c r="E287" s="100"/>
      <c r="F287" s="100"/>
      <c r="G287" s="100"/>
      <c r="H287" s="100"/>
      <c r="I287" s="100"/>
      <c r="J287" s="100"/>
      <c r="K287" s="100"/>
    </row>
    <row r="288" spans="1:11" s="101" customFormat="1" x14ac:dyDescent="0.3">
      <c r="A288" s="100"/>
      <c r="B288" s="100"/>
      <c r="C288" s="100"/>
      <c r="D288" s="100"/>
      <c r="E288" s="100"/>
      <c r="F288" s="100"/>
      <c r="G288" s="100"/>
      <c r="H288" s="100"/>
      <c r="I288" s="100"/>
      <c r="J288" s="100"/>
      <c r="K288" s="100"/>
    </row>
    <row r="289" spans="1:11" s="101" customFormat="1" x14ac:dyDescent="0.3">
      <c r="A289" s="100"/>
      <c r="B289" s="100"/>
      <c r="C289" s="100"/>
      <c r="D289" s="100"/>
      <c r="E289" s="100"/>
      <c r="F289" s="100"/>
      <c r="G289" s="100"/>
      <c r="H289" s="100"/>
      <c r="I289" s="100"/>
      <c r="J289" s="100"/>
      <c r="K289" s="100"/>
    </row>
    <row r="290" spans="1:11" s="101" customFormat="1" x14ac:dyDescent="0.3">
      <c r="A290" s="100"/>
      <c r="B290" s="100"/>
      <c r="C290" s="100"/>
      <c r="D290" s="100"/>
      <c r="E290" s="100"/>
      <c r="F290" s="100"/>
      <c r="G290" s="100"/>
      <c r="H290" s="100"/>
      <c r="I290" s="100"/>
      <c r="J290" s="100"/>
      <c r="K290" s="100"/>
    </row>
    <row r="291" spans="1:11" s="101" customFormat="1" x14ac:dyDescent="0.3">
      <c r="A291" s="100"/>
      <c r="B291" s="100"/>
      <c r="C291" s="100"/>
      <c r="D291" s="100"/>
      <c r="E291" s="100"/>
      <c r="F291" s="100"/>
      <c r="G291" s="100"/>
      <c r="H291" s="100"/>
      <c r="I291" s="100"/>
      <c r="J291" s="100"/>
      <c r="K291" s="100"/>
    </row>
    <row r="292" spans="1:11" s="101" customFormat="1" x14ac:dyDescent="0.3">
      <c r="A292" s="100"/>
      <c r="B292" s="100"/>
      <c r="C292" s="100"/>
      <c r="D292" s="100"/>
      <c r="E292" s="100"/>
      <c r="F292" s="100"/>
      <c r="G292" s="100"/>
      <c r="H292" s="100"/>
      <c r="I292" s="100"/>
      <c r="J292" s="100"/>
      <c r="K292" s="100"/>
    </row>
    <row r="293" spans="1:11" s="101" customFormat="1" x14ac:dyDescent="0.3">
      <c r="A293" s="100"/>
      <c r="B293" s="100"/>
      <c r="C293" s="100"/>
      <c r="D293" s="100"/>
      <c r="E293" s="100"/>
      <c r="F293" s="100"/>
      <c r="G293" s="100"/>
      <c r="H293" s="100"/>
      <c r="I293" s="100"/>
      <c r="J293" s="100"/>
      <c r="K293" s="100"/>
    </row>
    <row r="294" spans="1:11" s="101" customFormat="1" x14ac:dyDescent="0.3">
      <c r="A294" s="100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101" customFormat="1" x14ac:dyDescent="0.3">
      <c r="A295" s="100"/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</row>
    <row r="296" spans="1:11" s="101" customFormat="1" x14ac:dyDescent="0.3">
      <c r="A296" s="100"/>
      <c r="B296" s="100"/>
      <c r="C296" s="100"/>
      <c r="D296" s="100"/>
      <c r="E296" s="100"/>
      <c r="F296" s="100"/>
      <c r="G296" s="100"/>
      <c r="H296" s="100"/>
      <c r="I296" s="100"/>
      <c r="J296" s="100"/>
      <c r="K296" s="100"/>
    </row>
    <row r="297" spans="1:11" s="101" customFormat="1" x14ac:dyDescent="0.3">
      <c r="A297" s="100"/>
      <c r="B297" s="100"/>
      <c r="C297" s="100"/>
      <c r="D297" s="100"/>
      <c r="E297" s="100"/>
      <c r="F297" s="100"/>
      <c r="G297" s="100"/>
      <c r="H297" s="100"/>
      <c r="I297" s="100"/>
      <c r="J297" s="100"/>
      <c r="K297" s="100"/>
    </row>
    <row r="298" spans="1:11" s="101" customFormat="1" x14ac:dyDescent="0.3">
      <c r="A298" s="100"/>
      <c r="B298" s="100"/>
      <c r="C298" s="100"/>
      <c r="D298" s="100"/>
      <c r="E298" s="100"/>
      <c r="F298" s="100"/>
      <c r="G298" s="100"/>
      <c r="H298" s="100"/>
      <c r="I298" s="100"/>
      <c r="J298" s="100"/>
      <c r="K298" s="100"/>
    </row>
    <row r="299" spans="1:11" s="101" customFormat="1" x14ac:dyDescent="0.3">
      <c r="A299" s="100"/>
      <c r="B299" s="100"/>
      <c r="C299" s="100"/>
      <c r="D299" s="100"/>
      <c r="E299" s="100"/>
      <c r="F299" s="100"/>
      <c r="G299" s="100"/>
      <c r="H299" s="100"/>
      <c r="I299" s="100"/>
      <c r="J299" s="100"/>
      <c r="K299" s="100"/>
    </row>
    <row r="300" spans="1:11" s="101" customFormat="1" x14ac:dyDescent="0.3">
      <c r="A300" s="100"/>
      <c r="B300" s="100"/>
      <c r="C300" s="100"/>
      <c r="D300" s="100"/>
      <c r="E300" s="100"/>
      <c r="F300" s="100"/>
      <c r="G300" s="100"/>
      <c r="H300" s="100"/>
      <c r="I300" s="100"/>
      <c r="J300" s="100"/>
      <c r="K300" s="100"/>
    </row>
    <row r="301" spans="1:11" s="101" customFormat="1" x14ac:dyDescent="0.3">
      <c r="A301" s="100"/>
      <c r="B301" s="100"/>
      <c r="C301" s="100"/>
      <c r="D301" s="100"/>
      <c r="E301" s="100"/>
      <c r="F301" s="100"/>
      <c r="G301" s="100"/>
      <c r="H301" s="100"/>
      <c r="I301" s="100"/>
      <c r="J301" s="100"/>
      <c r="K301" s="100"/>
    </row>
    <row r="302" spans="1:11" s="101" customFormat="1" x14ac:dyDescent="0.3">
      <c r="A302" s="100"/>
      <c r="B302" s="100"/>
      <c r="C302" s="100"/>
      <c r="D302" s="100"/>
      <c r="E302" s="100"/>
      <c r="F302" s="100"/>
      <c r="G302" s="100"/>
      <c r="H302" s="100"/>
      <c r="I302" s="100"/>
      <c r="J302" s="100"/>
      <c r="K302" s="100"/>
    </row>
    <row r="303" spans="1:11" s="101" customFormat="1" x14ac:dyDescent="0.3">
      <c r="A303" s="100"/>
      <c r="B303" s="100"/>
      <c r="C303" s="100"/>
      <c r="D303" s="100"/>
      <c r="E303" s="100"/>
      <c r="F303" s="100"/>
      <c r="G303" s="100"/>
      <c r="H303" s="100"/>
      <c r="I303" s="100"/>
      <c r="J303" s="100"/>
      <c r="K303" s="100"/>
    </row>
    <row r="304" spans="1:11" s="101" customFormat="1" x14ac:dyDescent="0.3">
      <c r="A304" s="100"/>
      <c r="B304" s="100"/>
      <c r="C304" s="100"/>
      <c r="D304" s="100"/>
      <c r="E304" s="100"/>
      <c r="F304" s="100"/>
      <c r="G304" s="100"/>
      <c r="H304" s="100"/>
      <c r="I304" s="100"/>
      <c r="J304" s="100"/>
      <c r="K304" s="100"/>
    </row>
    <row r="305" spans="1:11" s="101" customFormat="1" x14ac:dyDescent="0.3">
      <c r="A305" s="100"/>
      <c r="B305" s="100"/>
      <c r="C305" s="100"/>
      <c r="D305" s="100"/>
      <c r="E305" s="100"/>
      <c r="F305" s="100"/>
      <c r="G305" s="100"/>
      <c r="H305" s="100"/>
      <c r="I305" s="100"/>
      <c r="J305" s="100"/>
      <c r="K305" s="100"/>
    </row>
    <row r="306" spans="1:11" s="101" customFormat="1" x14ac:dyDescent="0.3">
      <c r="A306" s="100"/>
      <c r="B306" s="100"/>
      <c r="C306" s="100"/>
      <c r="D306" s="100"/>
      <c r="E306" s="100"/>
      <c r="F306" s="100"/>
      <c r="G306" s="100"/>
      <c r="H306" s="100"/>
      <c r="I306" s="100"/>
      <c r="J306" s="100"/>
      <c r="K306" s="100"/>
    </row>
    <row r="307" spans="1:11" s="101" customFormat="1" x14ac:dyDescent="0.3">
      <c r="A307" s="100"/>
      <c r="B307" s="100"/>
      <c r="C307" s="100"/>
      <c r="D307" s="100"/>
      <c r="E307" s="100"/>
      <c r="F307" s="100"/>
      <c r="G307" s="100"/>
      <c r="H307" s="100"/>
      <c r="I307" s="100"/>
      <c r="J307" s="100"/>
      <c r="K307" s="100"/>
    </row>
    <row r="308" spans="1:11" s="101" customFormat="1" x14ac:dyDescent="0.3">
      <c r="A308" s="100"/>
      <c r="B308" s="100"/>
      <c r="C308" s="100"/>
      <c r="D308" s="100"/>
      <c r="E308" s="100"/>
      <c r="F308" s="100"/>
      <c r="G308" s="100"/>
      <c r="H308" s="100"/>
      <c r="I308" s="100"/>
      <c r="J308" s="100"/>
      <c r="K308" s="100"/>
    </row>
    <row r="309" spans="1:11" s="101" customFormat="1" x14ac:dyDescent="0.3">
      <c r="A309" s="100"/>
      <c r="B309" s="100"/>
      <c r="C309" s="100"/>
      <c r="D309" s="100"/>
      <c r="E309" s="100"/>
      <c r="F309" s="100"/>
      <c r="G309" s="100"/>
      <c r="H309" s="100"/>
      <c r="I309" s="100"/>
      <c r="J309" s="100"/>
      <c r="K309" s="100"/>
    </row>
    <row r="310" spans="1:11" s="101" customFormat="1" x14ac:dyDescent="0.3">
      <c r="A310" s="100"/>
      <c r="B310" s="100"/>
      <c r="C310" s="100"/>
      <c r="D310" s="100"/>
      <c r="E310" s="100"/>
      <c r="F310" s="100"/>
      <c r="G310" s="100"/>
      <c r="H310" s="100"/>
      <c r="I310" s="100"/>
      <c r="J310" s="100"/>
      <c r="K310" s="100"/>
    </row>
    <row r="311" spans="1:11" s="101" customFormat="1" x14ac:dyDescent="0.3">
      <c r="A311" s="100"/>
      <c r="B311" s="100"/>
      <c r="C311" s="100"/>
      <c r="D311" s="100"/>
      <c r="E311" s="100"/>
      <c r="F311" s="100"/>
      <c r="G311" s="100"/>
      <c r="H311" s="100"/>
      <c r="I311" s="100"/>
      <c r="J311" s="100"/>
      <c r="K311" s="100"/>
    </row>
    <row r="312" spans="1:11" s="101" customFormat="1" x14ac:dyDescent="0.3">
      <c r="A312" s="100"/>
      <c r="B312" s="100"/>
      <c r="C312" s="100"/>
      <c r="D312" s="100"/>
      <c r="E312" s="100"/>
      <c r="F312" s="100"/>
      <c r="G312" s="100"/>
      <c r="H312" s="100"/>
      <c r="I312" s="100"/>
      <c r="J312" s="100"/>
      <c r="K312" s="100"/>
    </row>
    <row r="313" spans="1:11" s="101" customFormat="1" x14ac:dyDescent="0.3">
      <c r="A313" s="100"/>
      <c r="B313" s="100"/>
      <c r="C313" s="100"/>
      <c r="D313" s="100"/>
      <c r="E313" s="100"/>
      <c r="F313" s="100"/>
      <c r="G313" s="100"/>
      <c r="H313" s="100"/>
      <c r="I313" s="100"/>
      <c r="J313" s="100"/>
      <c r="K313" s="100"/>
    </row>
    <row r="314" spans="1:11" s="101" customFormat="1" x14ac:dyDescent="0.3">
      <c r="A314" s="100"/>
      <c r="B314" s="100"/>
      <c r="C314" s="100"/>
      <c r="D314" s="100"/>
      <c r="E314" s="100"/>
      <c r="F314" s="100"/>
      <c r="G314" s="100"/>
      <c r="H314" s="100"/>
      <c r="I314" s="100"/>
      <c r="J314" s="100"/>
      <c r="K314" s="100"/>
    </row>
    <row r="315" spans="1:11" s="101" customFormat="1" x14ac:dyDescent="0.3">
      <c r="A315" s="100"/>
      <c r="B315" s="100"/>
      <c r="C315" s="100"/>
      <c r="D315" s="100"/>
      <c r="E315" s="100"/>
      <c r="F315" s="100"/>
      <c r="G315" s="100"/>
      <c r="H315" s="100"/>
      <c r="I315" s="100"/>
      <c r="J315" s="100"/>
      <c r="K315" s="100"/>
    </row>
    <row r="316" spans="1:11" s="101" customFormat="1" x14ac:dyDescent="0.3">
      <c r="A316" s="100"/>
      <c r="B316" s="100"/>
      <c r="C316" s="100"/>
      <c r="D316" s="100"/>
      <c r="E316" s="100"/>
      <c r="F316" s="100"/>
      <c r="G316" s="100"/>
      <c r="H316" s="100"/>
      <c r="I316" s="100"/>
      <c r="J316" s="100"/>
      <c r="K316" s="100"/>
    </row>
    <row r="317" spans="1:11" s="101" customFormat="1" x14ac:dyDescent="0.3">
      <c r="A317" s="100"/>
      <c r="B317" s="100"/>
      <c r="C317" s="100"/>
      <c r="D317" s="100"/>
      <c r="E317" s="100"/>
      <c r="F317" s="100"/>
      <c r="G317" s="100"/>
      <c r="H317" s="100"/>
      <c r="I317" s="100"/>
      <c r="J317" s="100"/>
      <c r="K317" s="100"/>
    </row>
    <row r="318" spans="1:11" s="101" customFormat="1" x14ac:dyDescent="0.3">
      <c r="A318" s="100"/>
      <c r="B318" s="100"/>
      <c r="C318" s="100"/>
      <c r="D318" s="100"/>
      <c r="E318" s="100"/>
      <c r="F318" s="100"/>
      <c r="G318" s="100"/>
      <c r="H318" s="100"/>
      <c r="I318" s="100"/>
      <c r="J318" s="100"/>
      <c r="K318" s="100"/>
    </row>
    <row r="319" spans="1:11" s="101" customFormat="1" x14ac:dyDescent="0.3">
      <c r="A319" s="100"/>
      <c r="B319" s="100"/>
      <c r="C319" s="100"/>
      <c r="D319" s="100"/>
      <c r="E319" s="100"/>
      <c r="F319" s="100"/>
      <c r="G319" s="100"/>
      <c r="H319" s="100"/>
      <c r="I319" s="100"/>
      <c r="J319" s="100"/>
      <c r="K319" s="100"/>
    </row>
    <row r="320" spans="1:11" s="101" customFormat="1" x14ac:dyDescent="0.3">
      <c r="A320" s="100"/>
      <c r="B320" s="100"/>
      <c r="C320" s="100"/>
      <c r="D320" s="100"/>
      <c r="E320" s="100"/>
      <c r="F320" s="100"/>
      <c r="G320" s="100"/>
      <c r="H320" s="100"/>
      <c r="I320" s="100"/>
      <c r="J320" s="100"/>
      <c r="K320" s="100"/>
    </row>
    <row r="321" spans="1:11" s="101" customFormat="1" x14ac:dyDescent="0.3">
      <c r="A321" s="100"/>
      <c r="B321" s="100"/>
      <c r="C321" s="100"/>
      <c r="D321" s="100"/>
      <c r="E321" s="100"/>
      <c r="F321" s="100"/>
      <c r="G321" s="100"/>
      <c r="H321" s="100"/>
      <c r="I321" s="100"/>
      <c r="J321" s="100"/>
      <c r="K321" s="100"/>
    </row>
    <row r="322" spans="1:11" s="101" customFormat="1" x14ac:dyDescent="0.3">
      <c r="A322" s="100"/>
      <c r="B322" s="100"/>
      <c r="C322" s="100"/>
      <c r="D322" s="100"/>
      <c r="E322" s="100"/>
      <c r="F322" s="100"/>
      <c r="G322" s="100"/>
      <c r="H322" s="100"/>
      <c r="I322" s="100"/>
      <c r="J322" s="100"/>
      <c r="K322" s="100"/>
    </row>
    <row r="323" spans="1:11" s="101" customFormat="1" x14ac:dyDescent="0.3">
      <c r="A323" s="100"/>
      <c r="B323" s="100"/>
      <c r="C323" s="100"/>
      <c r="D323" s="100"/>
      <c r="E323" s="100"/>
      <c r="F323" s="100"/>
      <c r="G323" s="100"/>
      <c r="H323" s="100"/>
      <c r="I323" s="100"/>
      <c r="J323" s="100"/>
      <c r="K323" s="100"/>
    </row>
    <row r="324" spans="1:11" s="101" customFormat="1" x14ac:dyDescent="0.3">
      <c r="A324" s="100"/>
      <c r="B324" s="100"/>
      <c r="C324" s="100"/>
      <c r="D324" s="100"/>
      <c r="E324" s="100"/>
      <c r="F324" s="100"/>
      <c r="G324" s="100"/>
      <c r="H324" s="100"/>
      <c r="I324" s="100"/>
      <c r="J324" s="100"/>
      <c r="K324" s="100"/>
    </row>
    <row r="325" spans="1:11" s="101" customFormat="1" x14ac:dyDescent="0.3">
      <c r="A325" s="100"/>
      <c r="B325" s="100"/>
      <c r="C325" s="100"/>
      <c r="D325" s="100"/>
      <c r="E325" s="100"/>
      <c r="F325" s="100"/>
      <c r="G325" s="100"/>
      <c r="H325" s="100"/>
      <c r="I325" s="100"/>
      <c r="J325" s="100"/>
      <c r="K325" s="100"/>
    </row>
    <row r="326" spans="1:11" s="101" customFormat="1" x14ac:dyDescent="0.3">
      <c r="A326" s="100"/>
      <c r="B326" s="100"/>
      <c r="C326" s="100"/>
      <c r="D326" s="100"/>
      <c r="E326" s="100"/>
      <c r="F326" s="100"/>
      <c r="G326" s="100"/>
      <c r="H326" s="100"/>
      <c r="I326" s="100"/>
      <c r="J326" s="100"/>
      <c r="K326" s="100"/>
    </row>
    <row r="327" spans="1:11" s="101" customFormat="1" x14ac:dyDescent="0.3">
      <c r="A327" s="100"/>
      <c r="B327" s="100"/>
      <c r="C327" s="100"/>
      <c r="D327" s="100"/>
      <c r="E327" s="100"/>
      <c r="F327" s="100"/>
      <c r="G327" s="100"/>
      <c r="H327" s="100"/>
      <c r="I327" s="100"/>
      <c r="J327" s="100"/>
      <c r="K327" s="100"/>
    </row>
    <row r="328" spans="1:11" s="101" customFormat="1" x14ac:dyDescent="0.3">
      <c r="A328" s="100"/>
      <c r="B328" s="100"/>
      <c r="C328" s="100"/>
      <c r="D328" s="100"/>
      <c r="E328" s="100"/>
      <c r="F328" s="100"/>
      <c r="G328" s="100"/>
      <c r="H328" s="100"/>
      <c r="I328" s="100"/>
      <c r="J328" s="100"/>
      <c r="K328" s="100"/>
    </row>
    <row r="329" spans="1:11" s="101" customFormat="1" x14ac:dyDescent="0.3">
      <c r="A329" s="100"/>
      <c r="B329" s="100"/>
      <c r="C329" s="100"/>
      <c r="D329" s="100"/>
      <c r="E329" s="100"/>
      <c r="F329" s="100"/>
      <c r="G329" s="100"/>
      <c r="H329" s="100"/>
      <c r="I329" s="100"/>
      <c r="J329" s="100"/>
      <c r="K329" s="100"/>
    </row>
    <row r="330" spans="1:11" s="101" customFormat="1" x14ac:dyDescent="0.3">
      <c r="A330" s="100"/>
      <c r="B330" s="100"/>
      <c r="C330" s="100"/>
      <c r="D330" s="100"/>
      <c r="E330" s="100"/>
      <c r="F330" s="100"/>
      <c r="G330" s="100"/>
      <c r="H330" s="100"/>
      <c r="I330" s="100"/>
      <c r="J330" s="100"/>
      <c r="K330" s="100"/>
    </row>
    <row r="331" spans="1:11" s="101" customFormat="1" x14ac:dyDescent="0.3">
      <c r="A331" s="100"/>
      <c r="B331" s="100"/>
      <c r="C331" s="100"/>
      <c r="D331" s="100"/>
      <c r="E331" s="100"/>
      <c r="F331" s="100"/>
      <c r="G331" s="100"/>
      <c r="H331" s="100"/>
      <c r="I331" s="100"/>
      <c r="J331" s="100"/>
      <c r="K331" s="100"/>
    </row>
    <row r="332" spans="1:11" s="101" customFormat="1" x14ac:dyDescent="0.3">
      <c r="A332" s="100"/>
      <c r="B332" s="100"/>
      <c r="C332" s="100"/>
      <c r="D332" s="100"/>
      <c r="E332" s="100"/>
      <c r="F332" s="100"/>
      <c r="G332" s="100"/>
      <c r="H332" s="100"/>
      <c r="I332" s="100"/>
      <c r="J332" s="100"/>
      <c r="K332" s="100"/>
    </row>
    <row r="333" spans="1:11" s="101" customFormat="1" x14ac:dyDescent="0.3">
      <c r="A333" s="100"/>
      <c r="B333" s="100"/>
      <c r="C333" s="100"/>
      <c r="D333" s="100"/>
      <c r="E333" s="100"/>
      <c r="F333" s="100"/>
      <c r="G333" s="100"/>
      <c r="H333" s="100"/>
      <c r="I333" s="100"/>
      <c r="J333" s="100"/>
      <c r="K333" s="100"/>
    </row>
    <row r="334" spans="1:11" s="101" customFormat="1" x14ac:dyDescent="0.3">
      <c r="A334" s="100"/>
      <c r="B334" s="100"/>
      <c r="C334" s="100"/>
      <c r="D334" s="100"/>
      <c r="E334" s="100"/>
      <c r="F334" s="100"/>
      <c r="G334" s="100"/>
      <c r="H334" s="100"/>
      <c r="I334" s="100"/>
      <c r="J334" s="100"/>
      <c r="K334" s="100"/>
    </row>
    <row r="335" spans="1:11" s="101" customFormat="1" x14ac:dyDescent="0.3">
      <c r="A335" s="100"/>
      <c r="B335" s="100"/>
      <c r="C335" s="100"/>
      <c r="D335" s="100"/>
      <c r="E335" s="100"/>
      <c r="F335" s="100"/>
      <c r="G335" s="100"/>
      <c r="H335" s="100"/>
      <c r="I335" s="100"/>
      <c r="J335" s="100"/>
      <c r="K335" s="100"/>
    </row>
    <row r="336" spans="1:11" s="101" customFormat="1" x14ac:dyDescent="0.3">
      <c r="A336" s="100"/>
      <c r="B336" s="100"/>
      <c r="C336" s="100"/>
      <c r="D336" s="100"/>
      <c r="E336" s="100"/>
      <c r="F336" s="100"/>
      <c r="G336" s="100"/>
      <c r="H336" s="100"/>
      <c r="I336" s="100"/>
      <c r="J336" s="100"/>
      <c r="K336" s="100"/>
    </row>
    <row r="337" spans="1:11" s="101" customFormat="1" x14ac:dyDescent="0.3">
      <c r="A337" s="100"/>
      <c r="B337" s="100"/>
      <c r="C337" s="100"/>
      <c r="D337" s="100"/>
      <c r="E337" s="100"/>
      <c r="F337" s="100"/>
      <c r="G337" s="100"/>
      <c r="H337" s="100"/>
      <c r="I337" s="100"/>
      <c r="J337" s="100"/>
      <c r="K337" s="100"/>
    </row>
    <row r="338" spans="1:11" s="101" customFormat="1" x14ac:dyDescent="0.3">
      <c r="A338" s="100"/>
      <c r="B338" s="100"/>
      <c r="C338" s="100"/>
      <c r="D338" s="100"/>
      <c r="E338" s="100"/>
      <c r="F338" s="100"/>
      <c r="G338" s="100"/>
      <c r="H338" s="100"/>
      <c r="I338" s="100"/>
      <c r="J338" s="100"/>
      <c r="K338" s="100"/>
    </row>
    <row r="339" spans="1:11" s="101" customFormat="1" x14ac:dyDescent="0.3">
      <c r="A339" s="100"/>
      <c r="B339" s="100"/>
      <c r="C339" s="100"/>
      <c r="D339" s="100"/>
      <c r="E339" s="100"/>
      <c r="F339" s="100"/>
      <c r="G339" s="100"/>
      <c r="H339" s="100"/>
      <c r="I339" s="100"/>
      <c r="J339" s="100"/>
      <c r="K339" s="100"/>
    </row>
    <row r="340" spans="1:11" s="101" customFormat="1" x14ac:dyDescent="0.3">
      <c r="A340" s="100"/>
      <c r="B340" s="100"/>
      <c r="C340" s="100"/>
      <c r="D340" s="100"/>
      <c r="E340" s="100"/>
      <c r="F340" s="100"/>
      <c r="G340" s="100"/>
      <c r="H340" s="100"/>
      <c r="I340" s="100"/>
      <c r="J340" s="100"/>
      <c r="K340" s="100"/>
    </row>
    <row r="341" spans="1:11" s="101" customFormat="1" x14ac:dyDescent="0.3">
      <c r="A341" s="100"/>
      <c r="B341" s="100"/>
      <c r="C341" s="100"/>
      <c r="D341" s="100"/>
      <c r="E341" s="100"/>
      <c r="F341" s="100"/>
      <c r="G341" s="100"/>
      <c r="H341" s="100"/>
      <c r="I341" s="100"/>
      <c r="J341" s="100"/>
      <c r="K341" s="100"/>
    </row>
    <row r="342" spans="1:11" s="101" customFormat="1" x14ac:dyDescent="0.3">
      <c r="A342" s="100"/>
      <c r="B342" s="100"/>
      <c r="C342" s="100"/>
      <c r="D342" s="100"/>
      <c r="E342" s="100"/>
      <c r="F342" s="100"/>
      <c r="G342" s="100"/>
      <c r="H342" s="100"/>
      <c r="I342" s="100"/>
      <c r="J342" s="100"/>
      <c r="K342" s="100"/>
    </row>
    <row r="343" spans="1:11" s="101" customFormat="1" x14ac:dyDescent="0.3">
      <c r="A343" s="100"/>
      <c r="B343" s="100"/>
      <c r="C343" s="100"/>
      <c r="D343" s="100"/>
      <c r="E343" s="100"/>
      <c r="F343" s="100"/>
      <c r="G343" s="100"/>
      <c r="H343" s="100"/>
      <c r="I343" s="100"/>
      <c r="J343" s="100"/>
      <c r="K343" s="100"/>
    </row>
    <row r="344" spans="1:11" s="101" customFormat="1" x14ac:dyDescent="0.3">
      <c r="A344" s="100"/>
      <c r="B344" s="100"/>
      <c r="C344" s="100"/>
      <c r="D344" s="100"/>
      <c r="E344" s="100"/>
      <c r="F344" s="100"/>
      <c r="G344" s="100"/>
      <c r="H344" s="100"/>
      <c r="I344" s="100"/>
      <c r="J344" s="100"/>
      <c r="K344" s="100"/>
    </row>
    <row r="345" spans="1:11" s="101" customFormat="1" x14ac:dyDescent="0.3">
      <c r="A345" s="100"/>
      <c r="B345" s="100"/>
      <c r="C345" s="100"/>
      <c r="D345" s="100"/>
      <c r="E345" s="100"/>
      <c r="F345" s="100"/>
      <c r="G345" s="100"/>
      <c r="H345" s="100"/>
      <c r="I345" s="100"/>
      <c r="J345" s="100"/>
      <c r="K345" s="100"/>
    </row>
    <row r="346" spans="1:11" s="101" customFormat="1" x14ac:dyDescent="0.3">
      <c r="A346" s="100"/>
      <c r="B346" s="100"/>
      <c r="C346" s="100"/>
      <c r="D346" s="100"/>
      <c r="E346" s="100"/>
      <c r="F346" s="100"/>
      <c r="G346" s="100"/>
      <c r="H346" s="100"/>
      <c r="I346" s="100"/>
      <c r="J346" s="100"/>
      <c r="K346" s="100"/>
    </row>
    <row r="347" spans="1:11" s="101" customFormat="1" x14ac:dyDescent="0.3">
      <c r="A347" s="100"/>
      <c r="B347" s="100"/>
      <c r="C347" s="100"/>
      <c r="D347" s="100"/>
      <c r="E347" s="100"/>
      <c r="F347" s="100"/>
      <c r="G347" s="100"/>
      <c r="H347" s="100"/>
      <c r="I347" s="100"/>
      <c r="J347" s="100"/>
      <c r="K347" s="100"/>
    </row>
    <row r="348" spans="1:11" s="101" customFormat="1" x14ac:dyDescent="0.3">
      <c r="A348" s="100"/>
      <c r="B348" s="100"/>
      <c r="C348" s="100"/>
      <c r="D348" s="100"/>
      <c r="E348" s="100"/>
      <c r="F348" s="100"/>
      <c r="G348" s="100"/>
      <c r="H348" s="100"/>
      <c r="I348" s="100"/>
      <c r="J348" s="100"/>
      <c r="K348" s="100"/>
    </row>
    <row r="349" spans="1:11" s="101" customFormat="1" x14ac:dyDescent="0.3">
      <c r="A349" s="100"/>
      <c r="B349" s="100"/>
      <c r="C349" s="100"/>
      <c r="D349" s="100"/>
      <c r="E349" s="100"/>
      <c r="F349" s="100"/>
      <c r="G349" s="100"/>
      <c r="H349" s="100"/>
      <c r="I349" s="100"/>
      <c r="J349" s="100"/>
      <c r="K349" s="100"/>
    </row>
    <row r="350" spans="1:11" s="101" customFormat="1" x14ac:dyDescent="0.3">
      <c r="A350" s="100"/>
      <c r="B350" s="100"/>
      <c r="C350" s="100"/>
      <c r="D350" s="100"/>
      <c r="E350" s="100"/>
      <c r="F350" s="100"/>
      <c r="G350" s="100"/>
      <c r="H350" s="100"/>
      <c r="I350" s="100"/>
      <c r="J350" s="100"/>
      <c r="K350" s="100"/>
    </row>
    <row r="351" spans="1:11" s="101" customFormat="1" x14ac:dyDescent="0.3">
      <c r="A351" s="100"/>
      <c r="B351" s="100"/>
      <c r="C351" s="100"/>
      <c r="D351" s="100"/>
      <c r="E351" s="100"/>
      <c r="F351" s="100"/>
      <c r="G351" s="100"/>
      <c r="H351" s="100"/>
      <c r="I351" s="100"/>
      <c r="J351" s="100"/>
      <c r="K351" s="100"/>
    </row>
    <row r="352" spans="1:11" s="101" customFormat="1" x14ac:dyDescent="0.3">
      <c r="A352" s="100"/>
      <c r="B352" s="100"/>
      <c r="C352" s="100"/>
      <c r="D352" s="100"/>
      <c r="E352" s="100"/>
      <c r="F352" s="100"/>
      <c r="G352" s="100"/>
      <c r="H352" s="100"/>
      <c r="I352" s="100"/>
      <c r="J352" s="100"/>
      <c r="K352" s="100"/>
    </row>
    <row r="353" spans="1:11" s="101" customFormat="1" x14ac:dyDescent="0.3">
      <c r="A353" s="100"/>
      <c r="B353" s="100"/>
      <c r="C353" s="100"/>
      <c r="D353" s="100"/>
      <c r="E353" s="100"/>
      <c r="F353" s="100"/>
      <c r="G353" s="100"/>
      <c r="H353" s="100"/>
      <c r="I353" s="100"/>
      <c r="J353" s="100"/>
      <c r="K353" s="100"/>
    </row>
    <row r="354" spans="1:11" s="101" customFormat="1" x14ac:dyDescent="0.3">
      <c r="A354" s="100"/>
      <c r="B354" s="100"/>
      <c r="C354" s="100"/>
      <c r="D354" s="100"/>
      <c r="E354" s="100"/>
      <c r="F354" s="100"/>
      <c r="G354" s="100"/>
      <c r="H354" s="100"/>
      <c r="I354" s="100"/>
      <c r="J354" s="100"/>
      <c r="K354" s="100"/>
    </row>
    <row r="355" spans="1:11" s="101" customFormat="1" x14ac:dyDescent="0.3">
      <c r="A355" s="100"/>
      <c r="B355" s="100"/>
      <c r="C355" s="100"/>
      <c r="D355" s="100"/>
      <c r="E355" s="100"/>
      <c r="F355" s="100"/>
      <c r="G355" s="100"/>
      <c r="H355" s="100"/>
      <c r="I355" s="100"/>
      <c r="J355" s="100"/>
      <c r="K355" s="100"/>
    </row>
    <row r="356" spans="1:11" s="101" customFormat="1" x14ac:dyDescent="0.3">
      <c r="A356" s="100"/>
      <c r="B356" s="100"/>
      <c r="C356" s="100"/>
      <c r="D356" s="100"/>
      <c r="E356" s="100"/>
      <c r="F356" s="100"/>
      <c r="G356" s="100"/>
      <c r="H356" s="100"/>
      <c r="I356" s="100"/>
      <c r="J356" s="100"/>
      <c r="K356" s="100"/>
    </row>
    <row r="357" spans="1:11" s="101" customFormat="1" x14ac:dyDescent="0.3">
      <c r="A357" s="100"/>
      <c r="B357" s="100"/>
      <c r="C357" s="100"/>
      <c r="D357" s="100"/>
      <c r="E357" s="100"/>
      <c r="F357" s="100"/>
      <c r="G357" s="100"/>
      <c r="H357" s="100"/>
      <c r="I357" s="100"/>
      <c r="J357" s="100"/>
      <c r="K357" s="100"/>
    </row>
    <row r="358" spans="1:11" s="101" customFormat="1" x14ac:dyDescent="0.3">
      <c r="A358" s="100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101" customFormat="1" x14ac:dyDescent="0.3">
      <c r="A359" s="100"/>
      <c r="B359" s="100"/>
      <c r="C359" s="100"/>
      <c r="D359" s="100"/>
      <c r="E359" s="100"/>
      <c r="F359" s="100"/>
      <c r="G359" s="100"/>
      <c r="H359" s="100"/>
      <c r="I359" s="100"/>
      <c r="J359" s="100"/>
      <c r="K359" s="100"/>
    </row>
    <row r="360" spans="1:11" s="101" customFormat="1" x14ac:dyDescent="0.3">
      <c r="A360" s="100"/>
      <c r="B360" s="100"/>
      <c r="C360" s="100"/>
      <c r="D360" s="100"/>
      <c r="E360" s="100"/>
      <c r="F360" s="100"/>
      <c r="G360" s="100"/>
      <c r="H360" s="100"/>
      <c r="I360" s="100"/>
      <c r="J360" s="100"/>
      <c r="K360" s="100"/>
    </row>
    <row r="361" spans="1:11" s="101" customFormat="1" x14ac:dyDescent="0.3">
      <c r="A361" s="100"/>
      <c r="B361" s="100"/>
      <c r="C361" s="100"/>
      <c r="D361" s="100"/>
      <c r="E361" s="100"/>
      <c r="F361" s="100"/>
      <c r="G361" s="100"/>
      <c r="H361" s="100"/>
      <c r="I361" s="100"/>
      <c r="J361" s="100"/>
      <c r="K361" s="100"/>
    </row>
    <row r="362" spans="1:11" s="101" customFormat="1" x14ac:dyDescent="0.3">
      <c r="A362" s="100"/>
      <c r="B362" s="100"/>
      <c r="C362" s="100"/>
      <c r="D362" s="100"/>
      <c r="E362" s="100"/>
      <c r="F362" s="100"/>
      <c r="G362" s="100"/>
      <c r="H362" s="100"/>
      <c r="I362" s="100"/>
      <c r="J362" s="100"/>
      <c r="K362" s="100"/>
    </row>
    <row r="363" spans="1:11" s="101" customFormat="1" x14ac:dyDescent="0.3">
      <c r="A363" s="100"/>
      <c r="B363" s="100"/>
      <c r="C363" s="100"/>
      <c r="D363" s="100"/>
      <c r="E363" s="100"/>
      <c r="F363" s="100"/>
      <c r="G363" s="100"/>
      <c r="H363" s="100"/>
      <c r="I363" s="100"/>
      <c r="J363" s="100"/>
      <c r="K363" s="100"/>
    </row>
    <row r="364" spans="1:11" s="101" customFormat="1" x14ac:dyDescent="0.3">
      <c r="A364" s="100"/>
      <c r="B364" s="100"/>
      <c r="C364" s="100"/>
      <c r="D364" s="100"/>
      <c r="E364" s="100"/>
      <c r="F364" s="100"/>
      <c r="G364" s="100"/>
      <c r="H364" s="100"/>
      <c r="I364" s="100"/>
      <c r="J364" s="100"/>
      <c r="K364" s="100"/>
    </row>
    <row r="365" spans="1:11" s="101" customFormat="1" x14ac:dyDescent="0.3">
      <c r="A365" s="100"/>
      <c r="B365" s="100"/>
      <c r="C365" s="100"/>
      <c r="D365" s="100"/>
      <c r="E365" s="100"/>
      <c r="F365" s="100"/>
      <c r="G365" s="100"/>
      <c r="H365" s="100"/>
      <c r="I365" s="100"/>
      <c r="J365" s="100"/>
      <c r="K365" s="100"/>
    </row>
    <row r="366" spans="1:11" s="101" customFormat="1" x14ac:dyDescent="0.3">
      <c r="A366" s="100"/>
      <c r="B366" s="100"/>
      <c r="C366" s="100"/>
      <c r="D366" s="100"/>
      <c r="E366" s="100"/>
      <c r="F366" s="100"/>
      <c r="G366" s="100"/>
      <c r="H366" s="100"/>
      <c r="I366" s="100"/>
      <c r="J366" s="100"/>
      <c r="K366" s="100"/>
    </row>
    <row r="367" spans="1:11" s="101" customFormat="1" x14ac:dyDescent="0.3">
      <c r="A367" s="100"/>
      <c r="B367" s="100"/>
      <c r="C367" s="100"/>
      <c r="D367" s="100"/>
      <c r="E367" s="100"/>
      <c r="F367" s="100"/>
      <c r="G367" s="100"/>
      <c r="H367" s="100"/>
      <c r="I367" s="100"/>
      <c r="J367" s="100"/>
      <c r="K367" s="100"/>
    </row>
    <row r="368" spans="1:11" s="101" customFormat="1" x14ac:dyDescent="0.3">
      <c r="A368" s="100"/>
      <c r="B368" s="100"/>
      <c r="C368" s="100"/>
      <c r="D368" s="100"/>
      <c r="E368" s="100"/>
      <c r="F368" s="100"/>
      <c r="G368" s="100"/>
      <c r="H368" s="100"/>
      <c r="I368" s="100"/>
      <c r="J368" s="100"/>
      <c r="K368" s="100"/>
    </row>
    <row r="369" spans="1:11" s="101" customFormat="1" x14ac:dyDescent="0.3">
      <c r="A369" s="100"/>
      <c r="B369" s="100"/>
      <c r="C369" s="100"/>
      <c r="D369" s="100"/>
      <c r="E369" s="100"/>
      <c r="F369" s="100"/>
      <c r="G369" s="100"/>
      <c r="H369" s="100"/>
      <c r="I369" s="100"/>
      <c r="J369" s="100"/>
      <c r="K369" s="100"/>
    </row>
    <row r="370" spans="1:11" s="101" customFormat="1" x14ac:dyDescent="0.3">
      <c r="A370" s="100"/>
      <c r="B370" s="100"/>
      <c r="C370" s="100"/>
      <c r="D370" s="100"/>
      <c r="E370" s="100"/>
      <c r="F370" s="100"/>
      <c r="G370" s="100"/>
      <c r="H370" s="100"/>
      <c r="I370" s="100"/>
      <c r="J370" s="100"/>
      <c r="K370" s="100"/>
    </row>
    <row r="371" spans="1:11" s="101" customFormat="1" x14ac:dyDescent="0.3">
      <c r="A371" s="100"/>
      <c r="B371" s="100"/>
      <c r="C371" s="100"/>
      <c r="D371" s="100"/>
      <c r="E371" s="100"/>
      <c r="F371" s="100"/>
      <c r="G371" s="100"/>
      <c r="H371" s="100"/>
      <c r="I371" s="100"/>
      <c r="J371" s="100"/>
      <c r="K371" s="100"/>
    </row>
    <row r="372" spans="1:11" s="101" customFormat="1" x14ac:dyDescent="0.3">
      <c r="A372" s="100"/>
      <c r="B372" s="100"/>
      <c r="C372" s="100"/>
      <c r="D372" s="100"/>
      <c r="E372" s="100"/>
      <c r="F372" s="100"/>
      <c r="G372" s="100"/>
      <c r="H372" s="100"/>
      <c r="I372" s="100"/>
      <c r="J372" s="100"/>
      <c r="K372" s="100"/>
    </row>
    <row r="373" spans="1:11" s="101" customFormat="1" x14ac:dyDescent="0.3">
      <c r="A373" s="100"/>
      <c r="B373" s="100"/>
      <c r="C373" s="100"/>
      <c r="D373" s="100"/>
      <c r="E373" s="100"/>
      <c r="F373" s="100"/>
      <c r="G373" s="100"/>
      <c r="H373" s="100"/>
      <c r="I373" s="100"/>
      <c r="J373" s="100"/>
      <c r="K373" s="100"/>
    </row>
    <row r="374" spans="1:11" s="101" customFormat="1" x14ac:dyDescent="0.3">
      <c r="A374" s="100"/>
      <c r="B374" s="100"/>
      <c r="C374" s="100"/>
      <c r="D374" s="100"/>
      <c r="E374" s="100"/>
      <c r="F374" s="100"/>
      <c r="G374" s="100"/>
      <c r="H374" s="100"/>
      <c r="I374" s="100"/>
      <c r="J374" s="100"/>
      <c r="K374" s="100"/>
    </row>
    <row r="375" spans="1:11" s="101" customFormat="1" x14ac:dyDescent="0.3">
      <c r="A375" s="100"/>
      <c r="B375" s="100"/>
      <c r="C375" s="100"/>
      <c r="D375" s="100"/>
      <c r="E375" s="100"/>
      <c r="F375" s="100"/>
      <c r="G375" s="100"/>
      <c r="H375" s="100"/>
      <c r="I375" s="100"/>
      <c r="J375" s="100"/>
      <c r="K375" s="100"/>
    </row>
    <row r="376" spans="1:11" s="101" customFormat="1" x14ac:dyDescent="0.3">
      <c r="A376" s="100"/>
      <c r="B376" s="100"/>
      <c r="C376" s="100"/>
      <c r="D376" s="100"/>
      <c r="E376" s="100"/>
      <c r="F376" s="100"/>
      <c r="G376" s="100"/>
      <c r="H376" s="100"/>
      <c r="I376" s="100"/>
      <c r="J376" s="100"/>
      <c r="K376" s="100"/>
    </row>
    <row r="377" spans="1:11" s="101" customFormat="1" x14ac:dyDescent="0.3">
      <c r="A377" s="100"/>
      <c r="B377" s="100"/>
      <c r="C377" s="100"/>
      <c r="D377" s="100"/>
      <c r="E377" s="100"/>
      <c r="F377" s="100"/>
      <c r="G377" s="100"/>
      <c r="H377" s="100"/>
      <c r="I377" s="100"/>
      <c r="J377" s="100"/>
      <c r="K377" s="100"/>
    </row>
    <row r="378" spans="1:11" s="101" customFormat="1" x14ac:dyDescent="0.3">
      <c r="A378" s="100"/>
      <c r="B378" s="100"/>
      <c r="C378" s="100"/>
      <c r="D378" s="100"/>
      <c r="E378" s="100"/>
      <c r="F378" s="100"/>
      <c r="G378" s="100"/>
      <c r="H378" s="100"/>
      <c r="I378" s="100"/>
      <c r="J378" s="100"/>
      <c r="K378" s="100"/>
    </row>
    <row r="379" spans="1:11" s="101" customFormat="1" x14ac:dyDescent="0.3">
      <c r="A379" s="100"/>
      <c r="B379" s="100"/>
      <c r="C379" s="100"/>
      <c r="D379" s="100"/>
      <c r="E379" s="100"/>
      <c r="F379" s="100"/>
      <c r="G379" s="100"/>
      <c r="H379" s="100"/>
      <c r="I379" s="100"/>
      <c r="J379" s="100"/>
      <c r="K379" s="100"/>
    </row>
    <row r="380" spans="1:11" s="101" customFormat="1" x14ac:dyDescent="0.3">
      <c r="A380" s="100"/>
      <c r="B380" s="100"/>
      <c r="C380" s="100"/>
      <c r="D380" s="100"/>
      <c r="E380" s="100"/>
      <c r="F380" s="100"/>
      <c r="G380" s="100"/>
      <c r="H380" s="100"/>
      <c r="I380" s="100"/>
      <c r="J380" s="100"/>
      <c r="K380" s="100"/>
    </row>
    <row r="381" spans="1:11" s="101" customFormat="1" x14ac:dyDescent="0.3">
      <c r="A381" s="100"/>
      <c r="B381" s="100"/>
      <c r="C381" s="100"/>
      <c r="D381" s="100"/>
      <c r="E381" s="100"/>
      <c r="F381" s="100"/>
      <c r="G381" s="100"/>
      <c r="H381" s="100"/>
      <c r="I381" s="100"/>
      <c r="J381" s="100"/>
      <c r="K381" s="100"/>
    </row>
    <row r="382" spans="1:11" s="101" customFormat="1" x14ac:dyDescent="0.3">
      <c r="A382" s="100"/>
      <c r="B382" s="100"/>
      <c r="C382" s="100"/>
      <c r="D382" s="100"/>
      <c r="E382" s="100"/>
      <c r="F382" s="100"/>
      <c r="G382" s="100"/>
      <c r="H382" s="100"/>
      <c r="I382" s="100"/>
      <c r="J382" s="100"/>
      <c r="K382" s="100"/>
    </row>
    <row r="383" spans="1:11" s="101" customFormat="1" x14ac:dyDescent="0.3">
      <c r="A383" s="100"/>
      <c r="B383" s="100"/>
      <c r="C383" s="100"/>
      <c r="D383" s="100"/>
      <c r="E383" s="100"/>
      <c r="F383" s="100"/>
      <c r="G383" s="100"/>
      <c r="H383" s="100"/>
      <c r="I383" s="100"/>
      <c r="J383" s="100"/>
      <c r="K383" s="100"/>
    </row>
    <row r="384" spans="1:11" s="101" customFormat="1" x14ac:dyDescent="0.3">
      <c r="A384" s="100"/>
      <c r="B384" s="100"/>
      <c r="C384" s="100"/>
      <c r="D384" s="100"/>
      <c r="E384" s="100"/>
      <c r="F384" s="100"/>
      <c r="G384" s="100"/>
      <c r="H384" s="100"/>
      <c r="I384" s="100"/>
      <c r="J384" s="100"/>
      <c r="K384" s="100"/>
    </row>
    <row r="385" spans="1:11" s="101" customFormat="1" x14ac:dyDescent="0.3">
      <c r="A385" s="100"/>
      <c r="B385" s="100"/>
      <c r="C385" s="100"/>
      <c r="D385" s="100"/>
      <c r="E385" s="100"/>
      <c r="F385" s="100"/>
      <c r="G385" s="100"/>
      <c r="H385" s="100"/>
      <c r="I385" s="100"/>
      <c r="J385" s="100"/>
      <c r="K385" s="100"/>
    </row>
    <row r="386" spans="1:11" s="101" customFormat="1" x14ac:dyDescent="0.3">
      <c r="A386" s="100"/>
      <c r="B386" s="100"/>
      <c r="C386" s="100"/>
      <c r="D386" s="100"/>
      <c r="E386" s="100"/>
      <c r="F386" s="100"/>
      <c r="G386" s="100"/>
      <c r="H386" s="100"/>
      <c r="I386" s="100"/>
      <c r="J386" s="100"/>
      <c r="K386" s="100"/>
    </row>
    <row r="387" spans="1:11" s="101" customFormat="1" x14ac:dyDescent="0.3">
      <c r="A387" s="100"/>
      <c r="B387" s="100"/>
      <c r="C387" s="100"/>
      <c r="D387" s="100"/>
      <c r="E387" s="100"/>
      <c r="F387" s="100"/>
      <c r="G387" s="100"/>
      <c r="H387" s="100"/>
      <c r="I387" s="100"/>
      <c r="J387" s="100"/>
      <c r="K387" s="100"/>
    </row>
    <row r="388" spans="1:11" s="101" customFormat="1" x14ac:dyDescent="0.3">
      <c r="A388" s="100"/>
      <c r="B388" s="100"/>
      <c r="C388" s="100"/>
      <c r="D388" s="100"/>
      <c r="E388" s="100"/>
      <c r="F388" s="100"/>
      <c r="G388" s="100"/>
      <c r="H388" s="100"/>
      <c r="I388" s="100"/>
      <c r="J388" s="100"/>
      <c r="K388" s="100"/>
    </row>
    <row r="389" spans="1:11" s="101" customFormat="1" x14ac:dyDescent="0.3">
      <c r="A389" s="100"/>
      <c r="B389" s="100"/>
      <c r="C389" s="100"/>
      <c r="D389" s="100"/>
      <c r="E389" s="100"/>
      <c r="F389" s="100"/>
      <c r="G389" s="100"/>
      <c r="H389" s="100"/>
      <c r="I389" s="100"/>
      <c r="J389" s="100"/>
      <c r="K389" s="100"/>
    </row>
    <row r="390" spans="1:11" s="101" customFormat="1" x14ac:dyDescent="0.3">
      <c r="A390" s="100"/>
      <c r="B390" s="100"/>
      <c r="C390" s="100"/>
      <c r="D390" s="100"/>
      <c r="E390" s="100"/>
      <c r="F390" s="100"/>
      <c r="G390" s="100"/>
      <c r="H390" s="100"/>
      <c r="I390" s="100"/>
      <c r="J390" s="100"/>
      <c r="K390" s="100"/>
    </row>
    <row r="391" spans="1:11" s="101" customFormat="1" x14ac:dyDescent="0.3">
      <c r="A391" s="100"/>
      <c r="B391" s="100"/>
      <c r="C391" s="100"/>
      <c r="D391" s="100"/>
      <c r="E391" s="100"/>
      <c r="F391" s="100"/>
      <c r="G391" s="100"/>
      <c r="H391" s="100"/>
      <c r="I391" s="100"/>
      <c r="J391" s="100"/>
      <c r="K391" s="100"/>
    </row>
    <row r="392" spans="1:11" s="101" customFormat="1" x14ac:dyDescent="0.3">
      <c r="A392" s="100"/>
      <c r="B392" s="100"/>
      <c r="C392" s="100"/>
      <c r="D392" s="100"/>
      <c r="E392" s="100"/>
      <c r="F392" s="100"/>
      <c r="G392" s="100"/>
      <c r="H392" s="100"/>
      <c r="I392" s="100"/>
      <c r="J392" s="100"/>
      <c r="K392" s="100"/>
    </row>
    <row r="393" spans="1:11" s="101" customFormat="1" x14ac:dyDescent="0.3">
      <c r="A393" s="100"/>
      <c r="B393" s="100"/>
      <c r="C393" s="100"/>
      <c r="D393" s="100"/>
      <c r="E393" s="100"/>
      <c r="F393" s="100"/>
      <c r="G393" s="100"/>
      <c r="H393" s="100"/>
      <c r="I393" s="100"/>
      <c r="J393" s="100"/>
      <c r="K393" s="100"/>
    </row>
    <row r="394" spans="1:11" s="101" customFormat="1" x14ac:dyDescent="0.3">
      <c r="A394" s="100"/>
      <c r="B394" s="100"/>
      <c r="C394" s="100"/>
      <c r="D394" s="100"/>
      <c r="E394" s="100"/>
      <c r="F394" s="100"/>
      <c r="G394" s="100"/>
      <c r="H394" s="100"/>
      <c r="I394" s="100"/>
      <c r="J394" s="100"/>
      <c r="K394" s="100"/>
    </row>
    <row r="395" spans="1:11" s="101" customFormat="1" x14ac:dyDescent="0.3">
      <c r="A395" s="100"/>
      <c r="B395" s="100"/>
      <c r="C395" s="100"/>
      <c r="D395" s="100"/>
      <c r="E395" s="100"/>
      <c r="F395" s="100"/>
      <c r="G395" s="100"/>
      <c r="H395" s="100"/>
      <c r="I395" s="100"/>
      <c r="J395" s="100"/>
      <c r="K395" s="100"/>
    </row>
    <row r="396" spans="1:11" s="101" customFormat="1" x14ac:dyDescent="0.3">
      <c r="A396" s="100"/>
      <c r="B396" s="100"/>
      <c r="C396" s="100"/>
      <c r="D396" s="100"/>
      <c r="E396" s="100"/>
      <c r="F396" s="100"/>
      <c r="G396" s="100"/>
      <c r="H396" s="100"/>
      <c r="I396" s="100"/>
      <c r="J396" s="100"/>
      <c r="K396" s="100"/>
    </row>
    <row r="397" spans="1:11" s="101" customFormat="1" x14ac:dyDescent="0.3">
      <c r="A397" s="100"/>
      <c r="B397" s="100"/>
      <c r="C397" s="100"/>
      <c r="D397" s="100"/>
      <c r="E397" s="100"/>
      <c r="F397" s="100"/>
      <c r="G397" s="100"/>
      <c r="H397" s="100"/>
      <c r="I397" s="100"/>
      <c r="J397" s="100"/>
      <c r="K397" s="100"/>
    </row>
    <row r="398" spans="1:11" s="101" customFormat="1" x14ac:dyDescent="0.3">
      <c r="A398" s="100"/>
      <c r="B398" s="100"/>
      <c r="C398" s="100"/>
      <c r="D398" s="100"/>
      <c r="E398" s="100"/>
      <c r="F398" s="100"/>
      <c r="G398" s="100"/>
      <c r="H398" s="100"/>
      <c r="I398" s="100"/>
      <c r="J398" s="100"/>
      <c r="K398" s="100"/>
    </row>
    <row r="399" spans="1:11" s="101" customFormat="1" x14ac:dyDescent="0.3">
      <c r="A399" s="100"/>
      <c r="B399" s="100"/>
      <c r="C399" s="100"/>
      <c r="D399" s="100"/>
      <c r="E399" s="100"/>
      <c r="F399" s="100"/>
      <c r="G399" s="100"/>
      <c r="H399" s="100"/>
      <c r="I399" s="100"/>
      <c r="J399" s="100"/>
      <c r="K399" s="100"/>
    </row>
    <row r="400" spans="1:11" s="101" customFormat="1" x14ac:dyDescent="0.3">
      <c r="A400" s="100"/>
      <c r="B400" s="100"/>
      <c r="C400" s="100"/>
      <c r="D400" s="100"/>
      <c r="E400" s="100"/>
      <c r="F400" s="100"/>
      <c r="G400" s="100"/>
      <c r="H400" s="100"/>
      <c r="I400" s="100"/>
      <c r="J400" s="100"/>
      <c r="K400" s="100"/>
    </row>
  </sheetData>
  <mergeCells count="9">
    <mergeCell ref="A1:G1"/>
    <mergeCell ref="A22:G22"/>
    <mergeCell ref="E25:L25"/>
    <mergeCell ref="B2:C2"/>
    <mergeCell ref="E2:E3"/>
    <mergeCell ref="F2:F3"/>
    <mergeCell ref="G2:G3"/>
    <mergeCell ref="A2:A3"/>
    <mergeCell ref="D2:D3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D015E-441E-407F-BE10-9E64A30CFBF5}">
  <dimension ref="A1:A5"/>
  <sheetViews>
    <sheetView workbookViewId="0">
      <selection activeCell="A5" sqref="A5"/>
    </sheetView>
  </sheetViews>
  <sheetFormatPr defaultRowHeight="15.6" x14ac:dyDescent="0.3"/>
  <sheetData>
    <row r="1" spans="1:1" x14ac:dyDescent="0.3">
      <c r="A1">
        <v>9600</v>
      </c>
    </row>
    <row r="2" spans="1:1" x14ac:dyDescent="0.3">
      <c r="A2">
        <v>1000</v>
      </c>
    </row>
    <row r="3" spans="1:1" x14ac:dyDescent="0.3">
      <c r="A3">
        <v>1053</v>
      </c>
    </row>
    <row r="4" spans="1:1" x14ac:dyDescent="0.3">
      <c r="A4">
        <v>3387</v>
      </c>
    </row>
    <row r="5" spans="1:1" x14ac:dyDescent="0.3">
      <c r="A5">
        <f>SUM(A1:A4)</f>
        <v>15040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C1A2F-450F-42CA-851B-CC135B9B4190}">
  <dimension ref="A3:G262"/>
  <sheetViews>
    <sheetView zoomScale="80" zoomScaleNormal="80" workbookViewId="0">
      <selection activeCell="G137" sqref="G137"/>
    </sheetView>
  </sheetViews>
  <sheetFormatPr defaultColWidth="8.19921875" defaultRowHeight="13.2" x14ac:dyDescent="0.25"/>
  <cols>
    <col min="1" max="1" width="64.5" style="230" customWidth="1"/>
    <col min="2" max="2" width="16.09765625" style="230" bestFit="1" customWidth="1"/>
    <col min="3" max="4" width="12.3984375" style="230" bestFit="1" customWidth="1"/>
    <col min="5" max="5" width="12.69921875" style="230" bestFit="1" customWidth="1"/>
    <col min="6" max="7" width="11.69921875" style="230" bestFit="1" customWidth="1"/>
    <col min="8" max="8" width="12.69921875" style="230" bestFit="1" customWidth="1"/>
    <col min="9" max="16" width="13.09765625" style="230" customWidth="1"/>
    <col min="17" max="23" width="13.09765625" style="230" bestFit="1" customWidth="1"/>
    <col min="24" max="25" width="13.09765625" style="230" customWidth="1"/>
    <col min="26" max="28" width="13.09765625" style="230" bestFit="1" customWidth="1"/>
    <col min="29" max="29" width="13.09765625" style="230" customWidth="1"/>
    <col min="30" max="30" width="13.09765625" style="230" bestFit="1" customWidth="1"/>
    <col min="31" max="31" width="13.09765625" style="230" customWidth="1"/>
    <col min="32" max="34" width="13.09765625" style="230" bestFit="1" customWidth="1"/>
    <col min="35" max="35" width="7.19921875" style="230" customWidth="1"/>
    <col min="36" max="36" width="15.8984375" style="230" bestFit="1" customWidth="1"/>
    <col min="37" max="37" width="7.59765625" style="230" customWidth="1"/>
    <col min="38" max="40" width="13.09765625" style="230" bestFit="1" customWidth="1"/>
    <col min="41" max="41" width="8.5" style="230" bestFit="1" customWidth="1"/>
    <col min="42" max="42" width="17.3984375" style="230" bestFit="1" customWidth="1"/>
    <col min="43" max="43" width="9" style="230" bestFit="1" customWidth="1"/>
    <col min="44" max="44" width="8.5" style="230" bestFit="1" customWidth="1"/>
    <col min="45" max="45" width="17.3984375" style="230" bestFit="1" customWidth="1"/>
    <col min="46" max="46" width="9" style="230" bestFit="1" customWidth="1"/>
    <col min="47" max="16384" width="8.19921875" style="230"/>
  </cols>
  <sheetData>
    <row r="3" spans="1:4" x14ac:dyDescent="0.25">
      <c r="A3" s="229" t="s">
        <v>294</v>
      </c>
      <c r="B3" s="229"/>
      <c r="C3" s="229"/>
      <c r="D3" s="229"/>
    </row>
    <row r="4" spans="1:4" x14ac:dyDescent="0.25">
      <c r="A4" s="231" t="s">
        <v>295</v>
      </c>
      <c r="B4" s="232" t="s">
        <v>253</v>
      </c>
      <c r="C4" s="232" t="s">
        <v>254</v>
      </c>
      <c r="D4" s="233" t="s">
        <v>259</v>
      </c>
    </row>
    <row r="5" spans="1:4" x14ac:dyDescent="0.25">
      <c r="A5" s="234" t="s">
        <v>260</v>
      </c>
      <c r="B5" s="235">
        <v>1251937.43</v>
      </c>
      <c r="C5" s="235">
        <v>1956963.84</v>
      </c>
      <c r="D5" s="235">
        <f>SUM(B5:C5)</f>
        <v>3208901.27</v>
      </c>
    </row>
    <row r="6" spans="1:4" x14ac:dyDescent="0.25">
      <c r="A6" s="236" t="s">
        <v>260</v>
      </c>
      <c r="B6" s="237">
        <v>0</v>
      </c>
      <c r="C6" s="237">
        <v>0</v>
      </c>
      <c r="D6" s="237">
        <v>0</v>
      </c>
    </row>
    <row r="7" spans="1:4" x14ac:dyDescent="0.25">
      <c r="A7" s="236" t="s">
        <v>261</v>
      </c>
      <c r="B7" s="237">
        <v>0</v>
      </c>
      <c r="C7" s="237">
        <v>642463.51</v>
      </c>
      <c r="D7" s="237">
        <v>642463.51</v>
      </c>
    </row>
    <row r="8" spans="1:4" x14ac:dyDescent="0.25">
      <c r="A8" s="238" t="s">
        <v>261</v>
      </c>
      <c r="B8" s="239">
        <v>0</v>
      </c>
      <c r="C8" s="239">
        <v>0</v>
      </c>
      <c r="D8" s="239">
        <v>0</v>
      </c>
    </row>
    <row r="9" spans="1:4" x14ac:dyDescent="0.25">
      <c r="A9" s="238" t="s">
        <v>262</v>
      </c>
      <c r="B9" s="239">
        <v>0</v>
      </c>
      <c r="C9" s="239">
        <v>366379</v>
      </c>
      <c r="D9" s="239">
        <v>366379</v>
      </c>
    </row>
    <row r="10" spans="1:4" x14ac:dyDescent="0.25">
      <c r="A10" s="240" t="s">
        <v>262</v>
      </c>
      <c r="B10" s="237">
        <v>0</v>
      </c>
      <c r="C10" s="237">
        <v>0</v>
      </c>
      <c r="D10" s="237">
        <v>0</v>
      </c>
    </row>
    <row r="11" spans="1:4" x14ac:dyDescent="0.25">
      <c r="A11" s="240" t="s">
        <v>296</v>
      </c>
      <c r="B11" s="237">
        <v>0</v>
      </c>
      <c r="C11" s="237">
        <v>366379</v>
      </c>
      <c r="D11" s="237">
        <v>366379</v>
      </c>
    </row>
    <row r="12" spans="1:4" x14ac:dyDescent="0.25">
      <c r="A12" s="241" t="s">
        <v>296</v>
      </c>
      <c r="B12" s="239">
        <v>0</v>
      </c>
      <c r="C12" s="239">
        <v>0</v>
      </c>
      <c r="D12" s="239">
        <v>0</v>
      </c>
    </row>
    <row r="13" spans="1:4" x14ac:dyDescent="0.25">
      <c r="A13" s="241" t="s">
        <v>297</v>
      </c>
      <c r="B13" s="239">
        <v>0</v>
      </c>
      <c r="C13" s="239">
        <v>366379</v>
      </c>
      <c r="D13" s="239">
        <v>366379</v>
      </c>
    </row>
    <row r="14" spans="1:4" x14ac:dyDescent="0.25">
      <c r="A14" s="242" t="s">
        <v>297</v>
      </c>
      <c r="B14" s="239">
        <v>0</v>
      </c>
      <c r="C14" s="239">
        <v>0</v>
      </c>
      <c r="D14" s="239">
        <v>0</v>
      </c>
    </row>
    <row r="15" spans="1:4" x14ac:dyDescent="0.25">
      <c r="A15" s="242" t="s">
        <v>298</v>
      </c>
      <c r="B15" s="239">
        <v>0</v>
      </c>
      <c r="C15" s="239">
        <v>0</v>
      </c>
      <c r="D15" s="239">
        <v>0</v>
      </c>
    </row>
    <row r="16" spans="1:4" x14ac:dyDescent="0.25">
      <c r="A16" s="242" t="s">
        <v>299</v>
      </c>
      <c r="B16" s="239">
        <v>0</v>
      </c>
      <c r="C16" s="239">
        <v>0</v>
      </c>
      <c r="D16" s="239">
        <v>0</v>
      </c>
    </row>
    <row r="17" spans="1:4" x14ac:dyDescent="0.25">
      <c r="A17" s="242" t="s">
        <v>300</v>
      </c>
      <c r="B17" s="239">
        <v>0</v>
      </c>
      <c r="C17" s="239">
        <v>0</v>
      </c>
      <c r="D17" s="239">
        <v>0</v>
      </c>
    </row>
    <row r="18" spans="1:4" x14ac:dyDescent="0.25">
      <c r="A18" s="242" t="s">
        <v>301</v>
      </c>
      <c r="B18" s="239">
        <v>0</v>
      </c>
      <c r="C18" s="239">
        <v>0</v>
      </c>
      <c r="D18" s="239">
        <v>0</v>
      </c>
    </row>
    <row r="19" spans="1:4" x14ac:dyDescent="0.25">
      <c r="A19" s="242" t="s">
        <v>302</v>
      </c>
      <c r="B19" s="239">
        <v>0</v>
      </c>
      <c r="C19" s="239">
        <v>0</v>
      </c>
      <c r="D19" s="239">
        <v>0</v>
      </c>
    </row>
    <row r="20" spans="1:4" x14ac:dyDescent="0.25">
      <c r="A20" s="242" t="s">
        <v>303</v>
      </c>
      <c r="B20" s="239">
        <v>0</v>
      </c>
      <c r="C20" s="239">
        <v>0</v>
      </c>
      <c r="D20" s="239">
        <v>0</v>
      </c>
    </row>
    <row r="21" spans="1:4" x14ac:dyDescent="0.25">
      <c r="A21" s="242" t="s">
        <v>304</v>
      </c>
      <c r="B21" s="239">
        <v>0</v>
      </c>
      <c r="C21" s="239">
        <v>0</v>
      </c>
      <c r="D21" s="239">
        <v>0</v>
      </c>
    </row>
    <row r="22" spans="1:4" x14ac:dyDescent="0.25">
      <c r="A22" s="242" t="s">
        <v>305</v>
      </c>
      <c r="B22" s="239">
        <v>0</v>
      </c>
      <c r="C22" s="239">
        <v>0</v>
      </c>
      <c r="D22" s="239">
        <v>0</v>
      </c>
    </row>
    <row r="23" spans="1:4" x14ac:dyDescent="0.25">
      <c r="A23" s="242" t="s">
        <v>303</v>
      </c>
      <c r="B23" s="239">
        <v>0</v>
      </c>
      <c r="C23" s="239">
        <v>0</v>
      </c>
      <c r="D23" s="239">
        <v>0</v>
      </c>
    </row>
    <row r="24" spans="1:4" x14ac:dyDescent="0.25">
      <c r="A24" s="242" t="s">
        <v>306</v>
      </c>
      <c r="B24" s="239">
        <v>0</v>
      </c>
      <c r="C24" s="239">
        <v>0</v>
      </c>
      <c r="D24" s="239">
        <v>0</v>
      </c>
    </row>
    <row r="25" spans="1:4" x14ac:dyDescent="0.25">
      <c r="A25" s="242" t="s">
        <v>307</v>
      </c>
      <c r="B25" s="239">
        <v>0</v>
      </c>
      <c r="C25" s="239">
        <v>0</v>
      </c>
      <c r="D25" s="239">
        <v>0</v>
      </c>
    </row>
    <row r="26" spans="1:4" x14ac:dyDescent="0.25">
      <c r="A26" s="242" t="s">
        <v>308</v>
      </c>
      <c r="B26" s="239">
        <v>0</v>
      </c>
      <c r="C26" s="239">
        <v>0</v>
      </c>
      <c r="D26" s="239">
        <v>0</v>
      </c>
    </row>
    <row r="27" spans="1:4" x14ac:dyDescent="0.25">
      <c r="A27" s="242" t="s">
        <v>309</v>
      </c>
      <c r="B27" s="239">
        <v>0</v>
      </c>
      <c r="C27" s="239">
        <v>0</v>
      </c>
      <c r="D27" s="239">
        <v>0</v>
      </c>
    </row>
    <row r="28" spans="1:4" x14ac:dyDescent="0.25">
      <c r="A28" s="242" t="s">
        <v>310</v>
      </c>
      <c r="B28" s="239">
        <v>0</v>
      </c>
      <c r="C28" s="239">
        <v>366379</v>
      </c>
      <c r="D28" s="239">
        <v>366379</v>
      </c>
    </row>
    <row r="29" spans="1:4" x14ac:dyDescent="0.25">
      <c r="A29" s="238" t="s">
        <v>263</v>
      </c>
      <c r="B29" s="239">
        <v>0</v>
      </c>
      <c r="C29" s="239">
        <v>122126</v>
      </c>
      <c r="D29" s="239">
        <v>122126</v>
      </c>
    </row>
    <row r="30" spans="1:4" x14ac:dyDescent="0.25">
      <c r="A30" s="240" t="s">
        <v>263</v>
      </c>
      <c r="B30" s="237">
        <v>0</v>
      </c>
      <c r="C30" s="237">
        <v>0</v>
      </c>
      <c r="D30" s="237">
        <v>0</v>
      </c>
    </row>
    <row r="31" spans="1:4" x14ac:dyDescent="0.25">
      <c r="A31" s="240" t="s">
        <v>311</v>
      </c>
      <c r="B31" s="237">
        <v>0</v>
      </c>
      <c r="C31" s="237">
        <v>122126</v>
      </c>
      <c r="D31" s="237">
        <v>122126</v>
      </c>
    </row>
    <row r="32" spans="1:4" x14ac:dyDescent="0.25">
      <c r="A32" s="238" t="s">
        <v>264</v>
      </c>
      <c r="B32" s="239">
        <v>0</v>
      </c>
      <c r="C32" s="239">
        <v>18092.78</v>
      </c>
      <c r="D32" s="239">
        <v>18092.78</v>
      </c>
    </row>
    <row r="33" spans="1:4" x14ac:dyDescent="0.25">
      <c r="A33" s="238" t="s">
        <v>265</v>
      </c>
      <c r="B33" s="239">
        <v>0</v>
      </c>
      <c r="C33" s="239">
        <v>0</v>
      </c>
      <c r="D33" s="239">
        <v>0</v>
      </c>
    </row>
    <row r="34" spans="1:4" x14ac:dyDescent="0.25">
      <c r="A34" s="238" t="s">
        <v>266</v>
      </c>
      <c r="B34" s="239">
        <v>0</v>
      </c>
      <c r="C34" s="239">
        <v>135865.73000000001</v>
      </c>
      <c r="D34" s="239">
        <v>135865.73000000001</v>
      </c>
    </row>
    <row r="35" spans="1:4" x14ac:dyDescent="0.25">
      <c r="A35" s="240" t="s">
        <v>266</v>
      </c>
      <c r="B35" s="237">
        <v>0</v>
      </c>
      <c r="C35" s="237">
        <v>0</v>
      </c>
      <c r="D35" s="237">
        <v>0</v>
      </c>
    </row>
    <row r="36" spans="1:4" x14ac:dyDescent="0.25">
      <c r="A36" s="240" t="s">
        <v>312</v>
      </c>
      <c r="B36" s="237">
        <v>0</v>
      </c>
      <c r="C36" s="237">
        <v>135865.73000000001</v>
      </c>
      <c r="D36" s="237">
        <v>135865.73000000001</v>
      </c>
    </row>
    <row r="37" spans="1:4" x14ac:dyDescent="0.25">
      <c r="A37" s="241" t="s">
        <v>312</v>
      </c>
      <c r="B37" s="239">
        <v>0</v>
      </c>
      <c r="C37" s="239">
        <v>0</v>
      </c>
      <c r="D37" s="239">
        <v>0</v>
      </c>
    </row>
    <row r="38" spans="1:4" x14ac:dyDescent="0.25">
      <c r="A38" s="241" t="s">
        <v>298</v>
      </c>
      <c r="B38" s="239">
        <v>0</v>
      </c>
      <c r="C38" s="239">
        <v>0</v>
      </c>
      <c r="D38" s="239">
        <v>0</v>
      </c>
    </row>
    <row r="39" spans="1:4" x14ac:dyDescent="0.25">
      <c r="A39" s="241" t="s">
        <v>299</v>
      </c>
      <c r="B39" s="239">
        <v>0</v>
      </c>
      <c r="C39" s="239">
        <v>0</v>
      </c>
      <c r="D39" s="239">
        <v>0</v>
      </c>
    </row>
    <row r="40" spans="1:4" x14ac:dyDescent="0.25">
      <c r="A40" s="241" t="s">
        <v>300</v>
      </c>
      <c r="B40" s="239">
        <v>0</v>
      </c>
      <c r="C40" s="239">
        <v>0</v>
      </c>
      <c r="D40" s="239">
        <v>0</v>
      </c>
    </row>
    <row r="41" spans="1:4" x14ac:dyDescent="0.25">
      <c r="A41" s="241" t="s">
        <v>301</v>
      </c>
      <c r="B41" s="239">
        <v>0</v>
      </c>
      <c r="C41" s="239">
        <v>0</v>
      </c>
      <c r="D41" s="239">
        <v>0</v>
      </c>
    </row>
    <row r="42" spans="1:4" x14ac:dyDescent="0.25">
      <c r="A42" s="241" t="s">
        <v>302</v>
      </c>
      <c r="B42" s="239">
        <v>0</v>
      </c>
      <c r="C42" s="239">
        <v>0</v>
      </c>
      <c r="D42" s="239">
        <v>0</v>
      </c>
    </row>
    <row r="43" spans="1:4" x14ac:dyDescent="0.25">
      <c r="A43" s="241" t="s">
        <v>303</v>
      </c>
      <c r="B43" s="239">
        <v>0</v>
      </c>
      <c r="C43" s="239">
        <v>0</v>
      </c>
      <c r="D43" s="239">
        <v>0</v>
      </c>
    </row>
    <row r="44" spans="1:4" x14ac:dyDescent="0.25">
      <c r="A44" s="241" t="s">
        <v>304</v>
      </c>
      <c r="B44" s="239">
        <v>0</v>
      </c>
      <c r="C44" s="239">
        <v>0</v>
      </c>
      <c r="D44" s="239">
        <v>0</v>
      </c>
    </row>
    <row r="45" spans="1:4" x14ac:dyDescent="0.25">
      <c r="A45" s="241" t="s">
        <v>305</v>
      </c>
      <c r="B45" s="239">
        <v>0</v>
      </c>
      <c r="C45" s="239">
        <v>0</v>
      </c>
      <c r="D45" s="239">
        <v>0</v>
      </c>
    </row>
    <row r="46" spans="1:4" x14ac:dyDescent="0.25">
      <c r="A46" s="241" t="s">
        <v>303</v>
      </c>
      <c r="B46" s="239">
        <v>0</v>
      </c>
      <c r="C46" s="239">
        <v>0</v>
      </c>
      <c r="D46" s="239">
        <v>0</v>
      </c>
    </row>
    <row r="47" spans="1:4" x14ac:dyDescent="0.25">
      <c r="A47" s="241" t="s">
        <v>306</v>
      </c>
      <c r="B47" s="239">
        <v>0</v>
      </c>
      <c r="C47" s="239">
        <v>0</v>
      </c>
      <c r="D47" s="239">
        <v>0</v>
      </c>
    </row>
    <row r="48" spans="1:4" x14ac:dyDescent="0.25">
      <c r="A48" s="241" t="s">
        <v>307</v>
      </c>
      <c r="B48" s="239">
        <v>0</v>
      </c>
      <c r="C48" s="239">
        <v>0</v>
      </c>
      <c r="D48" s="239">
        <v>0</v>
      </c>
    </row>
    <row r="49" spans="1:7" x14ac:dyDescent="0.25">
      <c r="A49" s="241" t="s">
        <v>308</v>
      </c>
      <c r="B49" s="239">
        <v>0</v>
      </c>
      <c r="C49" s="239">
        <v>0</v>
      </c>
      <c r="D49" s="239">
        <v>0</v>
      </c>
    </row>
    <row r="50" spans="1:7" x14ac:dyDescent="0.25">
      <c r="A50" s="241" t="s">
        <v>309</v>
      </c>
      <c r="B50" s="239">
        <v>0</v>
      </c>
      <c r="C50" s="239">
        <v>0</v>
      </c>
      <c r="D50" s="239">
        <v>0</v>
      </c>
    </row>
    <row r="51" spans="1:7" x14ac:dyDescent="0.25">
      <c r="A51" s="241" t="s">
        <v>313</v>
      </c>
      <c r="B51" s="239">
        <v>0</v>
      </c>
      <c r="C51" s="239">
        <v>135865.73000000001</v>
      </c>
      <c r="D51" s="239">
        <v>135865.73000000001</v>
      </c>
    </row>
    <row r="52" spans="1:7" x14ac:dyDescent="0.25">
      <c r="A52" s="238" t="s">
        <v>267</v>
      </c>
      <c r="B52" s="239">
        <v>0</v>
      </c>
      <c r="C52" s="239">
        <v>0</v>
      </c>
      <c r="D52" s="239">
        <v>0</v>
      </c>
    </row>
    <row r="53" spans="1:7" x14ac:dyDescent="0.25">
      <c r="A53" s="238" t="s">
        <v>268</v>
      </c>
      <c r="B53" s="239">
        <v>0</v>
      </c>
      <c r="C53" s="239">
        <v>0</v>
      </c>
      <c r="D53" s="239">
        <v>0</v>
      </c>
    </row>
    <row r="54" spans="1:7" x14ac:dyDescent="0.25">
      <c r="A54" s="236" t="s">
        <v>269</v>
      </c>
      <c r="B54" s="237"/>
      <c r="C54" s="237">
        <v>5250</v>
      </c>
      <c r="D54" s="237">
        <f>SUM(B54:C54)</f>
        <v>5250</v>
      </c>
    </row>
    <row r="55" spans="1:7" x14ac:dyDescent="0.25">
      <c r="A55" s="238" t="s">
        <v>269</v>
      </c>
      <c r="B55" s="239">
        <v>0</v>
      </c>
      <c r="C55" s="239">
        <v>0</v>
      </c>
      <c r="D55" s="239">
        <v>0</v>
      </c>
    </row>
    <row r="56" spans="1:7" x14ac:dyDescent="0.25">
      <c r="A56" s="238" t="s">
        <v>314</v>
      </c>
      <c r="B56" s="239"/>
      <c r="C56" s="239">
        <v>605250</v>
      </c>
      <c r="D56" s="239">
        <f>SUM(B56:C56)</f>
        <v>605250</v>
      </c>
    </row>
    <row r="57" spans="1:7" x14ac:dyDescent="0.25">
      <c r="A57" s="240" t="s">
        <v>314</v>
      </c>
      <c r="B57" s="237">
        <v>0</v>
      </c>
      <c r="C57" s="237">
        <v>0</v>
      </c>
      <c r="D57" s="237">
        <v>0</v>
      </c>
    </row>
    <row r="58" spans="1:7" ht="64.2" customHeight="1" x14ac:dyDescent="0.25">
      <c r="A58" s="243" t="s">
        <v>315</v>
      </c>
      <c r="B58" s="237"/>
      <c r="C58" s="237">
        <v>605250</v>
      </c>
      <c r="D58" s="237">
        <f>SUM(B58:C58)</f>
        <v>605250</v>
      </c>
    </row>
    <row r="59" spans="1:7" x14ac:dyDescent="0.25">
      <c r="A59" s="244" t="s">
        <v>316</v>
      </c>
      <c r="B59" s="239">
        <v>0</v>
      </c>
      <c r="C59" s="239">
        <v>0</v>
      </c>
      <c r="D59" s="239">
        <v>0</v>
      </c>
    </row>
    <row r="60" spans="1:7" x14ac:dyDescent="0.25">
      <c r="A60" s="245" t="s">
        <v>317</v>
      </c>
      <c r="B60" s="239"/>
      <c r="C60" s="246">
        <v>203000</v>
      </c>
      <c r="D60" s="239">
        <f>SUM(B60:C60)</f>
        <v>203000</v>
      </c>
    </row>
    <row r="61" spans="1:7" x14ac:dyDescent="0.25">
      <c r="A61" s="245" t="s">
        <v>318</v>
      </c>
      <c r="B61" s="239">
        <v>0</v>
      </c>
      <c r="C61" s="239">
        <v>0</v>
      </c>
      <c r="D61" s="239">
        <v>0</v>
      </c>
      <c r="G61" s="246"/>
    </row>
    <row r="62" spans="1:7" x14ac:dyDescent="0.25">
      <c r="A62" s="245" t="s">
        <v>303</v>
      </c>
      <c r="B62" s="239">
        <v>0</v>
      </c>
      <c r="C62" s="239">
        <v>0</v>
      </c>
      <c r="D62" s="239">
        <v>0</v>
      </c>
      <c r="G62" s="246"/>
    </row>
    <row r="63" spans="1:7" x14ac:dyDescent="0.25">
      <c r="A63" s="245" t="s">
        <v>319</v>
      </c>
      <c r="B63" s="239">
        <v>0</v>
      </c>
      <c r="C63" s="239">
        <v>0</v>
      </c>
      <c r="D63" s="239">
        <v>0</v>
      </c>
      <c r="G63" s="246"/>
    </row>
    <row r="64" spans="1:7" x14ac:dyDescent="0.25">
      <c r="A64" s="245" t="s">
        <v>320</v>
      </c>
      <c r="B64" s="239">
        <v>0</v>
      </c>
      <c r="C64" s="239">
        <v>0</v>
      </c>
      <c r="D64" s="239">
        <v>0</v>
      </c>
    </row>
    <row r="65" spans="1:4" x14ac:dyDescent="0.25">
      <c r="A65" s="245" t="s">
        <v>321</v>
      </c>
      <c r="B65" s="239">
        <v>0</v>
      </c>
      <c r="C65" s="239">
        <v>0</v>
      </c>
      <c r="D65" s="239">
        <v>0</v>
      </c>
    </row>
    <row r="66" spans="1:4" x14ac:dyDescent="0.25">
      <c r="A66" s="245" t="s">
        <v>308</v>
      </c>
      <c r="B66" s="239">
        <v>0</v>
      </c>
      <c r="C66" s="239">
        <v>0</v>
      </c>
      <c r="D66" s="239">
        <v>0</v>
      </c>
    </row>
    <row r="67" spans="1:4" x14ac:dyDescent="0.25">
      <c r="A67" s="245" t="s">
        <v>309</v>
      </c>
      <c r="B67" s="239">
        <v>0</v>
      </c>
      <c r="C67" s="239">
        <v>0</v>
      </c>
      <c r="D67" s="239">
        <v>0</v>
      </c>
    </row>
    <row r="68" spans="1:4" x14ac:dyDescent="0.25">
      <c r="A68" s="242" t="s">
        <v>313</v>
      </c>
      <c r="B68" s="239"/>
      <c r="C68" s="246">
        <v>203000</v>
      </c>
      <c r="D68" s="239">
        <f>SUM(B68:C68)</f>
        <v>203000</v>
      </c>
    </row>
    <row r="69" spans="1:4" x14ac:dyDescent="0.25">
      <c r="A69" s="245" t="s">
        <v>322</v>
      </c>
      <c r="B69" s="239"/>
      <c r="C69" s="246">
        <v>249250</v>
      </c>
      <c r="D69" s="239">
        <f>SUM(B69:C69)</f>
        <v>249250</v>
      </c>
    </row>
    <row r="70" spans="1:4" x14ac:dyDescent="0.25">
      <c r="A70" s="245" t="s">
        <v>318</v>
      </c>
      <c r="B70" s="239">
        <v>0</v>
      </c>
      <c r="C70" s="239">
        <v>0</v>
      </c>
      <c r="D70" s="239">
        <v>0</v>
      </c>
    </row>
    <row r="71" spans="1:4" x14ac:dyDescent="0.25">
      <c r="A71" s="245" t="s">
        <v>303</v>
      </c>
      <c r="B71" s="239">
        <v>0</v>
      </c>
      <c r="C71" s="239">
        <v>0</v>
      </c>
      <c r="D71" s="239">
        <v>0</v>
      </c>
    </row>
    <row r="72" spans="1:4" x14ac:dyDescent="0.25">
      <c r="A72" s="245" t="s">
        <v>319</v>
      </c>
      <c r="B72" s="239">
        <v>0</v>
      </c>
      <c r="C72" s="239">
        <v>0</v>
      </c>
      <c r="D72" s="239">
        <v>0</v>
      </c>
    </row>
    <row r="73" spans="1:4" x14ac:dyDescent="0.25">
      <c r="A73" s="245" t="s">
        <v>320</v>
      </c>
      <c r="B73" s="239">
        <v>0</v>
      </c>
      <c r="C73" s="239">
        <v>0</v>
      </c>
      <c r="D73" s="239">
        <v>0</v>
      </c>
    </row>
    <row r="74" spans="1:4" x14ac:dyDescent="0.25">
      <c r="A74" s="245" t="s">
        <v>321</v>
      </c>
      <c r="B74" s="239">
        <v>0</v>
      </c>
      <c r="C74" s="239">
        <v>0</v>
      </c>
      <c r="D74" s="239">
        <v>0</v>
      </c>
    </row>
    <row r="75" spans="1:4" x14ac:dyDescent="0.25">
      <c r="A75" s="245" t="s">
        <v>308</v>
      </c>
      <c r="B75" s="239">
        <v>0</v>
      </c>
      <c r="C75" s="239">
        <v>0</v>
      </c>
      <c r="D75" s="239">
        <v>0</v>
      </c>
    </row>
    <row r="76" spans="1:4" x14ac:dyDescent="0.25">
      <c r="A76" s="245" t="s">
        <v>309</v>
      </c>
      <c r="B76" s="239">
        <v>0</v>
      </c>
      <c r="C76" s="239">
        <v>0</v>
      </c>
      <c r="D76" s="239">
        <v>0</v>
      </c>
    </row>
    <row r="77" spans="1:4" x14ac:dyDescent="0.25">
      <c r="A77" s="242" t="s">
        <v>313</v>
      </c>
      <c r="B77" s="239"/>
      <c r="C77" s="246">
        <v>249250</v>
      </c>
      <c r="D77" s="239">
        <f>SUM(B77:C77)</f>
        <v>249250</v>
      </c>
    </row>
    <row r="78" spans="1:4" x14ac:dyDescent="0.25">
      <c r="A78" s="245" t="s">
        <v>322</v>
      </c>
      <c r="B78" s="239"/>
      <c r="C78" s="246">
        <v>249250</v>
      </c>
      <c r="D78" s="239">
        <f>SUM(B78:C78)</f>
        <v>249250</v>
      </c>
    </row>
    <row r="79" spans="1:4" x14ac:dyDescent="0.25">
      <c r="A79" s="245" t="s">
        <v>318</v>
      </c>
      <c r="B79" s="239">
        <v>0</v>
      </c>
      <c r="C79" s="239">
        <v>0</v>
      </c>
      <c r="D79" s="239">
        <v>0</v>
      </c>
    </row>
    <row r="80" spans="1:4" x14ac:dyDescent="0.25">
      <c r="A80" s="245" t="s">
        <v>303</v>
      </c>
      <c r="B80" s="239">
        <v>0</v>
      </c>
      <c r="C80" s="239">
        <v>0</v>
      </c>
      <c r="D80" s="239">
        <v>0</v>
      </c>
    </row>
    <row r="81" spans="1:4" x14ac:dyDescent="0.25">
      <c r="A81" s="245" t="s">
        <v>319</v>
      </c>
      <c r="B81" s="239">
        <v>0</v>
      </c>
      <c r="C81" s="239">
        <v>0</v>
      </c>
      <c r="D81" s="239">
        <v>0</v>
      </c>
    </row>
    <row r="82" spans="1:4" x14ac:dyDescent="0.25">
      <c r="A82" s="245" t="s">
        <v>320</v>
      </c>
      <c r="B82" s="239">
        <v>0</v>
      </c>
      <c r="C82" s="239">
        <v>0</v>
      </c>
      <c r="D82" s="239">
        <v>0</v>
      </c>
    </row>
    <row r="83" spans="1:4" x14ac:dyDescent="0.25">
      <c r="A83" s="245" t="s">
        <v>321</v>
      </c>
      <c r="B83" s="239">
        <v>0</v>
      </c>
      <c r="C83" s="239">
        <v>0</v>
      </c>
      <c r="D83" s="239">
        <v>0</v>
      </c>
    </row>
    <row r="84" spans="1:4" x14ac:dyDescent="0.25">
      <c r="A84" s="245" t="s">
        <v>308</v>
      </c>
      <c r="B84" s="239">
        <v>0</v>
      </c>
      <c r="C84" s="239">
        <v>0</v>
      </c>
      <c r="D84" s="239">
        <v>0</v>
      </c>
    </row>
    <row r="85" spans="1:4" x14ac:dyDescent="0.25">
      <c r="A85" s="245" t="s">
        <v>309</v>
      </c>
      <c r="B85" s="239">
        <v>0</v>
      </c>
      <c r="C85" s="239">
        <v>0</v>
      </c>
      <c r="D85" s="239">
        <v>0</v>
      </c>
    </row>
    <row r="86" spans="1:4" x14ac:dyDescent="0.25">
      <c r="A86" s="242" t="s">
        <v>313</v>
      </c>
      <c r="B86" s="239"/>
      <c r="C86" s="246">
        <v>249250</v>
      </c>
      <c r="D86" s="239">
        <f>SUM(B86:C86)</f>
        <v>249250</v>
      </c>
    </row>
    <row r="87" spans="1:4" x14ac:dyDescent="0.25">
      <c r="A87" s="245" t="s">
        <v>323</v>
      </c>
      <c r="B87" s="239"/>
      <c r="C87" s="246">
        <v>53000</v>
      </c>
      <c r="D87" s="239">
        <f>SUM(B87:C87)</f>
        <v>53000</v>
      </c>
    </row>
    <row r="88" spans="1:4" x14ac:dyDescent="0.25">
      <c r="A88" s="245" t="s">
        <v>318</v>
      </c>
      <c r="B88" s="239">
        <v>0</v>
      </c>
      <c r="C88" s="239">
        <v>0</v>
      </c>
      <c r="D88" s="239">
        <v>0</v>
      </c>
    </row>
    <row r="89" spans="1:4" x14ac:dyDescent="0.25">
      <c r="A89" s="245" t="s">
        <v>303</v>
      </c>
      <c r="B89" s="239">
        <v>0</v>
      </c>
      <c r="C89" s="239">
        <v>0</v>
      </c>
      <c r="D89" s="239">
        <v>0</v>
      </c>
    </row>
    <row r="90" spans="1:4" x14ac:dyDescent="0.25">
      <c r="A90" s="245" t="s">
        <v>319</v>
      </c>
      <c r="B90" s="239">
        <v>0</v>
      </c>
      <c r="C90" s="239">
        <v>0</v>
      </c>
      <c r="D90" s="239">
        <v>0</v>
      </c>
    </row>
    <row r="91" spans="1:4" x14ac:dyDescent="0.25">
      <c r="A91" s="245" t="s">
        <v>320</v>
      </c>
      <c r="B91" s="239">
        <v>0</v>
      </c>
      <c r="C91" s="239">
        <v>0</v>
      </c>
      <c r="D91" s="239">
        <v>0</v>
      </c>
    </row>
    <row r="92" spans="1:4" x14ac:dyDescent="0.25">
      <c r="A92" s="245" t="s">
        <v>321</v>
      </c>
      <c r="B92" s="239">
        <v>0</v>
      </c>
      <c r="C92" s="239">
        <v>0</v>
      </c>
      <c r="D92" s="239">
        <v>0</v>
      </c>
    </row>
    <row r="93" spans="1:4" x14ac:dyDescent="0.25">
      <c r="A93" s="245" t="s">
        <v>308</v>
      </c>
      <c r="B93" s="239">
        <v>0</v>
      </c>
      <c r="C93" s="239">
        <v>0</v>
      </c>
      <c r="D93" s="239">
        <v>0</v>
      </c>
    </row>
    <row r="94" spans="1:4" x14ac:dyDescent="0.25">
      <c r="A94" s="245" t="s">
        <v>309</v>
      </c>
      <c r="B94" s="239">
        <v>0</v>
      </c>
      <c r="C94" s="239">
        <v>0</v>
      </c>
      <c r="D94" s="239">
        <v>0</v>
      </c>
    </row>
    <row r="95" spans="1:4" x14ac:dyDescent="0.25">
      <c r="A95" s="242" t="s">
        <v>313</v>
      </c>
      <c r="B95" s="239"/>
      <c r="C95" s="246">
        <v>53000</v>
      </c>
      <c r="D95" s="239">
        <f>SUM(B95:C95)</f>
        <v>53000</v>
      </c>
    </row>
    <row r="96" spans="1:4" x14ac:dyDescent="0.25">
      <c r="A96" s="240" t="s">
        <v>324</v>
      </c>
      <c r="B96" s="237"/>
      <c r="C96" s="237">
        <v>100000</v>
      </c>
      <c r="D96" s="237">
        <f>C96</f>
        <v>100000</v>
      </c>
    </row>
    <row r="97" spans="1:4" x14ac:dyDescent="0.25">
      <c r="A97" s="241" t="s">
        <v>324</v>
      </c>
      <c r="B97" s="239">
        <v>0</v>
      </c>
      <c r="C97" s="239">
        <v>0</v>
      </c>
      <c r="D97" s="239">
        <v>0</v>
      </c>
    </row>
    <row r="98" spans="1:4" x14ac:dyDescent="0.25">
      <c r="A98" s="241" t="s">
        <v>298</v>
      </c>
      <c r="B98" s="239">
        <v>0</v>
      </c>
      <c r="C98" s="239">
        <v>0</v>
      </c>
      <c r="D98" s="239">
        <v>0</v>
      </c>
    </row>
    <row r="99" spans="1:4" x14ac:dyDescent="0.25">
      <c r="A99" s="241" t="s">
        <v>299</v>
      </c>
      <c r="B99" s="239">
        <v>0</v>
      </c>
      <c r="C99" s="239">
        <v>0</v>
      </c>
      <c r="D99" s="239">
        <v>0</v>
      </c>
    </row>
    <row r="100" spans="1:4" x14ac:dyDescent="0.25">
      <c r="A100" s="241" t="s">
        <v>300</v>
      </c>
      <c r="B100" s="239">
        <v>0</v>
      </c>
      <c r="C100" s="239">
        <v>0</v>
      </c>
      <c r="D100" s="239">
        <v>0</v>
      </c>
    </row>
    <row r="101" spans="1:4" x14ac:dyDescent="0.25">
      <c r="A101" s="241" t="s">
        <v>325</v>
      </c>
      <c r="B101" s="239">
        <v>0</v>
      </c>
      <c r="C101" s="239">
        <v>0</v>
      </c>
      <c r="D101" s="239">
        <v>0</v>
      </c>
    </row>
    <row r="102" spans="1:4" x14ac:dyDescent="0.25">
      <c r="A102" s="241" t="s">
        <v>326</v>
      </c>
      <c r="B102" s="239">
        <v>0</v>
      </c>
      <c r="C102" s="239">
        <v>0</v>
      </c>
      <c r="D102" s="239">
        <v>0</v>
      </c>
    </row>
    <row r="103" spans="1:4" x14ac:dyDescent="0.25">
      <c r="A103" s="241" t="s">
        <v>327</v>
      </c>
      <c r="B103" s="239">
        <v>0</v>
      </c>
      <c r="C103" s="239">
        <v>0</v>
      </c>
      <c r="D103" s="239">
        <v>0</v>
      </c>
    </row>
    <row r="104" spans="1:4" x14ac:dyDescent="0.25">
      <c r="A104" s="241" t="s">
        <v>328</v>
      </c>
      <c r="B104" s="239">
        <v>0</v>
      </c>
      <c r="C104" s="239">
        <v>0</v>
      </c>
      <c r="D104" s="239">
        <v>0</v>
      </c>
    </row>
    <row r="105" spans="1:4" x14ac:dyDescent="0.25">
      <c r="A105" s="241" t="s">
        <v>329</v>
      </c>
      <c r="B105" s="239">
        <v>0</v>
      </c>
      <c r="C105" s="239">
        <v>0</v>
      </c>
      <c r="D105" s="239">
        <v>0</v>
      </c>
    </row>
    <row r="106" spans="1:4" x14ac:dyDescent="0.25">
      <c r="A106" s="241" t="s">
        <v>330</v>
      </c>
      <c r="B106" s="239">
        <v>0</v>
      </c>
      <c r="C106" s="239">
        <v>0</v>
      </c>
      <c r="D106" s="239">
        <v>0</v>
      </c>
    </row>
    <row r="107" spans="1:4" x14ac:dyDescent="0.25">
      <c r="A107" s="241" t="s">
        <v>303</v>
      </c>
      <c r="B107" s="239">
        <v>0</v>
      </c>
      <c r="C107" s="239">
        <v>0</v>
      </c>
      <c r="D107" s="239">
        <v>0</v>
      </c>
    </row>
    <row r="108" spans="1:4" x14ac:dyDescent="0.25">
      <c r="A108" s="241" t="s">
        <v>331</v>
      </c>
      <c r="B108" s="239">
        <v>0</v>
      </c>
      <c r="C108" s="239">
        <v>0</v>
      </c>
      <c r="D108" s="239">
        <v>0</v>
      </c>
    </row>
    <row r="109" spans="1:4" x14ac:dyDescent="0.25">
      <c r="A109" s="241" t="s">
        <v>332</v>
      </c>
      <c r="B109" s="239">
        <v>0</v>
      </c>
      <c r="C109" s="239">
        <v>0</v>
      </c>
      <c r="D109" s="239">
        <v>0</v>
      </c>
    </row>
    <row r="110" spans="1:4" x14ac:dyDescent="0.25">
      <c r="A110" s="241" t="s">
        <v>333</v>
      </c>
      <c r="B110" s="239">
        <v>0</v>
      </c>
      <c r="C110" s="239">
        <v>0</v>
      </c>
      <c r="D110" s="239">
        <v>0</v>
      </c>
    </row>
    <row r="111" spans="1:4" x14ac:dyDescent="0.25">
      <c r="A111" s="241" t="s">
        <v>334</v>
      </c>
      <c r="B111" s="239">
        <v>0</v>
      </c>
      <c r="C111" s="239">
        <v>0</v>
      </c>
      <c r="D111" s="239">
        <v>0</v>
      </c>
    </row>
    <row r="112" spans="1:4" x14ac:dyDescent="0.25">
      <c r="A112" s="241" t="s">
        <v>303</v>
      </c>
      <c r="B112" s="239">
        <v>0</v>
      </c>
      <c r="C112" s="239">
        <v>0</v>
      </c>
      <c r="D112" s="239">
        <v>0</v>
      </c>
    </row>
    <row r="113" spans="1:4" x14ac:dyDescent="0.25">
      <c r="A113" s="241" t="s">
        <v>308</v>
      </c>
      <c r="B113" s="239">
        <v>0</v>
      </c>
      <c r="C113" s="239">
        <v>0</v>
      </c>
      <c r="D113" s="239">
        <v>0</v>
      </c>
    </row>
    <row r="114" spans="1:4" x14ac:dyDescent="0.25">
      <c r="A114" s="241" t="s">
        <v>309</v>
      </c>
      <c r="B114" s="239">
        <v>0</v>
      </c>
      <c r="C114" s="239">
        <v>0</v>
      </c>
      <c r="D114" s="239">
        <v>0</v>
      </c>
    </row>
    <row r="115" spans="1:4" x14ac:dyDescent="0.25">
      <c r="A115" s="241" t="s">
        <v>313</v>
      </c>
      <c r="B115" s="239"/>
      <c r="C115" s="239">
        <v>100000</v>
      </c>
      <c r="D115" s="239">
        <f>C115</f>
        <v>100000</v>
      </c>
    </row>
    <row r="116" spans="1:4" x14ac:dyDescent="0.25">
      <c r="A116" s="238" t="s">
        <v>270</v>
      </c>
      <c r="B116" s="239">
        <v>0</v>
      </c>
      <c r="C116" s="239">
        <v>0</v>
      </c>
      <c r="D116" s="239">
        <v>0</v>
      </c>
    </row>
    <row r="117" spans="1:4" x14ac:dyDescent="0.25">
      <c r="A117" s="236" t="s">
        <v>271</v>
      </c>
      <c r="B117" s="237">
        <v>1251937.43</v>
      </c>
      <c r="C117" s="237">
        <v>397200.57</v>
      </c>
      <c r="D117" s="237">
        <v>1649138</v>
      </c>
    </row>
    <row r="118" spans="1:4" x14ac:dyDescent="0.25">
      <c r="A118" s="238" t="s">
        <v>271</v>
      </c>
      <c r="B118" s="239">
        <v>0</v>
      </c>
      <c r="C118" s="239">
        <v>0</v>
      </c>
      <c r="D118" s="239">
        <v>0</v>
      </c>
    </row>
    <row r="119" spans="1:4" x14ac:dyDescent="0.25">
      <c r="A119" s="238" t="s">
        <v>272</v>
      </c>
      <c r="B119" s="239">
        <v>940000</v>
      </c>
      <c r="C119" s="239">
        <v>260000</v>
      </c>
      <c r="D119" s="239">
        <v>1200000</v>
      </c>
    </row>
    <row r="120" spans="1:4" x14ac:dyDescent="0.25">
      <c r="A120" s="240" t="s">
        <v>272</v>
      </c>
      <c r="B120" s="237">
        <v>0</v>
      </c>
      <c r="C120" s="237">
        <v>0</v>
      </c>
      <c r="D120" s="237">
        <v>0</v>
      </c>
    </row>
    <row r="121" spans="1:4" x14ac:dyDescent="0.25">
      <c r="A121" s="240" t="s">
        <v>335</v>
      </c>
      <c r="B121" s="237">
        <v>0</v>
      </c>
      <c r="C121" s="237">
        <v>0</v>
      </c>
      <c r="D121" s="237">
        <v>0</v>
      </c>
    </row>
    <row r="122" spans="1:4" x14ac:dyDescent="0.25">
      <c r="A122" s="240" t="s">
        <v>336</v>
      </c>
      <c r="B122" s="237">
        <v>0</v>
      </c>
      <c r="C122" s="237">
        <v>0</v>
      </c>
      <c r="D122" s="237">
        <v>0</v>
      </c>
    </row>
    <row r="123" spans="1:4" x14ac:dyDescent="0.25">
      <c r="A123" s="240" t="s">
        <v>337</v>
      </c>
      <c r="B123" s="237">
        <v>0</v>
      </c>
      <c r="C123" s="237">
        <v>0</v>
      </c>
      <c r="D123" s="237">
        <v>0</v>
      </c>
    </row>
    <row r="124" spans="1:4" x14ac:dyDescent="0.25">
      <c r="A124" s="240" t="s">
        <v>338</v>
      </c>
      <c r="B124" s="237">
        <v>0</v>
      </c>
      <c r="C124" s="237">
        <v>0</v>
      </c>
      <c r="D124" s="237">
        <v>0</v>
      </c>
    </row>
    <row r="125" spans="1:4" x14ac:dyDescent="0.25">
      <c r="A125" s="240" t="s">
        <v>339</v>
      </c>
      <c r="B125" s="237">
        <v>0</v>
      </c>
      <c r="C125" s="237">
        <v>0</v>
      </c>
      <c r="D125" s="237">
        <v>0</v>
      </c>
    </row>
    <row r="126" spans="1:4" x14ac:dyDescent="0.25">
      <c r="A126" s="240" t="s">
        <v>340</v>
      </c>
      <c r="B126" s="237">
        <v>0</v>
      </c>
      <c r="C126" s="237">
        <v>0</v>
      </c>
      <c r="D126" s="237">
        <v>0</v>
      </c>
    </row>
    <row r="127" spans="1:4" x14ac:dyDescent="0.25">
      <c r="A127" s="240" t="s">
        <v>341</v>
      </c>
      <c r="B127" s="237">
        <v>0</v>
      </c>
      <c r="C127" s="237">
        <v>0</v>
      </c>
      <c r="D127" s="237">
        <v>0</v>
      </c>
    </row>
    <row r="128" spans="1:4" x14ac:dyDescent="0.25">
      <c r="A128" s="240" t="s">
        <v>342</v>
      </c>
      <c r="B128" s="237">
        <v>0</v>
      </c>
      <c r="C128" s="237">
        <v>0</v>
      </c>
      <c r="D128" s="237">
        <v>0</v>
      </c>
    </row>
    <row r="129" spans="1:4" x14ac:dyDescent="0.25">
      <c r="A129" s="240" t="s">
        <v>343</v>
      </c>
      <c r="B129" s="237">
        <v>0</v>
      </c>
      <c r="C129" s="237">
        <v>0</v>
      </c>
      <c r="D129" s="237">
        <v>0</v>
      </c>
    </row>
    <row r="130" spans="1:4" x14ac:dyDescent="0.25">
      <c r="A130" s="240" t="s">
        <v>344</v>
      </c>
      <c r="B130" s="237">
        <v>0</v>
      </c>
      <c r="C130" s="237">
        <v>0</v>
      </c>
      <c r="D130" s="237">
        <v>0</v>
      </c>
    </row>
    <row r="131" spans="1:4" x14ac:dyDescent="0.25">
      <c r="A131" s="240" t="s">
        <v>345</v>
      </c>
      <c r="B131" s="237">
        <v>235000</v>
      </c>
      <c r="C131" s="237">
        <v>65000</v>
      </c>
      <c r="D131" s="237">
        <v>300000</v>
      </c>
    </row>
    <row r="132" spans="1:4" x14ac:dyDescent="0.25">
      <c r="A132" s="241" t="s">
        <v>345</v>
      </c>
      <c r="B132" s="239">
        <v>0</v>
      </c>
      <c r="C132" s="239">
        <v>0</v>
      </c>
      <c r="D132" s="239">
        <v>0</v>
      </c>
    </row>
    <row r="133" spans="1:4" x14ac:dyDescent="0.25">
      <c r="A133" s="241" t="s">
        <v>298</v>
      </c>
      <c r="B133" s="239">
        <v>0</v>
      </c>
      <c r="C133" s="239">
        <v>0</v>
      </c>
      <c r="D133" s="239">
        <v>0</v>
      </c>
    </row>
    <row r="134" spans="1:4" x14ac:dyDescent="0.25">
      <c r="A134" s="241" t="s">
        <v>299</v>
      </c>
      <c r="B134" s="239">
        <v>0</v>
      </c>
      <c r="C134" s="239">
        <v>0</v>
      </c>
      <c r="D134" s="239">
        <v>0</v>
      </c>
    </row>
    <row r="135" spans="1:4" x14ac:dyDescent="0.25">
      <c r="A135" s="241" t="s">
        <v>300</v>
      </c>
      <c r="B135" s="239">
        <v>0</v>
      </c>
      <c r="C135" s="239">
        <v>0</v>
      </c>
      <c r="D135" s="239">
        <v>0</v>
      </c>
    </row>
    <row r="136" spans="1:4" x14ac:dyDescent="0.25">
      <c r="A136" s="241" t="s">
        <v>301</v>
      </c>
      <c r="B136" s="239">
        <v>0</v>
      </c>
      <c r="C136" s="239">
        <v>0</v>
      </c>
      <c r="D136" s="239">
        <v>0</v>
      </c>
    </row>
    <row r="137" spans="1:4" x14ac:dyDescent="0.25">
      <c r="A137" s="241" t="s">
        <v>302</v>
      </c>
      <c r="B137" s="239">
        <v>0</v>
      </c>
      <c r="C137" s="239">
        <v>0</v>
      </c>
      <c r="D137" s="239">
        <v>0</v>
      </c>
    </row>
    <row r="138" spans="1:4" x14ac:dyDescent="0.25">
      <c r="A138" s="241" t="s">
        <v>303</v>
      </c>
      <c r="B138" s="239">
        <v>0</v>
      </c>
      <c r="C138" s="239">
        <v>0</v>
      </c>
      <c r="D138" s="239">
        <v>0</v>
      </c>
    </row>
    <row r="139" spans="1:4" x14ac:dyDescent="0.25">
      <c r="A139" s="241" t="s">
        <v>304</v>
      </c>
      <c r="B139" s="239">
        <v>0</v>
      </c>
      <c r="C139" s="239">
        <v>0</v>
      </c>
      <c r="D139" s="239">
        <v>0</v>
      </c>
    </row>
    <row r="140" spans="1:4" x14ac:dyDescent="0.25">
      <c r="A140" s="241" t="s">
        <v>305</v>
      </c>
      <c r="B140" s="239">
        <v>0</v>
      </c>
      <c r="C140" s="239">
        <v>0</v>
      </c>
      <c r="D140" s="239">
        <v>0</v>
      </c>
    </row>
    <row r="141" spans="1:4" x14ac:dyDescent="0.25">
      <c r="A141" s="241" t="s">
        <v>303</v>
      </c>
      <c r="B141" s="239">
        <v>0</v>
      </c>
      <c r="C141" s="239">
        <v>0</v>
      </c>
      <c r="D141" s="239">
        <v>0</v>
      </c>
    </row>
    <row r="142" spans="1:4" x14ac:dyDescent="0.25">
      <c r="A142" s="241" t="s">
        <v>306</v>
      </c>
      <c r="B142" s="239">
        <v>0</v>
      </c>
      <c r="C142" s="239">
        <v>0</v>
      </c>
      <c r="D142" s="239">
        <v>0</v>
      </c>
    </row>
    <row r="143" spans="1:4" x14ac:dyDescent="0.25">
      <c r="A143" s="241" t="s">
        <v>307</v>
      </c>
      <c r="B143" s="239">
        <v>0</v>
      </c>
      <c r="C143" s="239">
        <v>0</v>
      </c>
      <c r="D143" s="239">
        <v>0</v>
      </c>
    </row>
    <row r="144" spans="1:4" x14ac:dyDescent="0.25">
      <c r="A144" s="241" t="s">
        <v>308</v>
      </c>
      <c r="B144" s="239">
        <v>0</v>
      </c>
      <c r="C144" s="239">
        <v>0</v>
      </c>
      <c r="D144" s="239">
        <v>0</v>
      </c>
    </row>
    <row r="145" spans="1:4" x14ac:dyDescent="0.25">
      <c r="A145" s="241" t="s">
        <v>309</v>
      </c>
      <c r="B145" s="239">
        <v>0</v>
      </c>
      <c r="C145" s="239">
        <v>0</v>
      </c>
      <c r="D145" s="239">
        <v>0</v>
      </c>
    </row>
    <row r="146" spans="1:4" x14ac:dyDescent="0.25">
      <c r="A146" s="241" t="s">
        <v>313</v>
      </c>
      <c r="B146" s="239">
        <v>235000</v>
      </c>
      <c r="C146" s="239">
        <v>65000</v>
      </c>
      <c r="D146" s="239">
        <v>300000</v>
      </c>
    </row>
    <row r="147" spans="1:4" x14ac:dyDescent="0.25">
      <c r="A147" s="240" t="s">
        <v>346</v>
      </c>
      <c r="B147" s="237">
        <v>0</v>
      </c>
      <c r="C147" s="237">
        <v>0</v>
      </c>
      <c r="D147" s="237">
        <v>0</v>
      </c>
    </row>
    <row r="148" spans="1:4" x14ac:dyDescent="0.25">
      <c r="A148" s="240" t="s">
        <v>347</v>
      </c>
      <c r="B148" s="237">
        <v>705000</v>
      </c>
      <c r="C148" s="237">
        <v>195000</v>
      </c>
      <c r="D148" s="237">
        <v>900000</v>
      </c>
    </row>
    <row r="149" spans="1:4" ht="14.4" x14ac:dyDescent="0.3">
      <c r="A149" s="247" t="s">
        <v>347</v>
      </c>
      <c r="B149" s="239">
        <v>0</v>
      </c>
      <c r="C149" s="239">
        <v>0</v>
      </c>
      <c r="D149" s="239">
        <v>0</v>
      </c>
    </row>
    <row r="150" spans="1:4" x14ac:dyDescent="0.25">
      <c r="A150" s="241" t="s">
        <v>298</v>
      </c>
      <c r="B150" s="239">
        <v>0</v>
      </c>
      <c r="C150" s="239">
        <v>0</v>
      </c>
      <c r="D150" s="239">
        <v>0</v>
      </c>
    </row>
    <row r="151" spans="1:4" x14ac:dyDescent="0.25">
      <c r="A151" s="241" t="s">
        <v>299</v>
      </c>
      <c r="B151" s="239">
        <v>0</v>
      </c>
      <c r="C151" s="239">
        <v>0</v>
      </c>
      <c r="D151" s="239">
        <v>0</v>
      </c>
    </row>
    <row r="152" spans="1:4" x14ac:dyDescent="0.25">
      <c r="A152" s="241" t="s">
        <v>300</v>
      </c>
      <c r="B152" s="239">
        <v>0</v>
      </c>
      <c r="C152" s="239">
        <v>0</v>
      </c>
      <c r="D152" s="239">
        <v>0</v>
      </c>
    </row>
    <row r="153" spans="1:4" x14ac:dyDescent="0.25">
      <c r="A153" s="241" t="s">
        <v>301</v>
      </c>
      <c r="B153" s="239">
        <v>0</v>
      </c>
      <c r="C153" s="239">
        <v>0</v>
      </c>
      <c r="D153" s="239">
        <v>0</v>
      </c>
    </row>
    <row r="154" spans="1:4" x14ac:dyDescent="0.25">
      <c r="A154" s="241" t="s">
        <v>302</v>
      </c>
      <c r="B154" s="239">
        <v>0</v>
      </c>
      <c r="C154" s="239">
        <v>0</v>
      </c>
      <c r="D154" s="239">
        <v>0</v>
      </c>
    </row>
    <row r="155" spans="1:4" x14ac:dyDescent="0.25">
      <c r="A155" s="241" t="s">
        <v>303</v>
      </c>
      <c r="B155" s="239">
        <v>0</v>
      </c>
      <c r="C155" s="239">
        <v>0</v>
      </c>
      <c r="D155" s="239">
        <v>0</v>
      </c>
    </row>
    <row r="156" spans="1:4" x14ac:dyDescent="0.25">
      <c r="A156" s="241" t="s">
        <v>304</v>
      </c>
      <c r="B156" s="239">
        <v>0</v>
      </c>
      <c r="C156" s="239">
        <v>0</v>
      </c>
      <c r="D156" s="239">
        <v>0</v>
      </c>
    </row>
    <row r="157" spans="1:4" x14ac:dyDescent="0.25">
      <c r="A157" s="241" t="s">
        <v>305</v>
      </c>
      <c r="B157" s="239">
        <v>0</v>
      </c>
      <c r="C157" s="239">
        <v>0</v>
      </c>
      <c r="D157" s="239">
        <v>0</v>
      </c>
    </row>
    <row r="158" spans="1:4" x14ac:dyDescent="0.25">
      <c r="A158" s="241" t="s">
        <v>303</v>
      </c>
      <c r="B158" s="239">
        <v>0</v>
      </c>
      <c r="C158" s="239">
        <v>0</v>
      </c>
      <c r="D158" s="239">
        <v>0</v>
      </c>
    </row>
    <row r="159" spans="1:4" x14ac:dyDescent="0.25">
      <c r="A159" s="241" t="s">
        <v>306</v>
      </c>
      <c r="B159" s="239">
        <v>0</v>
      </c>
      <c r="C159" s="239">
        <v>0</v>
      </c>
      <c r="D159" s="239">
        <v>0</v>
      </c>
    </row>
    <row r="160" spans="1:4" x14ac:dyDescent="0.25">
      <c r="A160" s="241" t="s">
        <v>307</v>
      </c>
      <c r="B160" s="239">
        <v>0</v>
      </c>
      <c r="C160" s="239">
        <v>0</v>
      </c>
      <c r="D160" s="239">
        <v>0</v>
      </c>
    </row>
    <row r="161" spans="1:4" x14ac:dyDescent="0.25">
      <c r="A161" s="241" t="s">
        <v>308</v>
      </c>
      <c r="B161" s="239">
        <v>0</v>
      </c>
      <c r="C161" s="239">
        <v>0</v>
      </c>
      <c r="D161" s="239">
        <v>0</v>
      </c>
    </row>
    <row r="162" spans="1:4" x14ac:dyDescent="0.25">
      <c r="A162" s="241" t="s">
        <v>309</v>
      </c>
      <c r="B162" s="239">
        <v>0</v>
      </c>
      <c r="C162" s="239">
        <v>0</v>
      </c>
      <c r="D162" s="239">
        <v>0</v>
      </c>
    </row>
    <row r="163" spans="1:4" x14ac:dyDescent="0.25">
      <c r="A163" s="241" t="s">
        <v>313</v>
      </c>
      <c r="B163" s="239">
        <v>705000</v>
      </c>
      <c r="C163" s="239">
        <v>65000</v>
      </c>
      <c r="D163" s="239">
        <v>300000</v>
      </c>
    </row>
    <row r="164" spans="1:4" x14ac:dyDescent="0.25">
      <c r="A164" s="240" t="s">
        <v>348</v>
      </c>
      <c r="B164" s="237">
        <v>0</v>
      </c>
      <c r="C164" s="237">
        <v>0</v>
      </c>
      <c r="D164" s="237">
        <v>0</v>
      </c>
    </row>
    <row r="165" spans="1:4" x14ac:dyDescent="0.25">
      <c r="A165" s="238" t="s">
        <v>273</v>
      </c>
      <c r="B165" s="239">
        <v>0</v>
      </c>
      <c r="C165" s="239">
        <v>57850</v>
      </c>
      <c r="D165" s="239">
        <v>57850</v>
      </c>
    </row>
    <row r="166" spans="1:4" x14ac:dyDescent="0.25">
      <c r="A166" s="240" t="s">
        <v>273</v>
      </c>
      <c r="B166" s="237">
        <v>0</v>
      </c>
      <c r="C166" s="237">
        <v>0</v>
      </c>
      <c r="D166" s="237">
        <v>0</v>
      </c>
    </row>
    <row r="167" spans="1:4" x14ac:dyDescent="0.25">
      <c r="A167" s="240" t="s">
        <v>349</v>
      </c>
      <c r="B167" s="237">
        <v>0</v>
      </c>
      <c r="C167" s="237">
        <v>0</v>
      </c>
      <c r="D167" s="237">
        <v>0</v>
      </c>
    </row>
    <row r="168" spans="1:4" x14ac:dyDescent="0.25">
      <c r="A168" s="240" t="s">
        <v>350</v>
      </c>
      <c r="B168" s="237">
        <v>0</v>
      </c>
      <c r="C168" s="237">
        <v>0</v>
      </c>
      <c r="D168" s="237">
        <v>0</v>
      </c>
    </row>
    <row r="169" spans="1:4" x14ac:dyDescent="0.25">
      <c r="A169" s="240" t="s">
        <v>351</v>
      </c>
      <c r="B169" s="237">
        <v>0</v>
      </c>
      <c r="C169" s="237">
        <v>43500</v>
      </c>
      <c r="D169" s="237">
        <v>43500</v>
      </c>
    </row>
    <row r="170" spans="1:4" x14ac:dyDescent="0.25">
      <c r="A170" s="241" t="s">
        <v>351</v>
      </c>
      <c r="B170" s="239">
        <v>0</v>
      </c>
      <c r="C170" s="239">
        <v>0</v>
      </c>
      <c r="D170" s="239">
        <v>0</v>
      </c>
    </row>
    <row r="171" spans="1:4" x14ac:dyDescent="0.25">
      <c r="A171" s="241" t="s">
        <v>318</v>
      </c>
      <c r="B171" s="239">
        <v>0</v>
      </c>
      <c r="C171" s="239">
        <v>0</v>
      </c>
      <c r="D171" s="239">
        <v>0</v>
      </c>
    </row>
    <row r="172" spans="1:4" x14ac:dyDescent="0.25">
      <c r="A172" s="241" t="s">
        <v>303</v>
      </c>
      <c r="B172" s="239">
        <v>0</v>
      </c>
      <c r="C172" s="239">
        <v>0</v>
      </c>
      <c r="D172" s="239">
        <v>0</v>
      </c>
    </row>
    <row r="173" spans="1:4" x14ac:dyDescent="0.25">
      <c r="A173" s="241" t="s">
        <v>319</v>
      </c>
      <c r="B173" s="239">
        <v>0</v>
      </c>
      <c r="C173" s="239">
        <v>0</v>
      </c>
      <c r="D173" s="239">
        <v>0</v>
      </c>
    </row>
    <row r="174" spans="1:4" x14ac:dyDescent="0.25">
      <c r="A174" s="241" t="s">
        <v>320</v>
      </c>
      <c r="B174" s="239">
        <v>0</v>
      </c>
      <c r="C174" s="239">
        <v>0</v>
      </c>
      <c r="D174" s="239">
        <v>0</v>
      </c>
    </row>
    <row r="175" spans="1:4" x14ac:dyDescent="0.25">
      <c r="A175" s="241" t="s">
        <v>321</v>
      </c>
      <c r="B175" s="239">
        <v>0</v>
      </c>
      <c r="C175" s="239">
        <v>0</v>
      </c>
      <c r="D175" s="239">
        <v>0</v>
      </c>
    </row>
    <row r="176" spans="1:4" x14ac:dyDescent="0.25">
      <c r="A176" s="241" t="s">
        <v>308</v>
      </c>
      <c r="B176" s="239">
        <v>0</v>
      </c>
      <c r="C176" s="239">
        <v>0</v>
      </c>
      <c r="D176" s="239">
        <v>0</v>
      </c>
    </row>
    <row r="177" spans="1:4" x14ac:dyDescent="0.25">
      <c r="A177" s="241" t="s">
        <v>309</v>
      </c>
      <c r="B177" s="239">
        <v>0</v>
      </c>
      <c r="C177" s="239">
        <v>0</v>
      </c>
      <c r="D177" s="239">
        <v>0</v>
      </c>
    </row>
    <row r="178" spans="1:4" x14ac:dyDescent="0.25">
      <c r="A178" s="241" t="s">
        <v>313</v>
      </c>
      <c r="B178" s="239">
        <v>0</v>
      </c>
      <c r="C178" s="239">
        <v>43500</v>
      </c>
      <c r="D178" s="239">
        <v>43500</v>
      </c>
    </row>
    <row r="179" spans="1:4" x14ac:dyDescent="0.25">
      <c r="A179" s="240" t="s">
        <v>352</v>
      </c>
      <c r="B179" s="237">
        <v>0</v>
      </c>
      <c r="C179" s="237">
        <v>14000</v>
      </c>
      <c r="D179" s="237">
        <v>14000</v>
      </c>
    </row>
    <row r="180" spans="1:4" x14ac:dyDescent="0.25">
      <c r="A180" s="241" t="s">
        <v>352</v>
      </c>
      <c r="B180" s="239">
        <v>0</v>
      </c>
      <c r="C180" s="239">
        <v>0</v>
      </c>
      <c r="D180" s="239">
        <v>0</v>
      </c>
    </row>
    <row r="181" spans="1:4" x14ac:dyDescent="0.25">
      <c r="A181" s="241" t="s">
        <v>353</v>
      </c>
      <c r="B181" s="239">
        <v>0</v>
      </c>
      <c r="C181" s="239">
        <v>0</v>
      </c>
      <c r="D181" s="239">
        <v>0</v>
      </c>
    </row>
    <row r="182" spans="1:4" x14ac:dyDescent="0.25">
      <c r="A182" s="241" t="s">
        <v>354</v>
      </c>
      <c r="B182" s="239">
        <v>0</v>
      </c>
      <c r="C182" s="239">
        <v>0</v>
      </c>
      <c r="D182" s="239">
        <v>0</v>
      </c>
    </row>
    <row r="183" spans="1:4" x14ac:dyDescent="0.25">
      <c r="A183" s="241" t="s">
        <v>355</v>
      </c>
      <c r="B183" s="239">
        <v>0</v>
      </c>
      <c r="C183" s="239">
        <v>0</v>
      </c>
      <c r="D183" s="239">
        <v>0</v>
      </c>
    </row>
    <row r="184" spans="1:4" x14ac:dyDescent="0.25">
      <c r="A184" s="241" t="s">
        <v>356</v>
      </c>
      <c r="B184" s="239">
        <v>0</v>
      </c>
      <c r="C184" s="239">
        <v>0</v>
      </c>
      <c r="D184" s="239">
        <v>0</v>
      </c>
    </row>
    <row r="185" spans="1:4" x14ac:dyDescent="0.25">
      <c r="A185" s="241" t="s">
        <v>357</v>
      </c>
      <c r="B185" s="239">
        <v>0</v>
      </c>
      <c r="C185" s="239">
        <v>0</v>
      </c>
      <c r="D185" s="239">
        <v>0</v>
      </c>
    </row>
    <row r="186" spans="1:4" x14ac:dyDescent="0.25">
      <c r="A186" s="241" t="s">
        <v>358</v>
      </c>
      <c r="B186" s="239">
        <v>0</v>
      </c>
      <c r="C186" s="239">
        <v>0</v>
      </c>
      <c r="D186" s="239">
        <v>0</v>
      </c>
    </row>
    <row r="187" spans="1:4" x14ac:dyDescent="0.25">
      <c r="A187" s="241" t="s">
        <v>359</v>
      </c>
      <c r="B187" s="239">
        <v>0</v>
      </c>
      <c r="C187" s="239">
        <v>14000</v>
      </c>
      <c r="D187" s="239">
        <v>14000</v>
      </c>
    </row>
    <row r="188" spans="1:4" x14ac:dyDescent="0.25">
      <c r="A188" s="240" t="s">
        <v>360</v>
      </c>
      <c r="B188" s="237">
        <v>0</v>
      </c>
      <c r="C188" s="237">
        <v>350</v>
      </c>
      <c r="D188" s="237">
        <v>350</v>
      </c>
    </row>
    <row r="189" spans="1:4" x14ac:dyDescent="0.25">
      <c r="A189" s="241" t="s">
        <v>360</v>
      </c>
      <c r="B189" s="239">
        <v>0</v>
      </c>
      <c r="C189" s="239">
        <v>0</v>
      </c>
      <c r="D189" s="239">
        <v>0</v>
      </c>
    </row>
    <row r="190" spans="1:4" x14ac:dyDescent="0.25">
      <c r="A190" s="241" t="s">
        <v>353</v>
      </c>
      <c r="B190" s="239">
        <v>0</v>
      </c>
      <c r="C190" s="239">
        <v>0</v>
      </c>
      <c r="D190" s="239">
        <v>0</v>
      </c>
    </row>
    <row r="191" spans="1:4" x14ac:dyDescent="0.25">
      <c r="A191" s="241" t="s">
        <v>354</v>
      </c>
      <c r="B191" s="239">
        <v>0</v>
      </c>
      <c r="C191" s="239">
        <v>0</v>
      </c>
      <c r="D191" s="239">
        <v>0</v>
      </c>
    </row>
    <row r="192" spans="1:4" x14ac:dyDescent="0.25">
      <c r="A192" s="241" t="s">
        <v>355</v>
      </c>
      <c r="B192" s="239">
        <v>0</v>
      </c>
      <c r="C192" s="239">
        <v>0</v>
      </c>
      <c r="D192" s="239">
        <v>0</v>
      </c>
    </row>
    <row r="193" spans="1:4" x14ac:dyDescent="0.25">
      <c r="A193" s="241" t="s">
        <v>356</v>
      </c>
      <c r="B193" s="239">
        <v>0</v>
      </c>
      <c r="C193" s="239">
        <v>0</v>
      </c>
      <c r="D193" s="239">
        <v>0</v>
      </c>
    </row>
    <row r="194" spans="1:4" x14ac:dyDescent="0.25">
      <c r="A194" s="241" t="s">
        <v>357</v>
      </c>
      <c r="B194" s="239">
        <v>0</v>
      </c>
      <c r="C194" s="239">
        <v>0</v>
      </c>
      <c r="D194" s="239">
        <v>0</v>
      </c>
    </row>
    <row r="195" spans="1:4" x14ac:dyDescent="0.25">
      <c r="A195" s="241" t="s">
        <v>358</v>
      </c>
      <c r="B195" s="239">
        <v>0</v>
      </c>
      <c r="C195" s="239">
        <v>0</v>
      </c>
      <c r="D195" s="239">
        <v>0</v>
      </c>
    </row>
    <row r="196" spans="1:4" x14ac:dyDescent="0.25">
      <c r="A196" s="241" t="s">
        <v>359</v>
      </c>
      <c r="B196" s="239">
        <v>0</v>
      </c>
      <c r="C196" s="239">
        <v>350</v>
      </c>
      <c r="D196" s="239">
        <v>350</v>
      </c>
    </row>
    <row r="197" spans="1:4" x14ac:dyDescent="0.25">
      <c r="A197" s="238" t="s">
        <v>274</v>
      </c>
      <c r="B197" s="239">
        <v>0</v>
      </c>
      <c r="C197" s="239">
        <v>0</v>
      </c>
      <c r="D197" s="239">
        <v>0</v>
      </c>
    </row>
    <row r="198" spans="1:4" x14ac:dyDescent="0.25">
      <c r="A198" s="238" t="s">
        <v>275</v>
      </c>
      <c r="B198" s="239">
        <v>311937.43</v>
      </c>
      <c r="C198" s="239">
        <v>79350.570000000007</v>
      </c>
      <c r="D198" s="239">
        <v>391288</v>
      </c>
    </row>
    <row r="199" spans="1:4" x14ac:dyDescent="0.25">
      <c r="A199" s="240" t="s">
        <v>275</v>
      </c>
      <c r="B199" s="237">
        <v>0</v>
      </c>
      <c r="C199" s="237">
        <v>0</v>
      </c>
      <c r="D199" s="237">
        <v>0</v>
      </c>
    </row>
    <row r="200" spans="1:4" x14ac:dyDescent="0.25">
      <c r="A200" s="240" t="s">
        <v>361</v>
      </c>
      <c r="B200" s="237">
        <v>48856.5</v>
      </c>
      <c r="C200" s="237">
        <v>6583.5</v>
      </c>
      <c r="D200" s="237">
        <v>55440</v>
      </c>
    </row>
    <row r="201" spans="1:4" x14ac:dyDescent="0.25">
      <c r="A201" s="241" t="s">
        <v>361</v>
      </c>
      <c r="B201" s="239">
        <v>0</v>
      </c>
      <c r="C201" s="239">
        <v>0</v>
      </c>
      <c r="D201" s="239">
        <v>0</v>
      </c>
    </row>
    <row r="202" spans="1:4" x14ac:dyDescent="0.25">
      <c r="A202" s="241" t="s">
        <v>298</v>
      </c>
      <c r="B202" s="239">
        <v>0</v>
      </c>
      <c r="C202" s="239">
        <v>0</v>
      </c>
      <c r="D202" s="239">
        <v>0</v>
      </c>
    </row>
    <row r="203" spans="1:4" x14ac:dyDescent="0.25">
      <c r="A203" s="241" t="s">
        <v>299</v>
      </c>
      <c r="B203" s="239">
        <v>0</v>
      </c>
      <c r="C203" s="239">
        <v>0</v>
      </c>
      <c r="D203" s="239">
        <v>0</v>
      </c>
    </row>
    <row r="204" spans="1:4" x14ac:dyDescent="0.25">
      <c r="A204" s="241" t="s">
        <v>300</v>
      </c>
      <c r="B204" s="239">
        <v>0</v>
      </c>
      <c r="C204" s="239">
        <v>0</v>
      </c>
      <c r="D204" s="239">
        <v>0</v>
      </c>
    </row>
    <row r="205" spans="1:4" x14ac:dyDescent="0.25">
      <c r="A205" s="241" t="s">
        <v>325</v>
      </c>
      <c r="B205" s="239">
        <v>0</v>
      </c>
      <c r="C205" s="239">
        <v>0</v>
      </c>
      <c r="D205" s="239">
        <v>0</v>
      </c>
    </row>
    <row r="206" spans="1:4" x14ac:dyDescent="0.25">
      <c r="A206" s="241" t="s">
        <v>326</v>
      </c>
      <c r="B206" s="239">
        <v>0</v>
      </c>
      <c r="C206" s="239">
        <v>0</v>
      </c>
      <c r="D206" s="239">
        <v>0</v>
      </c>
    </row>
    <row r="207" spans="1:4" x14ac:dyDescent="0.25">
      <c r="A207" s="241" t="s">
        <v>327</v>
      </c>
      <c r="B207" s="239">
        <v>0</v>
      </c>
      <c r="C207" s="239">
        <v>0</v>
      </c>
      <c r="D207" s="239">
        <v>0</v>
      </c>
    </row>
    <row r="208" spans="1:4" x14ac:dyDescent="0.25">
      <c r="A208" s="241" t="s">
        <v>328</v>
      </c>
      <c r="B208" s="239">
        <v>0</v>
      </c>
      <c r="C208" s="239">
        <v>0</v>
      </c>
      <c r="D208" s="239">
        <v>0</v>
      </c>
    </row>
    <row r="209" spans="1:4" x14ac:dyDescent="0.25">
      <c r="A209" s="241" t="s">
        <v>329</v>
      </c>
      <c r="B209" s="239">
        <v>0</v>
      </c>
      <c r="C209" s="239">
        <v>0</v>
      </c>
      <c r="D209" s="239">
        <v>0</v>
      </c>
    </row>
    <row r="210" spans="1:4" x14ac:dyDescent="0.25">
      <c r="A210" s="241" t="s">
        <v>330</v>
      </c>
      <c r="B210" s="239">
        <v>0</v>
      </c>
      <c r="C210" s="239">
        <v>0</v>
      </c>
      <c r="D210" s="239">
        <v>0</v>
      </c>
    </row>
    <row r="211" spans="1:4" x14ac:dyDescent="0.25">
      <c r="A211" s="241" t="s">
        <v>303</v>
      </c>
      <c r="B211" s="239">
        <v>0</v>
      </c>
      <c r="C211" s="239">
        <v>0</v>
      </c>
      <c r="D211" s="239">
        <v>0</v>
      </c>
    </row>
    <row r="212" spans="1:4" x14ac:dyDescent="0.25">
      <c r="A212" s="241" t="s">
        <v>331</v>
      </c>
      <c r="B212" s="239">
        <v>0</v>
      </c>
      <c r="C212" s="239">
        <v>0</v>
      </c>
      <c r="D212" s="239">
        <v>0</v>
      </c>
    </row>
    <row r="213" spans="1:4" x14ac:dyDescent="0.25">
      <c r="A213" s="241" t="s">
        <v>332</v>
      </c>
      <c r="B213" s="239">
        <v>0</v>
      </c>
      <c r="C213" s="239">
        <v>0</v>
      </c>
      <c r="D213" s="239">
        <v>0</v>
      </c>
    </row>
    <row r="214" spans="1:4" x14ac:dyDescent="0.25">
      <c r="A214" s="241" t="s">
        <v>333</v>
      </c>
      <c r="B214" s="239">
        <v>0</v>
      </c>
      <c r="C214" s="239">
        <v>0</v>
      </c>
      <c r="D214" s="239">
        <v>0</v>
      </c>
    </row>
    <row r="215" spans="1:4" x14ac:dyDescent="0.25">
      <c r="A215" s="241" t="s">
        <v>334</v>
      </c>
      <c r="B215" s="239">
        <v>0</v>
      </c>
      <c r="C215" s="239">
        <v>0</v>
      </c>
      <c r="D215" s="239">
        <v>0</v>
      </c>
    </row>
    <row r="216" spans="1:4" x14ac:dyDescent="0.25">
      <c r="A216" s="241" t="s">
        <v>303</v>
      </c>
      <c r="B216" s="239">
        <v>0</v>
      </c>
      <c r="C216" s="239">
        <v>0</v>
      </c>
      <c r="D216" s="239">
        <v>0</v>
      </c>
    </row>
    <row r="217" spans="1:4" x14ac:dyDescent="0.25">
      <c r="A217" s="241" t="s">
        <v>308</v>
      </c>
      <c r="B217" s="239">
        <v>0</v>
      </c>
      <c r="C217" s="239">
        <v>0</v>
      </c>
      <c r="D217" s="239">
        <v>0</v>
      </c>
    </row>
    <row r="218" spans="1:4" x14ac:dyDescent="0.25">
      <c r="A218" s="241" t="s">
        <v>309</v>
      </c>
      <c r="B218" s="239">
        <v>0</v>
      </c>
      <c r="C218" s="239">
        <v>0</v>
      </c>
      <c r="D218" s="239">
        <v>0</v>
      </c>
    </row>
    <row r="219" spans="1:4" x14ac:dyDescent="0.25">
      <c r="A219" s="241" t="s">
        <v>313</v>
      </c>
      <c r="B219" s="239">
        <v>48856.5</v>
      </c>
      <c r="C219" s="239">
        <v>6583.5</v>
      </c>
      <c r="D219" s="239">
        <v>55440</v>
      </c>
    </row>
    <row r="220" spans="1:4" x14ac:dyDescent="0.25">
      <c r="A220" s="240" t="s">
        <v>362</v>
      </c>
      <c r="B220" s="237">
        <v>263080.93</v>
      </c>
      <c r="C220" s="237">
        <v>72767.070000000007</v>
      </c>
      <c r="D220" s="237">
        <v>335848</v>
      </c>
    </row>
    <row r="221" spans="1:4" x14ac:dyDescent="0.25">
      <c r="A221" s="241" t="s">
        <v>362</v>
      </c>
      <c r="B221" s="239">
        <v>0</v>
      </c>
      <c r="C221" s="239">
        <v>0</v>
      </c>
      <c r="D221" s="239">
        <v>0</v>
      </c>
    </row>
    <row r="222" spans="1:4" x14ac:dyDescent="0.25">
      <c r="A222" s="241" t="s">
        <v>298</v>
      </c>
      <c r="B222" s="239">
        <v>0</v>
      </c>
      <c r="C222" s="239">
        <v>0</v>
      </c>
      <c r="D222" s="239">
        <v>0</v>
      </c>
    </row>
    <row r="223" spans="1:4" x14ac:dyDescent="0.25">
      <c r="A223" s="241" t="s">
        <v>299</v>
      </c>
      <c r="B223" s="239">
        <v>0</v>
      </c>
      <c r="C223" s="239">
        <v>0</v>
      </c>
      <c r="D223" s="239">
        <v>0</v>
      </c>
    </row>
    <row r="224" spans="1:4" x14ac:dyDescent="0.25">
      <c r="A224" s="241" t="s">
        <v>300</v>
      </c>
      <c r="B224" s="239">
        <v>0</v>
      </c>
      <c r="C224" s="239">
        <v>0</v>
      </c>
      <c r="D224" s="239">
        <v>0</v>
      </c>
    </row>
    <row r="225" spans="1:4" x14ac:dyDescent="0.25">
      <c r="A225" s="241" t="s">
        <v>301</v>
      </c>
      <c r="B225" s="239">
        <v>0</v>
      </c>
      <c r="C225" s="239">
        <v>0</v>
      </c>
      <c r="D225" s="239">
        <v>0</v>
      </c>
    </row>
    <row r="226" spans="1:4" x14ac:dyDescent="0.25">
      <c r="A226" s="241" t="s">
        <v>302</v>
      </c>
      <c r="B226" s="239">
        <v>0</v>
      </c>
      <c r="C226" s="239">
        <v>0</v>
      </c>
      <c r="D226" s="239">
        <v>0</v>
      </c>
    </row>
    <row r="227" spans="1:4" x14ac:dyDescent="0.25">
      <c r="A227" s="241" t="s">
        <v>303</v>
      </c>
      <c r="B227" s="239">
        <v>0</v>
      </c>
      <c r="C227" s="239">
        <v>0</v>
      </c>
      <c r="D227" s="239">
        <v>0</v>
      </c>
    </row>
    <row r="228" spans="1:4" x14ac:dyDescent="0.25">
      <c r="A228" s="241" t="s">
        <v>304</v>
      </c>
      <c r="B228" s="239">
        <v>0</v>
      </c>
      <c r="C228" s="239">
        <v>0</v>
      </c>
      <c r="D228" s="239">
        <v>0</v>
      </c>
    </row>
    <row r="229" spans="1:4" x14ac:dyDescent="0.25">
      <c r="A229" s="241" t="s">
        <v>305</v>
      </c>
      <c r="B229" s="239">
        <v>0</v>
      </c>
      <c r="C229" s="239">
        <v>0</v>
      </c>
      <c r="D229" s="239">
        <v>0</v>
      </c>
    </row>
    <row r="230" spans="1:4" x14ac:dyDescent="0.25">
      <c r="A230" s="241" t="s">
        <v>303</v>
      </c>
      <c r="B230" s="239">
        <v>0</v>
      </c>
      <c r="C230" s="239">
        <v>0</v>
      </c>
      <c r="D230" s="239">
        <v>0</v>
      </c>
    </row>
    <row r="231" spans="1:4" x14ac:dyDescent="0.25">
      <c r="A231" s="241" t="s">
        <v>306</v>
      </c>
      <c r="B231" s="239">
        <v>0</v>
      </c>
      <c r="C231" s="239">
        <v>0</v>
      </c>
      <c r="D231" s="239">
        <v>0</v>
      </c>
    </row>
    <row r="232" spans="1:4" x14ac:dyDescent="0.25">
      <c r="A232" s="241" t="s">
        <v>307</v>
      </c>
      <c r="B232" s="239">
        <v>0</v>
      </c>
      <c r="C232" s="239">
        <v>0</v>
      </c>
      <c r="D232" s="239">
        <v>0</v>
      </c>
    </row>
    <row r="233" spans="1:4" x14ac:dyDescent="0.25">
      <c r="A233" s="241" t="s">
        <v>308</v>
      </c>
      <c r="B233" s="239">
        <v>0</v>
      </c>
      <c r="C233" s="239">
        <v>0</v>
      </c>
      <c r="D233" s="239">
        <v>0</v>
      </c>
    </row>
    <row r="234" spans="1:4" x14ac:dyDescent="0.25">
      <c r="A234" s="241" t="s">
        <v>309</v>
      </c>
      <c r="B234" s="239">
        <v>0</v>
      </c>
      <c r="C234" s="239">
        <v>0</v>
      </c>
      <c r="D234" s="239">
        <v>0</v>
      </c>
    </row>
    <row r="235" spans="1:4" x14ac:dyDescent="0.25">
      <c r="A235" s="241" t="s">
        <v>313</v>
      </c>
      <c r="B235" s="239">
        <v>263080.93</v>
      </c>
      <c r="C235" s="239">
        <v>72767.070000000007</v>
      </c>
      <c r="D235" s="239">
        <v>335848</v>
      </c>
    </row>
    <row r="236" spans="1:4" x14ac:dyDescent="0.25">
      <c r="A236" s="240" t="s">
        <v>363</v>
      </c>
      <c r="B236" s="237">
        <v>0</v>
      </c>
      <c r="C236" s="237">
        <v>0</v>
      </c>
      <c r="D236" s="237">
        <v>0</v>
      </c>
    </row>
    <row r="237" spans="1:4" x14ac:dyDescent="0.25">
      <c r="A237" s="240" t="s">
        <v>364</v>
      </c>
      <c r="B237" s="237">
        <v>0</v>
      </c>
      <c r="C237" s="237">
        <v>0</v>
      </c>
      <c r="D237" s="237">
        <v>0</v>
      </c>
    </row>
    <row r="238" spans="1:4" x14ac:dyDescent="0.25">
      <c r="A238" s="240" t="s">
        <v>365</v>
      </c>
      <c r="B238" s="237">
        <v>0</v>
      </c>
      <c r="C238" s="237">
        <v>0</v>
      </c>
      <c r="D238" s="237">
        <v>0</v>
      </c>
    </row>
    <row r="239" spans="1:4" x14ac:dyDescent="0.25">
      <c r="A239" s="240" t="s">
        <v>366</v>
      </c>
      <c r="B239" s="237">
        <v>0</v>
      </c>
      <c r="C239" s="237">
        <v>0</v>
      </c>
      <c r="D239" s="237">
        <v>0</v>
      </c>
    </row>
    <row r="240" spans="1:4" x14ac:dyDescent="0.25">
      <c r="A240" s="240" t="s">
        <v>367</v>
      </c>
      <c r="B240" s="237">
        <v>0</v>
      </c>
      <c r="C240" s="237">
        <v>0</v>
      </c>
      <c r="D240" s="237">
        <v>0</v>
      </c>
    </row>
    <row r="241" spans="1:4" x14ac:dyDescent="0.25">
      <c r="A241" s="236" t="s">
        <v>276</v>
      </c>
      <c r="B241" s="237"/>
      <c r="C241" s="237">
        <v>312049.76</v>
      </c>
      <c r="D241" s="237">
        <v>816822.76</v>
      </c>
    </row>
    <row r="242" spans="1:4" x14ac:dyDescent="0.25">
      <c r="A242" s="238" t="s">
        <v>276</v>
      </c>
      <c r="B242" s="239">
        <v>0</v>
      </c>
      <c r="C242" s="239">
        <v>0</v>
      </c>
      <c r="D242" s="239">
        <v>0</v>
      </c>
    </row>
    <row r="243" spans="1:4" x14ac:dyDescent="0.25">
      <c r="A243" s="238" t="s">
        <v>277</v>
      </c>
      <c r="B243" s="239">
        <v>0</v>
      </c>
      <c r="C243" s="239">
        <v>312049.76</v>
      </c>
      <c r="D243" s="239">
        <v>312049.76</v>
      </c>
    </row>
    <row r="244" spans="1:4" x14ac:dyDescent="0.25">
      <c r="A244" s="240" t="s">
        <v>277</v>
      </c>
      <c r="B244" s="237">
        <v>0</v>
      </c>
      <c r="C244" s="237">
        <v>0</v>
      </c>
      <c r="D244" s="237">
        <v>0</v>
      </c>
    </row>
    <row r="245" spans="1:4" x14ac:dyDescent="0.25">
      <c r="A245" s="240" t="s">
        <v>368</v>
      </c>
      <c r="B245" s="237">
        <v>0</v>
      </c>
      <c r="C245" s="237">
        <v>23663.41</v>
      </c>
      <c r="D245" s="237">
        <v>23663.41</v>
      </c>
    </row>
    <row r="246" spans="1:4" x14ac:dyDescent="0.25">
      <c r="A246" s="240" t="s">
        <v>369</v>
      </c>
      <c r="B246" s="237">
        <v>0</v>
      </c>
      <c r="C246" s="237">
        <v>23663.41</v>
      </c>
      <c r="D246" s="237">
        <v>23663.41</v>
      </c>
    </row>
    <row r="247" spans="1:4" x14ac:dyDescent="0.25">
      <c r="A247" s="240" t="s">
        <v>370</v>
      </c>
      <c r="B247" s="237">
        <v>0</v>
      </c>
      <c r="C247" s="237">
        <v>28426.83</v>
      </c>
      <c r="D247" s="237">
        <v>28426.83</v>
      </c>
    </row>
    <row r="248" spans="1:4" x14ac:dyDescent="0.25">
      <c r="A248" s="240" t="s">
        <v>371</v>
      </c>
      <c r="B248" s="237">
        <v>0</v>
      </c>
      <c r="C248" s="237">
        <v>42256.1</v>
      </c>
      <c r="D248" s="237">
        <v>42256.1</v>
      </c>
    </row>
    <row r="249" spans="1:4" x14ac:dyDescent="0.25">
      <c r="A249" s="240" t="s">
        <v>372</v>
      </c>
      <c r="B249" s="237">
        <v>0</v>
      </c>
      <c r="C249" s="237">
        <v>23663.41</v>
      </c>
      <c r="D249" s="237">
        <v>23663.41</v>
      </c>
    </row>
    <row r="250" spans="1:4" x14ac:dyDescent="0.25">
      <c r="A250" s="240" t="s">
        <v>373</v>
      </c>
      <c r="B250" s="237">
        <v>0</v>
      </c>
      <c r="C250" s="237">
        <v>28396.1</v>
      </c>
      <c r="D250" s="237">
        <v>28396.1</v>
      </c>
    </row>
    <row r="251" spans="1:4" x14ac:dyDescent="0.25">
      <c r="A251" s="240" t="s">
        <v>374</v>
      </c>
      <c r="B251" s="237">
        <v>0</v>
      </c>
      <c r="C251" s="237">
        <v>28396.1</v>
      </c>
      <c r="D251" s="237">
        <v>28396.1</v>
      </c>
    </row>
    <row r="252" spans="1:4" x14ac:dyDescent="0.25">
      <c r="A252" s="240" t="s">
        <v>375</v>
      </c>
      <c r="B252" s="237">
        <v>0</v>
      </c>
      <c r="C252" s="237">
        <v>28396.1</v>
      </c>
      <c r="D252" s="237">
        <v>28396.1</v>
      </c>
    </row>
    <row r="253" spans="1:4" x14ac:dyDescent="0.25">
      <c r="A253" s="240" t="s">
        <v>376</v>
      </c>
      <c r="B253" s="237">
        <v>0</v>
      </c>
      <c r="C253" s="237">
        <v>28396.1</v>
      </c>
      <c r="D253" s="237">
        <v>28396.1</v>
      </c>
    </row>
    <row r="254" spans="1:4" x14ac:dyDescent="0.25">
      <c r="A254" s="240" t="s">
        <v>377</v>
      </c>
      <c r="B254" s="237">
        <v>0</v>
      </c>
      <c r="C254" s="237">
        <v>28396.1</v>
      </c>
      <c r="D254" s="237">
        <v>28396.1</v>
      </c>
    </row>
    <row r="255" spans="1:4" x14ac:dyDescent="0.25">
      <c r="A255" s="240" t="s">
        <v>378</v>
      </c>
      <c r="B255" s="237">
        <v>0</v>
      </c>
      <c r="C255" s="237">
        <v>28396.1</v>
      </c>
      <c r="D255" s="237">
        <v>28396.1</v>
      </c>
    </row>
    <row r="256" spans="1:4" x14ac:dyDescent="0.25">
      <c r="A256" s="240" t="s">
        <v>379</v>
      </c>
      <c r="B256" s="237">
        <v>0</v>
      </c>
      <c r="C256" s="237">
        <v>0</v>
      </c>
      <c r="D256" s="237">
        <v>0</v>
      </c>
    </row>
    <row r="257" spans="1:4" x14ac:dyDescent="0.25">
      <c r="A257" s="240" t="s">
        <v>380</v>
      </c>
      <c r="B257" s="237">
        <v>0</v>
      </c>
      <c r="C257" s="237">
        <v>0</v>
      </c>
      <c r="D257" s="237">
        <v>0</v>
      </c>
    </row>
    <row r="258" spans="1:4" x14ac:dyDescent="0.25">
      <c r="A258" s="238" t="s">
        <v>278</v>
      </c>
      <c r="B258" s="239"/>
      <c r="C258" s="239">
        <v>0</v>
      </c>
      <c r="D258" s="239">
        <v>504773</v>
      </c>
    </row>
    <row r="259" spans="1:4" x14ac:dyDescent="0.25">
      <c r="A259" s="240" t="s">
        <v>278</v>
      </c>
      <c r="B259" s="237">
        <v>0</v>
      </c>
      <c r="C259" s="237">
        <v>0</v>
      </c>
      <c r="D259" s="237">
        <v>0</v>
      </c>
    </row>
    <row r="260" spans="1:4" x14ac:dyDescent="0.25">
      <c r="A260" s="240" t="s">
        <v>209</v>
      </c>
      <c r="B260" s="237"/>
      <c r="C260" s="237">
        <v>0</v>
      </c>
      <c r="D260" s="237">
        <v>504773</v>
      </c>
    </row>
    <row r="261" spans="1:4" ht="13.8" thickBot="1" x14ac:dyDescent="0.3">
      <c r="A261" s="236" t="s">
        <v>279</v>
      </c>
      <c r="B261" s="237">
        <v>0</v>
      </c>
      <c r="C261" s="237">
        <v>0</v>
      </c>
      <c r="D261" s="237">
        <v>0</v>
      </c>
    </row>
    <row r="262" spans="1:4" ht="13.8" thickTop="1" x14ac:dyDescent="0.25">
      <c r="A262" s="248" t="s">
        <v>259</v>
      </c>
      <c r="B262" s="249">
        <v>1756710.43</v>
      </c>
      <c r="C262" s="249">
        <v>1636675.84</v>
      </c>
      <c r="D262" s="249">
        <v>3393386.27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2"/>
  <sheetViews>
    <sheetView topLeftCell="A28" zoomScale="130" zoomScaleNormal="130" workbookViewId="0">
      <selection activeCell="D2" sqref="D2"/>
    </sheetView>
  </sheetViews>
  <sheetFormatPr defaultColWidth="9" defaultRowHeight="14.4" x14ac:dyDescent="0.3"/>
  <cols>
    <col min="1" max="1" width="24.19921875" style="3" customWidth="1"/>
    <col min="2" max="2" width="15.19921875" style="3" customWidth="1"/>
    <col min="3" max="3" width="14.5" style="3" customWidth="1"/>
    <col min="4" max="4" width="12.19921875" style="3" customWidth="1"/>
    <col min="5" max="16384" width="9" style="3"/>
  </cols>
  <sheetData>
    <row r="1" spans="1:13" ht="28.8" x14ac:dyDescent="0.3">
      <c r="A1" s="73" t="s">
        <v>24</v>
      </c>
      <c r="B1" s="74" t="s">
        <v>55</v>
      </c>
      <c r="C1" s="74" t="s">
        <v>56</v>
      </c>
      <c r="D1" s="74" t="s">
        <v>57</v>
      </c>
      <c r="E1" s="75"/>
    </row>
    <row r="2" spans="1:13" x14ac:dyDescent="0.3">
      <c r="A2" s="75" t="s">
        <v>58</v>
      </c>
      <c r="B2" s="76">
        <f>454*22</f>
        <v>9988</v>
      </c>
      <c r="C2" s="76">
        <f>625*22</f>
        <v>13750</v>
      </c>
      <c r="D2" s="76">
        <f>C2*1.2</f>
        <v>16500</v>
      </c>
      <c r="E2" s="75"/>
      <c r="F2" s="3">
        <f>625*50</f>
        <v>31250</v>
      </c>
      <c r="G2" s="76">
        <f>F2*1.2</f>
        <v>37500</v>
      </c>
    </row>
    <row r="3" spans="1:13" x14ac:dyDescent="0.3">
      <c r="A3" s="75" t="s">
        <v>59</v>
      </c>
      <c r="B3" s="76">
        <f>140*22</f>
        <v>3080</v>
      </c>
      <c r="C3" s="76"/>
      <c r="D3" s="76">
        <f>C3*1.25</f>
        <v>0</v>
      </c>
      <c r="E3" s="75"/>
      <c r="F3" s="3">
        <f>625*35</f>
        <v>21875</v>
      </c>
      <c r="G3" s="76">
        <f>F3*1.2</f>
        <v>26250</v>
      </c>
    </row>
    <row r="4" spans="1:13" x14ac:dyDescent="0.3">
      <c r="A4" s="75" t="s">
        <v>60</v>
      </c>
      <c r="B4" s="76">
        <f>600*22</f>
        <v>13200</v>
      </c>
      <c r="C4" s="76">
        <f>771*22</f>
        <v>16962</v>
      </c>
      <c r="D4" s="76">
        <f>C4*1.2</f>
        <v>20354.399999999998</v>
      </c>
      <c r="E4" s="75">
        <f>E2+E3</f>
        <v>0</v>
      </c>
      <c r="F4" s="3">
        <f>625*25</f>
        <v>15625</v>
      </c>
      <c r="G4" s="76">
        <f>F4*1.2</f>
        <v>18750</v>
      </c>
    </row>
    <row r="5" spans="1:13" x14ac:dyDescent="0.3">
      <c r="A5" s="75" t="s">
        <v>61</v>
      </c>
      <c r="B5" s="76">
        <f>454*22</f>
        <v>9988</v>
      </c>
      <c r="C5" s="76">
        <f>625*22</f>
        <v>13750</v>
      </c>
      <c r="D5" s="76">
        <f>C5*1.2</f>
        <v>16500</v>
      </c>
      <c r="E5" s="75"/>
    </row>
    <row r="6" spans="1:13" ht="28.95" customHeight="1" x14ac:dyDescent="0.3">
      <c r="A6" s="75" t="s">
        <v>62</v>
      </c>
      <c r="B6" s="76">
        <v>3500</v>
      </c>
      <c r="C6" s="76"/>
      <c r="D6" s="76"/>
      <c r="E6" s="75"/>
    </row>
    <row r="7" spans="1:13" x14ac:dyDescent="0.3">
      <c r="A7" s="77" t="s">
        <v>63</v>
      </c>
      <c r="B7" s="76">
        <v>1500</v>
      </c>
      <c r="C7" s="76"/>
      <c r="D7" s="75" t="s">
        <v>173</v>
      </c>
      <c r="E7" s="75"/>
    </row>
    <row r="8" spans="1:13" x14ac:dyDescent="0.3">
      <c r="A8" s="169" t="s">
        <v>166</v>
      </c>
      <c r="B8" s="76">
        <f>B3*1.25</f>
        <v>3850</v>
      </c>
      <c r="C8" s="76"/>
      <c r="D8" s="76">
        <f>B8*1.2</f>
        <v>4620</v>
      </c>
      <c r="E8" s="75"/>
    </row>
    <row r="9" spans="1:13" x14ac:dyDescent="0.3">
      <c r="A9" s="169" t="s">
        <v>167</v>
      </c>
      <c r="B9" s="76"/>
      <c r="C9" s="76"/>
      <c r="D9" s="75"/>
      <c r="E9" s="75"/>
      <c r="K9" s="163">
        <f>Prices!D4</f>
        <v>20354.399999999998</v>
      </c>
      <c r="M9" s="3">
        <v>2</v>
      </c>
    </row>
    <row r="10" spans="1:13" ht="72" x14ac:dyDescent="0.3">
      <c r="A10" s="164" t="s">
        <v>170</v>
      </c>
      <c r="B10" s="79">
        <v>50000</v>
      </c>
      <c r="C10" s="79"/>
      <c r="D10" s="79"/>
      <c r="E10" s="80"/>
      <c r="K10" s="163">
        <f>K9</f>
        <v>20354.399999999998</v>
      </c>
      <c r="L10" s="3">
        <v>3</v>
      </c>
      <c r="M10" s="3">
        <v>2</v>
      </c>
    </row>
    <row r="11" spans="1:13" ht="43.2" x14ac:dyDescent="0.3">
      <c r="A11" s="164" t="s">
        <v>171</v>
      </c>
      <c r="B11" s="79">
        <v>65500</v>
      </c>
      <c r="C11" s="79" t="s">
        <v>64</v>
      </c>
      <c r="D11" s="79"/>
      <c r="E11" s="80"/>
      <c r="K11" s="163">
        <f>K10</f>
        <v>20354.399999999998</v>
      </c>
      <c r="M11" s="3">
        <v>2</v>
      </c>
    </row>
    <row r="12" spans="1:13" x14ac:dyDescent="0.3">
      <c r="A12" s="164" t="s">
        <v>65</v>
      </c>
      <c r="B12" s="79">
        <v>300000</v>
      </c>
      <c r="C12" s="79"/>
      <c r="D12" s="81"/>
      <c r="E12" s="80"/>
      <c r="K12" s="163"/>
    </row>
    <row r="13" spans="1:13" ht="28.8" x14ac:dyDescent="0.3">
      <c r="A13" s="164" t="s">
        <v>168</v>
      </c>
      <c r="B13" s="79">
        <v>30000</v>
      </c>
      <c r="C13" s="79"/>
      <c r="D13" s="81"/>
      <c r="E13" s="80"/>
    </row>
    <row r="14" spans="1:13" ht="57.6" x14ac:dyDescent="0.3">
      <c r="A14" s="164" t="s">
        <v>169</v>
      </c>
      <c r="B14" s="79">
        <v>100000</v>
      </c>
      <c r="C14" s="79"/>
      <c r="D14" s="79"/>
      <c r="E14" s="80"/>
    </row>
    <row r="15" spans="1:13" x14ac:dyDescent="0.3">
      <c r="A15" s="164" t="s">
        <v>66</v>
      </c>
      <c r="B15" s="79">
        <v>60000</v>
      </c>
      <c r="C15" s="79"/>
      <c r="D15" s="79"/>
      <c r="E15" s="80"/>
    </row>
    <row r="16" spans="1:13" ht="43.2" x14ac:dyDescent="0.3">
      <c r="A16" s="164" t="s">
        <v>172</v>
      </c>
      <c r="B16" s="79">
        <v>15000</v>
      </c>
      <c r="C16" s="79" t="s">
        <v>67</v>
      </c>
      <c r="D16" s="79"/>
      <c r="E16" s="80"/>
    </row>
    <row r="17" spans="1:13" x14ac:dyDescent="0.3">
      <c r="A17" s="164" t="s">
        <v>68</v>
      </c>
      <c r="B17" s="79">
        <v>1500</v>
      </c>
      <c r="C17" s="79"/>
      <c r="D17" s="79"/>
      <c r="E17" s="80"/>
    </row>
    <row r="18" spans="1:13" x14ac:dyDescent="0.3">
      <c r="A18" s="78" t="s">
        <v>69</v>
      </c>
      <c r="B18" s="79">
        <v>13000</v>
      </c>
      <c r="C18" s="79"/>
      <c r="D18" s="81"/>
      <c r="E18" s="80"/>
    </row>
    <row r="19" spans="1:13" x14ac:dyDescent="0.3">
      <c r="A19" s="164" t="s">
        <v>70</v>
      </c>
      <c r="B19" s="79">
        <v>200000</v>
      </c>
      <c r="C19" s="79"/>
      <c r="D19" s="81" t="s">
        <v>174</v>
      </c>
      <c r="E19" s="80"/>
    </row>
    <row r="20" spans="1:13" ht="100.8" x14ac:dyDescent="0.3">
      <c r="A20" s="164" t="s">
        <v>175</v>
      </c>
      <c r="B20" s="79">
        <v>200000</v>
      </c>
      <c r="C20" s="79"/>
      <c r="D20" s="79"/>
      <c r="E20" s="80"/>
      <c r="L20" s="3">
        <v>6</v>
      </c>
      <c r="M20" s="3">
        <v>2</v>
      </c>
    </row>
    <row r="21" spans="1:13" ht="55.2" customHeight="1" x14ac:dyDescent="0.3">
      <c r="A21" s="164" t="s">
        <v>71</v>
      </c>
      <c r="B21" s="79">
        <v>300000</v>
      </c>
      <c r="C21" s="79"/>
      <c r="D21" s="79"/>
      <c r="E21" s="80"/>
    </row>
    <row r="22" spans="1:13" ht="129.6" x14ac:dyDescent="0.3">
      <c r="A22" s="170" t="s">
        <v>176</v>
      </c>
      <c r="B22" s="79">
        <v>800000</v>
      </c>
      <c r="C22" s="79"/>
      <c r="D22" s="79"/>
      <c r="E22" s="80"/>
      <c r="J22" s="3" t="s">
        <v>194</v>
      </c>
    </row>
    <row r="23" spans="1:13" ht="87.6" customHeight="1" x14ac:dyDescent="0.3">
      <c r="A23" s="152" t="s">
        <v>72</v>
      </c>
      <c r="B23" s="79">
        <v>1000</v>
      </c>
      <c r="C23" s="79"/>
      <c r="D23" s="79"/>
      <c r="E23" s="80"/>
    </row>
    <row r="24" spans="1:13" ht="57.6" x14ac:dyDescent="0.3">
      <c r="A24" s="164" t="s">
        <v>73</v>
      </c>
      <c r="B24" s="79">
        <v>520000</v>
      </c>
      <c r="C24" s="79"/>
      <c r="D24" s="79" t="s">
        <v>179</v>
      </c>
      <c r="E24" s="80"/>
    </row>
    <row r="25" spans="1:13" ht="19.2" customHeight="1" x14ac:dyDescent="0.3">
      <c r="A25" s="164" t="s">
        <v>74</v>
      </c>
      <c r="B25" s="79">
        <v>150000</v>
      </c>
      <c r="C25" s="79"/>
      <c r="D25" s="79"/>
      <c r="E25" s="80"/>
    </row>
    <row r="26" spans="1:13" x14ac:dyDescent="0.3">
      <c r="A26" s="164" t="s">
        <v>75</v>
      </c>
      <c r="B26" s="81">
        <v>2000</v>
      </c>
      <c r="C26" s="80"/>
      <c r="D26" s="80"/>
      <c r="E26" s="80"/>
    </row>
    <row r="27" spans="1:13" x14ac:dyDescent="0.3">
      <c r="A27" s="164" t="s">
        <v>76</v>
      </c>
      <c r="B27" s="81">
        <v>18000</v>
      </c>
      <c r="C27" s="80"/>
      <c r="D27" s="80"/>
      <c r="E27" s="80"/>
    </row>
    <row r="28" spans="1:13" x14ac:dyDescent="0.3">
      <c r="A28" s="164" t="s">
        <v>77</v>
      </c>
      <c r="B28" s="81">
        <v>8000</v>
      </c>
      <c r="C28" s="80"/>
      <c r="D28" s="80"/>
      <c r="E28" s="80"/>
    </row>
    <row r="29" spans="1:13" x14ac:dyDescent="0.3">
      <c r="A29" s="164" t="s">
        <v>78</v>
      </c>
      <c r="B29" s="81">
        <v>7</v>
      </c>
      <c r="C29" s="80"/>
      <c r="D29" s="80"/>
      <c r="E29" s="80"/>
    </row>
    <row r="30" spans="1:13" x14ac:dyDescent="0.3">
      <c r="A30" s="164" t="s">
        <v>79</v>
      </c>
      <c r="B30" s="81">
        <v>2000</v>
      </c>
      <c r="C30" s="80"/>
      <c r="D30" s="80"/>
      <c r="E30" s="80"/>
    </row>
    <row r="31" spans="1:13" x14ac:dyDescent="0.3">
      <c r="A31" s="164" t="s">
        <v>80</v>
      </c>
      <c r="B31" s="81">
        <v>40</v>
      </c>
      <c r="C31" s="75"/>
      <c r="D31" s="75"/>
      <c r="E31" s="75"/>
    </row>
    <row r="32" spans="1:13" x14ac:dyDescent="0.3">
      <c r="A32" s="164" t="s">
        <v>81</v>
      </c>
      <c r="B32" s="81">
        <v>20</v>
      </c>
    </row>
    <row r="33" spans="1:13" x14ac:dyDescent="0.3">
      <c r="A33" s="164" t="s">
        <v>82</v>
      </c>
      <c r="B33" s="81">
        <v>10000</v>
      </c>
    </row>
    <row r="34" spans="1:13" x14ac:dyDescent="0.3">
      <c r="A34" s="165"/>
    </row>
    <row r="35" spans="1:13" x14ac:dyDescent="0.3">
      <c r="A35" s="165"/>
    </row>
    <row r="36" spans="1:13" x14ac:dyDescent="0.3">
      <c r="A36" s="165"/>
    </row>
    <row r="37" spans="1:13" x14ac:dyDescent="0.3">
      <c r="A37" s="165"/>
    </row>
    <row r="38" spans="1:13" x14ac:dyDescent="0.3">
      <c r="A38" s="165"/>
    </row>
    <row r="40" spans="1:13" x14ac:dyDescent="0.3">
      <c r="A40" s="3" t="s">
        <v>177</v>
      </c>
      <c r="M40" s="3">
        <v>1</v>
      </c>
    </row>
    <row r="41" spans="1:13" x14ac:dyDescent="0.3">
      <c r="E41" s="3">
        <f>4000</f>
        <v>4000</v>
      </c>
    </row>
    <row r="42" spans="1:13" ht="95.4" customHeight="1" x14ac:dyDescent="0.3">
      <c r="A42" s="3" t="s">
        <v>178</v>
      </c>
      <c r="L42" s="3">
        <v>4</v>
      </c>
      <c r="M42" s="3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4E1B040FA6DED46ACE700D8704CBA63" ma:contentTypeVersion="771" ma:contentTypeDescription="A content type to manage public (operations) IDB documents" ma:contentTypeScope="" ma:versionID="9a9c0af23f18de6259862ddcd172c88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588c90ced44face03ed5b972cbff97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L123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6BF57DE2C32C24DA7C54906FEF3EDFF" ma:contentTypeVersion="551" ma:contentTypeDescription="The base project type from which other project content types inherit their information." ma:contentTypeScope="" ma:versionID="f07a26ae98482cdb56443db72e4f411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bae543d42de360615f68e1d64b729a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EC-L123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Diana Champi</Other_x0020_Author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Gomez Reino, Juan Luis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136</Value>
      <Value>32</Value>
      <Value>45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EC-L1230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R0002831454</Record_x0020_Number>
    <_dlc_DocId xmlns="cdc7663a-08f0-4737-9e8c-148ce897a09c">EZSHARE-1126958300-18</_dlc_DocId>
    <_dlc_DocIdUrl xmlns="cdc7663a-08f0-4737-9e8c-148ce897a09c">
      <Url>https://idbg.sharepoint.com/teams/EZ-EC-LON/EC-L1230/_layouts/15/DocIdRedir.aspx?ID=EZSHARE-1126958300-18</Url>
      <Description>EZSHARE-1126958300-18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39A5BDA4-F9CD-4E4E-B85E-B0428F6ED109}"/>
</file>

<file path=customXml/itemProps2.xml><?xml version="1.0" encoding="utf-8"?>
<ds:datastoreItem xmlns:ds="http://schemas.openxmlformats.org/officeDocument/2006/customXml" ds:itemID="{22FE81D1-6F7D-4C55-B380-A013580F10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00EB84-FCD9-47DD-A143-449E5D6A349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E52AC9A-D70C-4A30-ACF6-89897BCEFF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F3137407-A190-43E4-88F2-03DA82898E93}"/>
</file>

<file path=customXml/itemProps6.xml><?xml version="1.0" encoding="utf-8"?>
<ds:datastoreItem xmlns:ds="http://schemas.openxmlformats.org/officeDocument/2006/customXml" ds:itemID="{DF894AD2-562C-46FF-81FD-B7666CD6B62F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cdc7663a-08f0-4737-9e8c-148ce897a09c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7.xml><?xml version="1.0" encoding="utf-8"?>
<ds:datastoreItem xmlns:ds="http://schemas.openxmlformats.org/officeDocument/2006/customXml" ds:itemID="{F29C864E-251B-41E4-A4A5-28F42314731F}"/>
</file>

<file path=customXml/itemProps8.xml><?xml version="1.0" encoding="utf-8"?>
<ds:datastoreItem xmlns:ds="http://schemas.openxmlformats.org/officeDocument/2006/customXml" ds:itemID="{B243FD09-CCDE-4707-A69E-078DD5C09B23}"/>
</file>

<file path=customXml/itemProps9.xml><?xml version="1.0" encoding="utf-8"?>
<ds:datastoreItem xmlns:ds="http://schemas.openxmlformats.org/officeDocument/2006/customXml" ds:itemID="{A0935BAB-CAE0-42C8-B40F-8663C126F5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1. Detailed Budget</vt:lpstr>
      <vt:lpstr>2. Pluriannual Plan PEP</vt:lpstr>
      <vt:lpstr>3. Procurement Plan - PA</vt:lpstr>
      <vt:lpstr>4. Sintetic - PA</vt:lpstr>
      <vt:lpstr>5. Budget by Components</vt:lpstr>
      <vt:lpstr>Sheet2</vt:lpstr>
      <vt:lpstr>6. POA 2018-2019</vt:lpstr>
      <vt:lpstr>Prices</vt:lpstr>
    </vt:vector>
  </TitlesOfParts>
  <Manager/>
  <Company>TotalCode Software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Reinoso</dc:creator>
  <cp:keywords/>
  <dc:description/>
  <cp:lastModifiedBy>Calvo Langdon, Ana Adela</cp:lastModifiedBy>
  <cp:revision/>
  <dcterms:created xsi:type="dcterms:W3CDTF">2013-04-08T21:46:41Z</dcterms:created>
  <dcterms:modified xsi:type="dcterms:W3CDTF">2018-10-10T20:58:42Z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136;#FISCAL POLICY FOR SUSTAINABILITY AND GROWTH|6e15b5e0-ae82-4b06-920a-eef6dd27cc8b</vt:lpwstr>
  </property>
  <property fmtid="{D5CDD505-2E9C-101B-9397-08002B2CF9AE}" pid="7" name="Fund IDB">
    <vt:lpwstr>30;#ORC|c028a4b2-ad8b-4cf4-9cac-a2ae6a778e23</vt:lpwstr>
  </property>
  <property fmtid="{D5CDD505-2E9C-101B-9397-08002B2CF9AE}" pid="8" name="Country">
    <vt:lpwstr>32;#Ecuador|8f163189-00fa-4e7c-827d-28fb5798781c</vt:lpwstr>
  </property>
  <property fmtid="{D5CDD505-2E9C-101B-9397-08002B2CF9AE}" pid="9" name="Sector IDB">
    <vt:lpwstr>45;#REFORM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254a012b-63e0-490c-bc9b-03e96ce8dad8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0x0101001A458A224826124E8B45B1D613300CFC0064E1B040FA6DED46ACE700D8704CBA63</vt:lpwstr>
  </property>
</Properties>
</file>