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cioga\Documents\DATA.IDB\Documents\INE-WSA\BO\BO-L1192 (Programa de Gestion integral de agua en areas urbanas)\6. POD\"/>
    </mc:Choice>
  </mc:AlternateContent>
  <xr:revisionPtr revIDLastSave="16" documentId="13_ncr:1_{3C4D72F4-1757-404C-BBDD-247BDFCDC524}" xr6:coauthVersionLast="37" xr6:coauthVersionMax="37" xr10:uidLastSave="{DB4B2260-34F3-4C5C-9D15-92A35E3FE064}"/>
  <bookViews>
    <workbookView xWindow="0" yWindow="0" windowWidth="23040" windowHeight="9192" tabRatio="846" xr2:uid="{00000000-000D-0000-FFFF-FFFF00000000}"/>
  </bookViews>
  <sheets>
    <sheet name="Resumen" sheetId="5" r:id="rId1"/>
    <sheet name="Componentes" sheetId="1" r:id="rId2"/>
    <sheet name="Detalle proyectos" sheetId="6" r:id="rId3"/>
    <sheet name="PPM-PASA-PGAS" sheetId="10" r:id="rId4"/>
    <sheet name="APRAUR" sheetId="7" r:id="rId5"/>
    <sheet name="ZONA SUR" sheetId="9" r:id="rId6"/>
    <sheet name=" ARRUMANI" sheetId="8" r:id="rId7"/>
    <sheet name="Adm_Costos Operativos" sheetId="2" r:id="rId8"/>
    <sheet name="M&amp;E_Auditoria" sheetId="4" r:id="rId9"/>
    <sheet name="Recursos Humanos" sheetId="3" r:id="rId10"/>
  </sheets>
  <externalReferences>
    <externalReference r:id="rId11"/>
  </externalReferences>
  <definedNames>
    <definedName name="_xlnm._FilterDatabase" localSheetId="1" hidden="1">Componentes!$A$4:$E$69</definedName>
    <definedName name="_ftnref1" localSheetId="1">Componentes!$A$68</definedName>
  </definedNames>
  <calcPr calcId="179020"/>
</workbook>
</file>

<file path=xl/calcChain.xml><?xml version="1.0" encoding="utf-8"?>
<calcChain xmlns="http://schemas.openxmlformats.org/spreadsheetml/2006/main">
  <c r="F13" i="5" l="1"/>
  <c r="G48" i="1"/>
  <c r="F3" i="1"/>
  <c r="H3" i="1"/>
  <c r="E9" i="4"/>
  <c r="G9" i="4"/>
  <c r="G12" i="4"/>
  <c r="E14" i="5"/>
  <c r="I63" i="1"/>
  <c r="H63" i="1"/>
  <c r="G63" i="1"/>
  <c r="E68" i="1"/>
  <c r="F68" i="1"/>
  <c r="E67" i="1"/>
  <c r="F67" i="1"/>
  <c r="E66" i="1"/>
  <c r="F66" i="1"/>
  <c r="E65" i="1"/>
  <c r="F65" i="1"/>
  <c r="I46" i="1"/>
  <c r="E53" i="1"/>
  <c r="F22" i="3"/>
  <c r="B13" i="10"/>
  <c r="E41" i="2"/>
  <c r="G41" i="2"/>
  <c r="C13" i="10"/>
  <c r="G9" i="10"/>
  <c r="M9" i="10"/>
  <c r="G8" i="10"/>
  <c r="I8" i="10"/>
  <c r="M8" i="10"/>
  <c r="G7" i="10"/>
  <c r="M7" i="10"/>
  <c r="G6" i="10"/>
  <c r="I6" i="10"/>
  <c r="M6" i="10"/>
  <c r="G5" i="10"/>
  <c r="M5" i="10"/>
  <c r="G4" i="10"/>
  <c r="I4" i="10"/>
  <c r="M4" i="10"/>
  <c r="I5" i="10"/>
  <c r="I7" i="10"/>
  <c r="I9" i="10"/>
  <c r="G53" i="1"/>
  <c r="F53" i="1"/>
  <c r="H41" i="2"/>
  <c r="I41" i="2"/>
  <c r="K4" i="10"/>
  <c r="K5" i="10"/>
  <c r="K6" i="10"/>
  <c r="K7" i="10"/>
  <c r="K8" i="10"/>
  <c r="K9" i="10"/>
  <c r="K41" i="2"/>
  <c r="K39" i="2"/>
  <c r="J41" i="2"/>
  <c r="J39" i="2"/>
  <c r="G17" i="2"/>
  <c r="G16" i="2"/>
  <c r="G19" i="2"/>
  <c r="L41" i="2"/>
  <c r="C7" i="9"/>
  <c r="B10" i="6"/>
  <c r="B9" i="6"/>
  <c r="B8" i="6"/>
  <c r="D12" i="6"/>
  <c r="D13" i="6"/>
  <c r="E60" i="1"/>
  <c r="F60" i="1"/>
  <c r="G20" i="2"/>
  <c r="G18" i="2"/>
  <c r="K8" i="3"/>
  <c r="F8" i="3"/>
  <c r="G36" i="2"/>
  <c r="G32" i="2"/>
  <c r="H32" i="2"/>
  <c r="I32" i="2"/>
  <c r="J32" i="2"/>
  <c r="K32" i="2"/>
  <c r="G31" i="2"/>
  <c r="H31" i="2"/>
  <c r="I31" i="2"/>
  <c r="J31" i="2"/>
  <c r="K31" i="2"/>
  <c r="G30" i="2"/>
  <c r="H30" i="2"/>
  <c r="I30" i="2"/>
  <c r="J30" i="2"/>
  <c r="K30" i="2"/>
  <c r="G29" i="2"/>
  <c r="H29" i="2"/>
  <c r="I29" i="2"/>
  <c r="J29" i="2"/>
  <c r="K29" i="2"/>
  <c r="G28" i="2"/>
  <c r="H28" i="2"/>
  <c r="I28" i="2"/>
  <c r="J28" i="2"/>
  <c r="K28" i="2"/>
  <c r="G27" i="2"/>
  <c r="H27" i="2"/>
  <c r="I27" i="2"/>
  <c r="J27" i="2"/>
  <c r="K27" i="2"/>
  <c r="G26" i="2"/>
  <c r="H26" i="2"/>
  <c r="I26" i="2"/>
  <c r="J26" i="2"/>
  <c r="K26" i="2"/>
  <c r="G25" i="2"/>
  <c r="H25" i="2"/>
  <c r="I25" i="2"/>
  <c r="J25" i="2"/>
  <c r="K25" i="2"/>
  <c r="G24" i="2"/>
  <c r="H24" i="2"/>
  <c r="I24" i="2"/>
  <c r="J24" i="2"/>
  <c r="K24" i="2"/>
  <c r="D28" i="3"/>
  <c r="C12" i="5"/>
  <c r="I41" i="1"/>
  <c r="H41" i="1"/>
  <c r="I38" i="1"/>
  <c r="I29" i="1"/>
  <c r="G29" i="1"/>
  <c r="I32" i="1"/>
  <c r="G32" i="1"/>
  <c r="I35" i="1"/>
  <c r="D16" i="6"/>
  <c r="D15" i="6"/>
  <c r="D14" i="6"/>
  <c r="D7" i="6"/>
  <c r="E8" i="6"/>
  <c r="E9" i="6"/>
  <c r="E10" i="6"/>
  <c r="E11" i="6"/>
  <c r="F16" i="6"/>
  <c r="G16" i="6"/>
  <c r="D40" i="1"/>
  <c r="E40" i="1"/>
  <c r="B16" i="6"/>
  <c r="F15" i="6"/>
  <c r="G15" i="6"/>
  <c r="D39" i="1"/>
  <c r="E39" i="1"/>
  <c r="F14" i="6"/>
  <c r="G14" i="6"/>
  <c r="D24" i="1"/>
  <c r="G40" i="1"/>
  <c r="F40" i="1"/>
  <c r="G39" i="1"/>
  <c r="G38" i="1"/>
  <c r="I28" i="1"/>
  <c r="E38" i="1"/>
  <c r="E24" i="1"/>
  <c r="I23" i="1"/>
  <c r="I18" i="1"/>
  <c r="K7" i="6"/>
  <c r="H7" i="6"/>
  <c r="B7" i="6"/>
  <c r="F11" i="6"/>
  <c r="G11" i="6"/>
  <c r="L11" i="6"/>
  <c r="C11" i="6"/>
  <c r="B12" i="6"/>
  <c r="F10" i="6"/>
  <c r="G10" i="6"/>
  <c r="F9" i="6"/>
  <c r="G9" i="6"/>
  <c r="F8" i="6"/>
  <c r="G8" i="6"/>
  <c r="B13" i="6"/>
  <c r="U13" i="6"/>
  <c r="G13" i="6"/>
  <c r="D27" i="1"/>
  <c r="E27" i="1"/>
  <c r="F12" i="6"/>
  <c r="G12" i="6"/>
  <c r="D26" i="1"/>
  <c r="E26" i="1"/>
  <c r="G26" i="1"/>
  <c r="F26" i="1"/>
  <c r="F39" i="1"/>
  <c r="G24" i="1"/>
  <c r="F24" i="1"/>
  <c r="G27" i="1"/>
  <c r="F27" i="1"/>
  <c r="G7" i="6"/>
  <c r="D25" i="1"/>
  <c r="E25" i="1"/>
  <c r="F7" i="6"/>
  <c r="H38" i="1"/>
  <c r="H35" i="1"/>
  <c r="F38" i="1"/>
  <c r="H23" i="1"/>
  <c r="I7" i="6"/>
  <c r="U12" i="6"/>
  <c r="G25" i="1"/>
  <c r="F25" i="1"/>
  <c r="F23" i="1"/>
  <c r="G23" i="1"/>
  <c r="E23" i="1"/>
  <c r="E64" i="1"/>
  <c r="F64" i="1"/>
  <c r="E47" i="1"/>
  <c r="H47" i="1"/>
  <c r="H46" i="1"/>
  <c r="I13" i="1"/>
  <c r="H13" i="1"/>
  <c r="I8" i="1"/>
  <c r="H8" i="1"/>
  <c r="E57" i="1"/>
  <c r="F57" i="1"/>
  <c r="E58" i="1"/>
  <c r="F58" i="1"/>
  <c r="E59" i="1"/>
  <c r="F59" i="1"/>
  <c r="E61" i="1"/>
  <c r="F61" i="1"/>
  <c r="I55" i="1"/>
  <c r="E11" i="5"/>
  <c r="H55" i="1"/>
  <c r="D11" i="5"/>
  <c r="G55" i="1"/>
  <c r="C11" i="5"/>
  <c r="E12" i="5"/>
  <c r="E50" i="1"/>
  <c r="E49" i="1"/>
  <c r="L9" i="6"/>
  <c r="L10" i="6"/>
  <c r="L8" i="6"/>
  <c r="H15" i="6"/>
  <c r="K16" i="6"/>
  <c r="H16" i="6"/>
  <c r="I16" i="6"/>
  <c r="D34" i="1"/>
  <c r="E34" i="1"/>
  <c r="F11" i="9"/>
  <c r="F10" i="9"/>
  <c r="F9" i="9"/>
  <c r="F8" i="9"/>
  <c r="F7" i="9"/>
  <c r="F6" i="9"/>
  <c r="T16" i="6"/>
  <c r="R16" i="6"/>
  <c r="O16" i="6"/>
  <c r="C8" i="8"/>
  <c r="B15" i="6"/>
  <c r="F12" i="8"/>
  <c r="F11" i="8"/>
  <c r="F10" i="8"/>
  <c r="F9" i="8"/>
  <c r="F8" i="8"/>
  <c r="F7" i="8"/>
  <c r="F5" i="8"/>
  <c r="G49" i="1"/>
  <c r="G50" i="1"/>
  <c r="F50" i="1"/>
  <c r="U15" i="6"/>
  <c r="H34" i="1"/>
  <c r="F34" i="1"/>
  <c r="I7" i="1"/>
  <c r="I6" i="1"/>
  <c r="L16" i="6"/>
  <c r="D37" i="1"/>
  <c r="E37" i="1"/>
  <c r="U16" i="6"/>
  <c r="L7" i="6"/>
  <c r="D20" i="1"/>
  <c r="E20" i="1"/>
  <c r="J16" i="6"/>
  <c r="P16" i="6"/>
  <c r="C11" i="9"/>
  <c r="C16" i="6"/>
  <c r="M16" i="6"/>
  <c r="C12" i="8"/>
  <c r="G20" i="1"/>
  <c r="F20" i="1"/>
  <c r="G37" i="1"/>
  <c r="F37" i="1"/>
  <c r="F49" i="1"/>
  <c r="E10" i="5"/>
  <c r="E15" i="5"/>
  <c r="I5" i="1"/>
  <c r="V16" i="6"/>
  <c r="D31" i="1"/>
  <c r="E31" i="1"/>
  <c r="H31" i="1"/>
  <c r="C28" i="7"/>
  <c r="C23" i="7"/>
  <c r="C17" i="7"/>
  <c r="N14" i="6"/>
  <c r="K14" i="6"/>
  <c r="H14" i="6"/>
  <c r="C14" i="7"/>
  <c r="C12" i="7"/>
  <c r="D7" i="7"/>
  <c r="C7" i="7"/>
  <c r="D5" i="7"/>
  <c r="F9" i="7"/>
  <c r="C5" i="7"/>
  <c r="C16" i="7"/>
  <c r="C38" i="7"/>
  <c r="B14" i="6"/>
  <c r="F31" i="1"/>
  <c r="U14" i="6"/>
  <c r="C43" i="7"/>
  <c r="T13" i="6"/>
  <c r="R13" i="6"/>
  <c r="O13" i="6"/>
  <c r="L13" i="6"/>
  <c r="D22" i="1"/>
  <c r="E22" i="1"/>
  <c r="I13" i="6"/>
  <c r="D17" i="1"/>
  <c r="E17" i="1"/>
  <c r="P13" i="6"/>
  <c r="G22" i="1"/>
  <c r="F22" i="1"/>
  <c r="G17" i="1"/>
  <c r="F17" i="1"/>
  <c r="M13" i="6"/>
  <c r="C13" i="6"/>
  <c r="V13" i="6"/>
  <c r="J13" i="6"/>
  <c r="D12" i="5"/>
  <c r="P14" i="6"/>
  <c r="P12" i="6"/>
  <c r="O7" i="6"/>
  <c r="O14" i="6"/>
  <c r="D48" i="1"/>
  <c r="O15" i="6"/>
  <c r="O12" i="6"/>
  <c r="D51" i="1"/>
  <c r="E52" i="1"/>
  <c r="E48" i="1"/>
  <c r="D12" i="1"/>
  <c r="E12" i="1"/>
  <c r="G12" i="1"/>
  <c r="F12" i="1"/>
  <c r="G52" i="1"/>
  <c r="F52" i="1"/>
  <c r="F48" i="1"/>
  <c r="F27" i="3"/>
  <c r="G27" i="3"/>
  <c r="F23" i="3"/>
  <c r="F21" i="3"/>
  <c r="F20" i="3"/>
  <c r="F16" i="3"/>
  <c r="F10" i="3"/>
  <c r="F11" i="3"/>
  <c r="F12" i="3"/>
  <c r="F13" i="3"/>
  <c r="F9" i="3"/>
  <c r="G21" i="3"/>
  <c r="D14" i="3"/>
  <c r="G13" i="3"/>
  <c r="G9" i="3"/>
  <c r="B9" i="3"/>
  <c r="B10" i="3"/>
  <c r="B11" i="3"/>
  <c r="B12" i="3"/>
  <c r="B13" i="3"/>
  <c r="B16" i="3"/>
  <c r="B20" i="3"/>
  <c r="B27" i="3"/>
  <c r="L8" i="3"/>
  <c r="E40" i="2"/>
  <c r="G40" i="2"/>
  <c r="G39" i="2"/>
  <c r="E38" i="2"/>
  <c r="G38" i="2"/>
  <c r="L38" i="2"/>
  <c r="E37" i="2"/>
  <c r="G37" i="2"/>
  <c r="L37" i="2"/>
  <c r="E35" i="2"/>
  <c r="G35" i="2"/>
  <c r="L35" i="2"/>
  <c r="E34" i="2"/>
  <c r="G34" i="2"/>
  <c r="L34" i="2"/>
  <c r="K33" i="2"/>
  <c r="J33" i="2"/>
  <c r="I33" i="2"/>
  <c r="H33" i="2"/>
  <c r="G23" i="2"/>
  <c r="G22" i="2"/>
  <c r="H22" i="2"/>
  <c r="I22" i="2"/>
  <c r="G21" i="2"/>
  <c r="E15" i="2"/>
  <c r="G15" i="2"/>
  <c r="E14" i="2"/>
  <c r="G14" i="2"/>
  <c r="H13" i="2"/>
  <c r="E13" i="2"/>
  <c r="H40" i="2"/>
  <c r="H39" i="2"/>
  <c r="G19" i="3"/>
  <c r="H19" i="3"/>
  <c r="I19" i="3"/>
  <c r="J19" i="3"/>
  <c r="K19" i="3"/>
  <c r="G18" i="3"/>
  <c r="H18" i="3"/>
  <c r="I18" i="3"/>
  <c r="J18" i="3"/>
  <c r="K18" i="3"/>
  <c r="G17" i="3"/>
  <c r="G16" i="3"/>
  <c r="G20" i="3"/>
  <c r="G24" i="3"/>
  <c r="G25" i="3"/>
  <c r="G26" i="3"/>
  <c r="G23" i="3"/>
  <c r="G22" i="3"/>
  <c r="G28" i="3"/>
  <c r="I40" i="2"/>
  <c r="I39" i="2"/>
  <c r="H20" i="3"/>
  <c r="H25" i="3"/>
  <c r="I25" i="3"/>
  <c r="J25" i="3"/>
  <c r="K25" i="3"/>
  <c r="H26" i="3"/>
  <c r="I26" i="3"/>
  <c r="J26" i="3"/>
  <c r="K26" i="3"/>
  <c r="H24" i="3"/>
  <c r="G33" i="2"/>
  <c r="H23" i="2"/>
  <c r="L27" i="2"/>
  <c r="L29" i="2"/>
  <c r="L31" i="2"/>
  <c r="L28" i="2"/>
  <c r="L30" i="2"/>
  <c r="L32" i="2"/>
  <c r="L40" i="2"/>
  <c r="L39" i="2"/>
  <c r="G11" i="3"/>
  <c r="H11" i="3"/>
  <c r="G10" i="3"/>
  <c r="H10" i="3"/>
  <c r="I10" i="3"/>
  <c r="J10" i="3"/>
  <c r="G12" i="3"/>
  <c r="H12" i="3"/>
  <c r="I12" i="3"/>
  <c r="J12" i="3"/>
  <c r="K12" i="3"/>
  <c r="H21" i="3"/>
  <c r="I21" i="3"/>
  <c r="J21" i="3"/>
  <c r="K21" i="3"/>
  <c r="D29" i="3"/>
  <c r="I11" i="3"/>
  <c r="J11" i="3"/>
  <c r="K11" i="3"/>
  <c r="H13" i="3"/>
  <c r="I13" i="3"/>
  <c r="J13" i="3"/>
  <c r="K13" i="3"/>
  <c r="H9" i="3"/>
  <c r="H27" i="3"/>
  <c r="I27" i="3"/>
  <c r="J27" i="3"/>
  <c r="K27" i="3"/>
  <c r="H18" i="2"/>
  <c r="I18" i="2"/>
  <c r="J18" i="2"/>
  <c r="K18" i="2"/>
  <c r="H15" i="2"/>
  <c r="I15" i="2"/>
  <c r="J15" i="2"/>
  <c r="K15" i="2"/>
  <c r="L15" i="2"/>
  <c r="J22" i="2"/>
  <c r="K22" i="2"/>
  <c r="L25" i="2"/>
  <c r="G12" i="2"/>
  <c r="H14" i="2"/>
  <c r="I14" i="2"/>
  <c r="J14" i="2"/>
  <c r="K14" i="2"/>
  <c r="H16" i="2"/>
  <c r="I16" i="2"/>
  <c r="J16" i="2"/>
  <c r="K16" i="2"/>
  <c r="H17" i="2"/>
  <c r="I17" i="2"/>
  <c r="J17" i="2"/>
  <c r="K17" i="2"/>
  <c r="I13" i="2"/>
  <c r="H21" i="2"/>
  <c r="I21" i="2"/>
  <c r="J21" i="2"/>
  <c r="K21" i="2"/>
  <c r="L26" i="2"/>
  <c r="L36" i="2"/>
  <c r="H20" i="2"/>
  <c r="I20" i="2"/>
  <c r="J20" i="2"/>
  <c r="K20" i="2"/>
  <c r="H19" i="2"/>
  <c r="I19" i="2"/>
  <c r="J19" i="2"/>
  <c r="K19" i="2"/>
  <c r="L22" i="2"/>
  <c r="H17" i="3"/>
  <c r="H22" i="3"/>
  <c r="L10" i="3"/>
  <c r="G14" i="3"/>
  <c r="H12" i="2"/>
  <c r="L17" i="2"/>
  <c r="I20" i="3"/>
  <c r="L21" i="3"/>
  <c r="L12" i="3"/>
  <c r="I24" i="3"/>
  <c r="H23" i="3"/>
  <c r="L27" i="3"/>
  <c r="L11" i="3"/>
  <c r="L13" i="3"/>
  <c r="H14" i="3"/>
  <c r="I9" i="3"/>
  <c r="I17" i="3"/>
  <c r="H16" i="3"/>
  <c r="I23" i="2"/>
  <c r="L20" i="2"/>
  <c r="L19" i="2"/>
  <c r="L21" i="2"/>
  <c r="L16" i="2"/>
  <c r="L14" i="2"/>
  <c r="L18" i="2"/>
  <c r="L33" i="2"/>
  <c r="J13" i="2"/>
  <c r="I12" i="2"/>
  <c r="H28" i="3"/>
  <c r="L22" i="3"/>
  <c r="J24" i="3"/>
  <c r="K24" i="3"/>
  <c r="J17" i="3"/>
  <c r="K17" i="3"/>
  <c r="H29" i="3"/>
  <c r="J20" i="3"/>
  <c r="G29" i="3"/>
  <c r="G7" i="2"/>
  <c r="J9" i="3"/>
  <c r="I14" i="3"/>
  <c r="I16" i="3"/>
  <c r="I23" i="3"/>
  <c r="K13" i="2"/>
  <c r="J12" i="2"/>
  <c r="J23" i="2"/>
  <c r="I28" i="3"/>
  <c r="L24" i="3"/>
  <c r="L17" i="3"/>
  <c r="K20" i="3"/>
  <c r="L20" i="3"/>
  <c r="H30" i="3"/>
  <c r="H7" i="2"/>
  <c r="G8" i="2"/>
  <c r="G9" i="2"/>
  <c r="G11" i="2"/>
  <c r="G10" i="2"/>
  <c r="I29" i="3"/>
  <c r="J14" i="3"/>
  <c r="K9" i="3"/>
  <c r="K14" i="3"/>
  <c r="G30" i="3"/>
  <c r="J16" i="3"/>
  <c r="J23" i="3"/>
  <c r="L25" i="3"/>
  <c r="L18" i="3"/>
  <c r="K12" i="2"/>
  <c r="L13" i="2"/>
  <c r="K23" i="2"/>
  <c r="L24" i="2"/>
  <c r="L23" i="2"/>
  <c r="J28" i="3"/>
  <c r="G6" i="2"/>
  <c r="G42" i="2"/>
  <c r="H9" i="2"/>
  <c r="H10" i="2"/>
  <c r="H11" i="2"/>
  <c r="H8" i="2"/>
  <c r="I30" i="3"/>
  <c r="I7" i="2"/>
  <c r="K23" i="3"/>
  <c r="L26" i="3"/>
  <c r="L9" i="3"/>
  <c r="L14" i="3"/>
  <c r="K16" i="3"/>
  <c r="K28" i="3"/>
  <c r="L19" i="3"/>
  <c r="L12" i="2"/>
  <c r="G44" i="2"/>
  <c r="H6" i="2"/>
  <c r="H42" i="2"/>
  <c r="K29" i="3"/>
  <c r="I10" i="2"/>
  <c r="I9" i="2"/>
  <c r="I11" i="2"/>
  <c r="I8" i="2"/>
  <c r="L23" i="3"/>
  <c r="J29" i="3"/>
  <c r="J7" i="2"/>
  <c r="L16" i="3"/>
  <c r="H44" i="2"/>
  <c r="L28" i="3"/>
  <c r="K7" i="2"/>
  <c r="K8" i="2"/>
  <c r="K30" i="3"/>
  <c r="I6" i="2"/>
  <c r="I42" i="2"/>
  <c r="J8" i="2"/>
  <c r="J11" i="2"/>
  <c r="J10" i="2"/>
  <c r="J9" i="2"/>
  <c r="J30" i="3"/>
  <c r="L29" i="3"/>
  <c r="K11" i="2"/>
  <c r="L11" i="2"/>
  <c r="K10" i="2"/>
  <c r="L10" i="2"/>
  <c r="K9" i="2"/>
  <c r="L9" i="2"/>
  <c r="L7" i="2"/>
  <c r="L30" i="3"/>
  <c r="L8" i="2"/>
  <c r="J6" i="2"/>
  <c r="J42" i="2"/>
  <c r="I44" i="2"/>
  <c r="T14" i="6"/>
  <c r="R14" i="6"/>
  <c r="L14" i="6"/>
  <c r="D19" i="1"/>
  <c r="E19" i="1"/>
  <c r="I14" i="6"/>
  <c r="D14" i="1"/>
  <c r="E14" i="1"/>
  <c r="M14" i="6"/>
  <c r="G14" i="1"/>
  <c r="G19" i="1"/>
  <c r="F19" i="1"/>
  <c r="J44" i="2"/>
  <c r="H18" i="1"/>
  <c r="H7" i="1"/>
  <c r="K6" i="2"/>
  <c r="K42" i="2"/>
  <c r="L6" i="2"/>
  <c r="J14" i="6"/>
  <c r="C14" i="6"/>
  <c r="F14" i="1"/>
  <c r="K44" i="2"/>
  <c r="L44" i="2"/>
  <c r="L42" i="2"/>
  <c r="M42" i="2"/>
  <c r="V14" i="6"/>
  <c r="D9" i="1"/>
  <c r="E9" i="1"/>
  <c r="G9" i="1"/>
  <c r="T15" i="6"/>
  <c r="R15" i="6"/>
  <c r="L15" i="6"/>
  <c r="D36" i="1"/>
  <c r="E36" i="1"/>
  <c r="G36" i="1"/>
  <c r="G35" i="1"/>
  <c r="G28" i="1"/>
  <c r="I15" i="6"/>
  <c r="D33" i="1"/>
  <c r="E33" i="1"/>
  <c r="C15" i="6"/>
  <c r="D30" i="1"/>
  <c r="E30" i="1"/>
  <c r="M12" i="6"/>
  <c r="J12" i="6"/>
  <c r="C12" i="6"/>
  <c r="D11" i="1"/>
  <c r="I12" i="6"/>
  <c r="L12" i="6"/>
  <c r="D21" i="1"/>
  <c r="E21" i="1"/>
  <c r="G21" i="1"/>
  <c r="G18" i="1"/>
  <c r="F21" i="1"/>
  <c r="E18" i="1"/>
  <c r="F36" i="1"/>
  <c r="E35" i="1"/>
  <c r="H33" i="1"/>
  <c r="H32" i="1"/>
  <c r="D15" i="1"/>
  <c r="D16" i="1"/>
  <c r="E16" i="1"/>
  <c r="E29" i="1"/>
  <c r="H30" i="1"/>
  <c r="E32" i="1"/>
  <c r="V15" i="6"/>
  <c r="P15" i="6"/>
  <c r="J15" i="6"/>
  <c r="T12" i="6"/>
  <c r="M15" i="6"/>
  <c r="C8" i="6"/>
  <c r="C9" i="6"/>
  <c r="C10" i="6"/>
  <c r="G16" i="1"/>
  <c r="F16" i="1"/>
  <c r="F18" i="1"/>
  <c r="C7" i="6"/>
  <c r="F33" i="1"/>
  <c r="F32" i="1"/>
  <c r="F35" i="1"/>
  <c r="H29" i="1"/>
  <c r="H28" i="1"/>
  <c r="H6" i="1"/>
  <c r="E28" i="1"/>
  <c r="F30" i="1"/>
  <c r="F29" i="1"/>
  <c r="V7" i="6"/>
  <c r="V12" i="6"/>
  <c r="U7" i="6"/>
  <c r="P7" i="6"/>
  <c r="M7" i="6"/>
  <c r="D10" i="5"/>
  <c r="D15" i="5"/>
  <c r="H5" i="1"/>
  <c r="F28" i="1"/>
  <c r="J7" i="6"/>
  <c r="D10" i="1"/>
  <c r="E69" i="1"/>
  <c r="F69" i="1"/>
  <c r="F63" i="1"/>
  <c r="B12" i="5"/>
  <c r="F12" i="5"/>
  <c r="E63" i="1"/>
  <c r="E56" i="1"/>
  <c r="E11" i="1"/>
  <c r="E15" i="1"/>
  <c r="G15" i="1"/>
  <c r="G13" i="1"/>
  <c r="E10" i="1"/>
  <c r="G11" i="1"/>
  <c r="F11" i="1"/>
  <c r="G10" i="1"/>
  <c r="F10" i="1"/>
  <c r="E55" i="1"/>
  <c r="F56" i="1"/>
  <c r="F55" i="1"/>
  <c r="B11" i="5"/>
  <c r="F11" i="5"/>
  <c r="E13" i="1"/>
  <c r="F15" i="1"/>
  <c r="E8" i="1"/>
  <c r="E11" i="4"/>
  <c r="F11" i="4"/>
  <c r="E10" i="4"/>
  <c r="F10" i="4"/>
  <c r="E8" i="4"/>
  <c r="F13" i="1"/>
  <c r="E7" i="1"/>
  <c r="E12" i="4"/>
  <c r="F8" i="4"/>
  <c r="F12" i="4"/>
  <c r="B14" i="5"/>
  <c r="F14" i="5"/>
  <c r="E51" i="1"/>
  <c r="E46" i="1"/>
  <c r="D42" i="1"/>
  <c r="D45" i="1"/>
  <c r="E45" i="1"/>
  <c r="G45" i="1"/>
  <c r="G51" i="1"/>
  <c r="G46" i="1"/>
  <c r="F51" i="1"/>
  <c r="F46" i="1"/>
  <c r="D43" i="1"/>
  <c r="E43" i="1"/>
  <c r="G43" i="1"/>
  <c r="D44" i="1"/>
  <c r="E44" i="1"/>
  <c r="G44" i="1"/>
  <c r="E42" i="1"/>
  <c r="G42" i="1"/>
  <c r="F44" i="1"/>
  <c r="F45" i="1"/>
  <c r="E41" i="1"/>
  <c r="F42" i="1"/>
  <c r="G41" i="1"/>
  <c r="F43" i="1"/>
  <c r="E6" i="1"/>
  <c r="F41" i="1"/>
  <c r="F9" i="1"/>
  <c r="F8" i="1"/>
  <c r="F7" i="1"/>
  <c r="G8" i="1"/>
  <c r="G7" i="1"/>
  <c r="G6" i="1"/>
  <c r="F6" i="1"/>
  <c r="F5" i="1"/>
  <c r="G5" i="1"/>
  <c r="D3" i="1"/>
  <c r="C10" i="5"/>
  <c r="C15" i="5"/>
  <c r="B10" i="5"/>
  <c r="F10" i="5"/>
  <c r="B15" i="5"/>
  <c r="F15" i="5"/>
</calcChain>
</file>

<file path=xl/sharedStrings.xml><?xml version="1.0" encoding="utf-8"?>
<sst xmlns="http://schemas.openxmlformats.org/spreadsheetml/2006/main" count="415" uniqueCount="283">
  <si>
    <t>Programa de Gestión Integral del Agua en Áreas Urbanas</t>
  </si>
  <si>
    <t>BO-L 1192</t>
  </si>
  <si>
    <t>Cuadro de Costos (US$)</t>
  </si>
  <si>
    <t>1 US$</t>
  </si>
  <si>
    <t>1 Euro</t>
  </si>
  <si>
    <t>COMPONENTES</t>
  </si>
  <si>
    <t>Fuentes (USD)</t>
  </si>
  <si>
    <t>BID</t>
  </si>
  <si>
    <t>FONPRODE</t>
  </si>
  <si>
    <t>UE</t>
  </si>
  <si>
    <t>AECID</t>
  </si>
  <si>
    <t>TOTAL</t>
  </si>
  <si>
    <t>Componente I. Inversiones en obras de infraestructura y apoyo a la Gestión de los Servicios</t>
  </si>
  <si>
    <t>Componente II. Planes Maestros Metropolitanos y Estudios de Preinversión</t>
  </si>
  <si>
    <t>Componente III. Herramientas y capacidades para seguridad hidrica</t>
  </si>
  <si>
    <t>Administración del Programa</t>
  </si>
  <si>
    <t>Monitoreo, Evaluación y Auditoria</t>
  </si>
  <si>
    <t>Euros</t>
  </si>
  <si>
    <t>Programa de Gestión Integral del Agua en Áreas Urbanas (BO-L 1192)</t>
  </si>
  <si>
    <t>Cuadro de Costos</t>
  </si>
  <si>
    <t>Unidad</t>
  </si>
  <si>
    <t>Cantidad</t>
  </si>
  <si>
    <t>Costo Unitario 
(US$)</t>
  </si>
  <si>
    <t>TOTAL
(US$)</t>
  </si>
  <si>
    <t>BID
(US$)</t>
  </si>
  <si>
    <t>FONPRODE
(US$)</t>
  </si>
  <si>
    <t>UE
(US$)</t>
  </si>
  <si>
    <t>AECID
(US$)</t>
  </si>
  <si>
    <t>Intervenciones en Agua Potable - Muestra</t>
  </si>
  <si>
    <t>Obras</t>
  </si>
  <si>
    <t>Obras Proyecto de agua potable APRAUR II en la ciudad de Oruro</t>
  </si>
  <si>
    <t>Suma Alzada</t>
  </si>
  <si>
    <t>Obras Proyecto de la ADUCCION 2: QUENAMARI - TANQUE EXISTENTE TACKO LOMA en la ciudad de Cochabamba</t>
  </si>
  <si>
    <t>Obras Proyecto de la ADUCCION 5: JOVE RANCHO - CHOJÑACOLLO en la ciudad de Cochabamba.</t>
  </si>
  <si>
    <t>Obras Proyecto de  ADUCCION 6: CHOJÑACOLLO – VINTO – SIPE SIPE en la ciudad de Cochabamba</t>
  </si>
  <si>
    <t>Supervisión</t>
  </si>
  <si>
    <t>Supervisión de Obras Proyecto de agua potable APRAUR II en la ciudad de Oruro</t>
  </si>
  <si>
    <t>Supervisión de Obras Proyecto de la ADUCCION 2: QUENAMARI - TANQUE EXISTENTE TACKO LOMA en la ciudad de Cochabamba</t>
  </si>
  <si>
    <t>Supervisión de Obras Proyecto de la ADUCCION 5: JOVE RANCHO - CHOJÑACOLLO en la ciudad de Cochabamba.</t>
  </si>
  <si>
    <t>Supervisión de Obras Proyecto de  ADUCCION 6: CHOJÑACOLLO – VINTO – SIPE SIPE en la ciudad de Cochabamba</t>
  </si>
  <si>
    <t>DESCOM - Muestra</t>
  </si>
  <si>
    <t>DESCOM del  Proyecto de agua potable APRAUR II en la ciudad de Oruro</t>
  </si>
  <si>
    <t>DESCOM del  Proyecto de la ADUCCION 2: QUENAMARI - TANQUE EXISTENTE TACKO LOMA en la ciudad de Cochabamba</t>
  </si>
  <si>
    <t>DESCOM del  Proyecto de la ADUCCION 5: JOVE RANCHO - CHOJÑACOLLO en la ciudad de Cochabamba.</t>
  </si>
  <si>
    <t>DESCOM del  Proyecto de  ADUCCION 6: CHOJÑACOLLO – VINTO – SIPE SIPE en la ciudad de Cochabamba</t>
  </si>
  <si>
    <t>Mitigación Ambiental y Social - Muestra</t>
  </si>
  <si>
    <t>Mitigación Social y Ambiental del  Proyecto de agua potable APRAUR II en la ciudad de Oruro</t>
  </si>
  <si>
    <t>Mitigación Social y Ambiental del  Proyecto de la ADUCCION 2: QUENAMARI - TANQUE EXISTENTE TACKO LOMA en la ciudad de Cochabamba</t>
  </si>
  <si>
    <t>Mitigación Social y Ambiental del  Proyecto de la ADUCCION 5: JOVE RANCHO - CHOJÑACOLLO en la ciudad de Cochabamba.</t>
  </si>
  <si>
    <t>Mitigación Social y Ambiental del  Proyecto de  ADUCCION 6: CHOJÑACOLLO – VINTO – SIPE SIPE en la ciudad de Cochabamba</t>
  </si>
  <si>
    <t>Intervenciones en Saneamiento - Muestra</t>
  </si>
  <si>
    <t>Obras Proyecto  ARRUMANI - Cochabamba</t>
  </si>
  <si>
    <t>Obras Proyecto Zona Sur - Cochabamba</t>
  </si>
  <si>
    <t>Supervisión de Obras  ARRUMANI - Cochabamba</t>
  </si>
  <si>
    <t>Supervisión de Obras Zona Sur - Cochabamba</t>
  </si>
  <si>
    <t>DESCOM -  Muestra</t>
  </si>
  <si>
    <t>DESCOM del Proyecto  ARRUMANI - Cochabamba</t>
  </si>
  <si>
    <t>DESCOM del Proyecto Zona Sur - Cochabamba</t>
  </si>
  <si>
    <t>Mitigación Ambiental y Social del Proyecto  ARRUMANI - Cochabamba</t>
  </si>
  <si>
    <t>Mitigación Ambiental y Social del Proyecto Zona Sur - Cochabamba</t>
  </si>
  <si>
    <t>Otros proyectos</t>
  </si>
  <si>
    <t>Obras otros proyectos</t>
  </si>
  <si>
    <t>Supervisión de obras</t>
  </si>
  <si>
    <t>DESCOM</t>
  </si>
  <si>
    <t>Mitigación Ambiental y Social</t>
  </si>
  <si>
    <t>Gestión integral de los servicios</t>
  </si>
  <si>
    <t>Estrategía de Conectividad de Alcantarillado</t>
  </si>
  <si>
    <t>SELA</t>
  </si>
  <si>
    <t>SEMAPA</t>
  </si>
  <si>
    <t>MISICUNI</t>
  </si>
  <si>
    <t>Otros Operadores</t>
  </si>
  <si>
    <t>Apoyo a AAPS</t>
  </si>
  <si>
    <t>Apoyo a VASP</t>
  </si>
  <si>
    <t>Componente II. Planes Maestros Metropolitano y Estudios de Preinversion</t>
  </si>
  <si>
    <t>Actualización Planes Maestro Cochabamba</t>
  </si>
  <si>
    <t>Actualización Planes Maestro La Paz - El Alto</t>
  </si>
  <si>
    <t>Actualización Planes Maestro Tarija</t>
  </si>
  <si>
    <t>Actualización Planes Maestro Santa Cruz</t>
  </si>
  <si>
    <t>Actualización y/o elaboración de Planes Maestros</t>
  </si>
  <si>
    <t>Estudios de Preinversión</t>
  </si>
  <si>
    <t>Planes de sequías y/o inundaciones elaborados.</t>
  </si>
  <si>
    <t>Planes de sequías y/o inundaciones implementados.</t>
  </si>
  <si>
    <t>Redes de monitoreo de información hidro-climática diseñadas.</t>
  </si>
  <si>
    <t>Redes de monitoreo de información hidro-climática instaladas y funcionando.</t>
  </si>
  <si>
    <t>Modelos hidrológicos y/o hidráulicos, balances hídricos[1], herramientas de modelaje y gestión del recurso hídrico elaborados o actualizados.</t>
  </si>
  <si>
    <t>Talleres de capacitación técnica en sistemas de información hidro-climática, manejo de sequias y modelado y gestión del recurso hídrico realizados.</t>
  </si>
  <si>
    <t>Otros Proyectos</t>
  </si>
  <si>
    <t>Supervisión de Obras</t>
  </si>
  <si>
    <t>DETALLE DATOS DE PROYECTOS</t>
  </si>
  <si>
    <t>US$</t>
  </si>
  <si>
    <t>A</t>
  </si>
  <si>
    <t>B</t>
  </si>
  <si>
    <t>C</t>
  </si>
  <si>
    <t>D</t>
  </si>
  <si>
    <t>E</t>
  </si>
  <si>
    <t>Nombre</t>
  </si>
  <si>
    <t xml:space="preserve">Infraestructura </t>
  </si>
  <si>
    <t>Mitigación Ambiental
PGAS</t>
  </si>
  <si>
    <t>Mitigación Ambiental
PPM-PASA</t>
  </si>
  <si>
    <t>Supervisión Obras</t>
  </si>
  <si>
    <t>FI</t>
  </si>
  <si>
    <t>Imprevistos Técnicos 
(10% de A+B+C)</t>
  </si>
  <si>
    <t>Imprevistos Financieros 
(2% A+B+C+D)</t>
  </si>
  <si>
    <t>Bs</t>
  </si>
  <si>
    <t>% A</t>
  </si>
  <si>
    <t>ADUCCION 2: QUENAMARI - TANQUE EXISTENTE TACKO LOMA en la ciudad de Cochabamba</t>
  </si>
  <si>
    <t>Lote 2 - Cruce Quenamari - 1° de Mayo</t>
  </si>
  <si>
    <t>Lote 3 - Cruce 1° de Mayo - Lomas del Sur</t>
  </si>
  <si>
    <t>Lote 4 - Cruce Lomas del Sur - Tacko Loma</t>
  </si>
  <si>
    <t>Tanque Tacko Loma</t>
  </si>
  <si>
    <t>ADUCCION 5 - JOVE RANCHO - CHOJÑACOLLO en la ciudad de Cochabamba.</t>
  </si>
  <si>
    <t>ADUCCION 6: CHOJÑACOLLO – VINTO – SIPE SIPE</t>
  </si>
  <si>
    <t>APRAUR II</t>
  </si>
  <si>
    <t>ARRUMANI - Cochabamba</t>
  </si>
  <si>
    <t>ZONA SUR - Cochabamba</t>
  </si>
  <si>
    <t>TABLA DE PRESUPUESTO PGAS</t>
  </si>
  <si>
    <t>PROYECTO</t>
  </si>
  <si>
    <t>MONTO INVERSION CON MITIGACION AMBIENTAL</t>
  </si>
  <si>
    <t>Monto PGAS (USD)</t>
  </si>
  <si>
    <t>% del proyecto</t>
  </si>
  <si>
    <t>PPM-PASA (USD)</t>
  </si>
  <si>
    <t>% DESCOM PROYECTO</t>
  </si>
  <si>
    <t>MONTO DE INVERSION SIN MEDIDAS AMBIENTALES</t>
  </si>
  <si>
    <t>% PPM PASA DEL PROYECTO</t>
  </si>
  <si>
    <t>MONTO PGAS (USD)</t>
  </si>
  <si>
    <t>% DEL PGAS DEL PROYECTO</t>
  </si>
  <si>
    <t>MONTO DEL DESCOM</t>
  </si>
  <si>
    <t>%DESCOM DEL MI SIN MA</t>
  </si>
  <si>
    <t>Arrumani</t>
  </si>
  <si>
    <t>Zona Sur</t>
  </si>
  <si>
    <t>Aducción 2</t>
  </si>
  <si>
    <t>Aducción 5</t>
  </si>
  <si>
    <t>Aducción 6</t>
  </si>
  <si>
    <t>70% de proyectos del Programa</t>
  </si>
  <si>
    <t>1*</t>
  </si>
  <si>
    <t>3**</t>
  </si>
  <si>
    <t>6*</t>
  </si>
  <si>
    <t>* monto estimado</t>
  </si>
  <si>
    <t>** monto estimado MGAS</t>
  </si>
  <si>
    <t xml:space="preserve">PRESUPUESTO GENERAL PROYECTO "APRAUR" </t>
  </si>
  <si>
    <t>Matriz de Resultados</t>
  </si>
  <si>
    <t>Nº</t>
  </si>
  <si>
    <t>Componente</t>
  </si>
  <si>
    <t>Monto (Bs)</t>
  </si>
  <si>
    <t>TUBERIA DE ADUCCION - IMPULSION</t>
  </si>
  <si>
    <t>metros</t>
  </si>
  <si>
    <t xml:space="preserve">IMPULSIÓN EB-NORTE A  EB-SUD </t>
  </si>
  <si>
    <t>ESTACIONES DE BOMBEO</t>
  </si>
  <si>
    <t>EB</t>
  </si>
  <si>
    <t>EB SUR</t>
  </si>
  <si>
    <t>EB CIO</t>
  </si>
  <si>
    <t>EB CHAPICOLLU</t>
  </si>
  <si>
    <t>PLANTA JKW*</t>
  </si>
  <si>
    <t>RED DE DISTRIBUCIÓN</t>
  </si>
  <si>
    <t>RED PRIMERA FASE</t>
  </si>
  <si>
    <t>INSTALACIONES DOMICIALIARIAS</t>
  </si>
  <si>
    <t>conexiones</t>
  </si>
  <si>
    <t>INSTALACIONES NUEVAS</t>
  </si>
  <si>
    <t>AUTOMATIZACION SAP EXISTENTE</t>
  </si>
  <si>
    <t>Unidades Existentes</t>
  </si>
  <si>
    <t>INSTRUMENTACION</t>
  </si>
  <si>
    <t>CHALLAPAMPA GRANDE</t>
  </si>
  <si>
    <t>CHALLAPAMPITA</t>
  </si>
  <si>
    <t>ZONA AEROPUERTO</t>
  </si>
  <si>
    <t>PLANTA JKW</t>
  </si>
  <si>
    <t>EB'S Y TANQUES</t>
  </si>
  <si>
    <t>AUTOMATIZACIÓN</t>
  </si>
  <si>
    <t>ELECTROMECANICA</t>
  </si>
  <si>
    <t>CHALLACOLLO B1-B2</t>
  </si>
  <si>
    <t>PLAN 500</t>
  </si>
  <si>
    <t>RUMY CAMPANA</t>
  </si>
  <si>
    <t>CERRATO</t>
  </si>
  <si>
    <t>SOCAVON</t>
  </si>
  <si>
    <t>EB1</t>
  </si>
  <si>
    <t>EB2</t>
  </si>
  <si>
    <t>EB4</t>
  </si>
  <si>
    <t>PRESUPUESTO TOTAL INFRAESTRUCTURA</t>
  </si>
  <si>
    <t>MITIGACION AMBIENTAL</t>
  </si>
  <si>
    <t>PRESUPUESTO PLAN DESCOM</t>
  </si>
  <si>
    <t>PRESUPUESTO PLAN FORTALECIMIENTO INSTITUCIONAL</t>
  </si>
  <si>
    <t>SUPERVISION</t>
  </si>
  <si>
    <t>TOTAL (Bs.)</t>
  </si>
  <si>
    <t xml:space="preserve">PRESUPUESTO GENERAL PROYECTO "ZONA SUR" </t>
  </si>
  <si>
    <t>Conexiones domiciliarias</t>
  </si>
  <si>
    <t>Redes de alcantarillado</t>
  </si>
  <si>
    <t xml:space="preserve">PRESUPUESTO GENERAL PROYECTO "ARRUMANI" </t>
  </si>
  <si>
    <t>Estación de bombeo</t>
  </si>
  <si>
    <t>Conexiones Domiciliarias</t>
  </si>
  <si>
    <t>Redes</t>
  </si>
  <si>
    <t>Programa BO-L 1192</t>
  </si>
  <si>
    <r>
      <t xml:space="preserve">GASTOS ADMINISTRATIVOS ENTIDAD EJECUTORA
</t>
    </r>
    <r>
      <rPr>
        <sz val="16"/>
        <color theme="1"/>
        <rFont val="Arial Narrow"/>
        <family val="2"/>
      </rPr>
      <t>(Monto en Bs)</t>
    </r>
  </si>
  <si>
    <t>USD</t>
  </si>
  <si>
    <t>Bs/mes</t>
  </si>
  <si>
    <t>Meses</t>
  </si>
  <si>
    <t>Año 1</t>
  </si>
  <si>
    <t>Año 2</t>
  </si>
  <si>
    <t>Año 3</t>
  </si>
  <si>
    <t>Año 4</t>
  </si>
  <si>
    <t>Año 5</t>
  </si>
  <si>
    <t>Total</t>
  </si>
  <si>
    <t>1000 SERVICIOS PERSONALES</t>
  </si>
  <si>
    <t>Personal</t>
  </si>
  <si>
    <t>Régimen de Corto Plazo (Salud)</t>
  </si>
  <si>
    <t>Prima de Riesgo Profesional - Régimen de Largo Plazo</t>
  </si>
  <si>
    <t>Aporte Patronal Solidario 3%</t>
  </si>
  <si>
    <t>Aporte Patronal para Vivienda</t>
  </si>
  <si>
    <t>2000 SERVICIOS  NO PERSONALES</t>
  </si>
  <si>
    <t>Comunicaciones</t>
  </si>
  <si>
    <t>Telefonía</t>
  </si>
  <si>
    <t>Internet y Otros</t>
  </si>
  <si>
    <t xml:space="preserve">Pasajes al Interior del País </t>
  </si>
  <si>
    <t>Viáticos por Viajes al Interior del País</t>
  </si>
  <si>
    <t>Seguros</t>
  </si>
  <si>
    <t>Alquiler de Edificios</t>
  </si>
  <si>
    <t>Otros Alquileres</t>
  </si>
  <si>
    <t>Publicidad</t>
  </si>
  <si>
    <t>Servicios de Imprenta, Fotocopiado y Fotograficos</t>
  </si>
  <si>
    <t>3000 MATERIALES Y SUMINISTROS</t>
  </si>
  <si>
    <t>Gastos por Alimentación y Otros Similares</t>
  </si>
  <si>
    <t>Papel</t>
  </si>
  <si>
    <t>Productos de Artes Gráficas</t>
  </si>
  <si>
    <t>Combustible y lubricantes</t>
  </si>
  <si>
    <t>Llantas y Neumáticos</t>
  </si>
  <si>
    <t>Material de Limpieza</t>
  </si>
  <si>
    <t>Utiles de Escritorio y Oficina</t>
  </si>
  <si>
    <t>Utiles y Materiales Eléctricos</t>
  </si>
  <si>
    <t>Otros Repuestos y Accesorios</t>
  </si>
  <si>
    <t>43000 MAQUINARIA Y EQUIPO</t>
  </si>
  <si>
    <t>Equipo de Oficina y Muebles</t>
  </si>
  <si>
    <t>Equipo de Computación</t>
  </si>
  <si>
    <t xml:space="preserve">Vehículos </t>
  </si>
  <si>
    <t>Equipo de Comunicación</t>
  </si>
  <si>
    <t>Equipo Educacional y Recreativo</t>
  </si>
  <si>
    <t>OTROS</t>
  </si>
  <si>
    <t>Consultoría por producto para "Mejoras en la Gestión Operativa y administrativa de la UCP PAAP"</t>
  </si>
  <si>
    <t>Consultoria por producto de apoyo al programa</t>
  </si>
  <si>
    <t>TOTAL POR AÑO (USD):</t>
  </si>
  <si>
    <t>TOTAL POR AÑO (Bs):</t>
  </si>
  <si>
    <t>MONITOREO, EVALUACIÓN Y AUDITORIA - PROGRAMA BO-L 1192
UCP PAAP - MMAyA</t>
  </si>
  <si>
    <t>Bolivianos/US$=</t>
  </si>
  <si>
    <t>AUDITORIA, MONITOREO Y EVALUACION</t>
  </si>
  <si>
    <t>Costo Unitario
US$</t>
  </si>
  <si>
    <t>N° Unidades</t>
  </si>
  <si>
    <t>Total
(USD)</t>
  </si>
  <si>
    <t>Fuente</t>
  </si>
  <si>
    <t>Auditorias administrativas/financieras BID/FONPRODE</t>
  </si>
  <si>
    <t>US$/año</t>
  </si>
  <si>
    <t>Auditorias administrativas/financieras AECID/UE</t>
  </si>
  <si>
    <t>Evaluación Intermedia del Programa</t>
  </si>
  <si>
    <t>Suma alzada</t>
  </si>
  <si>
    <t>Evaluación Final del Programa</t>
  </si>
  <si>
    <t>Total Auditoria, Monitoreo y Evaluación</t>
  </si>
  <si>
    <t>PERSONAL DE LA ENTIDAD EJECUTORA</t>
  </si>
  <si>
    <t>1USD</t>
  </si>
  <si>
    <t>Monto (USD.)</t>
  </si>
  <si>
    <t>N°</t>
  </si>
  <si>
    <t>Cargo</t>
  </si>
  <si>
    <t>Salario/Mes</t>
  </si>
  <si>
    <t>Total.</t>
  </si>
  <si>
    <t>PERSONAL GERENCIA Y ADMINISTRATIVO</t>
  </si>
  <si>
    <t>Coordinador Técnico del Programa*</t>
  </si>
  <si>
    <t>Especialista financiero</t>
  </si>
  <si>
    <t>Especialista en Adquisiciones</t>
  </si>
  <si>
    <t>Especialista Ambiental</t>
  </si>
  <si>
    <t>Especialista en Planificación y Monitoreo</t>
  </si>
  <si>
    <t>Asesor Legal</t>
  </si>
  <si>
    <t>Sub Total</t>
  </si>
  <si>
    <t xml:space="preserve">PERSONAL TÉCNICO </t>
  </si>
  <si>
    <t>Ingeniero Civil</t>
  </si>
  <si>
    <t>Ingeniero I (Oruro)</t>
  </si>
  <si>
    <t>Ingeniero II (Cochabamba)</t>
  </si>
  <si>
    <t>Ingeniero III (otros)</t>
  </si>
  <si>
    <t>Especialista DESCOM/Social</t>
  </si>
  <si>
    <t>Especialista FI</t>
  </si>
  <si>
    <t>Especialista Recursos Hídricos</t>
  </si>
  <si>
    <t>Ingeniero Juniors</t>
  </si>
  <si>
    <t>Ingeniero Juniors I (Oruro)</t>
  </si>
  <si>
    <t>Ingeniero Juniors II (Cochabamba)</t>
  </si>
  <si>
    <t>Ingeniero Juniors III (otros)</t>
  </si>
  <si>
    <t>Mensajero</t>
  </si>
  <si>
    <t>TOTAL GENERAL USD</t>
  </si>
  <si>
    <t>TOTAL GENERAL Bs</t>
  </si>
  <si>
    <t>(*) El Personal estará a la dependencia del Coordinador Técnico del Programa de Ciudades Fase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</si>
</sst>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.00\ _€_-;\-* #,##0.00\ _€_-;_-* &quot;-&quot;??\ _€_-;_-@_-"/>
    <numFmt numFmtId="167" formatCode="_-* #,##0_-;\-* #,##0_-;_-* &quot;-&quot;??_-;_-@_-"/>
    <numFmt numFmtId="168" formatCode="_(* #,##0_);_(* \(#,##0\);_(* &quot;-&quot;??_);_(@_)"/>
    <numFmt numFmtId="169" formatCode="#,##0.0"/>
    <numFmt numFmtId="170" formatCode="0.0%"/>
    <numFmt numFmtId="171" formatCode="0.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"/>
      <family val="2"/>
    </font>
    <font>
      <i/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6">
    <xf numFmtId="0" fontId="0" fillId="0" borderId="0" xfId="0"/>
    <xf numFmtId="9" fontId="6" fillId="0" borderId="0" xfId="0" applyNumberFormat="1" applyFont="1" applyAlignment="1">
      <alignment horizontal="center"/>
    </xf>
    <xf numFmtId="0" fontId="3" fillId="0" borderId="0" xfId="0" applyFont="1"/>
    <xf numFmtId="4" fontId="8" fillId="6" borderId="2" xfId="0" applyNumberFormat="1" applyFont="1" applyFill="1" applyBorder="1"/>
    <xf numFmtId="165" fontId="0" fillId="0" borderId="0" xfId="3" applyFont="1"/>
    <xf numFmtId="1" fontId="9" fillId="0" borderId="2" xfId="0" applyNumberFormat="1" applyFont="1" applyBorder="1"/>
    <xf numFmtId="49" fontId="9" fillId="0" borderId="2" xfId="0" applyNumberFormat="1" applyFont="1" applyBorder="1"/>
    <xf numFmtId="4" fontId="9" fillId="0" borderId="2" xfId="0" applyNumberFormat="1" applyFont="1" applyBorder="1"/>
    <xf numFmtId="10" fontId="0" fillId="0" borderId="0" xfId="4" applyNumberFormat="1" applyFont="1"/>
    <xf numFmtId="4" fontId="7" fillId="6" borderId="2" xfId="0" applyNumberFormat="1" applyFont="1" applyFill="1" applyBorder="1"/>
    <xf numFmtId="0" fontId="0" fillId="5" borderId="0" xfId="0" applyFill="1"/>
    <xf numFmtId="0" fontId="10" fillId="0" borderId="2" xfId="0" applyFont="1" applyBorder="1"/>
    <xf numFmtId="4" fontId="9" fillId="5" borderId="2" xfId="0" applyNumberFormat="1" applyFont="1" applyFill="1" applyBorder="1"/>
    <xf numFmtId="0" fontId="10" fillId="5" borderId="0" xfId="0" applyFont="1" applyFill="1"/>
    <xf numFmtId="0" fontId="10" fillId="0" borderId="0" xfId="0" applyFont="1"/>
    <xf numFmtId="4" fontId="10" fillId="0" borderId="2" xfId="0" applyNumberFormat="1" applyFont="1" applyBorder="1"/>
    <xf numFmtId="0" fontId="0" fillId="0" borderId="2" xfId="0" applyBorder="1"/>
    <xf numFmtId="165" fontId="7" fillId="6" borderId="2" xfId="3" applyFont="1" applyFill="1" applyBorder="1"/>
    <xf numFmtId="4" fontId="0" fillId="0" borderId="0" xfId="0" applyNumberFormat="1"/>
    <xf numFmtId="0" fontId="13" fillId="0" borderId="0" xfId="0" applyFont="1"/>
    <xf numFmtId="165" fontId="13" fillId="0" borderId="0" xfId="3" applyFont="1"/>
    <xf numFmtId="165" fontId="14" fillId="7" borderId="2" xfId="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5" fillId="0" borderId="7" xfId="3" applyFont="1" applyBorder="1" applyAlignment="1">
      <alignment horizontal="left"/>
    </xf>
    <xf numFmtId="165" fontId="15" fillId="0" borderId="8" xfId="3" applyFont="1" applyBorder="1" applyAlignment="1">
      <alignment horizontal="left"/>
    </xf>
    <xf numFmtId="165" fontId="14" fillId="0" borderId="8" xfId="3" applyFont="1" applyBorder="1" applyAlignment="1">
      <alignment horizontal="center"/>
    </xf>
    <xf numFmtId="165" fontId="14" fillId="0" borderId="3" xfId="3" applyFont="1" applyBorder="1" applyAlignment="1">
      <alignment horizontal="center"/>
    </xf>
    <xf numFmtId="165" fontId="0" fillId="0" borderId="2" xfId="3" applyFont="1" applyBorder="1"/>
    <xf numFmtId="43" fontId="0" fillId="0" borderId="2" xfId="3" applyNumberFormat="1" applyFont="1" applyBorder="1"/>
    <xf numFmtId="0" fontId="0" fillId="0" borderId="2" xfId="0" applyBorder="1" applyAlignment="1">
      <alignment wrapText="1"/>
    </xf>
    <xf numFmtId="0" fontId="0" fillId="0" borderId="7" xfId="0" applyBorder="1"/>
    <xf numFmtId="0" fontId="3" fillId="0" borderId="8" xfId="0" applyFont="1" applyBorder="1" applyAlignment="1">
      <alignment horizontal="center" vertical="center"/>
    </xf>
    <xf numFmtId="165" fontId="0" fillId="0" borderId="3" xfId="3" applyFont="1" applyBorder="1"/>
    <xf numFmtId="165" fontId="3" fillId="0" borderId="2" xfId="3" applyFont="1" applyBorder="1"/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3" applyFont="1" applyAlignment="1">
      <alignment vertical="center"/>
    </xf>
    <xf numFmtId="0" fontId="2" fillId="8" borderId="0" xfId="0" applyFont="1" applyFill="1" applyAlignment="1">
      <alignment vertical="center" wrapText="1"/>
    </xf>
    <xf numFmtId="165" fontId="2" fillId="4" borderId="2" xfId="3" applyFont="1" applyFill="1" applyBorder="1" applyAlignment="1">
      <alignment vertical="center"/>
    </xf>
    <xf numFmtId="0" fontId="16" fillId="2" borderId="2" xfId="0" applyFont="1" applyFill="1" applyBorder="1" applyAlignment="1">
      <alignment horizontal="center" vertical="center" wrapText="1"/>
    </xf>
    <xf numFmtId="0" fontId="17" fillId="0" borderId="0" xfId="0" applyFont="1"/>
    <xf numFmtId="49" fontId="18" fillId="0" borderId="2" xfId="0" applyNumberFormat="1" applyFont="1" applyBorder="1" applyAlignment="1">
      <alignment wrapText="1"/>
    </xf>
    <xf numFmtId="49" fontId="18" fillId="0" borderId="2" xfId="0" applyNumberFormat="1" applyFont="1" applyBorder="1" applyAlignment="1">
      <alignment horizontal="center" wrapText="1"/>
    </xf>
    <xf numFmtId="41" fontId="18" fillId="0" borderId="2" xfId="1" applyFont="1" applyBorder="1" applyAlignment="1">
      <alignment wrapText="1"/>
    </xf>
    <xf numFmtId="41" fontId="18" fillId="0" borderId="2" xfId="1" applyFont="1" applyBorder="1"/>
    <xf numFmtId="41" fontId="17" fillId="0" borderId="2" xfId="1" applyFont="1" applyBorder="1"/>
    <xf numFmtId="0" fontId="18" fillId="0" borderId="0" xfId="0" applyFont="1"/>
    <xf numFmtId="49" fontId="19" fillId="0" borderId="2" xfId="0" applyNumberFormat="1" applyFont="1" applyBorder="1" applyAlignment="1">
      <alignment wrapText="1"/>
    </xf>
    <xf numFmtId="41" fontId="19" fillId="0" borderId="2" xfId="1" applyFont="1" applyBorder="1" applyAlignment="1">
      <alignment wrapText="1"/>
    </xf>
    <xf numFmtId="167" fontId="18" fillId="0" borderId="2" xfId="1" applyNumberFormat="1" applyFont="1" applyBorder="1"/>
    <xf numFmtId="41" fontId="20" fillId="3" borderId="2" xfId="0" applyNumberFormat="1" applyFont="1" applyFill="1" applyBorder="1"/>
    <xf numFmtId="0" fontId="20" fillId="0" borderId="0" xfId="0" applyFont="1"/>
    <xf numFmtId="41" fontId="17" fillId="0" borderId="0" xfId="0" applyNumberFormat="1" applyFont="1"/>
    <xf numFmtId="165" fontId="17" fillId="0" borderId="0" xfId="3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horizontal="justify" vertical="center"/>
    </xf>
    <xf numFmtId="0" fontId="21" fillId="0" borderId="0" xfId="0" applyFont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3" fontId="24" fillId="2" borderId="10" xfId="0" applyNumberFormat="1" applyFont="1" applyFill="1" applyBorder="1" applyAlignment="1">
      <alignment horizontal="center" vertical="center" wrapText="1"/>
    </xf>
    <xf numFmtId="167" fontId="21" fillId="3" borderId="2" xfId="3" applyNumberFormat="1" applyFont="1" applyFill="1" applyBorder="1" applyAlignment="1">
      <alignment vertical="center"/>
    </xf>
    <xf numFmtId="167" fontId="21" fillId="3" borderId="11" xfId="3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1" fontId="24" fillId="4" borderId="1" xfId="0" applyNumberFormat="1" applyFont="1" applyFill="1" applyBorder="1" applyAlignment="1">
      <alignment horizontal="left" vertical="center" wrapText="1"/>
    </xf>
    <xf numFmtId="1" fontId="24" fillId="4" borderId="2" xfId="0" applyNumberFormat="1" applyFont="1" applyFill="1" applyBorder="1" applyAlignment="1">
      <alignment horizontal="left" vertical="center" wrapText="1" indent="1"/>
    </xf>
    <xf numFmtId="167" fontId="24" fillId="4" borderId="2" xfId="3" applyNumberFormat="1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left" vertical="center" wrapText="1"/>
    </xf>
    <xf numFmtId="1" fontId="25" fillId="5" borderId="2" xfId="0" applyNumberFormat="1" applyFont="1" applyFill="1" applyBorder="1" applyAlignment="1">
      <alignment horizontal="left" vertical="center" wrapText="1"/>
    </xf>
    <xf numFmtId="1" fontId="25" fillId="5" borderId="2" xfId="0" applyNumberFormat="1" applyFont="1" applyFill="1" applyBorder="1" applyAlignment="1">
      <alignment horizontal="center" vertical="center" wrapText="1"/>
    </xf>
    <xf numFmtId="167" fontId="25" fillId="5" borderId="2" xfId="3" applyNumberFormat="1" applyFont="1" applyFill="1" applyBorder="1" applyAlignment="1">
      <alignment horizontal="left" vertical="center" wrapText="1" indent="2"/>
    </xf>
    <xf numFmtId="167" fontId="22" fillId="0" borderId="2" xfId="3" applyNumberFormat="1" applyFont="1" applyBorder="1" applyAlignment="1">
      <alignment vertical="center"/>
    </xf>
    <xf numFmtId="0" fontId="22" fillId="0" borderId="14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3" fontId="22" fillId="0" borderId="2" xfId="0" applyNumberFormat="1" applyFont="1" applyBorder="1" applyAlignment="1">
      <alignment vertical="center"/>
    </xf>
    <xf numFmtId="1" fontId="25" fillId="5" borderId="2" xfId="0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167" fontId="22" fillId="0" borderId="2" xfId="3" applyNumberFormat="1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/>
    </xf>
    <xf numFmtId="9" fontId="21" fillId="4" borderId="2" xfId="4" applyFont="1" applyFill="1" applyBorder="1" applyAlignment="1">
      <alignment vertical="center"/>
    </xf>
    <xf numFmtId="0" fontId="24" fillId="2" borderId="10" xfId="0" applyFont="1" applyFill="1" applyBorder="1" applyAlignment="1">
      <alignment horizontal="center" vertical="center" wrapText="1"/>
    </xf>
    <xf numFmtId="1" fontId="25" fillId="5" borderId="5" xfId="0" applyNumberFormat="1" applyFont="1" applyFill="1" applyBorder="1" applyAlignment="1">
      <alignment vertical="center" wrapText="1"/>
    </xf>
    <xf numFmtId="1" fontId="25" fillId="5" borderId="12" xfId="0" applyNumberFormat="1" applyFont="1" applyFill="1" applyBorder="1" applyAlignment="1">
      <alignment vertical="center" wrapText="1"/>
    </xf>
    <xf numFmtId="1" fontId="25" fillId="5" borderId="12" xfId="0" applyNumberFormat="1" applyFont="1" applyFill="1" applyBorder="1" applyAlignment="1">
      <alignment horizontal="center" vertical="center" wrapText="1"/>
    </xf>
    <xf numFmtId="167" fontId="22" fillId="0" borderId="12" xfId="3" applyNumberFormat="1" applyFont="1" applyBorder="1" applyAlignment="1">
      <alignment vertical="center"/>
    </xf>
    <xf numFmtId="167" fontId="22" fillId="0" borderId="13" xfId="3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26" fillId="2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164" fontId="0" fillId="0" borderId="2" xfId="5" applyFont="1" applyBorder="1"/>
    <xf numFmtId="164" fontId="0" fillId="0" borderId="11" xfId="5" applyFont="1" applyBorder="1"/>
    <xf numFmtId="0" fontId="0" fillId="0" borderId="1" xfId="0" applyBorder="1" applyAlignment="1">
      <alignment horizontal="left" wrapText="1"/>
    </xf>
    <xf numFmtId="0" fontId="3" fillId="4" borderId="5" xfId="0" applyFont="1" applyFill="1" applyBorder="1" applyAlignment="1">
      <alignment wrapText="1"/>
    </xf>
    <xf numFmtId="164" fontId="3" fillId="4" borderId="12" xfId="0" applyNumberFormat="1" applyFont="1" applyFill="1" applyBorder="1" applyAlignment="1">
      <alignment horizontal="center"/>
    </xf>
    <xf numFmtId="164" fontId="0" fillId="0" borderId="0" xfId="5" applyFont="1"/>
    <xf numFmtId="49" fontId="7" fillId="6" borderId="3" xfId="0" applyNumberFormat="1" applyFont="1" applyFill="1" applyBorder="1" applyAlignment="1">
      <alignment horizontal="left"/>
    </xf>
    <xf numFmtId="49" fontId="7" fillId="6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167" fontId="25" fillId="5" borderId="2" xfId="3" applyNumberFormat="1" applyFont="1" applyFill="1" applyBorder="1" applyAlignment="1">
      <alignment vertical="center"/>
    </xf>
    <xf numFmtId="167" fontId="25" fillId="5" borderId="12" xfId="3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3" fillId="10" borderId="0" xfId="0" applyFont="1" applyFill="1"/>
    <xf numFmtId="0" fontId="0" fillId="0" borderId="2" xfId="0" applyBorder="1" applyAlignment="1">
      <alignment horizontal="center"/>
    </xf>
    <xf numFmtId="167" fontId="0" fillId="0" borderId="2" xfId="3" applyNumberFormat="1" applyFont="1" applyBorder="1" applyAlignment="1">
      <alignment vertical="center"/>
    </xf>
    <xf numFmtId="167" fontId="28" fillId="0" borderId="2" xfId="3" applyNumberFormat="1" applyFont="1" applyBorder="1" applyAlignment="1">
      <alignment vertical="center"/>
    </xf>
    <xf numFmtId="0" fontId="28" fillId="0" borderId="0" xfId="0" applyFont="1"/>
    <xf numFmtId="0" fontId="0" fillId="0" borderId="2" xfId="0" applyBorder="1" applyAlignment="1">
      <alignment horizontal="center" vertical="center" wrapText="1"/>
    </xf>
    <xf numFmtId="9" fontId="0" fillId="0" borderId="2" xfId="4" applyFont="1" applyBorder="1" applyAlignment="1">
      <alignment horizontal="center" vertical="center"/>
    </xf>
    <xf numFmtId="1" fontId="0" fillId="0" borderId="2" xfId="0" applyNumberFormat="1" applyBorder="1" applyAlignment="1">
      <alignment vertical="center"/>
    </xf>
    <xf numFmtId="0" fontId="28" fillId="0" borderId="2" xfId="0" applyFont="1" applyBorder="1" applyAlignment="1">
      <alignment horizontal="left" wrapText="1"/>
    </xf>
    <xf numFmtId="0" fontId="0" fillId="13" borderId="2" xfId="0" applyFill="1" applyBorder="1" applyAlignment="1">
      <alignment horizontal="center"/>
    </xf>
    <xf numFmtId="167" fontId="0" fillId="13" borderId="2" xfId="3" applyNumberFormat="1" applyFont="1" applyFill="1" applyBorder="1" applyAlignment="1">
      <alignment vertical="center"/>
    </xf>
    <xf numFmtId="167" fontId="28" fillId="13" borderId="2" xfId="3" applyNumberFormat="1" applyFont="1" applyFill="1" applyBorder="1" applyAlignment="1">
      <alignment vertical="center"/>
    </xf>
    <xf numFmtId="0" fontId="29" fillId="0" borderId="0" xfId="0" applyFont="1" applyAlignment="1">
      <alignment horizontal="center" wrapText="1"/>
    </xf>
    <xf numFmtId="0" fontId="29" fillId="9" borderId="0" xfId="0" applyFont="1" applyFill="1" applyAlignment="1">
      <alignment horizontal="center" wrapText="1"/>
    </xf>
    <xf numFmtId="0" fontId="10" fillId="0" borderId="2" xfId="0" applyFont="1" applyBorder="1" applyAlignment="1">
      <alignment horizontal="center"/>
    </xf>
    <xf numFmtId="165" fontId="10" fillId="0" borderId="2" xfId="3" applyFont="1" applyBorder="1" applyAlignment="1">
      <alignment horizontal="center"/>
    </xf>
    <xf numFmtId="4" fontId="0" fillId="5" borderId="0" xfId="0" applyNumberFormat="1" applyFill="1"/>
    <xf numFmtId="165" fontId="10" fillId="0" borderId="2" xfId="3" applyFont="1" applyBorder="1"/>
    <xf numFmtId="0" fontId="10" fillId="0" borderId="2" xfId="0" applyFont="1" applyBorder="1" applyAlignment="1">
      <alignment horizontal="center" vertical="center" wrapText="1"/>
    </xf>
    <xf numFmtId="165" fontId="10" fillId="0" borderId="2" xfId="3" applyFont="1" applyBorder="1" applyAlignment="1">
      <alignment vertical="center" wrapText="1"/>
    </xf>
    <xf numFmtId="0" fontId="11" fillId="0" borderId="0" xfId="0" applyFont="1"/>
    <xf numFmtId="49" fontId="7" fillId="9" borderId="2" xfId="0" applyNumberFormat="1" applyFont="1" applyFill="1" applyBorder="1" applyAlignment="1">
      <alignment horizontal="right"/>
    </xf>
    <xf numFmtId="165" fontId="7" fillId="9" borderId="2" xfId="3" applyFont="1" applyFill="1" applyBorder="1"/>
    <xf numFmtId="0" fontId="30" fillId="0" borderId="0" xfId="0" applyFont="1"/>
    <xf numFmtId="0" fontId="30" fillId="9" borderId="0" xfId="0" applyFont="1" applyFill="1"/>
    <xf numFmtId="168" fontId="0" fillId="0" borderId="2" xfId="3" applyNumberFormat="1" applyFont="1" applyBorder="1"/>
    <xf numFmtId="0" fontId="31" fillId="0" borderId="2" xfId="0" applyFont="1" applyBorder="1"/>
    <xf numFmtId="0" fontId="31" fillId="9" borderId="2" xfId="0" applyFont="1" applyFill="1" applyBorder="1" applyAlignment="1">
      <alignment horizontal="left" indent="2"/>
    </xf>
    <xf numFmtId="168" fontId="31" fillId="9" borderId="2" xfId="3" applyNumberFormat="1" applyFont="1" applyFill="1" applyBorder="1"/>
    <xf numFmtId="165" fontId="31" fillId="9" borderId="2" xfId="3" applyFont="1" applyFill="1" applyBorder="1"/>
    <xf numFmtId="43" fontId="31" fillId="9" borderId="2" xfId="3" applyNumberFormat="1" applyFont="1" applyFill="1" applyBorder="1"/>
    <xf numFmtId="165" fontId="31" fillId="0" borderId="0" xfId="3" applyFont="1"/>
    <xf numFmtId="0" fontId="31" fillId="0" borderId="0" xfId="0" applyFont="1"/>
    <xf numFmtId="0" fontId="31" fillId="9" borderId="2" xfId="0" applyFont="1" applyFill="1" applyBorder="1"/>
    <xf numFmtId="0" fontId="3" fillId="0" borderId="8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43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167" fontId="28" fillId="13" borderId="6" xfId="3" applyNumberFormat="1" applyFont="1" applyFill="1" applyBorder="1" applyAlignment="1">
      <alignment vertical="center"/>
    </xf>
    <xf numFmtId="167" fontId="28" fillId="13" borderId="17" xfId="3" applyNumberFormat="1" applyFont="1" applyFill="1" applyBorder="1" applyAlignment="1">
      <alignment vertical="center"/>
    </xf>
    <xf numFmtId="167" fontId="28" fillId="13" borderId="4" xfId="3" applyNumberFormat="1" applyFont="1" applyFill="1" applyBorder="1" applyAlignment="1">
      <alignment vertical="center"/>
    </xf>
    <xf numFmtId="167" fontId="24" fillId="4" borderId="11" xfId="3" applyNumberFormat="1" applyFont="1" applyFill="1" applyBorder="1" applyAlignment="1">
      <alignment vertical="center" wrapText="1"/>
    </xf>
    <xf numFmtId="167" fontId="0" fillId="0" borderId="4" xfId="3" applyNumberFormat="1" applyFont="1" applyBorder="1" applyAlignment="1">
      <alignment horizontal="center" vertical="center"/>
    </xf>
    <xf numFmtId="167" fontId="28" fillId="13" borderId="4" xfId="3" applyNumberFormat="1" applyFont="1" applyFill="1" applyBorder="1" applyAlignment="1">
      <alignment horizontal="center" vertical="center"/>
    </xf>
    <xf numFmtId="9" fontId="0" fillId="0" borderId="4" xfId="4" applyFont="1" applyBorder="1" applyAlignment="1">
      <alignment horizontal="center" vertical="center"/>
    </xf>
    <xf numFmtId="167" fontId="0" fillId="13" borderId="4" xfId="3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33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7" xfId="0" applyFont="1" applyBorder="1"/>
    <xf numFmtId="4" fontId="3" fillId="0" borderId="22" xfId="0" applyNumberFormat="1" applyFont="1" applyBorder="1"/>
    <xf numFmtId="4" fontId="3" fillId="0" borderId="8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32" fillId="0" borderId="0" xfId="0" applyNumberFormat="1" applyFont="1"/>
    <xf numFmtId="0" fontId="0" fillId="0" borderId="21" xfId="0" applyBorder="1" applyAlignment="1">
      <alignment horizontal="center"/>
    </xf>
    <xf numFmtId="4" fontId="0" fillId="0" borderId="22" xfId="0" applyNumberFormat="1" applyBorder="1"/>
    <xf numFmtId="4" fontId="0" fillId="0" borderId="8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0" fontId="0" fillId="0" borderId="21" xfId="0" applyBorder="1"/>
    <xf numFmtId="0" fontId="3" fillId="0" borderId="21" xfId="0" applyFont="1" applyBorder="1"/>
    <xf numFmtId="0" fontId="3" fillId="0" borderId="23" xfId="0" applyFont="1" applyBorder="1"/>
    <xf numFmtId="4" fontId="3" fillId="0" borderId="24" xfId="0" applyNumberFormat="1" applyFont="1" applyBorder="1"/>
    <xf numFmtId="4" fontId="3" fillId="0" borderId="25" xfId="0" applyNumberFormat="1" applyFont="1" applyBorder="1"/>
    <xf numFmtId="0" fontId="0" fillId="0" borderId="23" xfId="0" applyBorder="1"/>
    <xf numFmtId="4" fontId="3" fillId="0" borderId="24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0" fontId="0" fillId="0" borderId="26" xfId="0" applyBorder="1"/>
    <xf numFmtId="4" fontId="3" fillId="0" borderId="0" xfId="0" applyNumberFormat="1" applyFont="1" applyAlignment="1">
      <alignment horizontal="center"/>
    </xf>
    <xf numFmtId="2" fontId="0" fillId="0" borderId="0" xfId="0" applyNumberFormat="1"/>
    <xf numFmtId="167" fontId="0" fillId="0" borderId="22" xfId="3" applyNumberFormat="1" applyFont="1" applyBorder="1"/>
    <xf numFmtId="167" fontId="1" fillId="0" borderId="22" xfId="3" applyNumberFormat="1" applyBorder="1"/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167" fontId="25" fillId="0" borderId="2" xfId="3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1" fontId="24" fillId="12" borderId="1" xfId="0" applyNumberFormat="1" applyFont="1" applyFill="1" applyBorder="1" applyAlignment="1">
      <alignment horizontal="left" vertical="center" wrapText="1"/>
    </xf>
    <xf numFmtId="1" fontId="24" fillId="12" borderId="2" xfId="0" applyNumberFormat="1" applyFont="1" applyFill="1" applyBorder="1" applyAlignment="1">
      <alignment horizontal="left" vertical="center" wrapText="1" indent="1"/>
    </xf>
    <xf numFmtId="167" fontId="24" fillId="12" borderId="2" xfId="3" applyNumberFormat="1" applyFont="1" applyFill="1" applyBorder="1" applyAlignment="1">
      <alignment vertical="center" wrapText="1"/>
    </xf>
    <xf numFmtId="167" fontId="24" fillId="12" borderId="11" xfId="3" applyNumberFormat="1" applyFont="1" applyFill="1" applyBorder="1" applyAlignment="1">
      <alignment vertical="center" wrapText="1"/>
    </xf>
    <xf numFmtId="3" fontId="0" fillId="0" borderId="2" xfId="0" applyNumberFormat="1" applyBorder="1"/>
    <xf numFmtId="0" fontId="3" fillId="0" borderId="32" xfId="0" applyFont="1" applyBorder="1" applyAlignment="1">
      <alignment horizontal="center" vertical="center"/>
    </xf>
    <xf numFmtId="0" fontId="3" fillId="0" borderId="27" xfId="0" applyFont="1" applyBorder="1"/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31" xfId="0" applyFont="1" applyBorder="1"/>
    <xf numFmtId="0" fontId="3" fillId="0" borderId="8" xfId="0" applyFont="1" applyBorder="1"/>
    <xf numFmtId="0" fontId="0" fillId="0" borderId="8" xfId="0" applyBorder="1"/>
    <xf numFmtId="167" fontId="0" fillId="0" borderId="22" xfId="7" applyNumberFormat="1" applyFont="1" applyBorder="1"/>
    <xf numFmtId="3" fontId="0" fillId="0" borderId="22" xfId="0" applyNumberFormat="1" applyBorder="1"/>
    <xf numFmtId="4" fontId="3" fillId="0" borderId="16" xfId="0" applyNumberFormat="1" applyFon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3" fillId="0" borderId="34" xfId="0" applyNumberFormat="1" applyFont="1" applyBorder="1"/>
    <xf numFmtId="4" fontId="3" fillId="0" borderId="31" xfId="0" applyNumberFormat="1" applyFont="1" applyBorder="1" applyAlignment="1">
      <alignment horizontal="right"/>
    </xf>
    <xf numFmtId="4" fontId="3" fillId="0" borderId="27" xfId="0" applyNumberFormat="1" applyFont="1" applyBorder="1" applyAlignment="1">
      <alignment horizontal="right"/>
    </xf>
    <xf numFmtId="3" fontId="0" fillId="0" borderId="2" xfId="0" applyNumberFormat="1" applyBorder="1" applyAlignment="1">
      <alignment vertical="center"/>
    </xf>
    <xf numFmtId="0" fontId="3" fillId="0" borderId="35" xfId="0" applyFont="1" applyBorder="1" applyAlignment="1">
      <alignment horizontal="center" vertical="center" wrapText="1"/>
    </xf>
    <xf numFmtId="0" fontId="0" fillId="0" borderId="22" xfId="0" applyBorder="1" applyAlignment="1">
      <alignment vertical="center"/>
    </xf>
    <xf numFmtId="3" fontId="0" fillId="0" borderId="22" xfId="0" applyNumberFormat="1" applyBorder="1" applyAlignment="1">
      <alignment vertical="center"/>
    </xf>
    <xf numFmtId="4" fontId="3" fillId="0" borderId="37" xfId="0" applyNumberFormat="1" applyFont="1" applyBorder="1"/>
    <xf numFmtId="3" fontId="0" fillId="0" borderId="3" xfId="0" applyNumberFormat="1" applyBorder="1"/>
    <xf numFmtId="4" fontId="3" fillId="0" borderId="38" xfId="0" applyNumberFormat="1" applyFont="1" applyBorder="1"/>
    <xf numFmtId="4" fontId="0" fillId="0" borderId="30" xfId="0" applyNumberFormat="1" applyBorder="1" applyAlignment="1">
      <alignment horizontal="right"/>
    </xf>
    <xf numFmtId="167" fontId="28" fillId="5" borderId="2" xfId="3" applyNumberFormat="1" applyFont="1" applyFill="1" applyBorder="1" applyAlignment="1">
      <alignment vertical="center"/>
    </xf>
    <xf numFmtId="167" fontId="34" fillId="0" borderId="2" xfId="3" applyNumberFormat="1" applyFont="1" applyBorder="1"/>
    <xf numFmtId="167" fontId="34" fillId="13" borderId="2" xfId="3" applyNumberFormat="1" applyFont="1" applyFill="1" applyBorder="1"/>
    <xf numFmtId="4" fontId="34" fillId="0" borderId="2" xfId="0" applyNumberFormat="1" applyFont="1" applyBorder="1"/>
    <xf numFmtId="167" fontId="22" fillId="0" borderId="11" xfId="3" applyNumberFormat="1" applyFont="1" applyBorder="1" applyAlignment="1">
      <alignment vertical="center"/>
    </xf>
    <xf numFmtId="3" fontId="22" fillId="0" borderId="11" xfId="0" applyNumberFormat="1" applyFont="1" applyBorder="1" applyAlignment="1">
      <alignment vertical="center"/>
    </xf>
    <xf numFmtId="167" fontId="0" fillId="0" borderId="0" xfId="3" applyNumberFormat="1" applyFont="1"/>
    <xf numFmtId="167" fontId="23" fillId="0" borderId="0" xfId="3" applyNumberFormat="1" applyFont="1" applyAlignment="1">
      <alignment horizontal="justify" vertical="center"/>
    </xf>
    <xf numFmtId="167" fontId="22" fillId="0" borderId="0" xfId="3" applyNumberFormat="1" applyFont="1" applyAlignment="1">
      <alignment vertical="center"/>
    </xf>
    <xf numFmtId="0" fontId="26" fillId="2" borderId="7" xfId="0" applyFont="1" applyFill="1" applyBorder="1" applyAlignment="1">
      <alignment horizontal="center" vertical="center" wrapText="1"/>
    </xf>
    <xf numFmtId="164" fontId="0" fillId="0" borderId="7" xfId="5" applyFont="1" applyBorder="1"/>
    <xf numFmtId="4" fontId="0" fillId="0" borderId="2" xfId="0" applyNumberFormat="1" applyBorder="1"/>
    <xf numFmtId="167" fontId="0" fillId="5" borderId="0" xfId="3" applyNumberFormat="1" applyFont="1" applyFill="1"/>
    <xf numFmtId="0" fontId="24" fillId="2" borderId="15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165" fontId="30" fillId="14" borderId="8" xfId="3" applyFont="1" applyFill="1" applyBorder="1" applyAlignment="1">
      <alignment horizontal="left"/>
    </xf>
    <xf numFmtId="0" fontId="31" fillId="14" borderId="2" xfId="0" applyFont="1" applyFill="1" applyBorder="1" applyAlignment="1">
      <alignment horizontal="left" indent="2"/>
    </xf>
    <xf numFmtId="170" fontId="0" fillId="0" borderId="0" xfId="4" applyNumberFormat="1" applyFont="1" applyAlignment="1">
      <alignment vertical="center"/>
    </xf>
    <xf numFmtId="3" fontId="9" fillId="5" borderId="2" xfId="0" applyNumberFormat="1" applyFont="1" applyFill="1" applyBorder="1"/>
    <xf numFmtId="3" fontId="9" fillId="0" borderId="2" xfId="0" applyNumberFormat="1" applyFont="1" applyBorder="1"/>
    <xf numFmtId="9" fontId="0" fillId="0" borderId="2" xfId="0" applyNumberFormat="1" applyBorder="1"/>
    <xf numFmtId="3" fontId="0" fillId="0" borderId="2" xfId="0" applyNumberFormat="1" applyBorder="1" applyAlignment="1">
      <alignment horizontal="right"/>
    </xf>
    <xf numFmtId="169" fontId="0" fillId="0" borderId="2" xfId="0" applyNumberFormat="1" applyBorder="1" applyAlignment="1">
      <alignment wrapText="1"/>
    </xf>
    <xf numFmtId="171" fontId="0" fillId="0" borderId="2" xfId="0" applyNumberFormat="1" applyBorder="1"/>
    <xf numFmtId="10" fontId="0" fillId="0" borderId="2" xfId="0" applyNumberFormat="1" applyBorder="1"/>
    <xf numFmtId="4" fontId="0" fillId="5" borderId="2" xfId="0" applyNumberFormat="1" applyFill="1" applyBorder="1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169" fontId="0" fillId="0" borderId="0" xfId="0" applyNumberFormat="1" applyAlignment="1">
      <alignment wrapText="1"/>
    </xf>
    <xf numFmtId="171" fontId="0" fillId="0" borderId="0" xfId="0" applyNumberFormat="1"/>
    <xf numFmtId="0" fontId="3" fillId="0" borderId="2" xfId="0" applyFont="1" applyBorder="1" applyAlignment="1">
      <alignment horizontal="center" vertical="center"/>
    </xf>
    <xf numFmtId="4" fontId="3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70" fontId="7" fillId="6" borderId="17" xfId="4" applyNumberFormat="1" applyFont="1" applyFill="1" applyBorder="1"/>
    <xf numFmtId="165" fontId="22" fillId="0" borderId="0" xfId="3" applyFont="1" applyAlignment="1">
      <alignment vertical="center"/>
    </xf>
    <xf numFmtId="0" fontId="0" fillId="4" borderId="0" xfId="0" applyFill="1" applyAlignment="1">
      <alignment horizontal="center"/>
    </xf>
    <xf numFmtId="164" fontId="0" fillId="0" borderId="0" xfId="5" applyFont="1" applyAlignment="1">
      <alignment horizontal="right"/>
    </xf>
    <xf numFmtId="167" fontId="21" fillId="0" borderId="0" xfId="4" applyNumberFormat="1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/>
    </xf>
    <xf numFmtId="165" fontId="21" fillId="0" borderId="0" xfId="3" applyFont="1" applyAlignment="1">
      <alignment vertical="center"/>
    </xf>
    <xf numFmtId="9" fontId="23" fillId="0" borderId="0" xfId="4" applyFont="1" applyAlignment="1">
      <alignment horizontal="justify" vertical="center" wrapText="1"/>
    </xf>
    <xf numFmtId="165" fontId="21" fillId="0" borderId="0" xfId="0" applyNumberFormat="1" applyFont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164" fontId="3" fillId="4" borderId="13" xfId="0" applyNumberFormat="1" applyFont="1" applyFill="1" applyBorder="1" applyAlignment="1">
      <alignment horizontal="center"/>
    </xf>
    <xf numFmtId="0" fontId="26" fillId="2" borderId="11" xfId="0" applyFont="1" applyFill="1" applyBorder="1" applyAlignment="1">
      <alignment horizontal="center" vertical="center" wrapText="1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40" xfId="0" applyNumberFormat="1" applyFont="1" applyFill="1" applyBorder="1" applyAlignment="1">
      <alignment horizontal="center" vertical="center" wrapText="1"/>
    </xf>
    <xf numFmtId="167" fontId="22" fillId="0" borderId="11" xfId="3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8" xfId="0" applyFont="1" applyFill="1" applyBorder="1" applyAlignment="1">
      <alignment horizontal="center" vertical="center" wrapText="1"/>
    </xf>
    <xf numFmtId="0" fontId="26" fillId="2" borderId="42" xfId="0" applyFont="1" applyFill="1" applyBorder="1" applyAlignment="1">
      <alignment horizontal="center" vertical="center" wrapText="1"/>
    </xf>
    <xf numFmtId="0" fontId="26" fillId="2" borderId="39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9" fontId="0" fillId="0" borderId="6" xfId="4" applyFont="1" applyBorder="1" applyAlignment="1">
      <alignment horizontal="center" vertical="center"/>
    </xf>
    <xf numFmtId="9" fontId="0" fillId="0" borderId="17" xfId="4" applyFont="1" applyBorder="1" applyAlignment="1">
      <alignment horizontal="center" vertical="center"/>
    </xf>
    <xf numFmtId="9" fontId="0" fillId="0" borderId="4" xfId="4" applyFont="1" applyBorder="1" applyAlignment="1">
      <alignment horizontal="center" vertical="center"/>
    </xf>
    <xf numFmtId="0" fontId="0" fillId="11" borderId="2" xfId="0" applyFill="1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167" fontId="0" fillId="13" borderId="6" xfId="3" applyNumberFormat="1" applyFont="1" applyFill="1" applyBorder="1" applyAlignment="1">
      <alignment horizontal="center" vertical="center"/>
    </xf>
    <xf numFmtId="167" fontId="0" fillId="13" borderId="17" xfId="3" applyNumberFormat="1" applyFont="1" applyFill="1" applyBorder="1" applyAlignment="1">
      <alignment horizontal="center" vertical="center"/>
    </xf>
    <xf numFmtId="167" fontId="0" fillId="13" borderId="4" xfId="3" applyNumberFormat="1" applyFont="1" applyFill="1" applyBorder="1" applyAlignment="1">
      <alignment horizontal="center" vertical="center"/>
    </xf>
    <xf numFmtId="167" fontId="0" fillId="0" borderId="6" xfId="3" applyNumberFormat="1" applyFont="1" applyBorder="1" applyAlignment="1">
      <alignment horizontal="center" vertical="center"/>
    </xf>
    <xf numFmtId="167" fontId="0" fillId="0" borderId="17" xfId="3" applyNumberFormat="1" applyFont="1" applyBorder="1" applyAlignment="1">
      <alignment horizontal="center" vertical="center"/>
    </xf>
    <xf numFmtId="167" fontId="0" fillId="0" borderId="4" xfId="3" applyNumberFormat="1" applyFont="1" applyBorder="1" applyAlignment="1">
      <alignment horizontal="center" vertical="center"/>
    </xf>
    <xf numFmtId="167" fontId="28" fillId="13" borderId="6" xfId="3" applyNumberFormat="1" applyFont="1" applyFill="1" applyBorder="1" applyAlignment="1">
      <alignment horizontal="center" vertical="center"/>
    </xf>
    <xf numFmtId="167" fontId="28" fillId="13" borderId="17" xfId="3" applyNumberFormat="1" applyFont="1" applyFill="1" applyBorder="1" applyAlignment="1">
      <alignment horizontal="center" vertical="center"/>
    </xf>
    <xf numFmtId="167" fontId="28" fillId="13" borderId="4" xfId="3" applyNumberFormat="1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 wrapText="1"/>
    </xf>
    <xf numFmtId="0" fontId="27" fillId="12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0" fontId="0" fillId="9" borderId="7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49" fontId="7" fillId="9" borderId="2" xfId="0" applyNumberFormat="1" applyFont="1" applyFill="1" applyBorder="1" applyAlignment="1">
      <alignment horizontal="right"/>
    </xf>
    <xf numFmtId="49" fontId="7" fillId="6" borderId="7" xfId="0" applyNumberFormat="1" applyFont="1" applyFill="1" applyBorder="1" applyAlignment="1">
      <alignment horizontal="left"/>
    </xf>
    <xf numFmtId="49" fontId="7" fillId="6" borderId="3" xfId="0" applyNumberFormat="1" applyFont="1" applyFill="1" applyBorder="1" applyAlignment="1">
      <alignment horizontal="left"/>
    </xf>
    <xf numFmtId="0" fontId="4" fillId="0" borderId="0" xfId="0" applyFont="1" applyAlignment="1">
      <alignment horizontal="center" wrapText="1"/>
    </xf>
    <xf numFmtId="49" fontId="7" fillId="6" borderId="2" xfId="0" applyNumberFormat="1" applyFont="1" applyFill="1" applyBorder="1" applyAlignment="1">
      <alignment horizontal="right"/>
    </xf>
    <xf numFmtId="0" fontId="4" fillId="0" borderId="23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/>
    </xf>
    <xf numFmtId="0" fontId="2" fillId="8" borderId="0" xfId="0" applyFont="1" applyFill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165" fontId="14" fillId="7" borderId="2" xfId="3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5" fontId="14" fillId="7" borderId="2" xfId="3" applyFont="1" applyFill="1" applyBorder="1" applyAlignment="1">
      <alignment horizontal="center"/>
    </xf>
  </cellXfs>
  <cellStyles count="15">
    <cellStyle name="Comma" xfId="3" builtinId="3"/>
    <cellStyle name="Comma [0]" xfId="1" builtinId="6"/>
    <cellStyle name="Millares [0] 2" xfId="5" xr:uid="{00000000-0005-0000-0000-000002000000}"/>
    <cellStyle name="Millares 10" xfId="14" xr:uid="{00000000-0005-0000-0000-000039000000}"/>
    <cellStyle name="Millares 2" xfId="6" xr:uid="{00000000-0005-0000-0000-000031000000}"/>
    <cellStyle name="Millares 2 3" xfId="2" xr:uid="{00000000-0005-0000-0000-000003000000}"/>
    <cellStyle name="Millares 3" xfId="7" xr:uid="{00000000-0005-0000-0000-000032000000}"/>
    <cellStyle name="Millares 4" xfId="8" xr:uid="{00000000-0005-0000-0000-000033000000}"/>
    <cellStyle name="Millares 5" xfId="9" xr:uid="{00000000-0005-0000-0000-000034000000}"/>
    <cellStyle name="Millares 6" xfId="10" xr:uid="{00000000-0005-0000-0000-000035000000}"/>
    <cellStyle name="Millares 7" xfId="11" xr:uid="{00000000-0005-0000-0000-000036000000}"/>
    <cellStyle name="Millares 8" xfId="12" xr:uid="{00000000-0005-0000-0000-000037000000}"/>
    <cellStyle name="Millares 9" xfId="13" xr:uid="{00000000-0005-0000-0000-000038000000}"/>
    <cellStyle name="Normal" xfId="0" builtinId="0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BOLIVIA_BOL1192/SECI/Cuadro%20de%20costos%20administrativ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_Costos Operativos"/>
      <sheetName val="PERSONAL"/>
      <sheetName val="Calculos Menores"/>
      <sheetName val="seguros"/>
    </sheetNames>
    <sheetDataSet>
      <sheetData sheetId="0"/>
      <sheetData sheetId="1"/>
      <sheetData sheetId="2">
        <row r="8">
          <cell r="E8">
            <v>129150</v>
          </cell>
        </row>
        <row r="15">
          <cell r="E15">
            <v>284992</v>
          </cell>
        </row>
        <row r="19">
          <cell r="I19">
            <v>989</v>
          </cell>
        </row>
        <row r="21">
          <cell r="E21">
            <v>39596</v>
          </cell>
        </row>
        <row r="24">
          <cell r="I24">
            <v>3000</v>
          </cell>
        </row>
        <row r="25">
          <cell r="I25">
            <v>900</v>
          </cell>
        </row>
        <row r="26">
          <cell r="E26">
            <v>29500</v>
          </cell>
        </row>
        <row r="29">
          <cell r="I29">
            <v>800</v>
          </cell>
        </row>
        <row r="30">
          <cell r="I30">
            <v>200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6"/>
  <sheetViews>
    <sheetView tabSelected="1" topLeftCell="A10" zoomScale="110" zoomScaleNormal="110" workbookViewId="0" xr3:uid="{AEA406A1-0E4B-5B11-9CD5-51D6E497D94C}">
      <selection activeCell="B18" sqref="B18:F21"/>
    </sheetView>
  </sheetViews>
  <sheetFormatPr defaultColWidth="11.42578125" defaultRowHeight="14.45"/>
  <cols>
    <col min="1" max="1" width="48.28515625" style="90" customWidth="1"/>
    <col min="2" max="2" width="16.5703125" customWidth="1"/>
    <col min="3" max="5" width="14.42578125" customWidth="1"/>
    <col min="6" max="6" width="14.5703125" customWidth="1"/>
  </cols>
  <sheetData>
    <row r="2" spans="1:6">
      <c r="A2" s="264" t="s">
        <v>0</v>
      </c>
      <c r="B2" s="264"/>
      <c r="C2" s="264"/>
      <c r="D2" s="264"/>
      <c r="E2" s="264"/>
      <c r="F2" s="264"/>
    </row>
    <row r="3" spans="1:6">
      <c r="A3" s="264" t="s">
        <v>1</v>
      </c>
      <c r="B3" s="264"/>
      <c r="C3" s="264"/>
      <c r="D3" s="264"/>
      <c r="E3" s="264"/>
      <c r="F3" s="264"/>
    </row>
    <row r="4" spans="1:6">
      <c r="A4" s="264" t="s">
        <v>2</v>
      </c>
      <c r="B4" s="264"/>
      <c r="C4" s="264"/>
      <c r="D4" s="264"/>
      <c r="E4" s="264"/>
      <c r="F4" s="264"/>
    </row>
    <row r="5" spans="1:6">
      <c r="A5" s="89"/>
      <c r="B5" s="89"/>
      <c r="C5" s="89"/>
      <c r="D5" s="105" t="s">
        <v>3</v>
      </c>
      <c r="E5" s="250">
        <v>6.86</v>
      </c>
      <c r="F5" s="89"/>
    </row>
    <row r="6" spans="1:6">
      <c r="A6" s="89"/>
      <c r="B6" s="89"/>
      <c r="C6" s="89"/>
      <c r="D6" s="105" t="s">
        <v>4</v>
      </c>
      <c r="E6" s="250">
        <v>1.17</v>
      </c>
      <c r="F6" s="89"/>
    </row>
    <row r="7" spans="1:6" ht="15" thickBot="1"/>
    <row r="8" spans="1:6">
      <c r="A8" s="268" t="s">
        <v>5</v>
      </c>
      <c r="B8" s="265" t="s">
        <v>6</v>
      </c>
      <c r="C8" s="265"/>
      <c r="D8" s="266"/>
      <c r="E8" s="266"/>
      <c r="F8" s="267"/>
    </row>
    <row r="9" spans="1:6">
      <c r="A9" s="269"/>
      <c r="B9" s="91" t="s">
        <v>7</v>
      </c>
      <c r="C9" s="91" t="s">
        <v>8</v>
      </c>
      <c r="D9" s="221" t="s">
        <v>9</v>
      </c>
      <c r="E9" s="221" t="s">
        <v>10</v>
      </c>
      <c r="F9" s="260" t="s">
        <v>11</v>
      </c>
    </row>
    <row r="10" spans="1:6" ht="28.9">
      <c r="A10" s="92" t="s">
        <v>12</v>
      </c>
      <c r="B10" s="93">
        <f>+Componentes!F6</f>
        <v>86296327.727294847</v>
      </c>
      <c r="C10" s="93">
        <f>+Componentes!G6</f>
        <v>30000000.485824689</v>
      </c>
      <c r="D10" s="222">
        <f>+Componentes!H6</f>
        <v>14135186.486880468</v>
      </c>
      <c r="E10" s="222">
        <f>+Componentes!I6</f>
        <v>0</v>
      </c>
      <c r="F10" s="94">
        <f>SUM(B10:E10)</f>
        <v>130431514.7</v>
      </c>
    </row>
    <row r="11" spans="1:6" ht="28.9">
      <c r="A11" s="92" t="s">
        <v>13</v>
      </c>
      <c r="B11" s="93">
        <f>+Componentes!F55</f>
        <v>6135186.4900000002</v>
      </c>
      <c r="C11" s="93">
        <f>+Componentes!G55</f>
        <v>0</v>
      </c>
      <c r="D11" s="222">
        <f>+Componentes!H55</f>
        <v>2864813.51</v>
      </c>
      <c r="E11" s="222">
        <f>+Componentes!I55</f>
        <v>0</v>
      </c>
      <c r="F11" s="94">
        <f t="shared" ref="F11:F14" si="0">SUM(B11:E11)</f>
        <v>9000000</v>
      </c>
    </row>
    <row r="12" spans="1:6" ht="28.9">
      <c r="A12" s="92" t="s">
        <v>14</v>
      </c>
      <c r="B12" s="93">
        <f>+Componentes!F63</f>
        <v>3500000</v>
      </c>
      <c r="C12" s="93">
        <f>+Componentes!G63</f>
        <v>0</v>
      </c>
      <c r="D12" s="222">
        <f>+Componentes!H63</f>
        <v>0</v>
      </c>
      <c r="E12" s="222">
        <f>+Componentes!I63</f>
        <v>3000000</v>
      </c>
      <c r="F12" s="94">
        <f t="shared" si="0"/>
        <v>6500000</v>
      </c>
    </row>
    <row r="13" spans="1:6">
      <c r="A13" s="95" t="s">
        <v>15</v>
      </c>
      <c r="B13" s="93">
        <v>3568485.3</v>
      </c>
      <c r="C13" s="93">
        <v>0</v>
      </c>
      <c r="D13" s="222">
        <v>0</v>
      </c>
      <c r="E13" s="222">
        <v>450000</v>
      </c>
      <c r="F13" s="94">
        <f t="shared" si="0"/>
        <v>4018485.3</v>
      </c>
    </row>
    <row r="14" spans="1:6">
      <c r="A14" s="95" t="s">
        <v>16</v>
      </c>
      <c r="B14" s="93">
        <f>+'M&amp;E_Auditoria'!F12</f>
        <v>500000</v>
      </c>
      <c r="C14" s="93">
        <v>0</v>
      </c>
      <c r="D14" s="222">
        <v>0</v>
      </c>
      <c r="E14" s="222">
        <f>+'M&amp;E_Auditoria'!G12</f>
        <v>50000</v>
      </c>
      <c r="F14" s="94">
        <f t="shared" si="0"/>
        <v>550000</v>
      </c>
    </row>
    <row r="15" spans="1:6" ht="15" thickBot="1">
      <c r="A15" s="96" t="s">
        <v>11</v>
      </c>
      <c r="B15" s="97">
        <f t="shared" ref="B15:E15" si="1">SUM(B10:B14)</f>
        <v>99999999.517294839</v>
      </c>
      <c r="C15" s="97">
        <f t="shared" si="1"/>
        <v>30000000.485824689</v>
      </c>
      <c r="D15" s="97">
        <f t="shared" si="1"/>
        <v>16999999.996880468</v>
      </c>
      <c r="E15" s="97">
        <f t="shared" si="1"/>
        <v>3500000</v>
      </c>
      <c r="F15" s="259">
        <f>SUM(B15:E15)</f>
        <v>150500000</v>
      </c>
    </row>
    <row r="16" spans="1:6">
      <c r="A16" s="98"/>
      <c r="B16" s="98"/>
      <c r="C16" s="251" t="s">
        <v>17</v>
      </c>
      <c r="D16" s="98">
        <v>14500000</v>
      </c>
      <c r="E16" s="98">
        <v>3000000</v>
      </c>
      <c r="F16" s="98"/>
    </row>
  </sheetData>
  <mergeCells count="5">
    <mergeCell ref="A2:F2"/>
    <mergeCell ref="A3:F3"/>
    <mergeCell ref="A4:F4"/>
    <mergeCell ref="B8:F8"/>
    <mergeCell ref="A8:A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"/>
  <sheetViews>
    <sheetView topLeftCell="B10" workbookViewId="0" xr3:uid="{51F8DEE0-4D01-5F28-A812-FC0BD7CAC4A5}">
      <selection activeCell="L29" sqref="L29"/>
    </sheetView>
  </sheetViews>
  <sheetFormatPr defaultColWidth="11.5703125" defaultRowHeight="14.45"/>
  <cols>
    <col min="1" max="1" width="3.140625" hidden="1" customWidth="1"/>
    <col min="2" max="2" width="3.28515625" customWidth="1"/>
    <col min="3" max="3" width="36.7109375" customWidth="1"/>
    <col min="4" max="4" width="13.85546875" customWidth="1"/>
    <col min="5" max="6" width="14.42578125" customWidth="1"/>
    <col min="7" max="7" width="14.5703125" customWidth="1"/>
    <col min="8" max="9" width="14.42578125" customWidth="1"/>
    <col min="10" max="10" width="15.140625" customWidth="1"/>
    <col min="11" max="11" width="16.85546875" customWidth="1"/>
    <col min="12" max="12" width="18.7109375" bestFit="1" customWidth="1"/>
    <col min="13" max="13" width="17.140625" customWidth="1"/>
    <col min="14" max="14" width="6" customWidth="1"/>
    <col min="15" max="15" width="7" bestFit="1" customWidth="1"/>
    <col min="16" max="16" width="13.85546875" bestFit="1" customWidth="1"/>
  </cols>
  <sheetData>
    <row r="1" spans="2:14" ht="17.45">
      <c r="B1" s="323" t="s">
        <v>252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2:14" ht="15.6">
      <c r="B2" s="324" t="s">
        <v>189</v>
      </c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2:14" ht="15.6">
      <c r="C3" s="129" t="s">
        <v>253</v>
      </c>
      <c r="D3" s="130">
        <v>6.86</v>
      </c>
      <c r="E3" s="20"/>
      <c r="F3" s="20"/>
      <c r="G3" s="20"/>
      <c r="H3" s="20"/>
      <c r="I3" s="20"/>
      <c r="J3" s="20"/>
      <c r="K3" s="20"/>
      <c r="L3" s="20"/>
    </row>
    <row r="4" spans="2:14" ht="15.6">
      <c r="C4" s="19"/>
      <c r="D4" s="19"/>
      <c r="E4" s="20"/>
      <c r="F4" s="20"/>
      <c r="G4" s="325" t="s">
        <v>254</v>
      </c>
      <c r="H4" s="325"/>
      <c r="I4" s="325"/>
      <c r="J4" s="325"/>
      <c r="K4" s="325"/>
      <c r="L4" s="325"/>
    </row>
    <row r="5" spans="2:14" s="22" customFormat="1" ht="15.6">
      <c r="B5" s="319" t="s">
        <v>255</v>
      </c>
      <c r="C5" s="319" t="s">
        <v>256</v>
      </c>
      <c r="D5" s="319" t="s">
        <v>21</v>
      </c>
      <c r="E5" s="319" t="s">
        <v>257</v>
      </c>
      <c r="F5" s="319"/>
      <c r="G5" s="319" t="s">
        <v>194</v>
      </c>
      <c r="H5" s="319" t="s">
        <v>195</v>
      </c>
      <c r="I5" s="319" t="s">
        <v>196</v>
      </c>
      <c r="J5" s="319" t="s">
        <v>197</v>
      </c>
      <c r="K5" s="319" t="s">
        <v>198</v>
      </c>
      <c r="L5" s="319" t="s">
        <v>258</v>
      </c>
    </row>
    <row r="6" spans="2:14" s="22" customFormat="1" ht="15.6">
      <c r="B6" s="319"/>
      <c r="C6" s="319"/>
      <c r="D6" s="319"/>
      <c r="E6" s="21" t="s">
        <v>103</v>
      </c>
      <c r="F6" s="21" t="s">
        <v>191</v>
      </c>
      <c r="G6" s="319"/>
      <c r="H6" s="319"/>
      <c r="I6" s="319"/>
      <c r="J6" s="319"/>
      <c r="K6" s="319"/>
      <c r="L6" s="319"/>
    </row>
    <row r="7" spans="2:14" ht="15.6">
      <c r="B7" s="23" t="s">
        <v>259</v>
      </c>
      <c r="C7" s="24"/>
      <c r="D7" s="24"/>
      <c r="E7" s="25"/>
      <c r="F7" s="25"/>
      <c r="G7" s="25"/>
      <c r="H7" s="25"/>
      <c r="I7" s="25"/>
      <c r="J7" s="25"/>
      <c r="K7" s="25"/>
      <c r="L7" s="26"/>
    </row>
    <row r="8" spans="2:14">
      <c r="B8" s="16">
        <v>1</v>
      </c>
      <c r="C8" s="228" t="s">
        <v>260</v>
      </c>
      <c r="D8" s="29">
        <v>1</v>
      </c>
      <c r="E8" s="27">
        <v>15456</v>
      </c>
      <c r="F8" s="131">
        <f>+E8/$D$3</f>
        <v>2253.0612244897957</v>
      </c>
      <c r="G8" s="28">
        <v>0</v>
      </c>
      <c r="H8" s="28">
        <v>0</v>
      </c>
      <c r="I8" s="28">
        <v>0</v>
      </c>
      <c r="J8" s="28">
        <v>33121.162579591837</v>
      </c>
      <c r="K8" s="28">
        <f>+J8*1.07</f>
        <v>35439.643960163266</v>
      </c>
      <c r="L8" s="27">
        <f t="shared" ref="L8:L13" si="0">SUM(G8:K8)</f>
        <v>68560.806539755111</v>
      </c>
    </row>
    <row r="9" spans="2:14">
      <c r="B9" s="16">
        <f>+B8+1</f>
        <v>2</v>
      </c>
      <c r="C9" s="29" t="s">
        <v>261</v>
      </c>
      <c r="D9" s="29">
        <v>1</v>
      </c>
      <c r="E9" s="27">
        <v>15456</v>
      </c>
      <c r="F9" s="131">
        <f>+E9/$D$3</f>
        <v>2253.0612244897957</v>
      </c>
      <c r="G9" s="28">
        <f>+F9*D9*12</f>
        <v>27036.734693877548</v>
      </c>
      <c r="H9" s="28">
        <f t="shared" ref="H9:J10" si="1">+G9*1.07</f>
        <v>28929.306122448979</v>
      </c>
      <c r="I9" s="28">
        <f t="shared" si="1"/>
        <v>30954.35755102041</v>
      </c>
      <c r="J9" s="28">
        <f t="shared" si="1"/>
        <v>33121.162579591837</v>
      </c>
      <c r="K9" s="28">
        <f>+J9*1.07</f>
        <v>35439.643960163266</v>
      </c>
      <c r="L9" s="27">
        <f t="shared" si="0"/>
        <v>155481.20490710204</v>
      </c>
      <c r="M9" s="4"/>
      <c r="N9" s="4"/>
    </row>
    <row r="10" spans="2:14">
      <c r="B10" s="16">
        <f>+B9+1</f>
        <v>3</v>
      </c>
      <c r="C10" s="29" t="s">
        <v>262</v>
      </c>
      <c r="D10" s="29">
        <v>1</v>
      </c>
      <c r="E10" s="27">
        <v>15456</v>
      </c>
      <c r="F10" s="131">
        <f t="shared" ref="F10:F13" si="2">+E10/$D$3</f>
        <v>2253.0612244897957</v>
      </c>
      <c r="G10" s="28">
        <f>+$F$10*$D$10*12</f>
        <v>27036.734693877548</v>
      </c>
      <c r="H10" s="28">
        <f t="shared" si="1"/>
        <v>28929.306122448979</v>
      </c>
      <c r="I10" s="28">
        <f t="shared" si="1"/>
        <v>30954.35755102041</v>
      </c>
      <c r="J10" s="28">
        <f t="shared" si="1"/>
        <v>33121.162579591837</v>
      </c>
      <c r="K10" s="28">
        <v>0</v>
      </c>
      <c r="L10" s="27">
        <f t="shared" si="0"/>
        <v>120041.56094693877</v>
      </c>
      <c r="M10" s="4"/>
      <c r="N10" s="4"/>
    </row>
    <row r="11" spans="2:14">
      <c r="B11" s="16">
        <f t="shared" ref="B11:B13" si="3">+B10+1</f>
        <v>4</v>
      </c>
      <c r="C11" s="29" t="s">
        <v>263</v>
      </c>
      <c r="D11" s="29">
        <v>1</v>
      </c>
      <c r="E11" s="27">
        <v>15456</v>
      </c>
      <c r="F11" s="131">
        <f t="shared" si="2"/>
        <v>2253.0612244897957</v>
      </c>
      <c r="G11" s="28">
        <f t="shared" ref="G11:G13" si="4">+$F$10*$D$10*12</f>
        <v>27036.734693877548</v>
      </c>
      <c r="H11" s="28">
        <f t="shared" ref="H11:K13" si="5">+G11*1.07</f>
        <v>28929.306122448979</v>
      </c>
      <c r="I11" s="28">
        <f t="shared" si="5"/>
        <v>30954.35755102041</v>
      </c>
      <c r="J11" s="28">
        <f t="shared" si="5"/>
        <v>33121.162579591837</v>
      </c>
      <c r="K11" s="28">
        <f t="shared" si="5"/>
        <v>35439.643960163266</v>
      </c>
      <c r="L11" s="27">
        <f t="shared" si="0"/>
        <v>155481.20490710204</v>
      </c>
      <c r="M11" s="4"/>
      <c r="N11" s="4"/>
    </row>
    <row r="12" spans="2:14" ht="14.25" customHeight="1">
      <c r="B12" s="16">
        <f t="shared" si="3"/>
        <v>5</v>
      </c>
      <c r="C12" s="29" t="s">
        <v>264</v>
      </c>
      <c r="D12" s="29">
        <v>1</v>
      </c>
      <c r="E12" s="27">
        <v>15456</v>
      </c>
      <c r="F12" s="131">
        <f t="shared" si="2"/>
        <v>2253.0612244897957</v>
      </c>
      <c r="G12" s="28">
        <f t="shared" si="4"/>
        <v>27036.734693877548</v>
      </c>
      <c r="H12" s="28">
        <f t="shared" si="5"/>
        <v>28929.306122448979</v>
      </c>
      <c r="I12" s="28">
        <f t="shared" si="5"/>
        <v>30954.35755102041</v>
      </c>
      <c r="J12" s="28">
        <f t="shared" si="5"/>
        <v>33121.162579591837</v>
      </c>
      <c r="K12" s="28">
        <f t="shared" si="5"/>
        <v>35439.643960163266</v>
      </c>
      <c r="L12" s="27">
        <f t="shared" si="0"/>
        <v>155481.20490710204</v>
      </c>
      <c r="M12" s="4"/>
      <c r="N12" s="4"/>
    </row>
    <row r="13" spans="2:14">
      <c r="B13" s="16">
        <f t="shared" si="3"/>
        <v>6</v>
      </c>
      <c r="C13" s="29" t="s">
        <v>265</v>
      </c>
      <c r="D13" s="29">
        <v>1</v>
      </c>
      <c r="E13" s="27">
        <v>15456</v>
      </c>
      <c r="F13" s="131">
        <f t="shared" si="2"/>
        <v>2253.0612244897957</v>
      </c>
      <c r="G13" s="28">
        <f t="shared" si="4"/>
        <v>27036.734693877548</v>
      </c>
      <c r="H13" s="28">
        <f t="shared" si="5"/>
        <v>28929.306122448979</v>
      </c>
      <c r="I13" s="28">
        <f t="shared" si="5"/>
        <v>30954.35755102041</v>
      </c>
      <c r="J13" s="28">
        <f t="shared" si="5"/>
        <v>33121.162579591837</v>
      </c>
      <c r="K13" s="28">
        <f t="shared" si="5"/>
        <v>35439.643960163266</v>
      </c>
      <c r="L13" s="27">
        <f t="shared" si="0"/>
        <v>155481.20490710204</v>
      </c>
      <c r="M13" s="4"/>
      <c r="N13" s="4"/>
    </row>
    <row r="14" spans="2:14">
      <c r="B14" s="30"/>
      <c r="C14" s="31" t="s">
        <v>266</v>
      </c>
      <c r="D14" s="31">
        <f>SUM(D8:D13)</f>
        <v>6</v>
      </c>
      <c r="E14" s="32"/>
      <c r="F14" s="32"/>
      <c r="G14" s="33">
        <f t="shared" ref="G14:K14" si="6">SUM(G8:G13)</f>
        <v>135183.67346938775</v>
      </c>
      <c r="H14" s="33">
        <f t="shared" si="6"/>
        <v>144646.53061224491</v>
      </c>
      <c r="I14" s="33">
        <f t="shared" si="6"/>
        <v>154771.78775510204</v>
      </c>
      <c r="J14" s="33">
        <f t="shared" si="6"/>
        <v>198726.97547755105</v>
      </c>
      <c r="K14" s="33">
        <f t="shared" si="6"/>
        <v>177198.21980081633</v>
      </c>
      <c r="L14" s="33">
        <f>SUM(L8:L13)</f>
        <v>810527.18711510208</v>
      </c>
      <c r="M14" s="4"/>
      <c r="N14" s="4"/>
    </row>
    <row r="15" spans="2:14" ht="15.6">
      <c r="B15" s="23" t="s">
        <v>267</v>
      </c>
      <c r="C15" s="24"/>
      <c r="D15" s="24"/>
      <c r="E15" s="25"/>
      <c r="F15" s="25"/>
      <c r="G15" s="25"/>
      <c r="H15" s="25"/>
      <c r="I15" s="25"/>
      <c r="J15" s="25"/>
      <c r="K15" s="25"/>
      <c r="L15" s="26"/>
      <c r="M15" s="4"/>
    </row>
    <row r="16" spans="2:14">
      <c r="B16" s="16">
        <f>+B13+1</f>
        <v>7</v>
      </c>
      <c r="C16" s="16" t="s">
        <v>268</v>
      </c>
      <c r="D16" s="16">
        <v>3</v>
      </c>
      <c r="E16" s="27">
        <v>15456</v>
      </c>
      <c r="F16" s="131">
        <f t="shared" ref="F16" si="7">+E16/$D$3</f>
        <v>2253.0612244897957</v>
      </c>
      <c r="G16" s="28">
        <f>SUM(G17:G19)</f>
        <v>81110.204081632648</v>
      </c>
      <c r="H16" s="28">
        <f t="shared" ref="H16:K16" si="8">SUM(H17:H19)</f>
        <v>86787.918367346938</v>
      </c>
      <c r="I16" s="28">
        <f t="shared" si="8"/>
        <v>92863.07265306123</v>
      </c>
      <c r="J16" s="28">
        <f t="shared" si="8"/>
        <v>99363.487738775511</v>
      </c>
      <c r="K16" s="28">
        <f t="shared" si="8"/>
        <v>106318.93188048981</v>
      </c>
      <c r="L16" s="27">
        <f t="shared" ref="L16:L27" si="9">SUM(G16:K16)</f>
        <v>466443.61472130613</v>
      </c>
      <c r="M16" s="4"/>
    </row>
    <row r="17" spans="2:14" s="138" customFormat="1" ht="12">
      <c r="B17" s="132"/>
      <c r="C17" s="229" t="s">
        <v>269</v>
      </c>
      <c r="D17" s="134">
        <v>1</v>
      </c>
      <c r="E17" s="135"/>
      <c r="F17" s="134"/>
      <c r="G17" s="136">
        <f>+$F$16*1*12</f>
        <v>27036.734693877548</v>
      </c>
      <c r="H17" s="136">
        <f t="shared" ref="H17:K19" si="10">+G17*1.07</f>
        <v>28929.306122448979</v>
      </c>
      <c r="I17" s="136">
        <f t="shared" si="10"/>
        <v>30954.35755102041</v>
      </c>
      <c r="J17" s="136">
        <f t="shared" si="10"/>
        <v>33121.162579591837</v>
      </c>
      <c r="K17" s="136">
        <f t="shared" si="10"/>
        <v>35439.643960163266</v>
      </c>
      <c r="L17" s="135">
        <f t="shared" si="9"/>
        <v>155481.20490710204</v>
      </c>
      <c r="M17" s="137"/>
    </row>
    <row r="18" spans="2:14" s="138" customFormat="1" ht="12">
      <c r="B18" s="132"/>
      <c r="C18" s="229" t="s">
        <v>270</v>
      </c>
      <c r="D18" s="134">
        <v>1</v>
      </c>
      <c r="E18" s="135"/>
      <c r="F18" s="134"/>
      <c r="G18" s="136">
        <f>+$F$16*1*12</f>
        <v>27036.734693877548</v>
      </c>
      <c r="H18" s="136">
        <f t="shared" si="10"/>
        <v>28929.306122448979</v>
      </c>
      <c r="I18" s="136">
        <f t="shared" si="10"/>
        <v>30954.35755102041</v>
      </c>
      <c r="J18" s="136">
        <f t="shared" si="10"/>
        <v>33121.162579591837</v>
      </c>
      <c r="K18" s="136">
        <f t="shared" si="10"/>
        <v>35439.643960163266</v>
      </c>
      <c r="L18" s="135">
        <f t="shared" si="9"/>
        <v>155481.20490710204</v>
      </c>
      <c r="M18" s="137"/>
    </row>
    <row r="19" spans="2:14" s="138" customFormat="1" ht="12">
      <c r="B19" s="132"/>
      <c r="C19" s="133" t="s">
        <v>271</v>
      </c>
      <c r="D19" s="134">
        <v>1</v>
      </c>
      <c r="E19" s="135"/>
      <c r="F19" s="134"/>
      <c r="G19" s="136">
        <f>+$F$16*1*12</f>
        <v>27036.734693877548</v>
      </c>
      <c r="H19" s="136">
        <f t="shared" si="10"/>
        <v>28929.306122448979</v>
      </c>
      <c r="I19" s="136">
        <f t="shared" si="10"/>
        <v>30954.35755102041</v>
      </c>
      <c r="J19" s="136">
        <f t="shared" si="10"/>
        <v>33121.162579591837</v>
      </c>
      <c r="K19" s="136">
        <f t="shared" si="10"/>
        <v>35439.643960163266</v>
      </c>
      <c r="L19" s="135">
        <f t="shared" si="9"/>
        <v>155481.20490710204</v>
      </c>
      <c r="M19" s="137"/>
    </row>
    <row r="20" spans="2:14">
      <c r="B20" s="16">
        <f>+B16+1</f>
        <v>8</v>
      </c>
      <c r="C20" s="16" t="s">
        <v>272</v>
      </c>
      <c r="D20" s="16">
        <v>1</v>
      </c>
      <c r="E20" s="27">
        <v>15456</v>
      </c>
      <c r="F20" s="131">
        <f t="shared" ref="F20:F23" si="11">+E20/$D$3</f>
        <v>2253.0612244897957</v>
      </c>
      <c r="G20" s="28">
        <f t="shared" ref="G20:G22" si="12">+$F$10*$D$10*12</f>
        <v>27036.734693877548</v>
      </c>
      <c r="H20" s="28">
        <f t="shared" ref="H20" si="13">+G20*1.07</f>
        <v>28929.306122448979</v>
      </c>
      <c r="I20" s="28">
        <f t="shared" ref="I20" si="14">+H20*1.07</f>
        <v>30954.35755102041</v>
      </c>
      <c r="J20" s="28">
        <f t="shared" ref="J20" si="15">+I20*1.07</f>
        <v>33121.162579591837</v>
      </c>
      <c r="K20" s="28">
        <f t="shared" ref="K20" si="16">+J20*1.07</f>
        <v>35439.643960163266</v>
      </c>
      <c r="L20" s="27">
        <f t="shared" ref="L20" si="17">SUM(G20:K20)</f>
        <v>155481.20490710204</v>
      </c>
      <c r="M20" s="4"/>
    </row>
    <row r="21" spans="2:14">
      <c r="B21" s="16">
        <v>9</v>
      </c>
      <c r="C21" s="16" t="s">
        <v>273</v>
      </c>
      <c r="D21" s="16">
        <v>1</v>
      </c>
      <c r="E21" s="27">
        <v>15456</v>
      </c>
      <c r="F21" s="131">
        <f t="shared" si="11"/>
        <v>2253.0612244897957</v>
      </c>
      <c r="G21" s="28">
        <f t="shared" si="12"/>
        <v>27036.734693877548</v>
      </c>
      <c r="H21" s="28">
        <f t="shared" ref="H21" si="18">+G21*1.07</f>
        <v>28929.306122448979</v>
      </c>
      <c r="I21" s="28">
        <f t="shared" ref="I21" si="19">+H21*1.07</f>
        <v>30954.35755102041</v>
      </c>
      <c r="J21" s="28">
        <f t="shared" ref="J21" si="20">+I21*1.07</f>
        <v>33121.162579591837</v>
      </c>
      <c r="K21" s="28">
        <f t="shared" ref="K21" si="21">+J21*1.07</f>
        <v>35439.643960163266</v>
      </c>
      <c r="L21" s="27">
        <f t="shared" ref="L21" si="22">SUM(G21:K21)</f>
        <v>155481.20490710204</v>
      </c>
      <c r="M21" s="4"/>
    </row>
    <row r="22" spans="2:14">
      <c r="B22" s="16">
        <v>10</v>
      </c>
      <c r="C22" s="16" t="s">
        <v>274</v>
      </c>
      <c r="D22" s="16">
        <v>1</v>
      </c>
      <c r="E22" s="27">
        <v>15456</v>
      </c>
      <c r="F22" s="131">
        <f t="shared" ref="F22" si="23">+E22/$D$3</f>
        <v>2253.0612244897957</v>
      </c>
      <c r="G22" s="28">
        <f t="shared" si="12"/>
        <v>27036.734693877548</v>
      </c>
      <c r="H22" s="28">
        <f t="shared" ref="H22" si="24">+G22*1.07</f>
        <v>28929.306122448979</v>
      </c>
      <c r="I22" s="28">
        <v>0</v>
      </c>
      <c r="J22" s="28">
        <v>0</v>
      </c>
      <c r="K22" s="28">
        <v>0</v>
      </c>
      <c r="L22" s="27">
        <f t="shared" ref="L22" si="25">SUM(G22:K22)</f>
        <v>55966.040816326524</v>
      </c>
      <c r="M22" s="4"/>
    </row>
    <row r="23" spans="2:14">
      <c r="B23" s="16">
        <v>11</v>
      </c>
      <c r="C23" s="16" t="s">
        <v>275</v>
      </c>
      <c r="D23" s="16">
        <v>3</v>
      </c>
      <c r="E23" s="27">
        <v>12995</v>
      </c>
      <c r="F23" s="131">
        <f t="shared" si="11"/>
        <v>1894.3148688046647</v>
      </c>
      <c r="G23" s="28">
        <f>SUM(G24:G26)</f>
        <v>68195.335276967933</v>
      </c>
      <c r="H23" s="28">
        <f t="shared" ref="H23:K23" si="26">SUM(H24:H26)</f>
        <v>72969.008746355685</v>
      </c>
      <c r="I23" s="28">
        <f t="shared" si="26"/>
        <v>78076.839358600584</v>
      </c>
      <c r="J23" s="28">
        <f t="shared" si="26"/>
        <v>83542.218113702635</v>
      </c>
      <c r="K23" s="28">
        <f t="shared" si="26"/>
        <v>89390.173381661822</v>
      </c>
      <c r="L23" s="28">
        <f t="shared" si="9"/>
        <v>392173.57487728866</v>
      </c>
      <c r="M23" s="4"/>
    </row>
    <row r="24" spans="2:14" s="138" customFormat="1" ht="12">
      <c r="B24" s="132"/>
      <c r="C24" s="133" t="s">
        <v>276</v>
      </c>
      <c r="D24" s="139">
        <v>1</v>
      </c>
      <c r="E24" s="135"/>
      <c r="F24" s="134"/>
      <c r="G24" s="136">
        <f>+$F$23*1*12</f>
        <v>22731.778425655975</v>
      </c>
      <c r="H24" s="136">
        <f t="shared" ref="H24:K27" si="27">+G24*1.07</f>
        <v>24323.002915451896</v>
      </c>
      <c r="I24" s="136">
        <f t="shared" si="27"/>
        <v>26025.613119533529</v>
      </c>
      <c r="J24" s="136">
        <f t="shared" si="27"/>
        <v>27847.406037900877</v>
      </c>
      <c r="K24" s="136">
        <f t="shared" si="27"/>
        <v>29796.724460553942</v>
      </c>
      <c r="L24" s="135">
        <f t="shared" ref="L24:L26" si="28">SUM(G24:K24)</f>
        <v>130724.52495909622</v>
      </c>
      <c r="M24" s="137"/>
    </row>
    <row r="25" spans="2:14" s="138" customFormat="1" ht="12">
      <c r="B25" s="132"/>
      <c r="C25" s="133" t="s">
        <v>277</v>
      </c>
      <c r="D25" s="139">
        <v>1</v>
      </c>
      <c r="E25" s="135"/>
      <c r="F25" s="134"/>
      <c r="G25" s="136">
        <f>+$F$23*1*12</f>
        <v>22731.778425655975</v>
      </c>
      <c r="H25" s="136">
        <f t="shared" si="27"/>
        <v>24323.002915451896</v>
      </c>
      <c r="I25" s="136">
        <f t="shared" si="27"/>
        <v>26025.613119533529</v>
      </c>
      <c r="J25" s="136">
        <f t="shared" si="27"/>
        <v>27847.406037900877</v>
      </c>
      <c r="K25" s="136">
        <f t="shared" si="27"/>
        <v>29796.724460553942</v>
      </c>
      <c r="L25" s="135">
        <f t="shared" si="28"/>
        <v>130724.52495909622</v>
      </c>
      <c r="M25" s="137"/>
    </row>
    <row r="26" spans="2:14" s="138" customFormat="1" ht="12">
      <c r="B26" s="132"/>
      <c r="C26" s="133" t="s">
        <v>278</v>
      </c>
      <c r="D26" s="139">
        <v>1</v>
      </c>
      <c r="E26" s="135"/>
      <c r="F26" s="134"/>
      <c r="G26" s="136">
        <f>+$F$23*1*12</f>
        <v>22731.778425655975</v>
      </c>
      <c r="H26" s="136">
        <f t="shared" si="27"/>
        <v>24323.002915451896</v>
      </c>
      <c r="I26" s="136">
        <f t="shared" si="27"/>
        <v>26025.613119533529</v>
      </c>
      <c r="J26" s="136">
        <f t="shared" si="27"/>
        <v>27847.406037900877</v>
      </c>
      <c r="K26" s="136">
        <f t="shared" si="27"/>
        <v>29796.724460553942</v>
      </c>
      <c r="L26" s="135">
        <f t="shared" si="28"/>
        <v>130724.52495909622</v>
      </c>
      <c r="M26" s="137"/>
    </row>
    <row r="27" spans="2:14">
      <c r="B27" s="16">
        <f t="shared" ref="B27" si="29">+B23+1</f>
        <v>12</v>
      </c>
      <c r="C27" s="16" t="s">
        <v>279</v>
      </c>
      <c r="D27" s="16">
        <v>1</v>
      </c>
      <c r="E27" s="27">
        <v>5442</v>
      </c>
      <c r="F27" s="131">
        <f t="shared" ref="F27" si="30">+E27/$D$3</f>
        <v>793.29446064139938</v>
      </c>
      <c r="G27" s="28">
        <f>+F27*12*1</f>
        <v>9519.5335276967926</v>
      </c>
      <c r="H27" s="28">
        <f t="shared" si="27"/>
        <v>10185.900874635568</v>
      </c>
      <c r="I27" s="28">
        <f t="shared" si="27"/>
        <v>10898.913935860059</v>
      </c>
      <c r="J27" s="28">
        <f t="shared" si="27"/>
        <v>11661.837911370263</v>
      </c>
      <c r="K27" s="28">
        <f t="shared" si="27"/>
        <v>12478.166565166182</v>
      </c>
      <c r="L27" s="27">
        <f t="shared" si="9"/>
        <v>54744.352814728867</v>
      </c>
      <c r="M27" s="4"/>
    </row>
    <row r="28" spans="2:14">
      <c r="B28" s="30"/>
      <c r="C28" s="31" t="s">
        <v>266</v>
      </c>
      <c r="D28" s="31">
        <f>+D16+D21+D20+D23+D27</f>
        <v>9</v>
      </c>
      <c r="E28" s="32"/>
      <c r="F28" s="32"/>
      <c r="G28" s="33">
        <f>+G16+G20+G23+G27+G21+G22</f>
        <v>239935.27696793003</v>
      </c>
      <c r="H28" s="33">
        <f t="shared" ref="H28:K28" si="31">+H16+H20+H23+H27+H21+H22</f>
        <v>256730.74635568517</v>
      </c>
      <c r="I28" s="33">
        <f t="shared" si="31"/>
        <v>243747.54104956269</v>
      </c>
      <c r="J28" s="33">
        <f t="shared" si="31"/>
        <v>260809.86892303207</v>
      </c>
      <c r="K28" s="33">
        <f t="shared" si="31"/>
        <v>279066.55974764435</v>
      </c>
      <c r="L28" s="33">
        <f>SUM(G28:K28)</f>
        <v>1280289.9930438544</v>
      </c>
      <c r="M28" s="4"/>
      <c r="N28" s="4"/>
    </row>
    <row r="29" spans="2:14">
      <c r="B29" s="320" t="s">
        <v>280</v>
      </c>
      <c r="C29" s="321"/>
      <c r="D29" s="140">
        <f>+D28+D14</f>
        <v>15</v>
      </c>
      <c r="E29" s="141"/>
      <c r="F29" s="142"/>
      <c r="G29" s="143">
        <f>+G28+G14</f>
        <v>375118.95043731778</v>
      </c>
      <c r="H29" s="143">
        <f>+H28+H14</f>
        <v>401377.27696793008</v>
      </c>
      <c r="I29" s="143">
        <f>+I28+I14</f>
        <v>398519.32880466472</v>
      </c>
      <c r="J29" s="143">
        <f>+J28+J14</f>
        <v>459536.84440058313</v>
      </c>
      <c r="K29" s="143">
        <f>+K28+K14</f>
        <v>456264.77954846068</v>
      </c>
      <c r="L29" s="143">
        <f>SUM(G29:K29)</f>
        <v>2090817.1801589562</v>
      </c>
      <c r="M29" s="4"/>
    </row>
    <row r="30" spans="2:14">
      <c r="B30" s="320" t="s">
        <v>281</v>
      </c>
      <c r="C30" s="321"/>
      <c r="D30" s="321"/>
      <c r="E30" s="322"/>
      <c r="F30" s="144"/>
      <c r="G30" s="143">
        <f>+G29*$D$3</f>
        <v>2573316</v>
      </c>
      <c r="H30" s="143">
        <f t="shared" ref="H30:K30" si="32">+H29*$D$3</f>
        <v>2753448.1200000006</v>
      </c>
      <c r="I30" s="143">
        <f t="shared" si="32"/>
        <v>2733842.5956000001</v>
      </c>
      <c r="J30" s="143">
        <f t="shared" si="32"/>
        <v>3152422.7525880006</v>
      </c>
      <c r="K30" s="143">
        <f t="shared" si="32"/>
        <v>3129976.3877024404</v>
      </c>
      <c r="L30" s="143">
        <f>SUM(G30:K30)</f>
        <v>14343005.855890442</v>
      </c>
      <c r="M30" s="4"/>
    </row>
    <row r="32" spans="2:14">
      <c r="C32" t="s">
        <v>282</v>
      </c>
    </row>
  </sheetData>
  <mergeCells count="15">
    <mergeCell ref="K5:K6"/>
    <mergeCell ref="L5:L6"/>
    <mergeCell ref="B29:C29"/>
    <mergeCell ref="B30:E30"/>
    <mergeCell ref="B1:L1"/>
    <mergeCell ref="B2:L2"/>
    <mergeCell ref="G4:L4"/>
    <mergeCell ref="B5:B6"/>
    <mergeCell ref="C5:C6"/>
    <mergeCell ref="D5:D6"/>
    <mergeCell ref="E5:F5"/>
    <mergeCell ref="G5:G6"/>
    <mergeCell ref="H5:H6"/>
    <mergeCell ref="I5:I6"/>
    <mergeCell ref="J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I74"/>
  <sheetViews>
    <sheetView topLeftCell="A11" zoomScale="93" zoomScaleNormal="93" workbookViewId="0" xr3:uid="{958C4451-9541-5A59-BF78-D2F731DF1C81}">
      <selection activeCell="A15" sqref="A15"/>
    </sheetView>
  </sheetViews>
  <sheetFormatPr defaultColWidth="11.42578125" defaultRowHeight="12"/>
  <cols>
    <col min="1" max="1" width="99.28515625" style="80" customWidth="1"/>
    <col min="2" max="2" width="15.140625" style="80" customWidth="1"/>
    <col min="3" max="3" width="10.85546875" style="80" customWidth="1"/>
    <col min="4" max="4" width="13" style="80" customWidth="1"/>
    <col min="5" max="5" width="14.7109375" style="81" bestFit="1" customWidth="1"/>
    <col min="6" max="7" width="14" style="81" customWidth="1"/>
    <col min="8" max="8" width="13.5703125" style="81" customWidth="1"/>
    <col min="9" max="9" width="13" style="81" customWidth="1"/>
    <col min="10" max="16384" width="11.42578125" style="57"/>
  </cols>
  <sheetData>
    <row r="1" spans="1:9">
      <c r="A1" s="270" t="s">
        <v>18</v>
      </c>
      <c r="B1" s="270"/>
      <c r="C1" s="270"/>
      <c r="D1" s="270"/>
      <c r="E1" s="270"/>
      <c r="F1" s="270"/>
      <c r="G1" s="58"/>
      <c r="H1" s="59"/>
      <c r="I1" s="59"/>
    </row>
    <row r="2" spans="1:9">
      <c r="A2" s="270" t="s">
        <v>19</v>
      </c>
      <c r="B2" s="270"/>
      <c r="C2" s="270"/>
      <c r="D2" s="270"/>
      <c r="E2" s="270"/>
      <c r="F2" s="270"/>
      <c r="G2" s="219"/>
      <c r="H2" s="256"/>
      <c r="I2" s="59"/>
    </row>
    <row r="3" spans="1:9" ht="12.6" thickBot="1">
      <c r="A3" s="59"/>
      <c r="B3" s="59"/>
      <c r="C3" s="59"/>
      <c r="D3" s="252">
        <f>+E6-G6-H6</f>
        <v>86296327.727294862</v>
      </c>
      <c r="E3" s="253" t="s">
        <v>7</v>
      </c>
      <c r="F3" s="254">
        <f>+(86443647/(86443647+30000000))</f>
        <v>0.74236464785408174</v>
      </c>
      <c r="G3" s="255" t="s">
        <v>8</v>
      </c>
      <c r="H3" s="249">
        <f>1-F3</f>
        <v>0.25763535214591826</v>
      </c>
      <c r="I3" s="220"/>
    </row>
    <row r="4" spans="1:9" ht="38.25" customHeight="1">
      <c r="A4" s="60" t="s">
        <v>5</v>
      </c>
      <c r="B4" s="83" t="s">
        <v>20</v>
      </c>
      <c r="C4" s="83" t="s">
        <v>21</v>
      </c>
      <c r="D4" s="83" t="s">
        <v>22</v>
      </c>
      <c r="E4" s="61" t="s">
        <v>23</v>
      </c>
      <c r="F4" s="61" t="s">
        <v>24</v>
      </c>
      <c r="G4" s="61" t="s">
        <v>25</v>
      </c>
      <c r="H4" s="61" t="s">
        <v>26</v>
      </c>
      <c r="I4" s="261" t="s">
        <v>27</v>
      </c>
    </row>
    <row r="5" spans="1:9">
      <c r="A5" s="225"/>
      <c r="B5" s="226"/>
      <c r="C5" s="226"/>
      <c r="D5" s="226"/>
      <c r="E5" s="227"/>
      <c r="F5" s="227">
        <f>+F6+F55+F63</f>
        <v>95931514.217294842</v>
      </c>
      <c r="G5" s="227">
        <f t="shared" ref="G5:I5" si="0">+G6+G55+G63</f>
        <v>30000000.485824689</v>
      </c>
      <c r="H5" s="227">
        <f t="shared" si="0"/>
        <v>16999999.996880468</v>
      </c>
      <c r="I5" s="262">
        <f t="shared" si="0"/>
        <v>3000000</v>
      </c>
    </row>
    <row r="6" spans="1:9" s="64" customFormat="1">
      <c r="A6" s="271" t="s">
        <v>12</v>
      </c>
      <c r="B6" s="272"/>
      <c r="C6" s="272"/>
      <c r="D6" s="272"/>
      <c r="E6" s="62">
        <f>+E7+E28+E41+E46</f>
        <v>130431514.70000002</v>
      </c>
      <c r="F6" s="62">
        <f>+F7+F28+F41+F46</f>
        <v>86296327.727294847</v>
      </c>
      <c r="G6" s="62">
        <f t="shared" ref="G6:I6" si="1">+G7+G28+G41+G46</f>
        <v>30000000.485824689</v>
      </c>
      <c r="H6" s="62">
        <f t="shared" si="1"/>
        <v>14135186.486880468</v>
      </c>
      <c r="I6" s="63">
        <f t="shared" si="1"/>
        <v>0</v>
      </c>
    </row>
    <row r="7" spans="1:9">
      <c r="A7" s="184" t="s">
        <v>28</v>
      </c>
      <c r="B7" s="185"/>
      <c r="C7" s="185"/>
      <c r="D7" s="185"/>
      <c r="E7" s="186">
        <f>+E8+E13+E18+E23</f>
        <v>39855799.382491447</v>
      </c>
      <c r="F7" s="186">
        <f t="shared" ref="F7:I7" si="2">+F8+F13+F18+F23</f>
        <v>29587536.473526184</v>
      </c>
      <c r="G7" s="186">
        <f t="shared" si="2"/>
        <v>10268262.908965254</v>
      </c>
      <c r="H7" s="186">
        <f t="shared" si="2"/>
        <v>0</v>
      </c>
      <c r="I7" s="187">
        <f t="shared" si="2"/>
        <v>0</v>
      </c>
    </row>
    <row r="8" spans="1:9">
      <c r="A8" s="65" t="s">
        <v>29</v>
      </c>
      <c r="B8" s="66"/>
      <c r="C8" s="66"/>
      <c r="D8" s="66"/>
      <c r="E8" s="67">
        <f>SUM(E9:E12)</f>
        <v>35089688.886066429</v>
      </c>
      <c r="F8" s="67">
        <f t="shared" ref="F8:I8" si="3">SUM(F9:F12)</f>
        <v>26049344.533213988</v>
      </c>
      <c r="G8" s="67">
        <f t="shared" si="3"/>
        <v>9040344.3528524395</v>
      </c>
      <c r="H8" s="67">
        <f t="shared" si="3"/>
        <v>0</v>
      </c>
      <c r="I8" s="148">
        <f t="shared" si="3"/>
        <v>0</v>
      </c>
    </row>
    <row r="9" spans="1:9">
      <c r="A9" s="68" t="s">
        <v>30</v>
      </c>
      <c r="B9" s="69" t="s">
        <v>31</v>
      </c>
      <c r="C9" s="70">
        <v>1</v>
      </c>
      <c r="D9" s="71">
        <f>+'Detalle proyectos'!C14</f>
        <v>15403136.607755106</v>
      </c>
      <c r="E9" s="72">
        <f>+D9*C9</f>
        <v>15403136.607755106</v>
      </c>
      <c r="F9" s="72">
        <f t="shared" ref="F9:F11" si="4">+E9-G9-H9-I9</f>
        <v>11434744.083664434</v>
      </c>
      <c r="G9" s="72">
        <f>+E9*$H$3</f>
        <v>3968392.5240906714</v>
      </c>
      <c r="H9" s="72">
        <v>0</v>
      </c>
      <c r="I9" s="216">
        <v>0</v>
      </c>
    </row>
    <row r="10" spans="1:9">
      <c r="A10" s="68" t="s">
        <v>32</v>
      </c>
      <c r="B10" s="69" t="s">
        <v>31</v>
      </c>
      <c r="C10" s="70">
        <v>1</v>
      </c>
      <c r="D10" s="71">
        <f>+'Detalle proyectos'!C7</f>
        <v>9697962.9245412461</v>
      </c>
      <c r="E10" s="72">
        <f>+D10*C10</f>
        <v>9697962.9245412461</v>
      </c>
      <c r="F10" s="72">
        <f t="shared" si="4"/>
        <v>7199424.8313790029</v>
      </c>
      <c r="G10" s="72">
        <f t="shared" ref="G10:G12" si="5">+E10*$H$3</f>
        <v>2498538.0931622433</v>
      </c>
      <c r="H10" s="72">
        <v>0</v>
      </c>
      <c r="I10" s="216">
        <v>0</v>
      </c>
    </row>
    <row r="11" spans="1:9" s="183" customFormat="1">
      <c r="A11" s="68" t="s">
        <v>33</v>
      </c>
      <c r="B11" s="69" t="s">
        <v>31</v>
      </c>
      <c r="C11" s="70">
        <v>1</v>
      </c>
      <c r="D11" s="71">
        <f>+'Detalle proyectos'!C12</f>
        <v>1957577.7196592921</v>
      </c>
      <c r="E11" s="182">
        <f t="shared" ref="E11" si="6">+D11*C11</f>
        <v>1957577.7196592921</v>
      </c>
      <c r="F11" s="182">
        <f t="shared" si="4"/>
        <v>1453236.4945018669</v>
      </c>
      <c r="G11" s="72">
        <f t="shared" si="5"/>
        <v>504341.22515742539</v>
      </c>
      <c r="H11" s="72">
        <v>0</v>
      </c>
      <c r="I11" s="216">
        <v>0</v>
      </c>
    </row>
    <row r="12" spans="1:9">
      <c r="A12" s="68" t="s">
        <v>34</v>
      </c>
      <c r="B12" s="69" t="s">
        <v>31</v>
      </c>
      <c r="C12" s="70">
        <v>1</v>
      </c>
      <c r="D12" s="71">
        <f>+'Detalle proyectos'!C13</f>
        <v>8031011.634110787</v>
      </c>
      <c r="E12" s="72">
        <f t="shared" ref="E12" si="7">+D12*C12</f>
        <v>8031011.634110787</v>
      </c>
      <c r="F12" s="72">
        <f>+E12-G12-H12-I12</f>
        <v>5961939.1236686874</v>
      </c>
      <c r="G12" s="72">
        <f t="shared" si="5"/>
        <v>2069072.5104420991</v>
      </c>
      <c r="H12" s="72">
        <v>0</v>
      </c>
      <c r="I12" s="216">
        <v>0</v>
      </c>
    </row>
    <row r="13" spans="1:9">
      <c r="A13" s="65" t="s">
        <v>35</v>
      </c>
      <c r="B13" s="66"/>
      <c r="C13" s="66"/>
      <c r="D13" s="66"/>
      <c r="E13" s="67">
        <f>SUM(E14:E17)</f>
        <v>1639121.7930029156</v>
      </c>
      <c r="F13" s="67">
        <f t="shared" ref="F13:I13" si="8">SUM(F14:F17)</f>
        <v>1216826.0726525604</v>
      </c>
      <c r="G13" s="67">
        <f t="shared" si="8"/>
        <v>422295.72035035503</v>
      </c>
      <c r="H13" s="67">
        <f t="shared" si="8"/>
        <v>0</v>
      </c>
      <c r="I13" s="148">
        <f t="shared" si="8"/>
        <v>0</v>
      </c>
    </row>
    <row r="14" spans="1:9">
      <c r="A14" s="68" t="s">
        <v>36</v>
      </c>
      <c r="B14" s="69" t="s">
        <v>31</v>
      </c>
      <c r="C14" s="70">
        <v>1</v>
      </c>
      <c r="D14" s="71">
        <f>+'Detalle proyectos'!I14</f>
        <v>645376.82215743442</v>
      </c>
      <c r="E14" s="72">
        <f>+D14*C14</f>
        <v>645376.82215743442</v>
      </c>
      <c r="F14" s="72">
        <f t="shared" ref="F14:F17" si="9">+E14-G14-H14-I14</f>
        <v>479104.93731409014</v>
      </c>
      <c r="G14" s="72">
        <f t="shared" ref="G14:G17" si="10">+E14*$H$3</f>
        <v>166271.88484334428</v>
      </c>
      <c r="H14" s="72">
        <v>0</v>
      </c>
      <c r="I14" s="216">
        <v>0</v>
      </c>
    </row>
    <row r="15" spans="1:9" ht="13.5" customHeight="1">
      <c r="A15" s="68" t="s">
        <v>37</v>
      </c>
      <c r="B15" s="69" t="s">
        <v>31</v>
      </c>
      <c r="C15" s="70">
        <v>1</v>
      </c>
      <c r="D15" s="71">
        <f>+'Detalle proyectos'!I12</f>
        <v>148415.81632653059</v>
      </c>
      <c r="E15" s="72">
        <f>+D15*C15</f>
        <v>148415.81632653059</v>
      </c>
      <c r="F15" s="72">
        <f t="shared" si="9"/>
        <v>110178.65522322097</v>
      </c>
      <c r="G15" s="72">
        <f t="shared" si="10"/>
        <v>38237.161103309634</v>
      </c>
      <c r="H15" s="72">
        <v>0</v>
      </c>
      <c r="I15" s="216">
        <v>0</v>
      </c>
    </row>
    <row r="16" spans="1:9" s="183" customFormat="1">
      <c r="A16" s="68" t="s">
        <v>38</v>
      </c>
      <c r="B16" s="69" t="s">
        <v>31</v>
      </c>
      <c r="C16" s="70">
        <v>1</v>
      </c>
      <c r="D16" s="71">
        <f>+'Detalle proyectos'!I12</f>
        <v>148415.81632653059</v>
      </c>
      <c r="E16" s="182">
        <f t="shared" ref="E16:E17" si="11">+D16*C16</f>
        <v>148415.81632653059</v>
      </c>
      <c r="F16" s="72">
        <f t="shared" si="9"/>
        <v>110178.65522322097</v>
      </c>
      <c r="G16" s="72">
        <f t="shared" si="10"/>
        <v>38237.161103309634</v>
      </c>
      <c r="H16" s="72">
        <v>0</v>
      </c>
      <c r="I16" s="216">
        <v>0</v>
      </c>
    </row>
    <row r="17" spans="1:9">
      <c r="A17" s="68" t="s">
        <v>39</v>
      </c>
      <c r="B17" s="69" t="s">
        <v>31</v>
      </c>
      <c r="C17" s="70">
        <v>1</v>
      </c>
      <c r="D17" s="71">
        <f>+'Detalle proyectos'!I13</f>
        <v>696913.33819241985</v>
      </c>
      <c r="E17" s="72">
        <f t="shared" si="11"/>
        <v>696913.33819241985</v>
      </c>
      <c r="F17" s="72">
        <f t="shared" si="9"/>
        <v>517363.82489202835</v>
      </c>
      <c r="G17" s="72">
        <f t="shared" si="10"/>
        <v>179549.51330039153</v>
      </c>
      <c r="H17" s="72">
        <v>0</v>
      </c>
      <c r="I17" s="216">
        <v>0</v>
      </c>
    </row>
    <row r="18" spans="1:9">
      <c r="A18" s="65" t="s">
        <v>40</v>
      </c>
      <c r="B18" s="66"/>
      <c r="C18" s="66"/>
      <c r="D18" s="66"/>
      <c r="E18" s="67">
        <f>SUM(E19:E22)</f>
        <v>1686212.2861940602</v>
      </c>
      <c r="F18" s="67">
        <f t="shared" ref="F18" si="12">SUM(F19:F22)</f>
        <v>1251784.3900476797</v>
      </c>
      <c r="G18" s="67">
        <f t="shared" ref="G18" si="13">SUM(G19:G22)</f>
        <v>434427.89614638069</v>
      </c>
      <c r="H18" s="67">
        <f t="shared" ref="H18" si="14">SUM(H19:H22)</f>
        <v>0</v>
      </c>
      <c r="I18" s="148">
        <f t="shared" ref="I18" si="15">SUM(I19:I22)</f>
        <v>0</v>
      </c>
    </row>
    <row r="19" spans="1:9">
      <c r="A19" s="68" t="s">
        <v>41</v>
      </c>
      <c r="B19" s="69" t="s">
        <v>31</v>
      </c>
      <c r="C19" s="70">
        <v>1</v>
      </c>
      <c r="D19" s="71">
        <f>+'Detalle proyectos'!L14</f>
        <v>304337.04956268216</v>
      </c>
      <c r="E19" s="72">
        <f>+D19*C19</f>
        <v>304337.04956268216</v>
      </c>
      <c r="F19" s="72">
        <f t="shared" ref="F19:F22" si="16">+E19-G19-H19-I19</f>
        <v>225929.06662755075</v>
      </c>
      <c r="G19" s="72">
        <f t="shared" ref="G19:G22" si="17">+E19*$H$3</f>
        <v>78407.982935131397</v>
      </c>
      <c r="H19" s="72">
        <v>0</v>
      </c>
      <c r="I19" s="216">
        <v>0</v>
      </c>
    </row>
    <row r="20" spans="1:9">
      <c r="A20" s="68" t="s">
        <v>42</v>
      </c>
      <c r="B20" s="69" t="s">
        <v>31</v>
      </c>
      <c r="C20" s="70">
        <v>1</v>
      </c>
      <c r="D20" s="71">
        <f>+'Detalle proyectos'!L7</f>
        <v>743433.46501457726</v>
      </c>
      <c r="E20" s="72">
        <f>+D20*C20</f>
        <v>743433.46501457726</v>
      </c>
      <c r="F20" s="72">
        <f t="shared" si="16"/>
        <v>551898.72245848645</v>
      </c>
      <c r="G20" s="72">
        <f t="shared" si="17"/>
        <v>191534.74255609082</v>
      </c>
      <c r="H20" s="72">
        <v>0</v>
      </c>
      <c r="I20" s="216">
        <v>0</v>
      </c>
    </row>
    <row r="21" spans="1:9" s="183" customFormat="1">
      <c r="A21" s="68" t="s">
        <v>43</v>
      </c>
      <c r="B21" s="69" t="s">
        <v>31</v>
      </c>
      <c r="C21" s="70">
        <v>1</v>
      </c>
      <c r="D21" s="71">
        <f>+'Detalle proyectos'!L12</f>
        <v>181830.29056723832</v>
      </c>
      <c r="E21" s="182">
        <f t="shared" ref="E21:E22" si="18">+D21*C21</f>
        <v>181830.29056723832</v>
      </c>
      <c r="F21" s="72">
        <f t="shared" si="16"/>
        <v>134984.37962615324</v>
      </c>
      <c r="G21" s="72">
        <f t="shared" si="17"/>
        <v>46845.910941085087</v>
      </c>
      <c r="H21" s="72">
        <v>0</v>
      </c>
      <c r="I21" s="216">
        <v>0</v>
      </c>
    </row>
    <row r="22" spans="1:9">
      <c r="A22" s="68" t="s">
        <v>44</v>
      </c>
      <c r="B22" s="69" t="s">
        <v>31</v>
      </c>
      <c r="C22" s="70">
        <v>1</v>
      </c>
      <c r="D22" s="71">
        <f>+'Detalle proyectos'!L13</f>
        <v>456611.48104956263</v>
      </c>
      <c r="E22" s="72">
        <f t="shared" si="18"/>
        <v>456611.48104956263</v>
      </c>
      <c r="F22" s="72">
        <f t="shared" si="16"/>
        <v>338972.2213354893</v>
      </c>
      <c r="G22" s="72">
        <f t="shared" si="17"/>
        <v>117639.25971407336</v>
      </c>
      <c r="H22" s="72">
        <v>0</v>
      </c>
      <c r="I22" s="216">
        <v>0</v>
      </c>
    </row>
    <row r="23" spans="1:9">
      <c r="A23" s="65" t="s">
        <v>45</v>
      </c>
      <c r="B23" s="66"/>
      <c r="C23" s="66"/>
      <c r="D23" s="66"/>
      <c r="E23" s="67">
        <f>SUM(E24:E27)</f>
        <v>1440776.4172280338</v>
      </c>
      <c r="F23" s="67">
        <f t="shared" ref="F23" si="19">SUM(F24:F27)</f>
        <v>1069581.4776119548</v>
      </c>
      <c r="G23" s="67">
        <f t="shared" ref="G23" si="20">SUM(G24:G27)</f>
        <v>371194.93961607898</v>
      </c>
      <c r="H23" s="67">
        <f t="shared" ref="H23" si="21">SUM(H24:H27)</f>
        <v>0</v>
      </c>
      <c r="I23" s="148">
        <f t="shared" ref="I23" si="22">SUM(I24:I27)</f>
        <v>0</v>
      </c>
    </row>
    <row r="24" spans="1:9">
      <c r="A24" s="68" t="s">
        <v>46</v>
      </c>
      <c r="B24" s="69" t="s">
        <v>31</v>
      </c>
      <c r="C24" s="70">
        <v>1</v>
      </c>
      <c r="D24" s="71">
        <f>+'Detalle proyectos'!E14+'Detalle proyectos'!G14</f>
        <v>330476.06104956265</v>
      </c>
      <c r="E24" s="72">
        <f>+D24*C24</f>
        <v>330476.06104956265</v>
      </c>
      <c r="F24" s="72">
        <f t="shared" ref="F24:F27" si="23">+E24-G24-H24-I24</f>
        <v>245333.74468526259</v>
      </c>
      <c r="G24" s="72">
        <f t="shared" ref="G24:G27" si="24">+E24*$H$3</f>
        <v>85142.316364300059</v>
      </c>
      <c r="H24" s="72">
        <v>0</v>
      </c>
      <c r="I24" s="216">
        <v>0</v>
      </c>
    </row>
    <row r="25" spans="1:9">
      <c r="A25" s="68" t="s">
        <v>47</v>
      </c>
      <c r="B25" s="69" t="s">
        <v>31</v>
      </c>
      <c r="C25" s="70">
        <v>1</v>
      </c>
      <c r="D25" s="71">
        <f>+'Detalle proyectos'!E7+'Detalle proyectos'!G7</f>
        <v>659598.25849082484</v>
      </c>
      <c r="E25" s="72">
        <f>+D25*C25</f>
        <v>659598.25849082484</v>
      </c>
      <c r="F25" s="72">
        <f t="shared" si="23"/>
        <v>489662.42888970673</v>
      </c>
      <c r="G25" s="72">
        <f t="shared" si="24"/>
        <v>169935.82960111808</v>
      </c>
      <c r="H25" s="72">
        <v>0</v>
      </c>
      <c r="I25" s="216">
        <v>0</v>
      </c>
    </row>
    <row r="26" spans="1:9" s="183" customFormat="1">
      <c r="A26" s="68" t="s">
        <v>48</v>
      </c>
      <c r="B26" s="69" t="s">
        <v>31</v>
      </c>
      <c r="C26" s="70">
        <v>1</v>
      </c>
      <c r="D26" s="71">
        <f>+'Detalle proyectos'!E12+'Detalle proyectos'!G12</f>
        <v>94779.054393185841</v>
      </c>
      <c r="E26" s="182">
        <f t="shared" ref="E26:E27" si="25">+D26*C26</f>
        <v>94779.054393185841</v>
      </c>
      <c r="F26" s="72">
        <f t="shared" si="23"/>
        <v>70360.619338540273</v>
      </c>
      <c r="G26" s="72">
        <f t="shared" si="24"/>
        <v>24418.435054645575</v>
      </c>
      <c r="H26" s="72">
        <v>0</v>
      </c>
      <c r="I26" s="216">
        <v>0</v>
      </c>
    </row>
    <row r="27" spans="1:9">
      <c r="A27" s="68" t="s">
        <v>49</v>
      </c>
      <c r="B27" s="69" t="s">
        <v>31</v>
      </c>
      <c r="C27" s="70">
        <v>1</v>
      </c>
      <c r="D27" s="71">
        <f>+'Detalle proyectos'!E13+'Detalle proyectos'!G13</f>
        <v>355923.04329446063</v>
      </c>
      <c r="E27" s="72">
        <f t="shared" si="25"/>
        <v>355923.04329446063</v>
      </c>
      <c r="F27" s="72">
        <f t="shared" si="23"/>
        <v>264224.68469844537</v>
      </c>
      <c r="G27" s="72">
        <f t="shared" si="24"/>
        <v>91698.35859601527</v>
      </c>
      <c r="H27" s="72">
        <v>0</v>
      </c>
      <c r="I27" s="216">
        <v>0</v>
      </c>
    </row>
    <row r="28" spans="1:9">
      <c r="A28" s="184" t="s">
        <v>50</v>
      </c>
      <c r="B28" s="185"/>
      <c r="C28" s="185"/>
      <c r="D28" s="185"/>
      <c r="E28" s="186">
        <f>+E29+E32+E35+E38</f>
        <v>14535671.330000002</v>
      </c>
      <c r="F28" s="186">
        <f t="shared" ref="F28:I28" si="26">+F29+F32+F35+F38</f>
        <v>891197.50781659491</v>
      </c>
      <c r="G28" s="186">
        <f t="shared" si="26"/>
        <v>309287.33530293847</v>
      </c>
      <c r="H28" s="186">
        <f t="shared" si="26"/>
        <v>13335186.486880468</v>
      </c>
      <c r="I28" s="187">
        <f t="shared" si="26"/>
        <v>0</v>
      </c>
    </row>
    <row r="29" spans="1:9">
      <c r="A29" s="65" t="s">
        <v>29</v>
      </c>
      <c r="B29" s="66"/>
      <c r="C29" s="66"/>
      <c r="D29" s="66"/>
      <c r="E29" s="67">
        <f>SUM(E30:E31)</f>
        <v>12717556.909620993</v>
      </c>
      <c r="F29" s="67">
        <f t="shared" ref="F29:I29" si="27">SUM(F30:F31)</f>
        <v>0</v>
      </c>
      <c r="G29" s="67">
        <f t="shared" si="27"/>
        <v>0</v>
      </c>
      <c r="H29" s="67">
        <f t="shared" si="27"/>
        <v>12717556.909620993</v>
      </c>
      <c r="I29" s="148">
        <f t="shared" si="27"/>
        <v>0</v>
      </c>
    </row>
    <row r="30" spans="1:9">
      <c r="A30" s="68" t="s">
        <v>51</v>
      </c>
      <c r="B30" s="69" t="s">
        <v>31</v>
      </c>
      <c r="C30" s="70">
        <v>1</v>
      </c>
      <c r="D30" s="71">
        <f>+'Detalle proyectos'!C15</f>
        <v>3266146.9154518954</v>
      </c>
      <c r="E30" s="72">
        <f>+D30*C30</f>
        <v>3266146.9154518954</v>
      </c>
      <c r="F30" s="72">
        <f t="shared" ref="F30:F31" si="28">+E30-G30-H30-I30</f>
        <v>0</v>
      </c>
      <c r="G30" s="72">
        <v>0</v>
      </c>
      <c r="H30" s="72">
        <f>+E30</f>
        <v>3266146.9154518954</v>
      </c>
      <c r="I30" s="216">
        <v>0</v>
      </c>
    </row>
    <row r="31" spans="1:9">
      <c r="A31" s="68" t="s">
        <v>52</v>
      </c>
      <c r="B31" s="69" t="s">
        <v>31</v>
      </c>
      <c r="C31" s="70">
        <v>1</v>
      </c>
      <c r="D31" s="71">
        <f>+'Detalle proyectos'!C16</f>
        <v>9451409.9941690974</v>
      </c>
      <c r="E31" s="72">
        <f>+D31*C31</f>
        <v>9451409.9941690974</v>
      </c>
      <c r="F31" s="72">
        <f t="shared" si="28"/>
        <v>0</v>
      </c>
      <c r="G31" s="72">
        <v>0</v>
      </c>
      <c r="H31" s="72">
        <f>+E31</f>
        <v>9451409.9941690974</v>
      </c>
      <c r="I31" s="216">
        <v>0</v>
      </c>
    </row>
    <row r="32" spans="1:9">
      <c r="A32" s="65" t="s">
        <v>35</v>
      </c>
      <c r="B32" s="66"/>
      <c r="C32" s="66"/>
      <c r="D32" s="66"/>
      <c r="E32" s="67">
        <f>SUM(E33:E34)</f>
        <v>617629.57725947525</v>
      </c>
      <c r="F32" s="67">
        <f t="shared" ref="F32:I32" si="29">SUM(F33:F34)</f>
        <v>0</v>
      </c>
      <c r="G32" s="67">
        <f t="shared" si="29"/>
        <v>0</v>
      </c>
      <c r="H32" s="67">
        <f t="shared" si="29"/>
        <v>617629.57725947525</v>
      </c>
      <c r="I32" s="148">
        <f t="shared" si="29"/>
        <v>0</v>
      </c>
    </row>
    <row r="33" spans="1:9">
      <c r="A33" s="68" t="s">
        <v>53</v>
      </c>
      <c r="B33" s="69" t="s">
        <v>31</v>
      </c>
      <c r="C33" s="70">
        <v>1</v>
      </c>
      <c r="D33" s="72">
        <f>+'Detalle proyectos'!I15</f>
        <v>145092.33527696793</v>
      </c>
      <c r="E33" s="72">
        <f>+D33*C33</f>
        <v>145092.33527696793</v>
      </c>
      <c r="F33" s="72">
        <f t="shared" ref="F33:F34" si="30">+E33-G33-H33-I33</f>
        <v>0</v>
      </c>
      <c r="G33" s="72">
        <v>0</v>
      </c>
      <c r="H33" s="72">
        <f>+E33</f>
        <v>145092.33527696793</v>
      </c>
      <c r="I33" s="216">
        <v>0</v>
      </c>
    </row>
    <row r="34" spans="1:9">
      <c r="A34" s="68" t="s">
        <v>54</v>
      </c>
      <c r="B34" s="69" t="s">
        <v>31</v>
      </c>
      <c r="C34" s="70">
        <v>1</v>
      </c>
      <c r="D34" s="72">
        <f>+'Detalle proyectos'!I16</f>
        <v>472537.24198250729</v>
      </c>
      <c r="E34" s="72">
        <f>+D34*C34</f>
        <v>472537.24198250729</v>
      </c>
      <c r="F34" s="72">
        <f t="shared" si="30"/>
        <v>0</v>
      </c>
      <c r="G34" s="72">
        <v>0</v>
      </c>
      <c r="H34" s="72">
        <f>+E34</f>
        <v>472537.24198250729</v>
      </c>
      <c r="I34" s="216">
        <v>0</v>
      </c>
    </row>
    <row r="35" spans="1:9">
      <c r="A35" s="65" t="s">
        <v>55</v>
      </c>
      <c r="B35" s="66"/>
      <c r="C35" s="66"/>
      <c r="D35" s="66"/>
      <c r="E35" s="67">
        <f>SUM(E36:E37)</f>
        <v>717952.47084548092</v>
      </c>
      <c r="F35" s="67">
        <f t="shared" ref="F35:I35" si="31">SUM(F36:F37)</f>
        <v>532982.53319517325</v>
      </c>
      <c r="G35" s="67">
        <f t="shared" si="31"/>
        <v>184969.93765030761</v>
      </c>
      <c r="H35" s="67">
        <f t="shared" si="31"/>
        <v>0</v>
      </c>
      <c r="I35" s="148">
        <f t="shared" si="31"/>
        <v>0</v>
      </c>
    </row>
    <row r="36" spans="1:9">
      <c r="A36" s="68" t="s">
        <v>56</v>
      </c>
      <c r="B36" s="69" t="s">
        <v>31</v>
      </c>
      <c r="C36" s="70">
        <v>1</v>
      </c>
      <c r="D36" s="72">
        <f>+'Detalle proyectos'!L15</f>
        <v>56715.102040816324</v>
      </c>
      <c r="E36" s="72">
        <f>+D36*C36</f>
        <v>56715.102040816324</v>
      </c>
      <c r="F36" s="72">
        <f t="shared" ref="F36:F37" si="32">+E36-G36-H36-I36</f>
        <v>42103.286754538924</v>
      </c>
      <c r="G36" s="72">
        <f t="shared" ref="G36:G37" si="33">+E36*$H$3</f>
        <v>14611.8152862774</v>
      </c>
      <c r="H36" s="72">
        <v>0</v>
      </c>
      <c r="I36" s="216">
        <v>0</v>
      </c>
    </row>
    <row r="37" spans="1:9">
      <c r="A37" s="68" t="s">
        <v>57</v>
      </c>
      <c r="B37" s="69" t="s">
        <v>31</v>
      </c>
      <c r="C37" s="70">
        <v>1</v>
      </c>
      <c r="D37" s="72">
        <f>+'Detalle proyectos'!L16</f>
        <v>661237.36880466458</v>
      </c>
      <c r="E37" s="72">
        <f>+D37*C37</f>
        <v>661237.36880466458</v>
      </c>
      <c r="F37" s="72">
        <f t="shared" si="32"/>
        <v>490879.24644063436</v>
      </c>
      <c r="G37" s="72">
        <f t="shared" si="33"/>
        <v>170358.12236403019</v>
      </c>
      <c r="H37" s="72">
        <v>0</v>
      </c>
      <c r="I37" s="216">
        <v>0</v>
      </c>
    </row>
    <row r="38" spans="1:9">
      <c r="A38" s="65" t="s">
        <v>45</v>
      </c>
      <c r="B38" s="66"/>
      <c r="C38" s="66"/>
      <c r="D38" s="66"/>
      <c r="E38" s="67">
        <f>SUM(E39:E40)</f>
        <v>482532.37227405247</v>
      </c>
      <c r="F38" s="67">
        <f t="shared" ref="F38:I38" si="34">SUM(F39:F40)</f>
        <v>358214.97462142166</v>
      </c>
      <c r="G38" s="67">
        <f t="shared" si="34"/>
        <v>124317.39765263084</v>
      </c>
      <c r="H38" s="67">
        <f t="shared" si="34"/>
        <v>0</v>
      </c>
      <c r="I38" s="148">
        <f t="shared" si="34"/>
        <v>0</v>
      </c>
    </row>
    <row r="39" spans="1:9">
      <c r="A39" s="68" t="s">
        <v>58</v>
      </c>
      <c r="B39" s="69" t="s">
        <v>31</v>
      </c>
      <c r="C39" s="70">
        <v>1</v>
      </c>
      <c r="D39" s="72">
        <f>+'Detalle proyectos'!E15+'Detalle proyectos'!G15</f>
        <v>121652.1306122449</v>
      </c>
      <c r="E39" s="72">
        <f>+D39*C39</f>
        <v>121652.1306122449</v>
      </c>
      <c r="F39" s="72">
        <f t="shared" ref="F39:F40" si="35">+E39-G39-H39-I39</f>
        <v>90310.24110265795</v>
      </c>
      <c r="G39" s="72">
        <f t="shared" ref="G39:G40" si="36">+E39*$H$3</f>
        <v>31341.889509586959</v>
      </c>
      <c r="H39" s="72">
        <v>0</v>
      </c>
      <c r="I39" s="216">
        <v>0</v>
      </c>
    </row>
    <row r="40" spans="1:9">
      <c r="A40" s="68" t="s">
        <v>59</v>
      </c>
      <c r="B40" s="69" t="s">
        <v>31</v>
      </c>
      <c r="C40" s="70">
        <v>1</v>
      </c>
      <c r="D40" s="72">
        <f>+'Detalle proyectos'!E16+'Detalle proyectos'!G16</f>
        <v>360880.24166180758</v>
      </c>
      <c r="E40" s="72">
        <f>+D40*C40</f>
        <v>360880.24166180758</v>
      </c>
      <c r="F40" s="72">
        <f t="shared" si="35"/>
        <v>267904.73351876368</v>
      </c>
      <c r="G40" s="72">
        <f t="shared" si="36"/>
        <v>92975.508143043873</v>
      </c>
      <c r="H40" s="72">
        <v>0</v>
      </c>
      <c r="I40" s="216">
        <v>0</v>
      </c>
    </row>
    <row r="41" spans="1:9">
      <c r="A41" s="184" t="s">
        <v>60</v>
      </c>
      <c r="B41" s="185"/>
      <c r="C41" s="185"/>
      <c r="D41" s="185"/>
      <c r="E41" s="186">
        <f>+E42+E43+E44+E45</f>
        <v>60440043.987508573</v>
      </c>
      <c r="F41" s="186">
        <f t="shared" ref="F41:I41" si="37">+F42+F43+F44+F45</f>
        <v>44868551.971072011</v>
      </c>
      <c r="G41" s="186">
        <f t="shared" si="37"/>
        <v>15571492.01643656</v>
      </c>
      <c r="H41" s="186">
        <f t="shared" si="37"/>
        <v>0</v>
      </c>
      <c r="I41" s="187">
        <f t="shared" si="37"/>
        <v>0</v>
      </c>
    </row>
    <row r="42" spans="1:9">
      <c r="A42" s="68" t="s">
        <v>61</v>
      </c>
      <c r="B42" s="69" t="s">
        <v>31</v>
      </c>
      <c r="C42" s="70">
        <v>1</v>
      </c>
      <c r="D42" s="71">
        <f>(150500000-E7-E28-E46-E55-E63-Resumen!F13-Resumen!F14)/1.16</f>
        <v>52103486.196128078</v>
      </c>
      <c r="E42" s="72">
        <f>+D42*C42</f>
        <v>52103486.196128078</v>
      </c>
      <c r="F42" s="72">
        <f t="shared" ref="F42:F43" si="38">+E42-G42-H42-I42</f>
        <v>38679786.181958631</v>
      </c>
      <c r="G42" s="72">
        <f>+E42*$H$3</f>
        <v>13423700.014169449</v>
      </c>
      <c r="H42" s="72">
        <v>0</v>
      </c>
      <c r="I42" s="216">
        <v>0</v>
      </c>
    </row>
    <row r="43" spans="1:9" ht="12" customHeight="1">
      <c r="A43" s="68" t="s">
        <v>62</v>
      </c>
      <c r="B43" s="69" t="s">
        <v>31</v>
      </c>
      <c r="C43" s="70">
        <v>1</v>
      </c>
      <c r="D43" s="71">
        <f>+D42*0.05</f>
        <v>2605174.3098064042</v>
      </c>
      <c r="E43" s="72">
        <f>+D43*C43</f>
        <v>2605174.3098064042</v>
      </c>
      <c r="F43" s="72">
        <f t="shared" si="38"/>
        <v>1933989.3090979317</v>
      </c>
      <c r="G43" s="72">
        <f t="shared" ref="G43:G45" si="39">+E43*$H$3</f>
        <v>671185.00070847245</v>
      </c>
      <c r="H43" s="72">
        <v>0</v>
      </c>
      <c r="I43" s="216">
        <v>0</v>
      </c>
    </row>
    <row r="44" spans="1:9">
      <c r="A44" s="68" t="s">
        <v>63</v>
      </c>
      <c r="B44" s="69" t="s">
        <v>31</v>
      </c>
      <c r="C44" s="70">
        <v>1</v>
      </c>
      <c r="D44" s="71">
        <f>+D42*0.08</f>
        <v>4168278.8956902465</v>
      </c>
      <c r="E44" s="72">
        <f>+D44*C44</f>
        <v>4168278.8956902465</v>
      </c>
      <c r="F44" s="72">
        <f>+E44-G44-H44-I44</f>
        <v>3094382.8945566905</v>
      </c>
      <c r="G44" s="72">
        <f t="shared" si="39"/>
        <v>1073896.001133556</v>
      </c>
      <c r="H44" s="72">
        <v>0</v>
      </c>
      <c r="I44" s="216">
        <v>0</v>
      </c>
    </row>
    <row r="45" spans="1:9">
      <c r="A45" s="68" t="s">
        <v>64</v>
      </c>
      <c r="B45" s="69" t="s">
        <v>31</v>
      </c>
      <c r="C45" s="70">
        <v>1</v>
      </c>
      <c r="D45" s="71">
        <f>+D42*0.03</f>
        <v>1563104.5858838423</v>
      </c>
      <c r="E45" s="72">
        <f>+D45*C45</f>
        <v>1563104.5858838423</v>
      </c>
      <c r="F45" s="72">
        <f>+E45-G45-H45-I45</f>
        <v>1160393.5854587588</v>
      </c>
      <c r="G45" s="72">
        <f t="shared" si="39"/>
        <v>402711.00042508345</v>
      </c>
      <c r="H45" s="72">
        <v>0</v>
      </c>
      <c r="I45" s="216">
        <v>0</v>
      </c>
    </row>
    <row r="46" spans="1:9">
      <c r="A46" s="184" t="s">
        <v>65</v>
      </c>
      <c r="B46" s="185"/>
      <c r="C46" s="185"/>
      <c r="D46" s="185"/>
      <c r="E46" s="186">
        <f>SUM(E47:E53)</f>
        <v>15600000</v>
      </c>
      <c r="F46" s="186">
        <f t="shared" ref="F46:I46" si="40">SUM(F47:F53)</f>
        <v>10949041.774880063</v>
      </c>
      <c r="G46" s="186">
        <f t="shared" si="40"/>
        <v>3850958.2251199377</v>
      </c>
      <c r="H46" s="186">
        <f t="shared" si="40"/>
        <v>800000</v>
      </c>
      <c r="I46" s="187">
        <f t="shared" si="40"/>
        <v>0</v>
      </c>
    </row>
    <row r="47" spans="1:9">
      <c r="A47" s="68" t="s">
        <v>66</v>
      </c>
      <c r="B47" s="69" t="s">
        <v>31</v>
      </c>
      <c r="C47" s="70">
        <v>1</v>
      </c>
      <c r="D47" s="71">
        <v>800000</v>
      </c>
      <c r="E47" s="72">
        <f t="shared" ref="E47:E53" si="41">+D47*C47</f>
        <v>800000</v>
      </c>
      <c r="F47" s="72">
        <v>0</v>
      </c>
      <c r="G47" s="72">
        <v>0</v>
      </c>
      <c r="H47" s="72">
        <f>+E47</f>
        <v>800000</v>
      </c>
      <c r="I47" s="216">
        <v>0</v>
      </c>
    </row>
    <row r="48" spans="1:9">
      <c r="A48" s="68" t="s">
        <v>67</v>
      </c>
      <c r="B48" s="69" t="s">
        <v>31</v>
      </c>
      <c r="C48" s="70">
        <v>1</v>
      </c>
      <c r="D48" s="71">
        <f>+'Detalle proyectos'!O14+200000</f>
        <v>808297.40524781344</v>
      </c>
      <c r="E48" s="72">
        <f t="shared" si="41"/>
        <v>808297.40524781344</v>
      </c>
      <c r="F48" s="72">
        <f t="shared" ref="F48:F51" si="42">+E48-G48-H48-I48</f>
        <v>562096.40524781344</v>
      </c>
      <c r="G48" s="72">
        <f>208246+37955</f>
        <v>246201</v>
      </c>
      <c r="H48" s="72">
        <v>0</v>
      </c>
      <c r="I48" s="216">
        <v>0</v>
      </c>
    </row>
    <row r="49" spans="1:9">
      <c r="A49" s="68" t="s">
        <v>68</v>
      </c>
      <c r="B49" s="69" t="s">
        <v>31</v>
      </c>
      <c r="C49" s="70">
        <v>1</v>
      </c>
      <c r="D49" s="71">
        <v>300000</v>
      </c>
      <c r="E49" s="72">
        <f t="shared" si="41"/>
        <v>300000</v>
      </c>
      <c r="F49" s="72">
        <f t="shared" si="42"/>
        <v>222709.39435622451</v>
      </c>
      <c r="G49" s="72">
        <f t="shared" ref="G49:G53" si="43">+E49*$H$3</f>
        <v>77290.605643775474</v>
      </c>
      <c r="H49" s="72">
        <v>0</v>
      </c>
      <c r="I49" s="216">
        <v>0</v>
      </c>
    </row>
    <row r="50" spans="1:9">
      <c r="A50" s="68" t="s">
        <v>69</v>
      </c>
      <c r="B50" s="69" t="s">
        <v>31</v>
      </c>
      <c r="C50" s="70">
        <v>1</v>
      </c>
      <c r="D50" s="71">
        <v>1500000</v>
      </c>
      <c r="E50" s="72">
        <f t="shared" si="41"/>
        <v>1500000</v>
      </c>
      <c r="F50" s="72">
        <f t="shared" si="42"/>
        <v>1113546.9717811225</v>
      </c>
      <c r="G50" s="72">
        <f t="shared" si="43"/>
        <v>386453.02821887739</v>
      </c>
      <c r="H50" s="72">
        <v>0</v>
      </c>
      <c r="I50" s="216">
        <v>0</v>
      </c>
    </row>
    <row r="51" spans="1:9">
      <c r="A51" s="68" t="s">
        <v>70</v>
      </c>
      <c r="B51" s="69" t="s">
        <v>31</v>
      </c>
      <c r="C51" s="70">
        <v>1</v>
      </c>
      <c r="D51" s="71">
        <f>15000000-D47-D48-D49-D50</f>
        <v>11591702.594752187</v>
      </c>
      <c r="E51" s="72">
        <f t="shared" si="41"/>
        <v>11591702.594752187</v>
      </c>
      <c r="F51" s="72">
        <f t="shared" si="42"/>
        <v>8605270.2147824522</v>
      </c>
      <c r="G51" s="72">
        <f t="shared" si="43"/>
        <v>2986432.3799697342</v>
      </c>
      <c r="H51" s="72">
        <v>0</v>
      </c>
      <c r="I51" s="216">
        <v>0</v>
      </c>
    </row>
    <row r="52" spans="1:9">
      <c r="A52" s="68" t="s">
        <v>71</v>
      </c>
      <c r="B52" s="69" t="s">
        <v>31</v>
      </c>
      <c r="C52" s="70">
        <v>1</v>
      </c>
      <c r="D52" s="71">
        <v>400000</v>
      </c>
      <c r="E52" s="72">
        <f t="shared" si="41"/>
        <v>400000</v>
      </c>
      <c r="F52" s="72">
        <f t="shared" ref="F52" si="44">+E52-G52-H52-I52</f>
        <v>296945.85914163268</v>
      </c>
      <c r="G52" s="72">
        <f t="shared" si="43"/>
        <v>103054.1408583673</v>
      </c>
      <c r="H52" s="72">
        <v>0</v>
      </c>
      <c r="I52" s="216">
        <v>0</v>
      </c>
    </row>
    <row r="53" spans="1:9">
      <c r="A53" s="68" t="s">
        <v>72</v>
      </c>
      <c r="B53" s="69" t="s">
        <v>31</v>
      </c>
      <c r="C53" s="70">
        <v>1</v>
      </c>
      <c r="D53" s="71">
        <v>200000</v>
      </c>
      <c r="E53" s="72">
        <f t="shared" si="41"/>
        <v>200000</v>
      </c>
      <c r="F53" s="72">
        <f t="shared" ref="F53" si="45">+E53-G53-H53-I53</f>
        <v>148472.92957081634</v>
      </c>
      <c r="G53" s="72">
        <f t="shared" si="43"/>
        <v>51527.070429183652</v>
      </c>
      <c r="H53" s="72">
        <v>0</v>
      </c>
      <c r="I53" s="216">
        <v>0</v>
      </c>
    </row>
    <row r="54" spans="1:9" ht="3" customHeight="1">
      <c r="A54" s="73"/>
      <c r="B54" s="74"/>
      <c r="C54" s="74"/>
      <c r="D54" s="74"/>
      <c r="E54" s="72"/>
      <c r="F54" s="75"/>
      <c r="G54" s="75"/>
      <c r="H54" s="75"/>
      <c r="I54" s="217"/>
    </row>
    <row r="55" spans="1:9" s="64" customFormat="1">
      <c r="A55" s="257" t="s">
        <v>73</v>
      </c>
      <c r="B55" s="258"/>
      <c r="C55" s="258"/>
      <c r="D55" s="258"/>
      <c r="E55" s="62">
        <f>SUM(E56:E61)</f>
        <v>9000000</v>
      </c>
      <c r="F55" s="62">
        <f t="shared" ref="F55:I55" si="46">SUM(F56:F61)</f>
        <v>6135186.4900000002</v>
      </c>
      <c r="G55" s="62">
        <f t="shared" si="46"/>
        <v>0</v>
      </c>
      <c r="H55" s="62">
        <f t="shared" si="46"/>
        <v>2864813.51</v>
      </c>
      <c r="I55" s="63">
        <f t="shared" si="46"/>
        <v>0</v>
      </c>
    </row>
    <row r="56" spans="1:9">
      <c r="A56" s="68" t="s">
        <v>74</v>
      </c>
      <c r="B56" s="76" t="s">
        <v>31</v>
      </c>
      <c r="C56" s="70">
        <v>1</v>
      </c>
      <c r="D56" s="71">
        <v>1000000</v>
      </c>
      <c r="E56" s="79">
        <f>+D56*C56</f>
        <v>1000000</v>
      </c>
      <c r="F56" s="72">
        <f t="shared" ref="F56:F61" si="47">+E56-G56-H56-I56</f>
        <v>1000000</v>
      </c>
      <c r="G56" s="72">
        <v>0</v>
      </c>
      <c r="H56" s="72">
        <v>0</v>
      </c>
      <c r="I56" s="216">
        <v>0</v>
      </c>
    </row>
    <row r="57" spans="1:9">
      <c r="A57" s="68" t="s">
        <v>75</v>
      </c>
      <c r="B57" s="76" t="s">
        <v>31</v>
      </c>
      <c r="C57" s="70">
        <v>1</v>
      </c>
      <c r="D57" s="71">
        <v>1000000</v>
      </c>
      <c r="E57" s="79">
        <f t="shared" ref="E57:E61" si="48">+D57*C57</f>
        <v>1000000</v>
      </c>
      <c r="F57" s="72">
        <f t="shared" si="47"/>
        <v>1000000</v>
      </c>
      <c r="G57" s="72">
        <v>0</v>
      </c>
      <c r="H57" s="72">
        <v>0</v>
      </c>
      <c r="I57" s="216">
        <v>0</v>
      </c>
    </row>
    <row r="58" spans="1:9">
      <c r="A58" s="68" t="s">
        <v>76</v>
      </c>
      <c r="B58" s="76" t="s">
        <v>31</v>
      </c>
      <c r="C58" s="70">
        <v>1</v>
      </c>
      <c r="D58" s="71">
        <v>800000</v>
      </c>
      <c r="E58" s="79">
        <f t="shared" si="48"/>
        <v>800000</v>
      </c>
      <c r="F58" s="72">
        <f t="shared" si="47"/>
        <v>800000</v>
      </c>
      <c r="G58" s="72">
        <v>0</v>
      </c>
      <c r="H58" s="72">
        <v>0</v>
      </c>
      <c r="I58" s="216">
        <v>0</v>
      </c>
    </row>
    <row r="59" spans="1:9">
      <c r="A59" s="68" t="s">
        <v>77</v>
      </c>
      <c r="B59" s="76" t="s">
        <v>31</v>
      </c>
      <c r="C59" s="70">
        <v>1</v>
      </c>
      <c r="D59" s="71">
        <v>1000000</v>
      </c>
      <c r="E59" s="79">
        <f t="shared" si="48"/>
        <v>1000000</v>
      </c>
      <c r="F59" s="72">
        <f t="shared" si="47"/>
        <v>1000000</v>
      </c>
      <c r="G59" s="72">
        <v>0</v>
      </c>
      <c r="H59" s="72">
        <v>0</v>
      </c>
      <c r="I59" s="216">
        <v>0</v>
      </c>
    </row>
    <row r="60" spans="1:9">
      <c r="A60" s="68" t="s">
        <v>78</v>
      </c>
      <c r="B60" s="76" t="s">
        <v>31</v>
      </c>
      <c r="C60" s="70">
        <v>1</v>
      </c>
      <c r="D60" s="71">
        <v>1000000</v>
      </c>
      <c r="E60" s="79">
        <f t="shared" si="48"/>
        <v>1000000</v>
      </c>
      <c r="F60" s="72">
        <f t="shared" ref="F60" si="49">+E60-G60-H60-I60</f>
        <v>1000000</v>
      </c>
      <c r="G60" s="72">
        <v>0</v>
      </c>
      <c r="H60" s="72">
        <v>0</v>
      </c>
      <c r="I60" s="216">
        <v>0</v>
      </c>
    </row>
    <row r="61" spans="1:9">
      <c r="A61" s="68" t="s">
        <v>79</v>
      </c>
      <c r="B61" s="76" t="s">
        <v>31</v>
      </c>
      <c r="C61" s="70">
        <v>1</v>
      </c>
      <c r="D61" s="71">
        <v>4200000</v>
      </c>
      <c r="E61" s="79">
        <f t="shared" si="48"/>
        <v>4200000</v>
      </c>
      <c r="F61" s="72">
        <f t="shared" si="47"/>
        <v>1335186.4900000002</v>
      </c>
      <c r="G61" s="79">
        <v>0</v>
      </c>
      <c r="H61" s="79">
        <v>2864813.51</v>
      </c>
      <c r="I61" s="263">
        <v>0</v>
      </c>
    </row>
    <row r="62" spans="1:9" ht="3" customHeight="1">
      <c r="A62" s="77"/>
      <c r="B62" s="78"/>
      <c r="C62" s="78"/>
      <c r="D62" s="78"/>
      <c r="E62" s="72"/>
      <c r="F62" s="75"/>
      <c r="G62" s="75"/>
      <c r="H62" s="75"/>
      <c r="I62" s="217"/>
    </row>
    <row r="63" spans="1:9" s="64" customFormat="1">
      <c r="A63" s="257" t="s">
        <v>14</v>
      </c>
      <c r="B63" s="258"/>
      <c r="C63" s="258"/>
      <c r="D63" s="258"/>
      <c r="E63" s="62">
        <f>SUM(E64:E69)</f>
        <v>6500000</v>
      </c>
      <c r="F63" s="62">
        <f t="shared" ref="F63:I63" si="50">SUM(F64:F69)</f>
        <v>3500000</v>
      </c>
      <c r="G63" s="62">
        <f t="shared" si="50"/>
        <v>0</v>
      </c>
      <c r="H63" s="62">
        <f t="shared" si="50"/>
        <v>0</v>
      </c>
      <c r="I63" s="63">
        <f t="shared" si="50"/>
        <v>3000000</v>
      </c>
    </row>
    <row r="64" spans="1:9" ht="12.75" customHeight="1">
      <c r="A64" s="68" t="s">
        <v>80</v>
      </c>
      <c r="B64" s="76" t="s">
        <v>31</v>
      </c>
      <c r="C64" s="70">
        <v>1</v>
      </c>
      <c r="D64" s="102">
        <v>500000</v>
      </c>
      <c r="E64" s="72">
        <f>+D64*C64</f>
        <v>500000</v>
      </c>
      <c r="F64" s="72">
        <f>+E64</f>
        <v>500000</v>
      </c>
      <c r="G64" s="72">
        <v>0</v>
      </c>
      <c r="H64" s="72">
        <v>0</v>
      </c>
      <c r="I64" s="216"/>
    </row>
    <row r="65" spans="1:9" ht="12.75" customHeight="1">
      <c r="A65" s="68" t="s">
        <v>81</v>
      </c>
      <c r="B65" s="76" t="s">
        <v>31</v>
      </c>
      <c r="C65" s="70">
        <v>1</v>
      </c>
      <c r="D65" s="102">
        <v>500000</v>
      </c>
      <c r="E65" s="72">
        <f t="shared" ref="E65:E68" si="51">+D65*C65</f>
        <v>500000</v>
      </c>
      <c r="F65" s="72">
        <f>+E65</f>
        <v>500000</v>
      </c>
      <c r="G65" s="72">
        <v>0</v>
      </c>
      <c r="H65" s="72"/>
      <c r="I65" s="216"/>
    </row>
    <row r="66" spans="1:9" ht="12.75" customHeight="1">
      <c r="A66" s="68" t="s">
        <v>82</v>
      </c>
      <c r="B66" s="76" t="s">
        <v>31</v>
      </c>
      <c r="C66" s="70">
        <v>1</v>
      </c>
      <c r="D66" s="102">
        <v>500000</v>
      </c>
      <c r="E66" s="72">
        <f t="shared" si="51"/>
        <v>500000</v>
      </c>
      <c r="F66" s="72">
        <f>+E66</f>
        <v>500000</v>
      </c>
      <c r="G66" s="72">
        <v>0</v>
      </c>
      <c r="H66" s="72"/>
      <c r="I66" s="216"/>
    </row>
    <row r="67" spans="1:9" ht="12.75" customHeight="1">
      <c r="A67" s="68" t="s">
        <v>83</v>
      </c>
      <c r="B67" s="76" t="s">
        <v>31</v>
      </c>
      <c r="C67" s="70">
        <v>1</v>
      </c>
      <c r="D67" s="102">
        <v>1000000</v>
      </c>
      <c r="E67" s="72">
        <f t="shared" si="51"/>
        <v>1000000</v>
      </c>
      <c r="F67" s="72">
        <f>+E67</f>
        <v>1000000</v>
      </c>
      <c r="G67" s="72">
        <v>0</v>
      </c>
      <c r="H67" s="72"/>
      <c r="I67" s="216"/>
    </row>
    <row r="68" spans="1:9" ht="24">
      <c r="A68" s="68" t="s">
        <v>84</v>
      </c>
      <c r="B68" s="76" t="s">
        <v>31</v>
      </c>
      <c r="C68" s="70">
        <v>1</v>
      </c>
      <c r="D68" s="102">
        <v>3500000</v>
      </c>
      <c r="E68" s="72">
        <f t="shared" si="51"/>
        <v>3500000</v>
      </c>
      <c r="F68" s="72">
        <f>+E68-G68-H68-I68</f>
        <v>500000</v>
      </c>
      <c r="G68" s="72">
        <v>0</v>
      </c>
      <c r="H68" s="72">
        <v>0</v>
      </c>
      <c r="I68" s="216">
        <v>3000000</v>
      </c>
    </row>
    <row r="69" spans="1:9" ht="24.6" thickBot="1">
      <c r="A69" s="84" t="s">
        <v>85</v>
      </c>
      <c r="B69" s="85" t="s">
        <v>31</v>
      </c>
      <c r="C69" s="86">
        <v>1</v>
      </c>
      <c r="D69" s="103">
        <v>500000</v>
      </c>
      <c r="E69" s="87">
        <f t="shared" ref="E69" si="52">+D69*C69</f>
        <v>500000</v>
      </c>
      <c r="F69" s="87">
        <f>+E69</f>
        <v>500000</v>
      </c>
      <c r="G69" s="87">
        <v>0</v>
      </c>
      <c r="H69" s="87">
        <v>0</v>
      </c>
      <c r="I69" s="88">
        <v>0</v>
      </c>
    </row>
    <row r="71" spans="1:9">
      <c r="B71" s="80" t="s">
        <v>86</v>
      </c>
    </row>
    <row r="72" spans="1:9">
      <c r="B72" s="273" t="s">
        <v>87</v>
      </c>
      <c r="C72" s="274"/>
      <c r="D72" s="275"/>
      <c r="E72" s="82">
        <v>0.05</v>
      </c>
    </row>
    <row r="73" spans="1:9">
      <c r="B73" s="273" t="s">
        <v>63</v>
      </c>
      <c r="C73" s="274"/>
      <c r="D73" s="275"/>
      <c r="E73" s="82">
        <v>0.08</v>
      </c>
    </row>
    <row r="74" spans="1:9">
      <c r="B74" s="273" t="s">
        <v>64</v>
      </c>
      <c r="C74" s="274"/>
      <c r="D74" s="275"/>
      <c r="E74" s="82">
        <v>0.03</v>
      </c>
    </row>
  </sheetData>
  <mergeCells count="6">
    <mergeCell ref="A2:F2"/>
    <mergeCell ref="A1:F1"/>
    <mergeCell ref="A6:D6"/>
    <mergeCell ref="B74:D74"/>
    <mergeCell ref="B72:D72"/>
    <mergeCell ref="B73:D73"/>
  </mergeCells>
  <hyperlinks>
    <hyperlink ref="A68" location="_ftn1" display="_ftn1" xr:uid="{3ECF2737-4AEE-439B-9EA5-3AC04538107B}"/>
  </hyperlinks>
  <pageMargins left="0.70866141732283472" right="0.70866141732283472" top="0.74803149606299213" bottom="0.74803149606299213" header="0.31496062992125984" footer="0.31496062992125984"/>
  <pageSetup paperSize="9" scale="21" fitToHeight="2" orientation="landscape" r:id="rId1"/>
  <ignoredErrors>
    <ignoredError sqref="E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0C5F2-0E63-4C99-93CF-92802E145545}">
  <dimension ref="A1:V17"/>
  <sheetViews>
    <sheetView topLeftCell="N5" workbookViewId="0" xr3:uid="{1D245AFE-4087-5AAC-A35E-FE5EC5A12B33}">
      <selection activeCell="AB20" sqref="AB20"/>
    </sheetView>
  </sheetViews>
  <sheetFormatPr defaultColWidth="11.5703125" defaultRowHeight="14.45"/>
  <cols>
    <col min="1" max="1" width="44" style="90" customWidth="1"/>
    <col min="2" max="2" width="12.5703125" bestFit="1" customWidth="1"/>
    <col min="3" max="3" width="11.5703125" bestFit="1" customWidth="1"/>
    <col min="4" max="7" width="11.5703125" customWidth="1"/>
    <col min="8" max="8" width="13.140625" bestFit="1" customWidth="1"/>
    <col min="9" max="9" width="10.5703125" bestFit="1" customWidth="1"/>
    <col min="10" max="10" width="8.42578125" bestFit="1" customWidth="1"/>
    <col min="11" max="11" width="11.5703125" bestFit="1" customWidth="1"/>
    <col min="12" max="12" width="12.42578125" bestFit="1" customWidth="1"/>
    <col min="13" max="13" width="8.42578125" bestFit="1" customWidth="1"/>
    <col min="14" max="14" width="11.5703125" bestFit="1" customWidth="1"/>
    <col min="15" max="15" width="10.5703125" bestFit="1" customWidth="1"/>
    <col min="16" max="16" width="8.42578125" bestFit="1" customWidth="1"/>
    <col min="17" max="17" width="10.5703125" bestFit="1" customWidth="1"/>
    <col min="18" max="18" width="9" bestFit="1" customWidth="1"/>
    <col min="19" max="19" width="10.5703125" bestFit="1" customWidth="1"/>
    <col min="20" max="20" width="9" bestFit="1" customWidth="1"/>
    <col min="21" max="21" width="12.5703125" bestFit="1" customWidth="1"/>
    <col min="22" max="22" width="11.42578125" customWidth="1"/>
  </cols>
  <sheetData>
    <row r="1" spans="1:22">
      <c r="A1" s="90" t="s">
        <v>88</v>
      </c>
    </row>
    <row r="2" spans="1:22">
      <c r="B2" t="s">
        <v>89</v>
      </c>
      <c r="C2" s="106">
        <v>6.86</v>
      </c>
    </row>
    <row r="4" spans="1:22">
      <c r="B4" s="276" t="s">
        <v>90</v>
      </c>
      <c r="C4" s="276"/>
      <c r="D4" s="105"/>
      <c r="E4" s="105"/>
      <c r="F4" s="105"/>
      <c r="G4" s="105"/>
      <c r="H4" s="276" t="s">
        <v>91</v>
      </c>
      <c r="I4" s="276"/>
      <c r="J4" s="105"/>
      <c r="K4" s="276" t="s">
        <v>92</v>
      </c>
      <c r="L4" s="276"/>
      <c r="M4" s="105"/>
      <c r="N4" s="276" t="s">
        <v>92</v>
      </c>
      <c r="O4" s="276"/>
      <c r="P4" s="105"/>
      <c r="Q4" s="276" t="s">
        <v>93</v>
      </c>
      <c r="R4" s="276"/>
      <c r="S4" s="276" t="s">
        <v>94</v>
      </c>
      <c r="T4" s="276"/>
      <c r="U4" s="276"/>
      <c r="V4" s="276"/>
    </row>
    <row r="5" spans="1:22" s="104" customFormat="1" ht="41.25" customHeight="1">
      <c r="A5" s="298" t="s">
        <v>95</v>
      </c>
      <c r="B5" s="280" t="s">
        <v>96</v>
      </c>
      <c r="C5" s="280"/>
      <c r="D5" s="281" t="s">
        <v>97</v>
      </c>
      <c r="E5" s="283"/>
      <c r="F5" s="284" t="s">
        <v>98</v>
      </c>
      <c r="G5" s="286"/>
      <c r="H5" s="281" t="s">
        <v>99</v>
      </c>
      <c r="I5" s="282"/>
      <c r="J5" s="283"/>
      <c r="K5" s="284" t="s">
        <v>63</v>
      </c>
      <c r="L5" s="285"/>
      <c r="M5" s="286"/>
      <c r="N5" s="281" t="s">
        <v>100</v>
      </c>
      <c r="O5" s="282"/>
      <c r="P5" s="283"/>
      <c r="Q5" s="280" t="s">
        <v>101</v>
      </c>
      <c r="R5" s="280"/>
      <c r="S5" s="297" t="s">
        <v>102</v>
      </c>
      <c r="T5" s="297"/>
      <c r="U5" s="296" t="s">
        <v>11</v>
      </c>
      <c r="V5" s="296"/>
    </row>
    <row r="6" spans="1:22">
      <c r="A6" s="298"/>
      <c r="B6" s="107" t="s">
        <v>103</v>
      </c>
      <c r="C6" s="115" t="s">
        <v>89</v>
      </c>
      <c r="D6" s="107" t="s">
        <v>103</v>
      </c>
      <c r="E6" s="115" t="s">
        <v>89</v>
      </c>
      <c r="F6" s="107" t="s">
        <v>103</v>
      </c>
      <c r="G6" s="115" t="s">
        <v>89</v>
      </c>
      <c r="H6" s="107" t="s">
        <v>103</v>
      </c>
      <c r="I6" s="115" t="s">
        <v>89</v>
      </c>
      <c r="J6" s="111" t="s">
        <v>104</v>
      </c>
      <c r="K6" s="107" t="s">
        <v>103</v>
      </c>
      <c r="L6" s="115" t="s">
        <v>89</v>
      </c>
      <c r="M6" s="111" t="s">
        <v>104</v>
      </c>
      <c r="N6" s="107" t="s">
        <v>103</v>
      </c>
      <c r="O6" s="115" t="s">
        <v>89</v>
      </c>
      <c r="P6" s="111" t="s">
        <v>104</v>
      </c>
      <c r="Q6" s="107" t="s">
        <v>103</v>
      </c>
      <c r="R6" s="115" t="s">
        <v>89</v>
      </c>
      <c r="S6" s="107" t="s">
        <v>103</v>
      </c>
      <c r="T6" s="115" t="s">
        <v>89</v>
      </c>
      <c r="U6" s="107" t="s">
        <v>103</v>
      </c>
      <c r="V6" s="115" t="s">
        <v>89</v>
      </c>
    </row>
    <row r="7" spans="1:22" ht="28.9">
      <c r="A7" s="29" t="s">
        <v>105</v>
      </c>
      <c r="B7" s="108">
        <f>SUM(B8:B11)</f>
        <v>66528025.662352934</v>
      </c>
      <c r="C7" s="116">
        <f t="shared" ref="C7:H7" si="0">SUM(C8:C11)</f>
        <v>9697962.9245412461</v>
      </c>
      <c r="D7" s="108">
        <f>+E7*$C$2</f>
        <v>3194283.54</v>
      </c>
      <c r="E7" s="116">
        <v>465639</v>
      </c>
      <c r="F7" s="108">
        <f t="shared" si="0"/>
        <v>1330560.5132470587</v>
      </c>
      <c r="G7" s="116">
        <f t="shared" si="0"/>
        <v>193959.2584908249</v>
      </c>
      <c r="H7" s="108">
        <f t="shared" si="0"/>
        <v>6411867</v>
      </c>
      <c r="I7" s="145">
        <f>+H7/C2</f>
        <v>934674.48979591834</v>
      </c>
      <c r="J7" s="277">
        <f>+I7/C7</f>
        <v>9.6378435045433253E-2</v>
      </c>
      <c r="K7" s="108">
        <f t="shared" ref="K7" si="1">SUM(K8:K11)</f>
        <v>5099953.57</v>
      </c>
      <c r="L7" s="117">
        <f>SUM(L8:L10)</f>
        <v>743433.46501457726</v>
      </c>
      <c r="M7" s="277">
        <f>+K7/B7</f>
        <v>7.66587241876618E-2</v>
      </c>
      <c r="N7" s="290">
        <v>0</v>
      </c>
      <c r="O7" s="293">
        <f>+N7/$C$2</f>
        <v>0</v>
      </c>
      <c r="P7" s="277">
        <f>+N7/B7</f>
        <v>0</v>
      </c>
      <c r="Q7" s="290">
        <v>0</v>
      </c>
      <c r="R7" s="287">
        <v>0</v>
      </c>
      <c r="S7" s="290">
        <v>0</v>
      </c>
      <c r="T7" s="287">
        <v>0</v>
      </c>
      <c r="U7" s="290">
        <f>+S7+Q7+K7+H7+B7+N7</f>
        <v>78039846.232352942</v>
      </c>
      <c r="V7" s="287">
        <f t="shared" ref="V7:V15" si="2">+T7+R7+L7+I7+C7+O7</f>
        <v>11376070.879351743</v>
      </c>
    </row>
    <row r="8" spans="1:22" s="110" customFormat="1" ht="12.75" customHeight="1">
      <c r="A8" s="114" t="s">
        <v>106</v>
      </c>
      <c r="B8" s="109">
        <f>22580437/1.02</f>
        <v>22137683.333333332</v>
      </c>
      <c r="C8" s="117">
        <f t="shared" ref="C8:C10" si="3">+B8/$C$2</f>
        <v>3227067.5413022349</v>
      </c>
      <c r="D8" s="109"/>
      <c r="E8" s="116">
        <f>+D8/$C$2</f>
        <v>0</v>
      </c>
      <c r="F8" s="109">
        <f>+B8*0.02</f>
        <v>442753.66666666663</v>
      </c>
      <c r="G8" s="117">
        <f>+F8/$C$2</f>
        <v>64541.350826044698</v>
      </c>
      <c r="H8" s="109">
        <v>2152623</v>
      </c>
      <c r="I8" s="146"/>
      <c r="J8" s="278"/>
      <c r="K8" s="213">
        <v>1364251.72</v>
      </c>
      <c r="L8" s="214">
        <f>+K8/$C$2</f>
        <v>198870.51311953351</v>
      </c>
      <c r="M8" s="278"/>
      <c r="N8" s="291"/>
      <c r="O8" s="294"/>
      <c r="P8" s="278"/>
      <c r="Q8" s="291"/>
      <c r="R8" s="288"/>
      <c r="S8" s="291"/>
      <c r="T8" s="288"/>
      <c r="U8" s="291"/>
      <c r="V8" s="288"/>
    </row>
    <row r="9" spans="1:22" s="110" customFormat="1" ht="12.75" customHeight="1">
      <c r="A9" s="114" t="s">
        <v>107</v>
      </c>
      <c r="B9" s="109">
        <f>21521988/1.02</f>
        <v>21099988.235294119</v>
      </c>
      <c r="C9" s="117">
        <f t="shared" si="3"/>
        <v>3075800.0342994342</v>
      </c>
      <c r="D9" s="109"/>
      <c r="E9" s="116">
        <f>+D9/$C$2</f>
        <v>0</v>
      </c>
      <c r="F9" s="109">
        <f>+B9*0.02</f>
        <v>421999.76470588241</v>
      </c>
      <c r="G9" s="117">
        <f>+F9/$C$2</f>
        <v>61516.000685988685</v>
      </c>
      <c r="H9" s="109">
        <v>2094444</v>
      </c>
      <c r="I9" s="146"/>
      <c r="J9" s="278"/>
      <c r="K9" s="215">
        <v>2331233.79</v>
      </c>
      <c r="L9" s="214">
        <f t="shared" ref="L9:L11" si="4">+K9/$C$2</f>
        <v>339829.99854227406</v>
      </c>
      <c r="M9" s="278"/>
      <c r="N9" s="291"/>
      <c r="O9" s="294"/>
      <c r="P9" s="278"/>
      <c r="Q9" s="291"/>
      <c r="R9" s="288"/>
      <c r="S9" s="291"/>
      <c r="T9" s="288"/>
      <c r="U9" s="291"/>
      <c r="V9" s="288"/>
    </row>
    <row r="10" spans="1:22" s="110" customFormat="1" ht="12.75" customHeight="1">
      <c r="A10" s="114" t="s">
        <v>108</v>
      </c>
      <c r="B10" s="109">
        <f>21655298/1.02</f>
        <v>21230684.31372549</v>
      </c>
      <c r="C10" s="117">
        <f t="shared" si="3"/>
        <v>3094851.9407763104</v>
      </c>
      <c r="D10" s="109"/>
      <c r="E10" s="116">
        <f>+D10/$C$2</f>
        <v>0</v>
      </c>
      <c r="F10" s="109">
        <f>+B10*0.02</f>
        <v>424613.68627450982</v>
      </c>
      <c r="G10" s="117">
        <f>+F10/$C$2</f>
        <v>61897.038815526212</v>
      </c>
      <c r="H10" s="109">
        <v>2164800</v>
      </c>
      <c r="I10" s="147"/>
      <c r="J10" s="279"/>
      <c r="K10" s="215">
        <v>1404468.06</v>
      </c>
      <c r="L10" s="214">
        <f t="shared" si="4"/>
        <v>204732.95335276969</v>
      </c>
      <c r="M10" s="279"/>
      <c r="N10" s="292"/>
      <c r="O10" s="295"/>
      <c r="P10" s="279"/>
      <c r="Q10" s="292"/>
      <c r="R10" s="289"/>
      <c r="S10" s="292"/>
      <c r="T10" s="289"/>
      <c r="U10" s="291"/>
      <c r="V10" s="288"/>
    </row>
    <row r="11" spans="1:22" s="110" customFormat="1" ht="12.75" customHeight="1">
      <c r="A11" s="114" t="s">
        <v>109</v>
      </c>
      <c r="B11" s="212">
        <v>2059669.78</v>
      </c>
      <c r="C11" s="117">
        <f t="shared" ref="C11" si="5">+B11/$C$2</f>
        <v>300243.40816326533</v>
      </c>
      <c r="D11" s="109"/>
      <c r="E11" s="116">
        <f>+D11/$C$2</f>
        <v>0</v>
      </c>
      <c r="F11" s="109">
        <f>+B11*0.02</f>
        <v>41193.395600000003</v>
      </c>
      <c r="G11" s="117">
        <f>+F11/$C$2</f>
        <v>6004.8681632653061</v>
      </c>
      <c r="H11" s="109"/>
      <c r="I11" s="147"/>
      <c r="J11" s="151"/>
      <c r="K11" s="215"/>
      <c r="L11" s="214">
        <f t="shared" si="4"/>
        <v>0</v>
      </c>
      <c r="M11" s="151"/>
      <c r="N11" s="149"/>
      <c r="O11" s="150"/>
      <c r="P11" s="151"/>
      <c r="Q11" s="149"/>
      <c r="R11" s="152"/>
      <c r="S11" s="149"/>
      <c r="T11" s="152"/>
      <c r="U11" s="292"/>
      <c r="V11" s="289"/>
    </row>
    <row r="12" spans="1:22" ht="28.9">
      <c r="A12" s="29" t="s">
        <v>110</v>
      </c>
      <c r="B12" s="108">
        <f>13697562.82/1.02</f>
        <v>13428983.156862745</v>
      </c>
      <c r="C12" s="116">
        <f>+B12/$C$2</f>
        <v>1957577.7196592921</v>
      </c>
      <c r="D12" s="108">
        <f>+E12*$C$2</f>
        <v>381604.65</v>
      </c>
      <c r="E12" s="116">
        <v>55627.5</v>
      </c>
      <c r="F12" s="108">
        <f>+B12*0.02</f>
        <v>268579.66313725489</v>
      </c>
      <c r="G12" s="116">
        <f>+F12/$C$2</f>
        <v>39151.554393185841</v>
      </c>
      <c r="H12" s="108">
        <v>1018132.5</v>
      </c>
      <c r="I12" s="116">
        <f>+H12/$C$2</f>
        <v>148415.81632653059</v>
      </c>
      <c r="J12" s="112">
        <f>+H12/B12</f>
        <v>7.58160530925749E-2</v>
      </c>
      <c r="K12" s="108">
        <v>1247355.7932912549</v>
      </c>
      <c r="L12" s="116">
        <f>+K12/$C$2</f>
        <v>181830.29056723832</v>
      </c>
      <c r="M12" s="112">
        <f>+K12/B12</f>
        <v>9.2885349450587879E-2</v>
      </c>
      <c r="N12" s="108">
        <v>0</v>
      </c>
      <c r="O12" s="116">
        <f>+N12/$C$2</f>
        <v>0</v>
      </c>
      <c r="P12" s="112">
        <f>+N12/B12</f>
        <v>0</v>
      </c>
      <c r="Q12" s="108">
        <v>0</v>
      </c>
      <c r="R12" s="116">
        <v>0</v>
      </c>
      <c r="S12" s="108">
        <v>0</v>
      </c>
      <c r="T12" s="116">
        <f>+S12/$C$2</f>
        <v>0</v>
      </c>
      <c r="U12" s="108">
        <f>+S12+Q12+K12+H12+B12+N12+F12</f>
        <v>15963051.113291254</v>
      </c>
      <c r="V12" s="116">
        <f t="shared" si="2"/>
        <v>2287823.8265530611</v>
      </c>
    </row>
    <row r="13" spans="1:22">
      <c r="A13" s="153" t="s">
        <v>111</v>
      </c>
      <c r="B13" s="108">
        <f>55400620.68-F13</f>
        <v>55092739.810000002</v>
      </c>
      <c r="C13" s="116">
        <f>+B13/$C$2</f>
        <v>8031011.634110787</v>
      </c>
      <c r="D13" s="108">
        <f>+E13*$C$2</f>
        <v>2133751.2070000004</v>
      </c>
      <c r="E13" s="116">
        <v>311042.45</v>
      </c>
      <c r="F13" s="108">
        <v>307880.87</v>
      </c>
      <c r="G13" s="116">
        <f>+F13/C2</f>
        <v>44880.593294460639</v>
      </c>
      <c r="H13" s="108">
        <v>4780825.5</v>
      </c>
      <c r="I13" s="116">
        <f>+H13/$C$2</f>
        <v>696913.33819241985</v>
      </c>
      <c r="J13" s="112">
        <f>+H13/B13</f>
        <v>8.6777777189658331E-2</v>
      </c>
      <c r="K13" s="108">
        <v>3132354.76</v>
      </c>
      <c r="L13" s="116">
        <f>+K13/$C$2</f>
        <v>456611.48104956263</v>
      </c>
      <c r="M13" s="112">
        <f>+K13/B13</f>
        <v>5.6856035310689688E-2</v>
      </c>
      <c r="N13" s="108">
        <v>0</v>
      </c>
      <c r="O13" s="116">
        <f>+N13/$C$2</f>
        <v>0</v>
      </c>
      <c r="P13" s="112">
        <f>+N13/B13</f>
        <v>0</v>
      </c>
      <c r="Q13" s="108">
        <v>0</v>
      </c>
      <c r="R13" s="116">
        <f>+Q13/$C$2</f>
        <v>0</v>
      </c>
      <c r="S13" s="108">
        <v>0</v>
      </c>
      <c r="T13" s="116">
        <f>+S13/$C$2</f>
        <v>0</v>
      </c>
      <c r="U13" s="108">
        <f>+S13+Q13+K13+H13+B13+N13+F13</f>
        <v>63313800.939999998</v>
      </c>
      <c r="V13" s="116">
        <f>+T13+R13+L13+I13+C13+O13</f>
        <v>9184536.4533527698</v>
      </c>
    </row>
    <row r="14" spans="1:22">
      <c r="A14" s="29" t="s">
        <v>112</v>
      </c>
      <c r="B14" s="108">
        <f>+APRAUR!C38</f>
        <v>105665517.12920003</v>
      </c>
      <c r="C14" s="116">
        <f>+B14/$C$2</f>
        <v>15403136.607755106</v>
      </c>
      <c r="D14" s="108">
        <f>+E14*$C$2</f>
        <v>1066511.1660000002</v>
      </c>
      <c r="E14" s="116">
        <v>155468.1</v>
      </c>
      <c r="F14" s="108">
        <f>+APRAUR!C39</f>
        <v>1200554.6128</v>
      </c>
      <c r="G14" s="116">
        <f>+F14/C2</f>
        <v>175007.96104956267</v>
      </c>
      <c r="H14" s="108">
        <f>+APRAUR!C42</f>
        <v>4427285</v>
      </c>
      <c r="I14" s="116">
        <f>+H14/$C$2</f>
        <v>645376.82215743442</v>
      </c>
      <c r="J14" s="112">
        <f>+H14/B14</f>
        <v>4.1899052030253556E-2</v>
      </c>
      <c r="K14" s="108">
        <f>+APRAUR!C40</f>
        <v>2087752.16</v>
      </c>
      <c r="L14" s="116">
        <f>+K14/$C$2</f>
        <v>304337.04956268216</v>
      </c>
      <c r="M14" s="112">
        <f>+K14/B14</f>
        <v>1.9758121823671673E-2</v>
      </c>
      <c r="N14" s="108">
        <f>+APRAUR!C41</f>
        <v>4172920.2</v>
      </c>
      <c r="O14" s="116">
        <f>+N14/$C$2</f>
        <v>608297.40524781344</v>
      </c>
      <c r="P14" s="112">
        <f>+N14/B14</f>
        <v>3.9491787986970811E-2</v>
      </c>
      <c r="Q14" s="108">
        <v>0</v>
      </c>
      <c r="R14" s="116">
        <f>+Q14/$C$2</f>
        <v>0</v>
      </c>
      <c r="S14" s="108">
        <v>0</v>
      </c>
      <c r="T14" s="116">
        <f>+S14/$C$2</f>
        <v>0</v>
      </c>
      <c r="U14" s="108">
        <f>+S14+Q14+K14+H14+B14+N14+F14</f>
        <v>117554029.10200003</v>
      </c>
      <c r="V14" s="116">
        <f>+T14+R14+L14+I14+C14+O14</f>
        <v>16961147.884723037</v>
      </c>
    </row>
    <row r="15" spans="1:22">
      <c r="A15" s="29" t="s">
        <v>113</v>
      </c>
      <c r="B15" s="108">
        <f>+' ARRUMANI'!C8</f>
        <v>22405767.840000004</v>
      </c>
      <c r="C15" s="116">
        <f>+B15/$C$2</f>
        <v>3266146.9154518954</v>
      </c>
      <c r="D15" s="108">
        <f>+E15*$C$2</f>
        <v>691756.22600000002</v>
      </c>
      <c r="E15" s="116">
        <v>100839.1</v>
      </c>
      <c r="F15" s="108">
        <f>+' ARRUMANI'!C9</f>
        <v>142777.39000000001</v>
      </c>
      <c r="G15" s="116">
        <f>+F15/C2</f>
        <v>20813.0306122449</v>
      </c>
      <c r="H15" s="108">
        <f>+' ARRUMANI'!C11</f>
        <v>995333.42</v>
      </c>
      <c r="I15" s="116">
        <f>+H15/$C$2</f>
        <v>145092.33527696793</v>
      </c>
      <c r="J15" s="112">
        <f>+H15/B15</f>
        <v>4.4423089050448714E-2</v>
      </c>
      <c r="K15" s="108">
        <v>389065.6</v>
      </c>
      <c r="L15" s="116">
        <f>+K15/$C$2</f>
        <v>56715.102040816324</v>
      </c>
      <c r="M15" s="112">
        <f>+K15/B15</f>
        <v>1.7364528757877192E-2</v>
      </c>
      <c r="N15" s="108">
        <v>0</v>
      </c>
      <c r="O15" s="116">
        <f>+N15/$C$2</f>
        <v>0</v>
      </c>
      <c r="P15" s="112">
        <f>+O15/B15</f>
        <v>0</v>
      </c>
      <c r="Q15" s="108">
        <v>0</v>
      </c>
      <c r="R15" s="116">
        <f>+Q15/$C$2</f>
        <v>0</v>
      </c>
      <c r="S15" s="108">
        <v>0</v>
      </c>
      <c r="T15" s="116">
        <f>+S15/$C$2</f>
        <v>0</v>
      </c>
      <c r="U15" s="108">
        <f>+S15+Q15+K15+H15+B15+N15+F15</f>
        <v>23932944.250000004</v>
      </c>
      <c r="V15" s="116">
        <f t="shared" si="2"/>
        <v>3467954.3527696799</v>
      </c>
    </row>
    <row r="16" spans="1:22">
      <c r="A16" s="29" t="s">
        <v>114</v>
      </c>
      <c r="B16" s="108">
        <f>+'ZONA SUR'!C7</f>
        <v>64836672.560000017</v>
      </c>
      <c r="C16" s="116">
        <f>+B16/$C$2</f>
        <v>9451409.9941690974</v>
      </c>
      <c r="D16" s="108">
        <f>+E16*$C$2</f>
        <v>1724989.7378000002</v>
      </c>
      <c r="E16" s="116">
        <v>251456.23</v>
      </c>
      <c r="F16" s="108">
        <f>+'ZONA SUR'!C8</f>
        <v>750648.72</v>
      </c>
      <c r="G16" s="116">
        <f>+F16/C2</f>
        <v>109424.01166180757</v>
      </c>
      <c r="H16" s="113">
        <f>+'ZONA SUR'!C10</f>
        <v>3241605.48</v>
      </c>
      <c r="I16" s="116">
        <f>+H16/$C$2</f>
        <v>472537.24198250729</v>
      </c>
      <c r="J16" s="112">
        <f>+H16/B16</f>
        <v>4.9996481188947665E-2</v>
      </c>
      <c r="K16" s="108">
        <f>+'ZONA SUR'!C9</f>
        <v>4536088.3499999996</v>
      </c>
      <c r="L16" s="116">
        <f>+K16/$C$2</f>
        <v>661237.36880466458</v>
      </c>
      <c r="M16" s="112">
        <f>+K16/B16</f>
        <v>6.9961769642053917E-2</v>
      </c>
      <c r="N16" s="108">
        <v>0</v>
      </c>
      <c r="O16" s="116">
        <f>+N16/$C$2</f>
        <v>0</v>
      </c>
      <c r="P16" s="112">
        <f>+O16/B16</f>
        <v>0</v>
      </c>
      <c r="Q16" s="108">
        <v>0</v>
      </c>
      <c r="R16" s="116">
        <f>+Q16/$C$2</f>
        <v>0</v>
      </c>
      <c r="S16" s="108">
        <v>0</v>
      </c>
      <c r="T16" s="116">
        <f>+S16/$C$2</f>
        <v>0</v>
      </c>
      <c r="U16" s="108">
        <f>+S16+Q16+K16+H16+B16+N16+F16</f>
        <v>73365015.110000014</v>
      </c>
      <c r="V16" s="116">
        <f t="shared" ref="V16" si="6">+T16+R16+L16+I16+C16+O16</f>
        <v>10585184.604956269</v>
      </c>
    </row>
    <row r="17" spans="5:7">
      <c r="E17" s="8"/>
      <c r="G17" s="8"/>
    </row>
  </sheetData>
  <mergeCells count="28">
    <mergeCell ref="B5:C5"/>
    <mergeCell ref="A5:A6"/>
    <mergeCell ref="B4:C4"/>
    <mergeCell ref="H4:I4"/>
    <mergeCell ref="K4:L4"/>
    <mergeCell ref="D5:E5"/>
    <mergeCell ref="F5:G5"/>
    <mergeCell ref="U4:V4"/>
    <mergeCell ref="U5:V5"/>
    <mergeCell ref="S5:T5"/>
    <mergeCell ref="U7:U11"/>
    <mergeCell ref="V7:V11"/>
    <mergeCell ref="S7:S10"/>
    <mergeCell ref="T7:T10"/>
    <mergeCell ref="Q4:R4"/>
    <mergeCell ref="S4:T4"/>
    <mergeCell ref="N4:O4"/>
    <mergeCell ref="J7:J10"/>
    <mergeCell ref="M7:M10"/>
    <mergeCell ref="Q5:R5"/>
    <mergeCell ref="H5:J5"/>
    <mergeCell ref="K5:M5"/>
    <mergeCell ref="R7:R10"/>
    <mergeCell ref="N5:P5"/>
    <mergeCell ref="N7:N10"/>
    <mergeCell ref="O7:O10"/>
    <mergeCell ref="P7:P10"/>
    <mergeCell ref="Q7:Q10"/>
  </mergeCells>
  <pageMargins left="0.7" right="0.7" top="0.75" bottom="0.75" header="0.3" footer="0.3"/>
  <pageSetup orientation="portrait" r:id="rId1"/>
  <ignoredErrors>
    <ignoredError sqref="H14" formula="1"/>
    <ignoredError sqref="J12 M12 P12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D122A-23D1-47AE-AC73-99BB1F1414A5}">
  <dimension ref="A1:M14"/>
  <sheetViews>
    <sheetView workbookViewId="0" xr3:uid="{29B8A37D-77FB-5021-A28A-9BBAF033CD58}">
      <selection activeCell="G16" sqref="G16"/>
    </sheetView>
  </sheetViews>
  <sheetFormatPr defaultColWidth="11.5703125" defaultRowHeight="14.45"/>
  <cols>
    <col min="1" max="1" width="29" bestFit="1" customWidth="1"/>
    <col min="2" max="2" width="27.42578125" bestFit="1" customWidth="1"/>
    <col min="3" max="3" width="22.7109375" hidden="1" customWidth="1"/>
    <col min="4" max="4" width="15.28515625" hidden="1" customWidth="1"/>
    <col min="5" max="5" width="18.85546875" hidden="1" customWidth="1"/>
    <col min="6" max="6" width="3.85546875" hidden="1" customWidth="1"/>
    <col min="7" max="7" width="22.85546875" customWidth="1"/>
    <col min="8" max="9" width="15.85546875" customWidth="1"/>
    <col min="10" max="10" width="17" customWidth="1"/>
    <col min="11" max="11" width="18.42578125" customWidth="1"/>
    <col min="12" max="12" width="19.42578125" customWidth="1"/>
  </cols>
  <sheetData>
    <row r="1" spans="1:13">
      <c r="A1" s="264" t="s">
        <v>115</v>
      </c>
      <c r="B1" s="264"/>
      <c r="C1" s="264"/>
      <c r="D1" s="264"/>
      <c r="E1" s="264"/>
      <c r="F1" s="264"/>
    </row>
    <row r="3" spans="1:13" s="22" customFormat="1" ht="43.15">
      <c r="A3" s="244" t="s">
        <v>116</v>
      </c>
      <c r="B3" s="246" t="s">
        <v>117</v>
      </c>
      <c r="C3" s="244" t="s">
        <v>118</v>
      </c>
      <c r="D3" s="244" t="s">
        <v>119</v>
      </c>
      <c r="E3" s="244" t="s">
        <v>120</v>
      </c>
      <c r="F3" s="244" t="s">
        <v>121</v>
      </c>
      <c r="G3" s="246" t="s">
        <v>122</v>
      </c>
      <c r="H3" s="247" t="s">
        <v>120</v>
      </c>
      <c r="I3" s="247" t="s">
        <v>123</v>
      </c>
      <c r="J3" s="247" t="s">
        <v>124</v>
      </c>
      <c r="K3" s="247" t="s">
        <v>125</v>
      </c>
      <c r="L3" s="247" t="s">
        <v>126</v>
      </c>
      <c r="M3" s="247" t="s">
        <v>127</v>
      </c>
    </row>
    <row r="4" spans="1:13">
      <c r="A4" s="16" t="s">
        <v>112</v>
      </c>
      <c r="B4" s="188">
        <v>15354321</v>
      </c>
      <c r="C4" s="223">
        <v>155468.1</v>
      </c>
      <c r="D4" s="233">
        <v>0.01</v>
      </c>
      <c r="E4" s="234">
        <v>132350</v>
      </c>
      <c r="F4" s="233">
        <v>0.02</v>
      </c>
      <c r="G4" s="188">
        <f>B4-E4</f>
        <v>15221971</v>
      </c>
      <c r="H4" s="234">
        <v>132350</v>
      </c>
      <c r="I4" s="235">
        <f>(H4*100)/G4</f>
        <v>0.86946690412168048</v>
      </c>
      <c r="J4" s="223">
        <v>155468.1</v>
      </c>
      <c r="K4" s="236">
        <f>(J4*100)/G4</f>
        <v>1.02134014051137</v>
      </c>
      <c r="L4" s="188">
        <v>299964</v>
      </c>
      <c r="M4" s="236">
        <f>(L4*100)/G4</f>
        <v>1.9705989454322308</v>
      </c>
    </row>
    <row r="5" spans="1:13">
      <c r="A5" s="16" t="s">
        <v>128</v>
      </c>
      <c r="B5" s="188">
        <v>3094532</v>
      </c>
      <c r="C5" s="223">
        <v>100839.1</v>
      </c>
      <c r="D5" s="237">
        <v>3.2500000000000001E-2</v>
      </c>
      <c r="E5" s="223">
        <v>4123.5</v>
      </c>
      <c r="F5" s="233">
        <v>0.02</v>
      </c>
      <c r="G5" s="188">
        <f t="shared" ref="G5:G9" si="0">B5-E5</f>
        <v>3090408.5</v>
      </c>
      <c r="H5" s="223">
        <v>4123.5</v>
      </c>
      <c r="I5" s="235">
        <f t="shared" ref="I5:I9" si="1">(H5*100)/G5</f>
        <v>0.13342896254653713</v>
      </c>
      <c r="J5" s="223">
        <v>100839.1</v>
      </c>
      <c r="K5" s="236">
        <f t="shared" ref="K5:K9" si="2">(J5*100)/G5</f>
        <v>3.262969927761977</v>
      </c>
      <c r="L5" s="188">
        <v>55900</v>
      </c>
      <c r="M5" s="236">
        <f t="shared" ref="M5:M9" si="3">(L5*100)/G5</f>
        <v>1.8088223611862315</v>
      </c>
    </row>
    <row r="6" spans="1:13">
      <c r="A6" s="16" t="s">
        <v>129</v>
      </c>
      <c r="B6" s="188">
        <v>9423466</v>
      </c>
      <c r="C6" s="223">
        <v>251456.23</v>
      </c>
      <c r="D6" s="237">
        <v>2.6700000000000002E-2</v>
      </c>
      <c r="E6" s="223">
        <v>87487.1</v>
      </c>
      <c r="F6" s="233">
        <v>7.0000000000000007E-2</v>
      </c>
      <c r="G6" s="188">
        <f t="shared" si="0"/>
        <v>9335978.9000000004</v>
      </c>
      <c r="H6" s="223">
        <v>87487.1</v>
      </c>
      <c r="I6" s="235">
        <f t="shared" si="1"/>
        <v>0.93709616246026428</v>
      </c>
      <c r="J6" s="223">
        <v>251456.23</v>
      </c>
      <c r="K6" s="236">
        <f t="shared" si="2"/>
        <v>2.6934104360497213</v>
      </c>
      <c r="L6" s="188">
        <v>651737</v>
      </c>
      <c r="M6" s="236">
        <f t="shared" si="3"/>
        <v>6.9809176625281362</v>
      </c>
    </row>
    <row r="7" spans="1:13">
      <c r="A7" s="16" t="s">
        <v>130</v>
      </c>
      <c r="B7" s="188">
        <v>9447949</v>
      </c>
      <c r="C7" s="223">
        <v>465638.85</v>
      </c>
      <c r="D7" s="237">
        <v>4.9299999999999997E-2</v>
      </c>
      <c r="E7" s="238">
        <v>69667.037356321845</v>
      </c>
      <c r="F7" s="233">
        <v>0.08</v>
      </c>
      <c r="G7" s="188">
        <f t="shared" si="0"/>
        <v>9378281.9626436774</v>
      </c>
      <c r="H7" s="238">
        <v>69667.037356321845</v>
      </c>
      <c r="I7" s="235">
        <f t="shared" si="1"/>
        <v>0.74285500941243998</v>
      </c>
      <c r="J7" s="223">
        <v>465638.85</v>
      </c>
      <c r="K7" s="236">
        <f t="shared" si="2"/>
        <v>4.9650762458920505</v>
      </c>
      <c r="L7" s="188">
        <v>732752</v>
      </c>
      <c r="M7" s="236">
        <f t="shared" si="3"/>
        <v>7.8132860892726024</v>
      </c>
    </row>
    <row r="8" spans="1:13" ht="12.75" customHeight="1">
      <c r="A8" s="16" t="s">
        <v>131</v>
      </c>
      <c r="B8" s="188">
        <v>1968041</v>
      </c>
      <c r="C8" s="223">
        <v>55627.5</v>
      </c>
      <c r="D8" s="237">
        <v>2.8299999999999999E-2</v>
      </c>
      <c r="E8" s="238">
        <v>20814.566091954024</v>
      </c>
      <c r="F8" s="233">
        <v>0.09</v>
      </c>
      <c r="G8" s="188">
        <f t="shared" si="0"/>
        <v>1947226.433908046</v>
      </c>
      <c r="H8" s="238">
        <v>20814.566091954024</v>
      </c>
      <c r="I8" s="235">
        <f t="shared" si="1"/>
        <v>1.0689340350715961</v>
      </c>
      <c r="J8" s="223">
        <v>55627.5</v>
      </c>
      <c r="K8" s="236">
        <f t="shared" si="2"/>
        <v>2.8567555899678641</v>
      </c>
      <c r="L8" s="188">
        <v>179218</v>
      </c>
      <c r="M8" s="236">
        <f t="shared" si="3"/>
        <v>9.2037575537793472</v>
      </c>
    </row>
    <row r="9" spans="1:13" ht="12.75" customHeight="1">
      <c r="A9" s="16" t="s">
        <v>132</v>
      </c>
      <c r="B9" s="188">
        <v>7959859</v>
      </c>
      <c r="C9" s="223">
        <v>311042.45</v>
      </c>
      <c r="D9" s="237">
        <v>3.9E-2</v>
      </c>
      <c r="E9" s="238">
        <v>43658.646551724138</v>
      </c>
      <c r="F9" s="233">
        <v>0.06</v>
      </c>
      <c r="G9" s="188">
        <f t="shared" si="0"/>
        <v>7916200.3534482755</v>
      </c>
      <c r="H9" s="238">
        <v>43658.646551724138</v>
      </c>
      <c r="I9" s="235">
        <f t="shared" si="1"/>
        <v>0.55151012610117367</v>
      </c>
      <c r="J9" s="223">
        <v>311042.45</v>
      </c>
      <c r="K9" s="236">
        <f t="shared" si="2"/>
        <v>3.9291887030690265</v>
      </c>
      <c r="L9" s="188">
        <v>450051</v>
      </c>
      <c r="M9" s="236">
        <f t="shared" si="3"/>
        <v>5.6851896099870567</v>
      </c>
    </row>
    <row r="10" spans="1:13" ht="12.75" customHeight="1">
      <c r="B10" s="239"/>
      <c r="C10" s="18"/>
      <c r="D10" s="240"/>
      <c r="E10" s="122"/>
      <c r="F10" s="241"/>
      <c r="G10" s="239"/>
      <c r="H10" s="122"/>
      <c r="I10" s="242"/>
      <c r="J10" s="18"/>
      <c r="K10" s="243"/>
      <c r="L10" s="239"/>
      <c r="M10" s="243"/>
    </row>
    <row r="11" spans="1:13" ht="12.75" customHeight="1">
      <c r="A11" s="204" t="s">
        <v>133</v>
      </c>
      <c r="B11" s="299"/>
      <c r="C11" s="299"/>
      <c r="D11" s="299"/>
      <c r="E11" s="299"/>
      <c r="F11" s="299"/>
      <c r="G11" s="299"/>
      <c r="H11" s="299"/>
      <c r="I11" s="244" t="s">
        <v>134</v>
      </c>
      <c r="J11" s="244"/>
      <c r="K11" s="244" t="s">
        <v>135</v>
      </c>
      <c r="L11" s="244"/>
      <c r="M11" s="244" t="s">
        <v>136</v>
      </c>
    </row>
    <row r="12" spans="1:13">
      <c r="I12" s="2"/>
      <c r="J12" s="2"/>
      <c r="K12" s="2"/>
      <c r="L12" s="2"/>
      <c r="M12" s="2"/>
    </row>
    <row r="13" spans="1:13">
      <c r="A13" t="s">
        <v>137</v>
      </c>
      <c r="B13" s="218">
        <f>+B4*6.96</f>
        <v>106866074.16</v>
      </c>
      <c r="C13" s="245">
        <f>SUM(C4:C9)</f>
        <v>1340072.23</v>
      </c>
    </row>
    <row r="14" spans="1:13">
      <c r="A14" t="s">
        <v>138</v>
      </c>
    </row>
  </sheetData>
  <mergeCells count="2">
    <mergeCell ref="A1:F1"/>
    <mergeCell ref="B11:H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FAA86-689A-4BC7-B681-25BCCFAF466D}">
  <dimension ref="A1:F47"/>
  <sheetViews>
    <sheetView topLeftCell="A26" workbookViewId="0" xr3:uid="{3829D2AE-2020-5E89-91EE-3DC1706A855D}">
      <selection activeCell="F5" sqref="F5"/>
    </sheetView>
  </sheetViews>
  <sheetFormatPr defaultColWidth="11.42578125" defaultRowHeight="14.45"/>
  <cols>
    <col min="1" max="1" width="3.28515625" customWidth="1"/>
    <col min="2" max="2" width="53.42578125" bestFit="1" customWidth="1"/>
    <col min="3" max="4" width="16.140625" customWidth="1"/>
    <col min="5" max="5" width="19.28515625" bestFit="1" customWidth="1"/>
  </cols>
  <sheetData>
    <row r="1" spans="1:6">
      <c r="A1" s="264" t="s">
        <v>139</v>
      </c>
      <c r="B1" s="264"/>
      <c r="C1" s="264"/>
      <c r="D1" s="264"/>
      <c r="E1" s="264"/>
    </row>
    <row r="2" spans="1:6">
      <c r="A2" s="89"/>
      <c r="B2" s="89"/>
      <c r="C2" s="89"/>
      <c r="D2" s="89"/>
      <c r="E2" s="89"/>
    </row>
    <row r="3" spans="1:6" ht="15" thickBot="1">
      <c r="A3" s="89"/>
      <c r="B3" s="89"/>
      <c r="C3" s="89"/>
      <c r="D3" s="300" t="s">
        <v>140</v>
      </c>
      <c r="E3" s="301"/>
    </row>
    <row r="4" spans="1:6" ht="38.25" customHeight="1">
      <c r="A4" s="155" t="s">
        <v>141</v>
      </c>
      <c r="B4" s="155" t="s">
        <v>142</v>
      </c>
      <c r="C4" s="156" t="s">
        <v>143</v>
      </c>
      <c r="D4" s="180" t="s">
        <v>21</v>
      </c>
      <c r="E4" s="181" t="s">
        <v>20</v>
      </c>
    </row>
    <row r="5" spans="1:6" s="2" customFormat="1">
      <c r="A5" s="157">
        <v>1</v>
      </c>
      <c r="B5" s="158" t="s">
        <v>144</v>
      </c>
      <c r="C5" s="159">
        <f>SUM(C6:C6)</f>
        <v>29349236.260000002</v>
      </c>
      <c r="D5" s="160">
        <f>+D6</f>
        <v>10115</v>
      </c>
      <c r="E5" s="161" t="s">
        <v>145</v>
      </c>
    </row>
    <row r="6" spans="1:6">
      <c r="A6" s="163"/>
      <c r="B6" s="30" t="s">
        <v>146</v>
      </c>
      <c r="C6" s="164">
        <v>29349236.260000002</v>
      </c>
      <c r="D6" s="165">
        <v>10115</v>
      </c>
      <c r="E6" s="166"/>
    </row>
    <row r="7" spans="1:6" s="2" customFormat="1">
      <c r="A7" s="157">
        <v>2</v>
      </c>
      <c r="B7" s="158" t="s">
        <v>147</v>
      </c>
      <c r="C7" s="159">
        <f>SUM(C8:C11)</f>
        <v>27599443.609999999</v>
      </c>
      <c r="D7" s="160">
        <f>SUM(D8:D11)</f>
        <v>4</v>
      </c>
      <c r="E7" s="161" t="s">
        <v>148</v>
      </c>
    </row>
    <row r="8" spans="1:6">
      <c r="A8" s="163"/>
      <c r="B8" s="30" t="s">
        <v>149</v>
      </c>
      <c r="C8" s="164">
        <v>16219526.369999999</v>
      </c>
      <c r="D8" s="165">
        <v>1</v>
      </c>
      <c r="E8" s="166"/>
    </row>
    <row r="9" spans="1:6">
      <c r="A9" s="163"/>
      <c r="B9" s="30" t="s">
        <v>150</v>
      </c>
      <c r="C9" s="164">
        <v>4051433.3</v>
      </c>
      <c r="D9" s="165">
        <v>1</v>
      </c>
      <c r="E9" s="166"/>
      <c r="F9" s="18">
        <f>+D5+D12</f>
        <v>266005</v>
      </c>
    </row>
    <row r="10" spans="1:6">
      <c r="A10" s="163"/>
      <c r="B10" s="30" t="s">
        <v>151</v>
      </c>
      <c r="C10" s="164">
        <v>3426193.3199999994</v>
      </c>
      <c r="D10" s="165">
        <v>1</v>
      </c>
      <c r="E10" s="166"/>
    </row>
    <row r="11" spans="1:6">
      <c r="A11" s="163"/>
      <c r="B11" s="167" t="s">
        <v>152</v>
      </c>
      <c r="C11" s="164">
        <v>3902290.62</v>
      </c>
      <c r="D11" s="165">
        <v>1</v>
      </c>
      <c r="E11" s="166"/>
    </row>
    <row r="12" spans="1:6" s="2" customFormat="1">
      <c r="A12" s="157">
        <v>3</v>
      </c>
      <c r="B12" s="168" t="s">
        <v>153</v>
      </c>
      <c r="C12" s="159">
        <f>SUM(C13:C13)</f>
        <v>39248194.569200017</v>
      </c>
      <c r="D12" s="160">
        <v>255890</v>
      </c>
      <c r="E12" s="161" t="s">
        <v>145</v>
      </c>
    </row>
    <row r="13" spans="1:6" s="2" customFormat="1">
      <c r="A13" s="157"/>
      <c r="B13" s="167" t="s">
        <v>154</v>
      </c>
      <c r="C13" s="164">
        <v>39248194.569200017</v>
      </c>
      <c r="D13" s="165"/>
      <c r="E13" s="166"/>
    </row>
    <row r="14" spans="1:6" s="2" customFormat="1">
      <c r="A14" s="157">
        <v>4</v>
      </c>
      <c r="B14" s="168" t="s">
        <v>155</v>
      </c>
      <c r="C14" s="159">
        <f>+C15</f>
        <v>2308332.4</v>
      </c>
      <c r="D14" s="160">
        <v>2354</v>
      </c>
      <c r="E14" s="161" t="s">
        <v>156</v>
      </c>
    </row>
    <row r="15" spans="1:6">
      <c r="A15" s="163"/>
      <c r="B15" s="167" t="s">
        <v>157</v>
      </c>
      <c r="C15" s="164">
        <v>2308332.4</v>
      </c>
      <c r="D15" s="165"/>
      <c r="E15" s="166"/>
    </row>
    <row r="16" spans="1:6" s="2" customFormat="1">
      <c r="A16" s="157">
        <v>5</v>
      </c>
      <c r="B16" s="168" t="s">
        <v>158</v>
      </c>
      <c r="C16" s="159">
        <f>+C17+C28+C23</f>
        <v>7160310.29</v>
      </c>
      <c r="D16" s="160">
        <v>1</v>
      </c>
      <c r="E16" s="161" t="s">
        <v>159</v>
      </c>
    </row>
    <row r="17" spans="1:5" s="2" customFormat="1">
      <c r="A17" s="157"/>
      <c r="B17" s="168" t="s">
        <v>160</v>
      </c>
      <c r="C17" s="159">
        <f>SUM(C18:C22)</f>
        <v>3597968.96</v>
      </c>
      <c r="D17" s="160"/>
      <c r="E17" s="161"/>
    </row>
    <row r="18" spans="1:5" s="2" customFormat="1">
      <c r="A18" s="157"/>
      <c r="B18" s="167" t="s">
        <v>161</v>
      </c>
      <c r="C18" s="178">
        <v>2200089.7200000002</v>
      </c>
      <c r="D18" s="160"/>
      <c r="E18" s="161"/>
    </row>
    <row r="19" spans="1:5" s="2" customFormat="1">
      <c r="A19" s="157"/>
      <c r="B19" s="167" t="s">
        <v>162</v>
      </c>
      <c r="C19" s="178">
        <v>331106.08</v>
      </c>
      <c r="D19" s="160"/>
      <c r="E19" s="161"/>
    </row>
    <row r="20" spans="1:5" s="2" customFormat="1">
      <c r="A20" s="157"/>
      <c r="B20" s="167" t="s">
        <v>163</v>
      </c>
      <c r="C20" s="178">
        <v>354533.96</v>
      </c>
      <c r="D20" s="160"/>
      <c r="E20" s="161"/>
    </row>
    <row r="21" spans="1:5" s="2" customFormat="1">
      <c r="A21" s="157"/>
      <c r="B21" s="167" t="s">
        <v>164</v>
      </c>
      <c r="C21" s="178">
        <v>245637.88</v>
      </c>
      <c r="D21" s="160"/>
      <c r="E21" s="161"/>
    </row>
    <row r="22" spans="1:5" s="2" customFormat="1">
      <c r="A22" s="157"/>
      <c r="B22" s="167" t="s">
        <v>165</v>
      </c>
      <c r="C22" s="178">
        <v>466601.32</v>
      </c>
      <c r="D22" s="160"/>
      <c r="E22" s="161"/>
    </row>
    <row r="23" spans="1:5" s="2" customFormat="1">
      <c r="A23" s="157"/>
      <c r="B23" s="168" t="s">
        <v>166</v>
      </c>
      <c r="C23" s="178">
        <f>SUM(C24:C27)</f>
        <v>781759.47</v>
      </c>
      <c r="D23" s="160"/>
      <c r="E23" s="161"/>
    </row>
    <row r="24" spans="1:5" s="2" customFormat="1">
      <c r="A24" s="157"/>
      <c r="B24" s="167" t="s">
        <v>161</v>
      </c>
      <c r="C24" s="178">
        <v>116690.1</v>
      </c>
      <c r="D24" s="160"/>
      <c r="E24" s="161"/>
    </row>
    <row r="25" spans="1:5" s="2" customFormat="1">
      <c r="A25" s="157"/>
      <c r="B25" s="167" t="s">
        <v>163</v>
      </c>
      <c r="C25" s="178">
        <v>10946.84</v>
      </c>
      <c r="D25" s="160"/>
      <c r="E25" s="161"/>
    </row>
    <row r="26" spans="1:5" s="2" customFormat="1">
      <c r="A26" s="157"/>
      <c r="B26" s="167" t="s">
        <v>164</v>
      </c>
      <c r="C26" s="178">
        <v>453542.48</v>
      </c>
      <c r="D26" s="160"/>
      <c r="E26" s="161"/>
    </row>
    <row r="27" spans="1:5" s="2" customFormat="1">
      <c r="A27" s="157"/>
      <c r="B27" s="167" t="s">
        <v>165</v>
      </c>
      <c r="C27" s="178">
        <v>200580.05</v>
      </c>
      <c r="D27" s="160"/>
      <c r="E27" s="161"/>
    </row>
    <row r="28" spans="1:5" s="2" customFormat="1">
      <c r="A28" s="157"/>
      <c r="B28" s="168" t="s">
        <v>167</v>
      </c>
      <c r="C28" s="159">
        <f>SUM(C29:C37)</f>
        <v>2780581.8600000003</v>
      </c>
      <c r="D28" s="160"/>
      <c r="E28" s="161"/>
    </row>
    <row r="29" spans="1:5" s="2" customFormat="1">
      <c r="A29" s="157"/>
      <c r="B29" s="167" t="s">
        <v>164</v>
      </c>
      <c r="C29" s="178">
        <v>1123132.33</v>
      </c>
      <c r="D29" s="160"/>
      <c r="E29" s="161"/>
    </row>
    <row r="30" spans="1:5" s="2" customFormat="1">
      <c r="A30" s="157"/>
      <c r="B30" s="167" t="s">
        <v>168</v>
      </c>
      <c r="C30" s="178">
        <v>203875.98</v>
      </c>
      <c r="D30" s="160"/>
      <c r="E30" s="161"/>
    </row>
    <row r="31" spans="1:5" s="2" customFormat="1">
      <c r="A31" s="157"/>
      <c r="B31" s="167" t="s">
        <v>169</v>
      </c>
      <c r="C31" s="178">
        <v>185224.54</v>
      </c>
      <c r="D31" s="160"/>
      <c r="E31" s="161"/>
    </row>
    <row r="32" spans="1:5" s="2" customFormat="1">
      <c r="A32" s="157"/>
      <c r="B32" s="167" t="s">
        <v>170</v>
      </c>
      <c r="C32" s="178">
        <v>264122.02</v>
      </c>
      <c r="D32" s="160"/>
      <c r="E32" s="161"/>
    </row>
    <row r="33" spans="1:5" s="2" customFormat="1">
      <c r="A33" s="157"/>
      <c r="B33" s="167" t="s">
        <v>171</v>
      </c>
      <c r="C33" s="178">
        <v>275213.92</v>
      </c>
      <c r="D33" s="160"/>
      <c r="E33" s="161"/>
    </row>
    <row r="34" spans="1:5" s="2" customFormat="1">
      <c r="A34" s="157"/>
      <c r="B34" s="167" t="s">
        <v>172</v>
      </c>
      <c r="C34" s="178">
        <v>166402.44</v>
      </c>
      <c r="D34" s="160"/>
      <c r="E34" s="161"/>
    </row>
    <row r="35" spans="1:5" s="2" customFormat="1">
      <c r="A35" s="157"/>
      <c r="B35" s="167" t="s">
        <v>173</v>
      </c>
      <c r="C35" s="179">
        <v>189091.81</v>
      </c>
      <c r="D35" s="160"/>
      <c r="E35" s="161"/>
    </row>
    <row r="36" spans="1:5" s="2" customFormat="1">
      <c r="A36" s="157"/>
      <c r="B36" s="167" t="s">
        <v>174</v>
      </c>
      <c r="C36" s="164">
        <v>206736.12</v>
      </c>
      <c r="D36" s="160"/>
      <c r="E36" s="161"/>
    </row>
    <row r="37" spans="1:5" s="2" customFormat="1" ht="15" thickBot="1">
      <c r="A37" s="157"/>
      <c r="B37" s="167" t="s">
        <v>175</v>
      </c>
      <c r="C37" s="164">
        <v>166782.70000000001</v>
      </c>
      <c r="D37" s="160"/>
      <c r="E37" s="161"/>
    </row>
    <row r="38" spans="1:5" ht="15" thickBot="1">
      <c r="A38" s="169"/>
      <c r="B38" s="169" t="s">
        <v>176</v>
      </c>
      <c r="C38" s="170">
        <f>+C16+C14+C12+C7+C5</f>
        <v>105665517.12920003</v>
      </c>
      <c r="D38" s="171"/>
      <c r="E38" s="170"/>
    </row>
    <row r="39" spans="1:5" ht="15" thickBot="1">
      <c r="B39" s="172" t="s">
        <v>177</v>
      </c>
      <c r="C39" s="173">
        <v>1200554.6128</v>
      </c>
      <c r="D39" s="174"/>
      <c r="E39" s="173"/>
    </row>
    <row r="40" spans="1:5" ht="15" thickBot="1">
      <c r="B40" s="172" t="s">
        <v>178</v>
      </c>
      <c r="C40" s="173">
        <v>2087752.16</v>
      </c>
      <c r="D40" s="174"/>
      <c r="E40" s="173"/>
    </row>
    <row r="41" spans="1:5" ht="15" thickBot="1">
      <c r="B41" s="175" t="s">
        <v>179</v>
      </c>
      <c r="C41" s="170">
        <v>4172920.2</v>
      </c>
      <c r="D41" s="171"/>
      <c r="E41" s="170"/>
    </row>
    <row r="42" spans="1:5" ht="15" thickBot="1">
      <c r="B42" s="172" t="s">
        <v>180</v>
      </c>
      <c r="C42" s="173">
        <v>4427285</v>
      </c>
      <c r="D42" s="174"/>
      <c r="E42" s="173"/>
    </row>
    <row r="43" spans="1:5" ht="15" thickBot="1">
      <c r="B43" s="169" t="s">
        <v>181</v>
      </c>
      <c r="C43" s="173">
        <f>SUM(C38:C42)</f>
        <v>117554029.10200003</v>
      </c>
      <c r="D43" s="171"/>
      <c r="E43" s="170"/>
    </row>
    <row r="44" spans="1:5">
      <c r="D44" s="176"/>
      <c r="E44" s="176"/>
    </row>
    <row r="45" spans="1:5">
      <c r="C45" s="18"/>
    </row>
    <row r="46" spans="1:5">
      <c r="C46" s="18"/>
    </row>
    <row r="47" spans="1:5">
      <c r="C47" s="18"/>
      <c r="D47" s="177"/>
      <c r="E47" s="177"/>
    </row>
  </sheetData>
  <mergeCells count="2">
    <mergeCell ref="A1:E1"/>
    <mergeCell ref="D3:E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CE75-A55C-45A3-B110-BB305E1FF313}">
  <dimension ref="A1:F15"/>
  <sheetViews>
    <sheetView workbookViewId="0" xr3:uid="{211371E3-9D47-577D-A0D9-5FC90F8F897F}">
      <selection activeCell="B15" sqref="B15"/>
    </sheetView>
  </sheetViews>
  <sheetFormatPr defaultColWidth="11.42578125" defaultRowHeight="14.45"/>
  <cols>
    <col min="1" max="1" width="3.28515625" customWidth="1"/>
    <col min="2" max="2" width="53.42578125" bestFit="1" customWidth="1"/>
    <col min="3" max="4" width="16.140625" customWidth="1"/>
    <col min="5" max="5" width="19.28515625" bestFit="1" customWidth="1"/>
    <col min="6" max="6" width="16.140625" style="154" customWidth="1"/>
  </cols>
  <sheetData>
    <row r="1" spans="1:6">
      <c r="A1" s="264" t="s">
        <v>182</v>
      </c>
      <c r="B1" s="264"/>
      <c r="C1" s="264"/>
      <c r="D1" s="264"/>
      <c r="E1" s="264"/>
    </row>
    <row r="2" spans="1:6">
      <c r="A2" s="89"/>
      <c r="B2" s="89"/>
      <c r="C2" s="89"/>
      <c r="D2" s="89"/>
      <c r="E2" s="89"/>
    </row>
    <row r="3" spans="1:6" ht="15" thickBot="1">
      <c r="A3" s="89"/>
      <c r="B3" s="89"/>
      <c r="C3" s="89"/>
      <c r="D3" s="302" t="s">
        <v>140</v>
      </c>
      <c r="E3" s="303"/>
    </row>
    <row r="4" spans="1:6" ht="38.25" customHeight="1">
      <c r="A4" s="191" t="s">
        <v>141</v>
      </c>
      <c r="B4" s="189" t="s">
        <v>142</v>
      </c>
      <c r="C4" s="156" t="s">
        <v>143</v>
      </c>
      <c r="D4" s="205" t="s">
        <v>21</v>
      </c>
      <c r="E4" s="205" t="s">
        <v>20</v>
      </c>
    </row>
    <row r="5" spans="1:6">
      <c r="A5" s="193">
        <v>1</v>
      </c>
      <c r="B5" s="196" t="s">
        <v>183</v>
      </c>
      <c r="C5" s="198">
        <v>3370957.37</v>
      </c>
      <c r="D5" s="209">
        <v>3093</v>
      </c>
      <c r="E5" s="200" t="s">
        <v>156</v>
      </c>
    </row>
    <row r="6" spans="1:6" s="2" customFormat="1">
      <c r="A6" s="192">
        <v>2</v>
      </c>
      <c r="B6" s="195" t="s">
        <v>184</v>
      </c>
      <c r="C6" s="198">
        <v>61465715.19000002</v>
      </c>
      <c r="D6" s="209">
        <v>121235.66000000002</v>
      </c>
      <c r="E6" s="199" t="s">
        <v>145</v>
      </c>
      <c r="F6" s="162">
        <f t="shared" ref="F6:F11" si="0">SUM(D6:E6)</f>
        <v>121235.66000000002</v>
      </c>
    </row>
    <row r="7" spans="1:6" ht="15" thickBot="1">
      <c r="A7" s="194"/>
      <c r="B7" s="190" t="s">
        <v>176</v>
      </c>
      <c r="C7" s="208">
        <f>SUM(C5:C6)</f>
        <v>64836672.560000017</v>
      </c>
      <c r="D7" s="210"/>
      <c r="E7" s="201"/>
      <c r="F7" s="162">
        <f t="shared" si="0"/>
        <v>0</v>
      </c>
    </row>
    <row r="8" spans="1:6" ht="15" thickBot="1">
      <c r="B8" s="172" t="s">
        <v>177</v>
      </c>
      <c r="C8" s="202">
        <v>750648.72</v>
      </c>
      <c r="D8" s="203"/>
      <c r="E8" s="173"/>
      <c r="F8" s="162">
        <f t="shared" si="0"/>
        <v>0</v>
      </c>
    </row>
    <row r="9" spans="1:6" ht="15" thickBot="1">
      <c r="B9" s="172" t="s">
        <v>178</v>
      </c>
      <c r="C9" s="202">
        <v>4536088.3499999996</v>
      </c>
      <c r="D9" s="174"/>
      <c r="E9" s="173"/>
      <c r="F9" s="162">
        <f t="shared" si="0"/>
        <v>0</v>
      </c>
    </row>
    <row r="10" spans="1:6" ht="15" thickBot="1">
      <c r="B10" s="172" t="s">
        <v>180</v>
      </c>
      <c r="C10" s="202">
        <v>3241605.48</v>
      </c>
      <c r="D10" s="174"/>
      <c r="E10" s="173"/>
      <c r="F10" s="162">
        <f t="shared" si="0"/>
        <v>0</v>
      </c>
    </row>
    <row r="11" spans="1:6" ht="15" thickBot="1">
      <c r="B11" s="169" t="s">
        <v>181</v>
      </c>
      <c r="C11" s="173">
        <f>SUM(C7:C10)</f>
        <v>73365015.110000014</v>
      </c>
      <c r="D11" s="171"/>
      <c r="E11" s="170"/>
      <c r="F11" s="162">
        <f t="shared" si="0"/>
        <v>0</v>
      </c>
    </row>
    <row r="12" spans="1:6">
      <c r="D12" s="176"/>
      <c r="E12" s="176"/>
    </row>
    <row r="13" spans="1:6">
      <c r="C13" s="18"/>
    </row>
    <row r="14" spans="1:6">
      <c r="C14" s="18"/>
    </row>
    <row r="15" spans="1:6">
      <c r="C15" s="18"/>
      <c r="D15" s="177"/>
      <c r="E15" s="177"/>
    </row>
  </sheetData>
  <mergeCells count="2">
    <mergeCell ref="A1:E1"/>
    <mergeCell ref="D3:E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1C5-AEBF-443C-AACE-52AD85C6ECDB}">
  <dimension ref="A1:F16"/>
  <sheetViews>
    <sheetView workbookViewId="0" xr3:uid="{77B2E982-21E1-5A2F-BC28-33B723960764}">
      <selection activeCell="D12" sqref="D12"/>
    </sheetView>
  </sheetViews>
  <sheetFormatPr defaultColWidth="11.42578125" defaultRowHeight="14.45"/>
  <cols>
    <col min="1" max="1" width="3.28515625" customWidth="1"/>
    <col min="2" max="2" width="53.42578125" bestFit="1" customWidth="1"/>
    <col min="3" max="4" width="16.140625" customWidth="1"/>
    <col min="5" max="5" width="19.28515625" bestFit="1" customWidth="1"/>
    <col min="6" max="6" width="16.140625" style="154" customWidth="1"/>
  </cols>
  <sheetData>
    <row r="1" spans="1:6">
      <c r="A1" s="264" t="s">
        <v>185</v>
      </c>
      <c r="B1" s="264"/>
      <c r="C1" s="264"/>
      <c r="D1" s="264"/>
      <c r="E1" s="264"/>
    </row>
    <row r="2" spans="1:6">
      <c r="A2" s="89"/>
      <c r="B2" s="89"/>
      <c r="C2" s="89"/>
      <c r="D2" s="89"/>
      <c r="E2" s="89"/>
    </row>
    <row r="3" spans="1:6" ht="15" thickBot="1">
      <c r="A3" s="89"/>
      <c r="B3" s="89"/>
      <c r="C3" s="89"/>
      <c r="D3" s="302" t="s">
        <v>140</v>
      </c>
      <c r="E3" s="303"/>
    </row>
    <row r="4" spans="1:6" ht="38.25" customHeight="1">
      <c r="A4" s="191" t="s">
        <v>141</v>
      </c>
      <c r="B4" s="189" t="s">
        <v>142</v>
      </c>
      <c r="C4" s="156" t="s">
        <v>143</v>
      </c>
      <c r="D4" s="156" t="s">
        <v>21</v>
      </c>
      <c r="E4" s="205" t="s">
        <v>20</v>
      </c>
    </row>
    <row r="5" spans="1:6" s="2" customFormat="1">
      <c r="A5" s="192">
        <v>1</v>
      </c>
      <c r="B5" s="195" t="s">
        <v>186</v>
      </c>
      <c r="C5" s="197">
        <v>374589.84449999995</v>
      </c>
      <c r="D5" s="206">
        <v>1</v>
      </c>
      <c r="E5" s="199"/>
      <c r="F5" s="162">
        <f>SUM(D5:E5)</f>
        <v>1</v>
      </c>
    </row>
    <row r="6" spans="1:6">
      <c r="A6" s="193">
        <v>2</v>
      </c>
      <c r="B6" s="196" t="s">
        <v>187</v>
      </c>
      <c r="C6" s="198">
        <v>3387745</v>
      </c>
      <c r="D6" s="206">
        <v>2370</v>
      </c>
      <c r="E6" s="200" t="s">
        <v>156</v>
      </c>
    </row>
    <row r="7" spans="1:6" s="2" customFormat="1">
      <c r="A7" s="192">
        <v>3</v>
      </c>
      <c r="B7" s="195" t="s">
        <v>188</v>
      </c>
      <c r="C7" s="198">
        <v>18643432.995500002</v>
      </c>
      <c r="D7" s="207">
        <v>44361.3</v>
      </c>
      <c r="E7" s="199" t="s">
        <v>145</v>
      </c>
      <c r="F7" s="162">
        <f t="shared" ref="F7:F12" si="0">SUM(D7:E7)</f>
        <v>44361.3</v>
      </c>
    </row>
    <row r="8" spans="1:6" ht="15" thickBot="1">
      <c r="A8" s="194"/>
      <c r="B8" s="190" t="s">
        <v>176</v>
      </c>
      <c r="C8" s="208">
        <f>SUM(C5:C7)</f>
        <v>22405767.840000004</v>
      </c>
      <c r="D8" s="208"/>
      <c r="E8" s="201"/>
      <c r="F8" s="162">
        <f t="shared" si="0"/>
        <v>0</v>
      </c>
    </row>
    <row r="9" spans="1:6" ht="15" thickBot="1">
      <c r="B9" s="172" t="s">
        <v>177</v>
      </c>
      <c r="C9" s="211">
        <v>142777.39000000001</v>
      </c>
      <c r="D9" s="203"/>
      <c r="E9" s="173"/>
      <c r="F9" s="162">
        <f t="shared" si="0"/>
        <v>0</v>
      </c>
    </row>
    <row r="10" spans="1:6" ht="15" thickBot="1">
      <c r="B10" s="172" t="s">
        <v>178</v>
      </c>
      <c r="C10" s="211">
        <v>389065.6</v>
      </c>
      <c r="D10" s="174"/>
      <c r="E10" s="173"/>
      <c r="F10" s="162">
        <f t="shared" si="0"/>
        <v>0</v>
      </c>
    </row>
    <row r="11" spans="1:6" ht="15" thickBot="1">
      <c r="B11" s="172" t="s">
        <v>180</v>
      </c>
      <c r="C11" s="211">
        <v>995333.42</v>
      </c>
      <c r="D11" s="174"/>
      <c r="E11" s="173"/>
      <c r="F11" s="162">
        <f t="shared" si="0"/>
        <v>0</v>
      </c>
    </row>
    <row r="12" spans="1:6" ht="15" thickBot="1">
      <c r="B12" s="169" t="s">
        <v>181</v>
      </c>
      <c r="C12" s="173">
        <f>SUM(C8:C11)</f>
        <v>23932944.250000007</v>
      </c>
      <c r="D12" s="171"/>
      <c r="E12" s="170"/>
      <c r="F12" s="162">
        <f t="shared" si="0"/>
        <v>0</v>
      </c>
    </row>
    <row r="13" spans="1:6">
      <c r="D13" s="176"/>
      <c r="E13" s="176"/>
    </row>
    <row r="14" spans="1:6">
      <c r="C14" s="18"/>
    </row>
    <row r="15" spans="1:6">
      <c r="C15" s="18"/>
    </row>
    <row r="16" spans="1:6">
      <c r="C16" s="18"/>
      <c r="D16" s="177"/>
      <c r="E16" s="177"/>
    </row>
  </sheetData>
  <mergeCells count="2">
    <mergeCell ref="A1:E1"/>
    <mergeCell ref="D3:E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7"/>
  <sheetViews>
    <sheetView topLeftCell="B26" workbookViewId="0" xr3:uid="{842E5F09-E766-5B8D-85AF-A39847EA96FD}">
      <selection activeCell="G42" sqref="G42"/>
    </sheetView>
  </sheetViews>
  <sheetFormatPr defaultColWidth="11.5703125" defaultRowHeight="14.45"/>
  <cols>
    <col min="1" max="1" width="6.28515625" hidden="1" customWidth="1"/>
    <col min="2" max="2" width="10" customWidth="1"/>
    <col min="3" max="3" width="49.140625" bestFit="1" customWidth="1"/>
    <col min="4" max="4" width="11.85546875" hidden="1" customWidth="1"/>
    <col min="5" max="5" width="12.5703125" bestFit="1" customWidth="1"/>
    <col min="6" max="6" width="10.85546875" customWidth="1"/>
    <col min="7" max="8" width="15.5703125" bestFit="1" customWidth="1"/>
    <col min="9" max="11" width="15.5703125" customWidth="1"/>
    <col min="12" max="12" width="15.5703125" bestFit="1" customWidth="1"/>
    <col min="13" max="13" width="11.5703125" bestFit="1" customWidth="1"/>
  </cols>
  <sheetData>
    <row r="1" spans="1:13" ht="21.75" customHeight="1">
      <c r="A1" s="307" t="s">
        <v>189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101"/>
    </row>
    <row r="2" spans="1:13" ht="20.45">
      <c r="A2" s="307" t="s">
        <v>190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</row>
    <row r="3" spans="1:13" ht="21" thickBot="1">
      <c r="A3" s="101"/>
      <c r="B3" s="101"/>
      <c r="C3" s="118" t="s">
        <v>191</v>
      </c>
      <c r="E3" s="101"/>
      <c r="F3" s="101"/>
      <c r="G3" s="119">
        <v>6.86</v>
      </c>
      <c r="H3" s="101"/>
      <c r="I3" s="101"/>
      <c r="J3" s="101"/>
      <c r="K3" s="101"/>
      <c r="L3" s="101"/>
    </row>
    <row r="4" spans="1:13" ht="21" thickBot="1">
      <c r="A4" s="101"/>
      <c r="B4" s="101"/>
      <c r="C4" s="118"/>
      <c r="D4" s="101"/>
      <c r="E4" s="101"/>
      <c r="F4" s="101"/>
      <c r="G4" s="309" t="s">
        <v>191</v>
      </c>
      <c r="H4" s="310"/>
      <c r="I4" s="310"/>
      <c r="J4" s="310"/>
      <c r="K4" s="310"/>
      <c r="L4" s="311"/>
    </row>
    <row r="5" spans="1:13" s="2" customFormat="1" ht="18">
      <c r="A5"/>
      <c r="B5"/>
      <c r="C5"/>
      <c r="D5" s="1" t="s">
        <v>21</v>
      </c>
      <c r="E5" s="1" t="s">
        <v>192</v>
      </c>
      <c r="F5" s="1" t="s">
        <v>193</v>
      </c>
      <c r="G5" s="1" t="s">
        <v>194</v>
      </c>
      <c r="H5" s="1" t="s">
        <v>195</v>
      </c>
      <c r="I5" s="1" t="s">
        <v>196</v>
      </c>
      <c r="J5" s="1" t="s">
        <v>197</v>
      </c>
      <c r="K5" s="1" t="s">
        <v>198</v>
      </c>
      <c r="L5" s="1" t="s">
        <v>199</v>
      </c>
      <c r="M5"/>
    </row>
    <row r="6" spans="1:13" ht="15.6">
      <c r="A6" s="2"/>
      <c r="B6" s="305" t="s">
        <v>200</v>
      </c>
      <c r="C6" s="306"/>
      <c r="D6" s="99"/>
      <c r="E6" s="99"/>
      <c r="F6" s="99"/>
      <c r="G6" s="3">
        <f t="shared" ref="G6:L6" si="0">SUM(G7:G11)</f>
        <v>437801.3270553936</v>
      </c>
      <c r="H6" s="3">
        <f t="shared" si="0"/>
        <v>468447.41994927113</v>
      </c>
      <c r="I6" s="3">
        <f t="shared" si="0"/>
        <v>465111.9086479242</v>
      </c>
      <c r="J6" s="3">
        <f t="shared" si="0"/>
        <v>536325.45109992055</v>
      </c>
      <c r="K6" s="3">
        <f t="shared" si="0"/>
        <v>532506.62421100854</v>
      </c>
      <c r="L6" s="3">
        <f t="shared" si="0"/>
        <v>2440192.7309635179</v>
      </c>
      <c r="M6" s="2"/>
    </row>
    <row r="7" spans="1:13">
      <c r="B7" s="5">
        <v>12100</v>
      </c>
      <c r="C7" s="6" t="s">
        <v>201</v>
      </c>
      <c r="D7" s="6"/>
      <c r="E7" s="6"/>
      <c r="F7" s="6"/>
      <c r="G7" s="7">
        <f>+'Recursos Humanos'!G29</f>
        <v>375118.95043731778</v>
      </c>
      <c r="H7" s="7">
        <f>+'Recursos Humanos'!H29</f>
        <v>401377.27696793008</v>
      </c>
      <c r="I7" s="7">
        <f>+'Recursos Humanos'!I29</f>
        <v>398519.32880466472</v>
      </c>
      <c r="J7" s="7">
        <f>+'Recursos Humanos'!J29</f>
        <v>459536.84440058313</v>
      </c>
      <c r="K7" s="7">
        <f>+'Recursos Humanos'!K29</f>
        <v>456264.77954846068</v>
      </c>
      <c r="L7" s="7">
        <f>SUM(G7:K7)</f>
        <v>2090817.1801589562</v>
      </c>
    </row>
    <row r="8" spans="1:13">
      <c r="B8" s="5">
        <v>13110</v>
      </c>
      <c r="C8" s="6" t="s">
        <v>202</v>
      </c>
      <c r="D8" s="6"/>
      <c r="E8" s="6"/>
      <c r="F8" s="6"/>
      <c r="G8" s="7">
        <f t="shared" ref="G8:K8" si="1">+G7*$M$8</f>
        <v>37511.895043731776</v>
      </c>
      <c r="H8" s="7">
        <f t="shared" si="1"/>
        <v>40137.727696793008</v>
      </c>
      <c r="I8" s="7">
        <f t="shared" si="1"/>
        <v>39851.932880466476</v>
      </c>
      <c r="J8" s="7">
        <f t="shared" si="1"/>
        <v>45953.684440058314</v>
      </c>
      <c r="K8" s="7">
        <f t="shared" si="1"/>
        <v>45626.477954846072</v>
      </c>
      <c r="L8" s="7">
        <f t="shared" ref="L8:L11" si="2">SUM(G8:K8)</f>
        <v>209081.71801589566</v>
      </c>
      <c r="M8" s="8">
        <v>0.1</v>
      </c>
    </row>
    <row r="9" spans="1:13">
      <c r="B9" s="5">
        <v>13120</v>
      </c>
      <c r="C9" s="6" t="s">
        <v>203</v>
      </c>
      <c r="D9" s="6"/>
      <c r="E9" s="6"/>
      <c r="F9" s="6"/>
      <c r="G9" s="7">
        <f t="shared" ref="G9:K9" si="3">+G7*$M$9</f>
        <v>6414.5340524781341</v>
      </c>
      <c r="H9" s="7">
        <f t="shared" si="3"/>
        <v>6863.5514361516043</v>
      </c>
      <c r="I9" s="7">
        <f t="shared" si="3"/>
        <v>6814.6805225597673</v>
      </c>
      <c r="J9" s="7">
        <f t="shared" si="3"/>
        <v>7858.0800392499714</v>
      </c>
      <c r="K9" s="7">
        <f t="shared" si="3"/>
        <v>7802.1277302786775</v>
      </c>
      <c r="L9" s="7">
        <f t="shared" si="2"/>
        <v>35752.973780718152</v>
      </c>
      <c r="M9" s="8">
        <v>1.7100000000000001E-2</v>
      </c>
    </row>
    <row r="10" spans="1:13">
      <c r="B10" s="5">
        <v>13131</v>
      </c>
      <c r="C10" s="6" t="s">
        <v>204</v>
      </c>
      <c r="D10" s="6"/>
      <c r="E10" s="6"/>
      <c r="F10" s="6"/>
      <c r="G10" s="7">
        <f t="shared" ref="G10:K10" si="4">+G7*$M$10</f>
        <v>11253.568513119533</v>
      </c>
      <c r="H10" s="7">
        <f t="shared" si="4"/>
        <v>12041.318309037903</v>
      </c>
      <c r="I10" s="7">
        <f t="shared" si="4"/>
        <v>11955.579864139941</v>
      </c>
      <c r="J10" s="7">
        <f t="shared" si="4"/>
        <v>13786.105332017492</v>
      </c>
      <c r="K10" s="7">
        <f t="shared" si="4"/>
        <v>13687.94338645382</v>
      </c>
      <c r="L10" s="7">
        <f t="shared" si="2"/>
        <v>62724.515404768696</v>
      </c>
      <c r="M10" s="8">
        <v>0.03</v>
      </c>
    </row>
    <row r="11" spans="1:13" s="2" customFormat="1">
      <c r="A11"/>
      <c r="B11" s="5">
        <v>13200</v>
      </c>
      <c r="C11" s="6" t="s">
        <v>205</v>
      </c>
      <c r="D11" s="6"/>
      <c r="E11" s="6"/>
      <c r="F11" s="6"/>
      <c r="G11" s="7">
        <f t="shared" ref="G11:K11" si="5">+G7*$M$11</f>
        <v>7502.3790087463558</v>
      </c>
      <c r="H11" s="7">
        <f t="shared" si="5"/>
        <v>8027.5455393586017</v>
      </c>
      <c r="I11" s="7">
        <f t="shared" si="5"/>
        <v>7970.3865760932949</v>
      </c>
      <c r="J11" s="7">
        <f t="shared" si="5"/>
        <v>9190.7368880116628</v>
      </c>
      <c r="K11" s="7">
        <f t="shared" si="5"/>
        <v>9125.2955909692137</v>
      </c>
      <c r="L11" s="7">
        <f t="shared" si="2"/>
        <v>41816.343603179135</v>
      </c>
      <c r="M11" s="8">
        <v>0.02</v>
      </c>
    </row>
    <row r="12" spans="1:13" s="10" customFormat="1" ht="15.6">
      <c r="A12" s="2"/>
      <c r="B12" s="305" t="s">
        <v>206</v>
      </c>
      <c r="C12" s="306"/>
      <c r="D12" s="99"/>
      <c r="E12" s="99"/>
      <c r="F12" s="99"/>
      <c r="G12" s="9">
        <f t="shared" ref="G12:L12" si="6">SUM(G13:G22)</f>
        <v>240584.37317784256</v>
      </c>
      <c r="H12" s="9">
        <f t="shared" si="6"/>
        <v>240584.37317784256</v>
      </c>
      <c r="I12" s="9">
        <f t="shared" si="6"/>
        <v>240584.37317784256</v>
      </c>
      <c r="J12" s="9">
        <f t="shared" si="6"/>
        <v>240584.37317784256</v>
      </c>
      <c r="K12" s="9">
        <f t="shared" si="6"/>
        <v>240584.37317784256</v>
      </c>
      <c r="L12" s="9">
        <f t="shared" si="6"/>
        <v>1202921.8658892128</v>
      </c>
      <c r="M12" s="2"/>
    </row>
    <row r="13" spans="1:13" s="10" customFormat="1">
      <c r="B13" s="11">
        <v>211</v>
      </c>
      <c r="C13" s="11" t="s">
        <v>207</v>
      </c>
      <c r="D13" s="120">
        <v>1</v>
      </c>
      <c r="E13" s="121">
        <f>+'[1]Calculos Menores'!I19</f>
        <v>989</v>
      </c>
      <c r="F13" s="120">
        <v>12</v>
      </c>
      <c r="G13" s="12">
        <v>1730</v>
      </c>
      <c r="H13" s="12">
        <f>+G13</f>
        <v>1730</v>
      </c>
      <c r="I13" s="12">
        <f t="shared" ref="I13:K22" si="7">+H13</f>
        <v>1730</v>
      </c>
      <c r="J13" s="12">
        <f t="shared" si="7"/>
        <v>1730</v>
      </c>
      <c r="K13" s="12">
        <f t="shared" si="7"/>
        <v>1730</v>
      </c>
      <c r="L13" s="7">
        <f>SUM(G13:K13)</f>
        <v>8650</v>
      </c>
    </row>
    <row r="14" spans="1:13" s="10" customFormat="1">
      <c r="B14" s="11">
        <v>214</v>
      </c>
      <c r="C14" s="11" t="s">
        <v>208</v>
      </c>
      <c r="D14" s="120">
        <v>1</v>
      </c>
      <c r="E14" s="121">
        <f>+'[1]Calculos Menores'!I24+'[1]Calculos Menores'!I25</f>
        <v>3900</v>
      </c>
      <c r="F14" s="120">
        <v>12</v>
      </c>
      <c r="G14" s="12">
        <f>+F14*E14/G3</f>
        <v>6822.157434402332</v>
      </c>
      <c r="H14" s="12">
        <f t="shared" ref="H14:H22" si="8">+G14</f>
        <v>6822.157434402332</v>
      </c>
      <c r="I14" s="12">
        <f t="shared" si="7"/>
        <v>6822.157434402332</v>
      </c>
      <c r="J14" s="12">
        <f t="shared" si="7"/>
        <v>6822.157434402332</v>
      </c>
      <c r="K14" s="12">
        <f t="shared" si="7"/>
        <v>6822.157434402332</v>
      </c>
      <c r="L14" s="7">
        <f t="shared" ref="L14:L22" si="9">SUM(G14:K14)</f>
        <v>34110.78717201166</v>
      </c>
    </row>
    <row r="15" spans="1:13" s="10" customFormat="1">
      <c r="B15" s="11">
        <v>216</v>
      </c>
      <c r="C15" s="11" t="s">
        <v>209</v>
      </c>
      <c r="D15" s="120">
        <v>1</v>
      </c>
      <c r="E15" s="121">
        <f>+'[1]Calculos Menores'!I29+'[1]Calculos Menores'!I30</f>
        <v>1000</v>
      </c>
      <c r="F15" s="120">
        <v>12</v>
      </c>
      <c r="G15" s="12">
        <f>+F15*E15/$G$3</f>
        <v>1749.2711370262389</v>
      </c>
      <c r="H15" s="12">
        <f t="shared" si="8"/>
        <v>1749.2711370262389</v>
      </c>
      <c r="I15" s="12">
        <f t="shared" si="7"/>
        <v>1749.2711370262389</v>
      </c>
      <c r="J15" s="12">
        <f t="shared" si="7"/>
        <v>1749.2711370262389</v>
      </c>
      <c r="K15" s="12">
        <f t="shared" si="7"/>
        <v>1749.2711370262389</v>
      </c>
      <c r="L15" s="7">
        <f t="shared" si="9"/>
        <v>8746.3556851311951</v>
      </c>
    </row>
    <row r="16" spans="1:13" s="10" customFormat="1">
      <c r="B16" s="11">
        <v>22110</v>
      </c>
      <c r="C16" s="11" t="s">
        <v>210</v>
      </c>
      <c r="D16" s="120">
        <v>1</v>
      </c>
      <c r="E16" s="121">
        <v>964920</v>
      </c>
      <c r="F16" s="120">
        <v>12</v>
      </c>
      <c r="G16" s="231">
        <f>+E16/6.86</f>
        <v>140658.89212827987</v>
      </c>
      <c r="H16" s="232">
        <f t="shared" si="8"/>
        <v>140658.89212827987</v>
      </c>
      <c r="I16" s="232">
        <f t="shared" si="7"/>
        <v>140658.89212827987</v>
      </c>
      <c r="J16" s="232">
        <f t="shared" si="7"/>
        <v>140658.89212827987</v>
      </c>
      <c r="K16" s="232">
        <f t="shared" si="7"/>
        <v>140658.89212827987</v>
      </c>
      <c r="L16" s="7">
        <f t="shared" si="9"/>
        <v>703294.46064139938</v>
      </c>
    </row>
    <row r="17" spans="1:15" s="10" customFormat="1">
      <c r="B17" s="11">
        <v>22210</v>
      </c>
      <c r="C17" s="11" t="s">
        <v>211</v>
      </c>
      <c r="D17" s="120">
        <v>1</v>
      </c>
      <c r="E17" s="121">
        <v>191436</v>
      </c>
      <c r="F17" s="120">
        <v>12</v>
      </c>
      <c r="G17" s="231">
        <f>+E17/6.86</f>
        <v>27906.12244897959</v>
      </c>
      <c r="H17" s="7">
        <f t="shared" si="8"/>
        <v>27906.12244897959</v>
      </c>
      <c r="I17" s="7">
        <f t="shared" si="7"/>
        <v>27906.12244897959</v>
      </c>
      <c r="J17" s="7">
        <f t="shared" si="7"/>
        <v>27906.12244897959</v>
      </c>
      <c r="K17" s="7">
        <f t="shared" si="7"/>
        <v>27906.12244897959</v>
      </c>
      <c r="L17" s="7">
        <f t="shared" si="9"/>
        <v>139530.61224489796</v>
      </c>
    </row>
    <row r="18" spans="1:15" s="13" customFormat="1">
      <c r="A18" s="10"/>
      <c r="B18" s="11">
        <v>225</v>
      </c>
      <c r="C18" s="11" t="s">
        <v>212</v>
      </c>
      <c r="D18" s="120">
        <v>1</v>
      </c>
      <c r="E18" s="121">
        <v>11385</v>
      </c>
      <c r="F18" s="120">
        <v>1</v>
      </c>
      <c r="G18" s="7">
        <f>+E18*F18/G3</f>
        <v>1659.6209912536442</v>
      </c>
      <c r="H18" s="7">
        <f t="shared" si="8"/>
        <v>1659.6209912536442</v>
      </c>
      <c r="I18" s="7">
        <f t="shared" si="7"/>
        <v>1659.6209912536442</v>
      </c>
      <c r="J18" s="7">
        <f t="shared" si="7"/>
        <v>1659.6209912536442</v>
      </c>
      <c r="K18" s="7">
        <f t="shared" si="7"/>
        <v>1659.6209912536442</v>
      </c>
      <c r="L18" s="7">
        <f t="shared" si="9"/>
        <v>8298.1049562682201</v>
      </c>
      <c r="M18" s="224"/>
    </row>
    <row r="19" spans="1:15" s="14" customFormat="1">
      <c r="A19" s="13"/>
      <c r="B19" s="11">
        <v>231</v>
      </c>
      <c r="C19" s="11" t="s">
        <v>213</v>
      </c>
      <c r="D19" s="120">
        <v>1</v>
      </c>
      <c r="E19" s="121">
        <v>21000</v>
      </c>
      <c r="F19" s="120">
        <v>12</v>
      </c>
      <c r="G19" s="7">
        <f>+E19*F19/G3</f>
        <v>36734.693877551021</v>
      </c>
      <c r="H19" s="7">
        <f t="shared" si="8"/>
        <v>36734.693877551021</v>
      </c>
      <c r="I19" s="7">
        <f t="shared" si="7"/>
        <v>36734.693877551021</v>
      </c>
      <c r="J19" s="7">
        <f t="shared" si="7"/>
        <v>36734.693877551021</v>
      </c>
      <c r="K19" s="7">
        <f t="shared" si="7"/>
        <v>36734.693877551021</v>
      </c>
      <c r="L19" s="7">
        <f t="shared" si="9"/>
        <v>183673.46938775509</v>
      </c>
      <c r="M19" s="224"/>
    </row>
    <row r="20" spans="1:15">
      <c r="A20" s="14"/>
      <c r="B20" s="11">
        <v>234</v>
      </c>
      <c r="C20" s="11" t="s">
        <v>214</v>
      </c>
      <c r="D20" s="120">
        <v>1</v>
      </c>
      <c r="E20" s="121">
        <v>20000</v>
      </c>
      <c r="F20" s="120">
        <v>1</v>
      </c>
      <c r="G20" s="15">
        <f>+E20*F20/G3</f>
        <v>2915.4518950437318</v>
      </c>
      <c r="H20" s="15">
        <f t="shared" si="8"/>
        <v>2915.4518950437318</v>
      </c>
      <c r="I20" s="15">
        <f t="shared" si="7"/>
        <v>2915.4518950437318</v>
      </c>
      <c r="J20" s="15">
        <f t="shared" si="7"/>
        <v>2915.4518950437318</v>
      </c>
      <c r="K20" s="15">
        <f t="shared" si="7"/>
        <v>2915.4518950437318</v>
      </c>
      <c r="L20" s="7">
        <f t="shared" si="9"/>
        <v>14577.25947521866</v>
      </c>
      <c r="M20" s="224"/>
    </row>
    <row r="21" spans="1:15">
      <c r="B21" s="11">
        <v>255</v>
      </c>
      <c r="C21" s="11" t="s">
        <v>215</v>
      </c>
      <c r="D21" s="120">
        <v>1</v>
      </c>
      <c r="E21" s="121">
        <v>90000</v>
      </c>
      <c r="F21" s="120">
        <v>1</v>
      </c>
      <c r="G21" s="7">
        <f>+E21/G3</f>
        <v>13119.533527696793</v>
      </c>
      <c r="H21" s="7">
        <f t="shared" si="8"/>
        <v>13119.533527696793</v>
      </c>
      <c r="I21" s="7">
        <f t="shared" si="7"/>
        <v>13119.533527696793</v>
      </c>
      <c r="J21" s="7">
        <f t="shared" si="7"/>
        <v>13119.533527696793</v>
      </c>
      <c r="K21" s="7">
        <f t="shared" si="7"/>
        <v>13119.533527696793</v>
      </c>
      <c r="L21" s="7">
        <f t="shared" si="9"/>
        <v>65597.667638483967</v>
      </c>
      <c r="M21" s="224"/>
    </row>
    <row r="22" spans="1:15" s="2" customFormat="1">
      <c r="A22"/>
      <c r="B22" s="11">
        <v>256</v>
      </c>
      <c r="C22" s="11" t="s">
        <v>216</v>
      </c>
      <c r="D22" s="120">
        <v>1</v>
      </c>
      <c r="E22" s="121">
        <v>50000</v>
      </c>
      <c r="F22" s="120">
        <v>1</v>
      </c>
      <c r="G22" s="7">
        <f>+E22/G3</f>
        <v>7288.6297376093289</v>
      </c>
      <c r="H22" s="7">
        <f t="shared" si="8"/>
        <v>7288.6297376093289</v>
      </c>
      <c r="I22" s="7">
        <f t="shared" si="7"/>
        <v>7288.6297376093289</v>
      </c>
      <c r="J22" s="7">
        <f t="shared" si="7"/>
        <v>7288.6297376093289</v>
      </c>
      <c r="K22" s="7">
        <f t="shared" si="7"/>
        <v>7288.6297376093289</v>
      </c>
      <c r="L22" s="7">
        <f t="shared" si="9"/>
        <v>36443.148688046647</v>
      </c>
      <c r="M22" s="224"/>
    </row>
    <row r="23" spans="1:15" s="10" customFormat="1" ht="15.6">
      <c r="A23" s="2"/>
      <c r="B23" s="305" t="s">
        <v>217</v>
      </c>
      <c r="C23" s="306"/>
      <c r="D23" s="99"/>
      <c r="E23" s="99"/>
      <c r="F23" s="99"/>
      <c r="G23" s="9">
        <f>SUM(G24:G32)</f>
        <v>19615.306122448979</v>
      </c>
      <c r="H23" s="9">
        <f t="shared" ref="H23:K23" si="10">SUM(H24:H32)</f>
        <v>19615.306122448979</v>
      </c>
      <c r="I23" s="9">
        <f t="shared" si="10"/>
        <v>19615.306122448979</v>
      </c>
      <c r="J23" s="9">
        <f t="shared" si="10"/>
        <v>19615.306122448979</v>
      </c>
      <c r="K23" s="9">
        <f t="shared" si="10"/>
        <v>19615.306122448979</v>
      </c>
      <c r="L23" s="9">
        <f>SUM(L24:L32)</f>
        <v>98076.530612244896</v>
      </c>
      <c r="M23" s="2"/>
      <c r="N23" s="122"/>
      <c r="O23" s="122"/>
    </row>
    <row r="24" spans="1:15" s="10" customFormat="1">
      <c r="B24" s="11">
        <v>31120</v>
      </c>
      <c r="C24" s="11" t="s">
        <v>218</v>
      </c>
      <c r="D24" s="120">
        <v>1</v>
      </c>
      <c r="E24" s="121">
        <v>15000</v>
      </c>
      <c r="F24" s="11"/>
      <c r="G24" s="12">
        <f>+E24/$G$3</f>
        <v>2186.5889212827988</v>
      </c>
      <c r="H24" s="12">
        <f>+G24</f>
        <v>2186.5889212827988</v>
      </c>
      <c r="I24" s="12">
        <f>+H24</f>
        <v>2186.5889212827988</v>
      </c>
      <c r="J24" s="12">
        <f>+I24</f>
        <v>2186.5889212827988</v>
      </c>
      <c r="K24" s="12">
        <f>+J24</f>
        <v>2186.5889212827988</v>
      </c>
      <c r="L24" s="7">
        <f>SUM(G24:K24)</f>
        <v>10932.944606413994</v>
      </c>
    </row>
    <row r="25" spans="1:15" s="10" customFormat="1">
      <c r="B25" s="11">
        <v>321</v>
      </c>
      <c r="C25" s="11" t="s">
        <v>219</v>
      </c>
      <c r="D25" s="120">
        <v>1</v>
      </c>
      <c r="E25" s="121">
        <v>13800</v>
      </c>
      <c r="F25" s="11"/>
      <c r="G25" s="12">
        <f t="shared" ref="G25:G32" si="11">+E25/$G$3</f>
        <v>2011.6618075801748</v>
      </c>
      <c r="H25" s="12">
        <f t="shared" ref="H25:K25" si="12">+G25</f>
        <v>2011.6618075801748</v>
      </c>
      <c r="I25" s="12">
        <f t="shared" si="12"/>
        <v>2011.6618075801748</v>
      </c>
      <c r="J25" s="12">
        <f t="shared" si="12"/>
        <v>2011.6618075801748</v>
      </c>
      <c r="K25" s="12">
        <f t="shared" si="12"/>
        <v>2011.6618075801748</v>
      </c>
      <c r="L25" s="7">
        <f t="shared" ref="L25:L32" si="13">SUM(G25:K25)</f>
        <v>10058.309037900874</v>
      </c>
    </row>
    <row r="26" spans="1:15" s="10" customFormat="1">
      <c r="B26" s="11">
        <v>322</v>
      </c>
      <c r="C26" s="11" t="s">
        <v>220</v>
      </c>
      <c r="D26" s="120">
        <v>1</v>
      </c>
      <c r="E26" s="121">
        <v>11400</v>
      </c>
      <c r="F26" s="11"/>
      <c r="G26" s="12">
        <f t="shared" si="11"/>
        <v>1661.8075801749271</v>
      </c>
      <c r="H26" s="12">
        <f t="shared" ref="H26:K26" si="14">+G26</f>
        <v>1661.8075801749271</v>
      </c>
      <c r="I26" s="12">
        <f t="shared" si="14"/>
        <v>1661.8075801749271</v>
      </c>
      <c r="J26" s="12">
        <f t="shared" si="14"/>
        <v>1661.8075801749271</v>
      </c>
      <c r="K26" s="12">
        <f t="shared" si="14"/>
        <v>1661.8075801749271</v>
      </c>
      <c r="L26" s="7">
        <f t="shared" si="13"/>
        <v>8309.0379008746349</v>
      </c>
    </row>
    <row r="27" spans="1:15" s="10" customFormat="1">
      <c r="B27" s="11">
        <v>34110</v>
      </c>
      <c r="C27" s="11" t="s">
        <v>221</v>
      </c>
      <c r="D27" s="120">
        <v>1</v>
      </c>
      <c r="E27" s="121">
        <v>17361</v>
      </c>
      <c r="F27" s="11"/>
      <c r="G27" s="12">
        <f t="shared" si="11"/>
        <v>2530.7580174927111</v>
      </c>
      <c r="H27" s="12">
        <f t="shared" ref="H27:K27" si="15">+G27</f>
        <v>2530.7580174927111</v>
      </c>
      <c r="I27" s="12">
        <f t="shared" si="15"/>
        <v>2530.7580174927111</v>
      </c>
      <c r="J27" s="12">
        <f t="shared" si="15"/>
        <v>2530.7580174927111</v>
      </c>
      <c r="K27" s="12">
        <f t="shared" si="15"/>
        <v>2530.7580174927111</v>
      </c>
      <c r="L27" s="7">
        <f t="shared" si="13"/>
        <v>12653.790087463556</v>
      </c>
    </row>
    <row r="28" spans="1:15" s="10" customFormat="1">
      <c r="B28" s="11">
        <v>34300</v>
      </c>
      <c r="C28" s="11" t="s">
        <v>222</v>
      </c>
      <c r="D28" s="120">
        <v>1</v>
      </c>
      <c r="E28" s="121">
        <v>12000</v>
      </c>
      <c r="F28" s="11"/>
      <c r="G28" s="12">
        <f t="shared" si="11"/>
        <v>1749.2711370262389</v>
      </c>
      <c r="H28" s="12">
        <f t="shared" ref="H28:K28" si="16">+G28</f>
        <v>1749.2711370262389</v>
      </c>
      <c r="I28" s="12">
        <f t="shared" si="16"/>
        <v>1749.2711370262389</v>
      </c>
      <c r="J28" s="12">
        <f t="shared" si="16"/>
        <v>1749.2711370262389</v>
      </c>
      <c r="K28" s="12">
        <f t="shared" si="16"/>
        <v>1749.2711370262389</v>
      </c>
      <c r="L28" s="7">
        <f t="shared" si="13"/>
        <v>8746.3556851311951</v>
      </c>
    </row>
    <row r="29" spans="1:15" s="14" customFormat="1">
      <c r="A29" s="10"/>
      <c r="B29" s="11">
        <v>391</v>
      </c>
      <c r="C29" s="11" t="s">
        <v>223</v>
      </c>
      <c r="D29" s="120">
        <v>1</v>
      </c>
      <c r="E29" s="121">
        <v>10000</v>
      </c>
      <c r="F29" s="11"/>
      <c r="G29" s="12">
        <f t="shared" si="11"/>
        <v>1457.7259475218659</v>
      </c>
      <c r="H29" s="12">
        <f t="shared" ref="H29:K29" si="17">+G29</f>
        <v>1457.7259475218659</v>
      </c>
      <c r="I29" s="12">
        <f t="shared" si="17"/>
        <v>1457.7259475218659</v>
      </c>
      <c r="J29" s="12">
        <f t="shared" si="17"/>
        <v>1457.7259475218659</v>
      </c>
      <c r="K29" s="12">
        <f t="shared" si="17"/>
        <v>1457.7259475218659</v>
      </c>
      <c r="L29" s="7">
        <f t="shared" si="13"/>
        <v>7288.6297376093298</v>
      </c>
      <c r="M29" s="10"/>
    </row>
    <row r="30" spans="1:15">
      <c r="A30" s="14"/>
      <c r="B30" s="11">
        <v>395</v>
      </c>
      <c r="C30" s="11" t="s">
        <v>224</v>
      </c>
      <c r="D30" s="120">
        <v>1</v>
      </c>
      <c r="E30" s="121">
        <v>30000</v>
      </c>
      <c r="F30" s="11"/>
      <c r="G30" s="12">
        <f t="shared" si="11"/>
        <v>4373.1778425655975</v>
      </c>
      <c r="H30" s="12">
        <f t="shared" ref="H30:K30" si="18">+G30</f>
        <v>4373.1778425655975</v>
      </c>
      <c r="I30" s="12">
        <f t="shared" si="18"/>
        <v>4373.1778425655975</v>
      </c>
      <c r="J30" s="12">
        <f t="shared" si="18"/>
        <v>4373.1778425655975</v>
      </c>
      <c r="K30" s="12">
        <f t="shared" si="18"/>
        <v>4373.1778425655975</v>
      </c>
      <c r="L30" s="7">
        <f t="shared" si="13"/>
        <v>21865.889212827988</v>
      </c>
      <c r="M30" s="14"/>
    </row>
    <row r="31" spans="1:15">
      <c r="B31" s="11">
        <v>397</v>
      </c>
      <c r="C31" s="11" t="s">
        <v>225</v>
      </c>
      <c r="D31" s="120">
        <v>1</v>
      </c>
      <c r="E31" s="121">
        <v>10000</v>
      </c>
      <c r="F31" s="11"/>
      <c r="G31" s="12">
        <f t="shared" si="11"/>
        <v>1457.7259475218659</v>
      </c>
      <c r="H31" s="12">
        <f t="shared" ref="H31:K31" si="19">+G31</f>
        <v>1457.7259475218659</v>
      </c>
      <c r="I31" s="12">
        <f t="shared" si="19"/>
        <v>1457.7259475218659</v>
      </c>
      <c r="J31" s="12">
        <f t="shared" si="19"/>
        <v>1457.7259475218659</v>
      </c>
      <c r="K31" s="12">
        <f t="shared" si="19"/>
        <v>1457.7259475218659</v>
      </c>
      <c r="L31" s="7">
        <f t="shared" si="13"/>
        <v>7288.6297376093298</v>
      </c>
    </row>
    <row r="32" spans="1:15">
      <c r="B32" s="11">
        <v>398</v>
      </c>
      <c r="C32" s="11" t="s">
        <v>226</v>
      </c>
      <c r="D32" s="120">
        <v>1</v>
      </c>
      <c r="E32" s="121">
        <v>15000</v>
      </c>
      <c r="F32" s="11"/>
      <c r="G32" s="12">
        <f t="shared" si="11"/>
        <v>2186.5889212827988</v>
      </c>
      <c r="H32" s="12">
        <f t="shared" ref="H32:K32" si="20">+G32</f>
        <v>2186.5889212827988</v>
      </c>
      <c r="I32" s="12">
        <f t="shared" si="20"/>
        <v>2186.5889212827988</v>
      </c>
      <c r="J32" s="12">
        <f t="shared" si="20"/>
        <v>2186.5889212827988</v>
      </c>
      <c r="K32" s="12">
        <f t="shared" si="20"/>
        <v>2186.5889212827988</v>
      </c>
      <c r="L32" s="7">
        <f t="shared" si="13"/>
        <v>10932.944606413994</v>
      </c>
    </row>
    <row r="33" spans="1:14" ht="15.6">
      <c r="B33" s="305" t="s">
        <v>227</v>
      </c>
      <c r="C33" s="306"/>
      <c r="D33" s="99"/>
      <c r="E33" s="99"/>
      <c r="F33" s="99"/>
      <c r="G33" s="9">
        <f t="shared" ref="G33:L33" si="21">SUM(G34:G38)</f>
        <v>120442.85714285714</v>
      </c>
      <c r="H33" s="9">
        <f t="shared" si="21"/>
        <v>0</v>
      </c>
      <c r="I33" s="9">
        <f t="shared" si="21"/>
        <v>0</v>
      </c>
      <c r="J33" s="9">
        <f t="shared" si="21"/>
        <v>0</v>
      </c>
      <c r="K33" s="9">
        <f t="shared" si="21"/>
        <v>0</v>
      </c>
      <c r="L33" s="9">
        <f t="shared" si="21"/>
        <v>120442.85714285714</v>
      </c>
    </row>
    <row r="34" spans="1:14">
      <c r="B34" s="16">
        <v>43110</v>
      </c>
      <c r="C34" s="11" t="s">
        <v>228</v>
      </c>
      <c r="D34" s="120">
        <v>1</v>
      </c>
      <c r="E34" s="123">
        <f>+'[1]Calculos Menores'!E8</f>
        <v>129150</v>
      </c>
      <c r="F34" s="123"/>
      <c r="G34" s="12">
        <f t="shared" ref="G34:G38" si="22">+E34/$G$3</f>
        <v>18826.530612244896</v>
      </c>
      <c r="H34" s="12"/>
      <c r="I34" s="12"/>
      <c r="J34" s="12"/>
      <c r="K34" s="12"/>
      <c r="L34" s="7">
        <f>SUM(G34:K34)</f>
        <v>18826.530612244896</v>
      </c>
    </row>
    <row r="35" spans="1:14">
      <c r="B35" s="16">
        <v>43120</v>
      </c>
      <c r="C35" s="11" t="s">
        <v>229</v>
      </c>
      <c r="D35" s="120">
        <v>1</v>
      </c>
      <c r="E35" s="123">
        <f>+'[1]Calculos Menores'!E15</f>
        <v>284992</v>
      </c>
      <c r="F35" s="123"/>
      <c r="G35" s="12">
        <f t="shared" si="22"/>
        <v>41544.023323615162</v>
      </c>
      <c r="H35" s="12"/>
      <c r="I35" s="12"/>
      <c r="J35" s="12"/>
      <c r="K35" s="12"/>
      <c r="L35" s="7">
        <f t="shared" ref="L35:L38" si="23">SUM(G35:K35)</f>
        <v>41544.023323615162</v>
      </c>
    </row>
    <row r="36" spans="1:14">
      <c r="B36" s="16">
        <v>44320</v>
      </c>
      <c r="C36" s="11" t="s">
        <v>230</v>
      </c>
      <c r="D36" s="120">
        <v>1</v>
      </c>
      <c r="E36" s="123">
        <v>343000</v>
      </c>
      <c r="F36" s="123"/>
      <c r="G36" s="12">
        <f t="shared" si="22"/>
        <v>50000</v>
      </c>
      <c r="H36" s="12"/>
      <c r="I36" s="12"/>
      <c r="J36" s="12"/>
      <c r="K36" s="12"/>
      <c r="L36" s="7">
        <f t="shared" si="23"/>
        <v>50000</v>
      </c>
    </row>
    <row r="37" spans="1:14">
      <c r="B37" s="11">
        <v>43500</v>
      </c>
      <c r="C37" s="11" t="s">
        <v>231</v>
      </c>
      <c r="D37" s="120">
        <v>1</v>
      </c>
      <c r="E37" s="123">
        <f>+'[1]Calculos Menores'!E26</f>
        <v>29500</v>
      </c>
      <c r="F37" s="123"/>
      <c r="G37" s="12">
        <f t="shared" si="22"/>
        <v>4300.2915451895042</v>
      </c>
      <c r="H37" s="12"/>
      <c r="I37" s="12"/>
      <c r="J37" s="12"/>
      <c r="K37" s="12"/>
      <c r="L37" s="7">
        <f t="shared" si="23"/>
        <v>4300.2915451895042</v>
      </c>
      <c r="N37" s="4"/>
    </row>
    <row r="38" spans="1:14" s="2" customFormat="1">
      <c r="A38"/>
      <c r="B38" s="16">
        <v>43600</v>
      </c>
      <c r="C38" s="16" t="s">
        <v>232</v>
      </c>
      <c r="D38" s="107">
        <v>1</v>
      </c>
      <c r="E38" s="27">
        <f>+'[1]Calculos Menores'!E21</f>
        <v>39596</v>
      </c>
      <c r="F38" s="27"/>
      <c r="G38" s="12">
        <f t="shared" si="22"/>
        <v>5772.0116618075799</v>
      </c>
      <c r="H38" s="12"/>
      <c r="I38" s="12"/>
      <c r="J38" s="12"/>
      <c r="K38" s="12"/>
      <c r="L38" s="7">
        <f t="shared" si="23"/>
        <v>5772.0116618075799</v>
      </c>
      <c r="M38"/>
    </row>
    <row r="39" spans="1:14" ht="15.6">
      <c r="A39" s="2"/>
      <c r="B39" s="305" t="s">
        <v>233</v>
      </c>
      <c r="C39" s="306"/>
      <c r="D39" s="99"/>
      <c r="E39" s="99"/>
      <c r="F39" s="99"/>
      <c r="G39" s="9">
        <f>SUM(G40:G41)</f>
        <v>38950.43731778425</v>
      </c>
      <c r="H39" s="9">
        <f>SUM(H40:H41)</f>
        <v>38950.43731778425</v>
      </c>
      <c r="I39" s="9">
        <f>SUM(I40:I41)</f>
        <v>38950.43731778425</v>
      </c>
      <c r="J39" s="9">
        <f>SUM(J40:J41)</f>
        <v>19999.999999999996</v>
      </c>
      <c r="K39" s="9">
        <f>SUM(K40:K41)</f>
        <v>19999.999999999996</v>
      </c>
      <c r="L39" s="3">
        <f>SUM(L40)</f>
        <v>56851.311953352764</v>
      </c>
      <c r="M39" s="2"/>
    </row>
    <row r="40" spans="1:14" s="22" customFormat="1" ht="28.9">
      <c r="B40" s="34"/>
      <c r="C40" s="35" t="s">
        <v>234</v>
      </c>
      <c r="D40" s="124">
        <v>1</v>
      </c>
      <c r="E40" s="125">
        <f>130000*3</f>
        <v>390000</v>
      </c>
      <c r="F40" s="124"/>
      <c r="G40" s="36">
        <f>+E40/($G$3*3)</f>
        <v>18950.437317784254</v>
      </c>
      <c r="H40" s="36">
        <f>+G40</f>
        <v>18950.437317784254</v>
      </c>
      <c r="I40" s="36">
        <f>+G40</f>
        <v>18950.437317784254</v>
      </c>
      <c r="J40" s="36">
        <v>0</v>
      </c>
      <c r="K40" s="36">
        <v>0</v>
      </c>
      <c r="L40" s="36">
        <f>SUM(G40:K40)</f>
        <v>56851.311953352764</v>
      </c>
      <c r="M40" s="230"/>
    </row>
    <row r="41" spans="1:14" s="22" customFormat="1">
      <c r="B41" s="34"/>
      <c r="C41" s="35" t="s">
        <v>235</v>
      </c>
      <c r="D41" s="124">
        <v>1</v>
      </c>
      <c r="E41" s="125">
        <f>100000*6.86</f>
        <v>686000</v>
      </c>
      <c r="F41" s="124"/>
      <c r="G41" s="36">
        <f>+E41/(5*6.86)</f>
        <v>19999.999999999996</v>
      </c>
      <c r="H41" s="36">
        <f>+G41</f>
        <v>19999.999999999996</v>
      </c>
      <c r="I41" s="36">
        <f>+G41</f>
        <v>19999.999999999996</v>
      </c>
      <c r="J41" s="36">
        <f>+I41</f>
        <v>19999.999999999996</v>
      </c>
      <c r="K41" s="36">
        <f>+I41</f>
        <v>19999.999999999996</v>
      </c>
      <c r="L41" s="36">
        <f>SUM(G41:K41)</f>
        <v>99999.999999999985</v>
      </c>
      <c r="M41" s="230"/>
    </row>
    <row r="42" spans="1:14" ht="15.6">
      <c r="B42" s="308" t="s">
        <v>236</v>
      </c>
      <c r="C42" s="308"/>
      <c r="D42" s="100"/>
      <c r="E42" s="100"/>
      <c r="F42" s="100"/>
      <c r="G42" s="17">
        <f>+G39+G33+G23+G12+G6</f>
        <v>857394.30081632652</v>
      </c>
      <c r="H42" s="17">
        <f t="shared" ref="H42:K42" si="24">+H39+H33+H23+H12+H6</f>
        <v>767597.53656734689</v>
      </c>
      <c r="I42" s="17">
        <f t="shared" si="24"/>
        <v>764262.02526599995</v>
      </c>
      <c r="J42" s="17">
        <f t="shared" si="24"/>
        <v>816525.13040021202</v>
      </c>
      <c r="K42" s="17">
        <f t="shared" si="24"/>
        <v>812706.30351130012</v>
      </c>
      <c r="L42" s="17">
        <f>SUM(G42:K42)</f>
        <v>4018485.2965611857</v>
      </c>
      <c r="M42" s="248">
        <f>+L42/150000000</f>
        <v>2.6789901977074572E-2</v>
      </c>
    </row>
    <row r="43" spans="1:14" ht="15.6"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</row>
    <row r="44" spans="1:14" ht="15.6">
      <c r="B44" s="304" t="s">
        <v>237</v>
      </c>
      <c r="C44" s="304"/>
      <c r="D44" s="127"/>
      <c r="E44" s="127"/>
      <c r="F44" s="127"/>
      <c r="G44" s="128">
        <f>+G42*$G$3</f>
        <v>5881724.9035999998</v>
      </c>
      <c r="H44" s="128">
        <f>+H42*$G$3</f>
        <v>5265719.1008519996</v>
      </c>
      <c r="I44" s="128">
        <f>+I42*$G$3</f>
        <v>5242837.4933247603</v>
      </c>
      <c r="J44" s="128">
        <f>+J42*$G$3</f>
        <v>5601362.3945454545</v>
      </c>
      <c r="K44" s="128">
        <f>+K42*$G$3</f>
        <v>5575165.2420875188</v>
      </c>
      <c r="L44" s="128">
        <f>SUM(G44:K44)</f>
        <v>27566809.134409733</v>
      </c>
      <c r="M44" s="4"/>
    </row>
    <row r="45" spans="1:14">
      <c r="G45" s="18"/>
      <c r="H45" s="18"/>
      <c r="I45" s="18"/>
      <c r="J45" s="18"/>
      <c r="K45" s="18"/>
      <c r="L45" s="18"/>
    </row>
    <row r="46" spans="1:14">
      <c r="G46" s="18"/>
      <c r="H46" s="18"/>
      <c r="I46" s="18"/>
      <c r="J46" s="18"/>
      <c r="K46" s="18"/>
      <c r="L46" s="18"/>
    </row>
    <row r="47" spans="1:14">
      <c r="G47" s="18"/>
      <c r="H47" s="18"/>
      <c r="I47" s="18"/>
      <c r="J47" s="18"/>
      <c r="K47" s="18"/>
      <c r="L47" s="18"/>
    </row>
    <row r="48" spans="1:14">
      <c r="G48" s="18"/>
      <c r="H48" s="18"/>
      <c r="I48" s="18"/>
      <c r="J48" s="18"/>
      <c r="K48" s="18"/>
      <c r="L48" s="18"/>
    </row>
    <row r="49" spans="7:13">
      <c r="G49" s="18"/>
      <c r="H49" s="18"/>
      <c r="I49" s="18"/>
      <c r="J49" s="18"/>
      <c r="K49" s="18"/>
      <c r="L49" s="18"/>
      <c r="M49" s="8"/>
    </row>
    <row r="50" spans="7:13">
      <c r="G50" s="18"/>
      <c r="H50" s="18"/>
      <c r="I50" s="18"/>
      <c r="J50" s="18"/>
      <c r="K50" s="18"/>
      <c r="L50" s="18"/>
    </row>
    <row r="51" spans="7:13">
      <c r="G51" s="18"/>
      <c r="H51" s="18"/>
      <c r="I51" s="18"/>
      <c r="J51" s="18"/>
      <c r="K51" s="18"/>
      <c r="L51" s="18"/>
    </row>
    <row r="52" spans="7:13">
      <c r="G52" s="18"/>
      <c r="H52" s="18"/>
      <c r="I52" s="18"/>
      <c r="J52" s="18"/>
      <c r="K52" s="18"/>
      <c r="L52" s="18"/>
    </row>
    <row r="53" spans="7:13">
      <c r="G53" s="18"/>
      <c r="H53" s="18"/>
      <c r="I53" s="18"/>
      <c r="J53" s="18"/>
      <c r="K53" s="18"/>
      <c r="L53" s="18"/>
    </row>
    <row r="54" spans="7:13">
      <c r="G54" s="18"/>
      <c r="H54" s="18"/>
      <c r="I54" s="18"/>
      <c r="J54" s="18"/>
      <c r="K54" s="18"/>
      <c r="L54" s="18"/>
    </row>
    <row r="55" spans="7:13">
      <c r="G55" s="18"/>
      <c r="H55" s="18"/>
      <c r="I55" s="18"/>
      <c r="J55" s="18"/>
      <c r="K55" s="18"/>
      <c r="L55" s="18"/>
    </row>
    <row r="56" spans="7:13">
      <c r="G56" s="18"/>
      <c r="H56" s="18"/>
      <c r="I56" s="18"/>
      <c r="J56" s="18"/>
      <c r="K56" s="18"/>
      <c r="L56" s="18"/>
    </row>
    <row r="57" spans="7:13">
      <c r="G57" s="18"/>
      <c r="H57" s="18"/>
      <c r="I57" s="18"/>
      <c r="J57" s="18"/>
      <c r="K57" s="18"/>
      <c r="L57" s="18"/>
    </row>
    <row r="58" spans="7:13">
      <c r="G58" s="18"/>
      <c r="H58" s="18"/>
      <c r="I58" s="18"/>
      <c r="J58" s="18"/>
      <c r="K58" s="18"/>
      <c r="L58" s="18"/>
    </row>
    <row r="59" spans="7:13">
      <c r="G59" s="18"/>
      <c r="H59" s="18"/>
      <c r="I59" s="18"/>
      <c r="J59" s="18"/>
      <c r="K59" s="18"/>
      <c r="L59" s="18"/>
    </row>
    <row r="60" spans="7:13">
      <c r="G60" s="18"/>
      <c r="H60" s="18"/>
      <c r="I60" s="18"/>
      <c r="J60" s="18"/>
      <c r="K60" s="18"/>
      <c r="L60" s="18"/>
    </row>
    <row r="61" spans="7:13">
      <c r="G61" s="18"/>
      <c r="H61" s="18"/>
      <c r="I61" s="18"/>
      <c r="J61" s="18"/>
      <c r="K61" s="18"/>
      <c r="L61" s="18"/>
    </row>
    <row r="62" spans="7:13">
      <c r="G62" s="18"/>
      <c r="H62" s="18"/>
      <c r="I62" s="18"/>
      <c r="J62" s="18"/>
      <c r="K62" s="18"/>
      <c r="L62" s="18"/>
    </row>
    <row r="63" spans="7:13">
      <c r="G63" s="18"/>
      <c r="H63" s="18"/>
      <c r="I63" s="18"/>
      <c r="J63" s="18"/>
      <c r="K63" s="18"/>
      <c r="L63" s="18"/>
    </row>
    <row r="64" spans="7:13">
      <c r="G64" s="18"/>
      <c r="H64" s="18"/>
      <c r="I64" s="18"/>
      <c r="J64" s="18"/>
      <c r="K64" s="18"/>
      <c r="L64" s="18"/>
    </row>
    <row r="65" spans="7:12">
      <c r="G65" s="18"/>
      <c r="H65" s="18"/>
      <c r="I65" s="18"/>
      <c r="J65" s="18"/>
      <c r="K65" s="18"/>
      <c r="L65" s="18"/>
    </row>
    <row r="66" spans="7:12">
      <c r="G66" s="18"/>
      <c r="H66" s="18"/>
      <c r="I66" s="18"/>
      <c r="J66" s="18"/>
      <c r="K66" s="18"/>
      <c r="L66" s="18"/>
    </row>
    <row r="67" spans="7:12">
      <c r="G67" s="18"/>
      <c r="H67" s="18"/>
      <c r="I67" s="18"/>
      <c r="J67" s="18"/>
      <c r="K67" s="18"/>
      <c r="L67" s="18"/>
    </row>
    <row r="68" spans="7:12">
      <c r="G68" s="18"/>
      <c r="H68" s="18"/>
      <c r="I68" s="18"/>
      <c r="J68" s="18"/>
      <c r="K68" s="18"/>
      <c r="L68" s="18"/>
    </row>
    <row r="69" spans="7:12">
      <c r="G69" s="18"/>
      <c r="H69" s="18"/>
      <c r="I69" s="18"/>
      <c r="J69" s="18"/>
      <c r="K69" s="18"/>
      <c r="L69" s="18"/>
    </row>
    <row r="70" spans="7:12">
      <c r="G70" s="18"/>
      <c r="H70" s="18"/>
      <c r="I70" s="18"/>
      <c r="J70" s="18"/>
      <c r="K70" s="18"/>
      <c r="L70" s="18"/>
    </row>
    <row r="71" spans="7:12">
      <c r="G71" s="18"/>
      <c r="H71" s="18"/>
      <c r="I71" s="18"/>
      <c r="J71" s="18"/>
      <c r="K71" s="18"/>
      <c r="L71" s="18"/>
    </row>
    <row r="72" spans="7:12">
      <c r="G72" s="18"/>
      <c r="H72" s="18"/>
      <c r="I72" s="18"/>
      <c r="J72" s="18"/>
      <c r="K72" s="18"/>
      <c r="L72" s="18"/>
    </row>
    <row r="73" spans="7:12">
      <c r="G73" s="18"/>
      <c r="H73" s="18"/>
      <c r="I73" s="18"/>
      <c r="J73" s="18"/>
      <c r="K73" s="18"/>
      <c r="L73" s="18"/>
    </row>
    <row r="74" spans="7:12">
      <c r="G74" s="18"/>
      <c r="H74" s="18"/>
      <c r="I74" s="18"/>
      <c r="J74" s="18"/>
      <c r="K74" s="18"/>
      <c r="L74" s="18"/>
    </row>
    <row r="75" spans="7:12">
      <c r="G75" s="18"/>
      <c r="H75" s="18"/>
      <c r="I75" s="18"/>
      <c r="J75" s="18"/>
      <c r="K75" s="18"/>
      <c r="L75" s="18"/>
    </row>
    <row r="76" spans="7:12">
      <c r="G76" s="18"/>
      <c r="H76" s="18"/>
      <c r="I76" s="18"/>
      <c r="J76" s="18"/>
      <c r="K76" s="18"/>
      <c r="L76" s="18"/>
    </row>
    <row r="77" spans="7:12">
      <c r="G77" s="18"/>
      <c r="H77" s="18"/>
      <c r="I77" s="18"/>
      <c r="J77" s="18"/>
      <c r="K77" s="18"/>
      <c r="L77" s="18"/>
    </row>
    <row r="78" spans="7:12">
      <c r="G78" s="18"/>
      <c r="H78" s="18"/>
      <c r="I78" s="18"/>
      <c r="J78" s="18"/>
      <c r="K78" s="18"/>
      <c r="L78" s="18"/>
    </row>
    <row r="79" spans="7:12">
      <c r="G79" s="18"/>
      <c r="H79" s="18"/>
      <c r="I79" s="18"/>
      <c r="J79" s="18"/>
      <c r="K79" s="18"/>
      <c r="L79" s="18"/>
    </row>
    <row r="80" spans="7:12">
      <c r="G80" s="18"/>
      <c r="H80" s="18"/>
      <c r="I80" s="18"/>
      <c r="J80" s="18"/>
      <c r="K80" s="18"/>
      <c r="L80" s="18"/>
    </row>
    <row r="81" spans="7:12">
      <c r="G81" s="18"/>
      <c r="H81" s="18"/>
      <c r="I81" s="18"/>
      <c r="J81" s="18"/>
      <c r="K81" s="18"/>
      <c r="L81" s="18"/>
    </row>
    <row r="82" spans="7:12">
      <c r="G82" s="18"/>
      <c r="H82" s="18"/>
      <c r="I82" s="18"/>
      <c r="J82" s="18"/>
      <c r="K82" s="18"/>
      <c r="L82" s="18"/>
    </row>
    <row r="83" spans="7:12">
      <c r="G83" s="18"/>
      <c r="H83" s="18"/>
      <c r="I83" s="18"/>
      <c r="J83" s="18"/>
      <c r="K83" s="18"/>
      <c r="L83" s="18"/>
    </row>
    <row r="84" spans="7:12">
      <c r="G84" s="18"/>
      <c r="H84" s="18"/>
      <c r="I84" s="18"/>
      <c r="J84" s="18"/>
      <c r="K84" s="18"/>
      <c r="L84" s="18"/>
    </row>
    <row r="85" spans="7:12">
      <c r="G85" s="18"/>
      <c r="H85" s="18"/>
      <c r="I85" s="18"/>
      <c r="J85" s="18"/>
      <c r="K85" s="18"/>
      <c r="L85" s="18"/>
    </row>
    <row r="86" spans="7:12">
      <c r="G86" s="18"/>
      <c r="H86" s="18"/>
      <c r="I86" s="18"/>
      <c r="J86" s="18"/>
      <c r="K86" s="18"/>
      <c r="L86" s="18"/>
    </row>
    <row r="87" spans="7:12">
      <c r="G87" s="18"/>
      <c r="H87" s="18"/>
      <c r="I87" s="18"/>
      <c r="J87" s="18"/>
      <c r="K87" s="18"/>
      <c r="L87" s="18"/>
    </row>
  </sheetData>
  <mergeCells count="10">
    <mergeCell ref="B44:C44"/>
    <mergeCell ref="B39:C39"/>
    <mergeCell ref="B33:C33"/>
    <mergeCell ref="A1:L1"/>
    <mergeCell ref="A2:L2"/>
    <mergeCell ref="B6:C6"/>
    <mergeCell ref="B12:C12"/>
    <mergeCell ref="B23:C23"/>
    <mergeCell ref="B42:C42"/>
    <mergeCell ref="G4:L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6"/>
  <sheetViews>
    <sheetView workbookViewId="0" xr3:uid="{F9CF3CF3-643B-5BE6-8B46-32C596A47465}">
      <selection activeCell="G9" sqref="G9"/>
    </sheetView>
  </sheetViews>
  <sheetFormatPr defaultColWidth="11.42578125" defaultRowHeight="10.15"/>
  <cols>
    <col min="1" max="1" width="47.28515625" style="43" bestFit="1" customWidth="1"/>
    <col min="2" max="2" width="10" style="43" customWidth="1"/>
    <col min="3" max="3" width="14.42578125" style="43" customWidth="1"/>
    <col min="4" max="4" width="7.5703125" style="43" customWidth="1"/>
    <col min="5" max="5" width="10.85546875" style="43" bestFit="1" customWidth="1"/>
    <col min="6" max="7" width="11.28515625" style="43" bestFit="1" customWidth="1"/>
    <col min="8" max="16384" width="11.42578125" style="43"/>
  </cols>
  <sheetData>
    <row r="1" spans="1:7" s="37" customFormat="1" ht="13.9">
      <c r="B1" s="38"/>
      <c r="C1" s="39"/>
      <c r="D1" s="39"/>
      <c r="E1" s="39"/>
      <c r="F1" s="39"/>
      <c r="G1" s="39"/>
    </row>
    <row r="2" spans="1:7" s="37" customFormat="1" ht="26.25" customHeight="1">
      <c r="A2" s="317" t="s">
        <v>238</v>
      </c>
      <c r="B2" s="317"/>
      <c r="C2" s="317"/>
      <c r="D2" s="40"/>
      <c r="E2" s="40"/>
      <c r="F2" s="40"/>
      <c r="G2" s="40"/>
    </row>
    <row r="3" spans="1:7" s="37" customFormat="1" ht="13.9">
      <c r="B3" s="38"/>
      <c r="C3" s="39"/>
      <c r="D3" s="39"/>
      <c r="E3" s="39"/>
      <c r="F3" s="39"/>
      <c r="G3" s="39"/>
    </row>
    <row r="4" spans="1:7" s="37" customFormat="1" ht="13.9">
      <c r="A4" s="38" t="s">
        <v>239</v>
      </c>
      <c r="B4" s="41">
        <v>6.86</v>
      </c>
      <c r="D4" s="39"/>
      <c r="E4" s="39"/>
      <c r="F4" s="39"/>
      <c r="G4" s="39"/>
    </row>
    <row r="5" spans="1:7" s="37" customFormat="1" ht="13.9">
      <c r="B5" s="38"/>
      <c r="C5" s="39"/>
      <c r="D5" s="39"/>
      <c r="E5" s="39"/>
      <c r="F5" s="39"/>
      <c r="G5" s="39"/>
    </row>
    <row r="6" spans="1:7" ht="11.25" customHeight="1">
      <c r="A6" s="318" t="s">
        <v>240</v>
      </c>
      <c r="B6" s="318" t="s">
        <v>20</v>
      </c>
      <c r="C6" s="318" t="s">
        <v>241</v>
      </c>
      <c r="D6" s="318" t="s">
        <v>242</v>
      </c>
      <c r="E6" s="314" t="s">
        <v>243</v>
      </c>
      <c r="F6" s="312" t="s">
        <v>244</v>
      </c>
      <c r="G6" s="313"/>
    </row>
    <row r="7" spans="1:7">
      <c r="A7" s="318"/>
      <c r="B7" s="318"/>
      <c r="C7" s="318"/>
      <c r="D7" s="318"/>
      <c r="E7" s="315"/>
      <c r="F7" s="42" t="s">
        <v>7</v>
      </c>
      <c r="G7" s="42" t="s">
        <v>10</v>
      </c>
    </row>
    <row r="8" spans="1:7" s="49" customFormat="1">
      <c r="A8" s="44" t="s">
        <v>245</v>
      </c>
      <c r="B8" s="45" t="s">
        <v>246</v>
      </c>
      <c r="C8" s="46">
        <v>50000</v>
      </c>
      <c r="D8" s="46">
        <v>5</v>
      </c>
      <c r="E8" s="47">
        <f>+D8*C8</f>
        <v>250000</v>
      </c>
      <c r="F8" s="48">
        <f>+E8</f>
        <v>250000</v>
      </c>
      <c r="G8" s="48">
        <v>0</v>
      </c>
    </row>
    <row r="9" spans="1:7" s="49" customFormat="1">
      <c r="A9" s="44" t="s">
        <v>247</v>
      </c>
      <c r="B9" s="45" t="s">
        <v>246</v>
      </c>
      <c r="C9" s="46">
        <v>50000</v>
      </c>
      <c r="D9" s="46">
        <v>1</v>
      </c>
      <c r="E9" s="47">
        <f>+D9*C9</f>
        <v>50000</v>
      </c>
      <c r="F9" s="48">
        <v>0</v>
      </c>
      <c r="G9" s="48">
        <f>+E9</f>
        <v>50000</v>
      </c>
    </row>
    <row r="10" spans="1:7">
      <c r="A10" s="50" t="s">
        <v>248</v>
      </c>
      <c r="B10" s="45" t="s">
        <v>249</v>
      </c>
      <c r="C10" s="51">
        <v>50000</v>
      </c>
      <c r="D10" s="51">
        <v>1</v>
      </c>
      <c r="E10" s="52">
        <f>+D10*C10</f>
        <v>50000</v>
      </c>
      <c r="F10" s="48">
        <f>+E10</f>
        <v>50000</v>
      </c>
      <c r="G10" s="48">
        <v>0</v>
      </c>
    </row>
    <row r="11" spans="1:7">
      <c r="A11" s="50" t="s">
        <v>250</v>
      </c>
      <c r="B11" s="45" t="s">
        <v>249</v>
      </c>
      <c r="C11" s="51">
        <v>200000</v>
      </c>
      <c r="D11" s="51">
        <v>1</v>
      </c>
      <c r="E11" s="52">
        <f>+D11*C11</f>
        <v>200000</v>
      </c>
      <c r="F11" s="48">
        <f>+E11</f>
        <v>200000</v>
      </c>
      <c r="G11" s="48">
        <v>0</v>
      </c>
    </row>
    <row r="12" spans="1:7" s="54" customFormat="1">
      <c r="A12" s="316" t="s">
        <v>251</v>
      </c>
      <c r="B12" s="316"/>
      <c r="C12" s="316"/>
      <c r="D12" s="316"/>
      <c r="E12" s="53">
        <f t="shared" ref="E12:F12" si="0">SUM(E8:E11)</f>
        <v>550000</v>
      </c>
      <c r="F12" s="53">
        <f t="shared" si="0"/>
        <v>500000</v>
      </c>
      <c r="G12" s="53">
        <f t="shared" ref="G12" si="1">SUM(G8:G11)</f>
        <v>50000</v>
      </c>
    </row>
    <row r="14" spans="1:7">
      <c r="C14" s="55"/>
      <c r="E14" s="56"/>
      <c r="F14" s="55"/>
      <c r="G14" s="55"/>
    </row>
    <row r="16" spans="1:7">
      <c r="C16" s="55"/>
    </row>
  </sheetData>
  <mergeCells count="8">
    <mergeCell ref="F6:G6"/>
    <mergeCell ref="E6:E7"/>
    <mergeCell ref="A12:D12"/>
    <mergeCell ref="A2:C2"/>
    <mergeCell ref="A6:A7"/>
    <mergeCell ref="B6:B7"/>
    <mergeCell ref="C6:C7"/>
    <mergeCell ref="D6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Garcia Merino, Lucio Javier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Related_x0020_SisCor_x0020_Number xmlns="cdc7663a-08f0-4737-9e8c-148ce897a09c" xsi:nil="true"/>
    <TaxCatchAll xmlns="cdc7663a-08f0-4737-9e8c-148ce897a09c">
      <Value>26</Value>
      <Value>60</Value>
      <Value>39</Value>
      <Value>29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R0002703960</Record_x0020_Number>
    <_dlc_DocId xmlns="cdc7663a-08f0-4737-9e8c-148ce897a09c">EZSHARE-1147256610-38</_dlc_DocId>
    <_dlc_DocIdUrl xmlns="cdc7663a-08f0-4737-9e8c-148ce897a09c">
      <Url>https://idbg.sharepoint.com/teams/EZ-BO-LON/BO-L1192/_layouts/15/DocIdRedir.aspx?ID=EZSHARE-1147256610-38</Url>
      <Description>EZSHARE-1147256610-38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9F37C159F80814BAEE7B02097E59A8C" ma:contentTypeVersion="717" ma:contentTypeDescription="A content type to manage public (operations) IDB documents" ma:contentTypeScope="" ma:versionID="5afbcd6b1273b154201295baa691b57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e5f43aecb29ca49c9196d20a55cdf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9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D7BDAE4-5588-4466-845B-7936DCCE8AEA}"/>
</file>

<file path=customXml/itemProps2.xml><?xml version="1.0" encoding="utf-8"?>
<ds:datastoreItem xmlns:ds="http://schemas.openxmlformats.org/officeDocument/2006/customXml" ds:itemID="{85C42B9F-19BC-4542-9551-E91016D574D7}"/>
</file>

<file path=customXml/itemProps3.xml><?xml version="1.0" encoding="utf-8"?>
<ds:datastoreItem xmlns:ds="http://schemas.openxmlformats.org/officeDocument/2006/customXml" ds:itemID="{16469D84-2B26-4473-B6D8-9BB0C04A7282}"/>
</file>

<file path=customXml/itemProps4.xml><?xml version="1.0" encoding="utf-8"?>
<ds:datastoreItem xmlns:ds="http://schemas.openxmlformats.org/officeDocument/2006/customXml" ds:itemID="{09B2C861-EFDF-4754-A1EC-3A031F653470}"/>
</file>

<file path=customXml/itemProps5.xml><?xml version="1.0" encoding="utf-8"?>
<ds:datastoreItem xmlns:ds="http://schemas.openxmlformats.org/officeDocument/2006/customXml" ds:itemID="{58605B2C-196D-4CCD-AE9B-CC0C52DBAD1F}"/>
</file>

<file path=customXml/itemProps6.xml><?xml version="1.0" encoding="utf-8"?>
<ds:datastoreItem xmlns:ds="http://schemas.openxmlformats.org/officeDocument/2006/customXml" ds:itemID="{D35C5440-D7F0-451B-AEA7-84C3FB8387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Pelaez Gunther, Georgia</cp:lastModifiedBy>
  <cp:revision/>
  <dcterms:created xsi:type="dcterms:W3CDTF">2013-10-30T13:45:04Z</dcterms:created>
  <dcterms:modified xsi:type="dcterms:W3CDTF">2018-08-30T19:49:00Z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60;#WATER SUPPLY URBAN|28df1b5d-8f50-49f8-b50a-8bcbae67d2a4</vt:lpwstr>
  </property>
  <property fmtid="{D5CDD505-2E9C-101B-9397-08002B2CF9AE}" pid="7" name="Fund IDB">
    <vt:lpwstr>29;#BLD|60acb4c1-0ef3-40ba-9d70-f741cd9e6c23</vt:lpwstr>
  </property>
  <property fmtid="{D5CDD505-2E9C-101B-9397-08002B2CF9AE}" pid="8" name="Country">
    <vt:lpwstr>26;#Bolivia|6445a937-aea4-4907-9f24-bff96a7c61c8</vt:lpwstr>
  </property>
  <property fmtid="{D5CDD505-2E9C-101B-9397-08002B2CF9AE}" pid="9" name="Sector IDB">
    <vt:lpwstr>39;#WATER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72407885-7575-4b52-b594-482ea5bcd712</vt:lpwstr>
  </property>
  <property fmtid="{D5CDD505-2E9C-101B-9397-08002B2CF9AE}" pid="12" name="ContentTypeId">
    <vt:lpwstr>0x0101001A458A224826124E8B45B1D613300CFC0079F37C159F80814BAEE7B02097E59A8C</vt:lpwstr>
  </property>
</Properties>
</file>