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1"/>
  <workbookPr defaultThemeVersion="124226"/>
  <mc:AlternateContent xmlns:mc="http://schemas.openxmlformats.org/markup-compatibility/2006">
    <mc:Choice Requires="x15">
      <x15ac:absPath xmlns:x15ac="http://schemas.microsoft.com/office/spreadsheetml/2010/11/ac" url="I:\Prestamo BID\BID\Cumplimiento Cláusulas contractuales\PEP-POA-PA\"/>
    </mc:Choice>
  </mc:AlternateContent>
  <xr:revisionPtr revIDLastSave="0" documentId="11_E45480E28D271C1CDB2CABC51186091CEA55A94D" xr6:coauthVersionLast="45" xr6:coauthVersionMax="45" xr10:uidLastSave="{00000000-0000-0000-0000-000000000000}"/>
  <bookViews>
    <workbookView xWindow="0" yWindow="60" windowWidth="12000" windowHeight="5070" tabRatio="828" firstSheet="8" activeTab="8" xr2:uid="{00000000-000D-0000-FFFF-FFFF00000000}"/>
  </bookViews>
  <sheets>
    <sheet name="Estructura del Proyecto" sheetId="29" r:id="rId1"/>
    <sheet name="Plan de Adquisiciones General" sheetId="30" r:id="rId2"/>
    <sheet name="POA" sheetId="14" r:id="rId3"/>
    <sheet name="PEP" sheetId="15" r:id="rId4"/>
    <sheet name="PA Prochile" sheetId="21" r:id="rId5"/>
    <sheet name="PA Invest" sheetId="31" r:id="rId6"/>
    <sheet name="PA CORFO" sheetId="22" r:id="rId7"/>
    <sheet name="PA SENCE" sheetId="23" r:id="rId8"/>
    <sheet name="PA CULTURA" sheetId="24" r:id="rId9"/>
    <sheet name="PA OE e Imprevistos" sheetId="25" r:id="rId10"/>
  </sheets>
  <definedNames>
    <definedName name="__POA2" localSheetId="5">#REF!</definedName>
    <definedName name="__POA2" localSheetId="1">#REF!</definedName>
    <definedName name="__POA2">#REF!</definedName>
    <definedName name="_2" localSheetId="5">#REF!</definedName>
    <definedName name="_2" localSheetId="1">#REF!</definedName>
    <definedName name="_2">#REF!</definedName>
    <definedName name="_6" localSheetId="5">#REF!</definedName>
    <definedName name="_6" localSheetId="1">#REF!</definedName>
    <definedName name="_6">#REF!</definedName>
    <definedName name="_Fill" localSheetId="5" hidden="1">#REF!</definedName>
    <definedName name="_Fill" localSheetId="1" hidden="1">#REF!</definedName>
    <definedName name="_Fill" hidden="1">#REF!</definedName>
    <definedName name="_xlnm._FilterDatabase" localSheetId="3" hidden="1">PEP!$A$6:$AB$78</definedName>
    <definedName name="_xlnm._FilterDatabase" localSheetId="1" hidden="1">'Plan de Adquisiciones General'!#REF!</definedName>
    <definedName name="_POA2" localSheetId="5">#REF!</definedName>
    <definedName name="_POA2" localSheetId="1">#REF!</definedName>
    <definedName name="_POA2">#REF!</definedName>
    <definedName name="_POAAAA" localSheetId="5">#REF!</definedName>
    <definedName name="_POAAAA" localSheetId="1">#REF!</definedName>
    <definedName name="_POAAAA">#REF!</definedName>
    <definedName name="a" localSheetId="5">#REF!</definedName>
    <definedName name="a">#REF!</definedName>
    <definedName name="A_PUBLICAR" localSheetId="5">#REF!</definedName>
    <definedName name="A_PUBLICAR" localSheetId="1">#REF!</definedName>
    <definedName name="A_PUBLICAR">#REF!</definedName>
    <definedName name="aaa" localSheetId="5">#REF!</definedName>
    <definedName name="aaa" localSheetId="1">#REF!</definedName>
    <definedName name="aaa">#REF!</definedName>
    <definedName name="AAAAAA" localSheetId="5">#REF!</definedName>
    <definedName name="AAAAAA" localSheetId="1">#REF!</definedName>
    <definedName name="AAAAAA">#REF!</definedName>
    <definedName name="ADJUDICADA" localSheetId="5">#REF!</definedName>
    <definedName name="ADJUDICADA" localSheetId="1">#REF!</definedName>
    <definedName name="ADJUDICADA">#REF!</definedName>
    <definedName name="alo" localSheetId="5">#REF!</definedName>
    <definedName name="alo" localSheetId="1">#REF!</definedName>
    <definedName name="alo">#REF!</definedName>
    <definedName name="carcamo" localSheetId="5">#REF!</definedName>
    <definedName name="carcamo" localSheetId="1">#REF!</definedName>
    <definedName name="carcamo">#REF!</definedName>
    <definedName name="CONTRATACION" localSheetId="5">#REF!</definedName>
    <definedName name="CONTRATACION" localSheetId="1">#REF!</definedName>
    <definedName name="CONTRATACION">#REF!</definedName>
    <definedName name="_xlnm.Database" localSheetId="5">#REF!</definedName>
    <definedName name="_xlnm.Database" localSheetId="1">#REF!</definedName>
    <definedName name="_xlnm.Database">#REF!</definedName>
    <definedName name="decretos" localSheetId="5">#REF!</definedName>
    <definedName name="decretos" localSheetId="1">#REF!</definedName>
    <definedName name="decretos">#REF!</definedName>
    <definedName name="DESIERTA" localSheetId="5">#REF!</definedName>
    <definedName name="DESIERTA" localSheetId="1">#REF!</definedName>
    <definedName name="DESIERTA">#REF!</definedName>
    <definedName name="dolar" localSheetId="5">#REF!</definedName>
    <definedName name="dolar" localSheetId="1">#REF!</definedName>
    <definedName name="dolar">#REF!</definedName>
    <definedName name="dólar" localSheetId="5">#REF!</definedName>
    <definedName name="dólar" localSheetId="1">#REF!</definedName>
    <definedName name="dólar">#REF!</definedName>
    <definedName name="e" localSheetId="5">#REF!</definedName>
    <definedName name="e" localSheetId="1">#REF!</definedName>
    <definedName name="e">#REF!</definedName>
    <definedName name="EJECUCION" localSheetId="5">#REF!</definedName>
    <definedName name="EJECUCION" localSheetId="1">#REF!</definedName>
    <definedName name="EJECUCION">#REF!</definedName>
    <definedName name="EN_EVALUACION" localSheetId="5">#REF!</definedName>
    <definedName name="EN_EVALUACION" localSheetId="1">#REF!</definedName>
    <definedName name="EN_EVALUACION">#REF!</definedName>
    <definedName name="EN_OBRA" localSheetId="5">#REF!</definedName>
    <definedName name="EN_OBRA" localSheetId="1">#REF!</definedName>
    <definedName name="EN_OBRA">#REF!</definedName>
    <definedName name="EN_TOMA_DE_RAZON" localSheetId="5">#REF!</definedName>
    <definedName name="EN_TOMA_DE_RAZON" localSheetId="1">#REF!</definedName>
    <definedName name="EN_TOMA_DE_RAZON">#REF!</definedName>
    <definedName name="ESTADO" localSheetId="5">#REF!</definedName>
    <definedName name="ESTADO" localSheetId="1">#REF!</definedName>
    <definedName name="ESTADO">#REF!</definedName>
    <definedName name="EVALUACION" localSheetId="5">#REF!</definedName>
    <definedName name="EVALUACION" localSheetId="1">#REF!</definedName>
    <definedName name="EVALUACION">#REF!</definedName>
    <definedName name="ffff" localSheetId="5">#REF!</definedName>
    <definedName name="ffff" localSheetId="1">#REF!</definedName>
    <definedName name="ffff">#REF!</definedName>
    <definedName name="foliobid" localSheetId="5">#REF!</definedName>
    <definedName name="foliobid" localSheetId="1">#REF!</definedName>
    <definedName name="foliobid">#REF!</definedName>
    <definedName name="FOLIOS" localSheetId="5">#REF!</definedName>
    <definedName name="FOLIOS" localSheetId="1">#REF!</definedName>
    <definedName name="FOLIOS">#REF!</definedName>
    <definedName name="Garfico1" localSheetId="5">#REF!</definedName>
    <definedName name="Garfico1" localSheetId="1">#REF!</definedName>
    <definedName name="Garfico1">#REF!</definedName>
    <definedName name="GGGGGGG" localSheetId="5">#REF!</definedName>
    <definedName name="GGGGGGG" localSheetId="1">#REF!</definedName>
    <definedName name="GGGGGGG">#REF!</definedName>
    <definedName name="GRAFI" localSheetId="5">#REF!</definedName>
    <definedName name="GRAFI" localSheetId="1">#REF!</definedName>
    <definedName name="GRAFI">#REF!</definedName>
    <definedName name="GRAFI1" localSheetId="5">#REF!</definedName>
    <definedName name="GRAFI1" localSheetId="1">#REF!</definedName>
    <definedName name="GRAFI1">#REF!</definedName>
    <definedName name="GRAFICO" localSheetId="5">#REF!</definedName>
    <definedName name="GRAFICO" localSheetId="1">#REF!</definedName>
    <definedName name="GRAFICO">#REF!</definedName>
    <definedName name="INICIO_CONTRATO" localSheetId="5">#REF!</definedName>
    <definedName name="INICIO_CONTRATO" localSheetId="1">#REF!</definedName>
    <definedName name="INICIO_CONTRATO">#REF!</definedName>
    <definedName name="jjjj" localSheetId="5">#REF!</definedName>
    <definedName name="jjjj" localSheetId="1">#REF!</definedName>
    <definedName name="jjjj">#REF!</definedName>
    <definedName name="licit" localSheetId="5">#REF!</definedName>
    <definedName name="licit" localSheetId="1">#REF!</definedName>
    <definedName name="licit">#REF!</definedName>
    <definedName name="licitacion" localSheetId="5">#REF!</definedName>
    <definedName name="licitacion" localSheetId="1">#REF!</definedName>
    <definedName name="licitacion">#REF!</definedName>
    <definedName name="nada" localSheetId="5">#REF!</definedName>
    <definedName name="nada" localSheetId="1">#REF!</definedName>
    <definedName name="nada">#REF!</definedName>
    <definedName name="PA" localSheetId="5">#REF!</definedName>
    <definedName name="PA">#REF!</definedName>
    <definedName name="poa" localSheetId="5">#REF!</definedName>
    <definedName name="poa" localSheetId="1">#REF!</definedName>
    <definedName name="poa">#REF!</definedName>
    <definedName name="POA_21" localSheetId="5">#REF!</definedName>
    <definedName name="POA_21" localSheetId="1">#REF!</definedName>
    <definedName name="POA_21">#REF!</definedName>
    <definedName name="Pres" localSheetId="5">#REF!</definedName>
    <definedName name="Pres" localSheetId="1">#REF!</definedName>
    <definedName name="Pres">#REF!</definedName>
    <definedName name="_xlnm.Print_Area" localSheetId="1">'Plan de Adquisiciones General'!#REF!</definedName>
    <definedName name="PUBLICADA" localSheetId="5">#REF!</definedName>
    <definedName name="PUBLICADA" localSheetId="1">#REF!</definedName>
    <definedName name="PUBLICADA">#REF!</definedName>
    <definedName name="Reesumen" localSheetId="5">#REF!</definedName>
    <definedName name="Reesumen" localSheetId="1">#REF!</definedName>
    <definedName name="Reesumen">#REF!</definedName>
    <definedName name="RESOLUCION_ADJUDICACION" localSheetId="5">#REF!</definedName>
    <definedName name="RESOLUCION_ADJUDICACION" localSheetId="1">#REF!</definedName>
    <definedName name="RESOLUCION_ADJUDICACION">#REF!</definedName>
    <definedName name="RESOLUCION_PUBLICADA" localSheetId="5">#REF!</definedName>
    <definedName name="RESOLUCION_PUBLICADA" localSheetId="1">#REF!</definedName>
    <definedName name="RESOLUCION_PUBLICADA">#REF!</definedName>
    <definedName name="Resumen" localSheetId="5">#REF!</definedName>
    <definedName name="Resumen" localSheetId="1">#REF!</definedName>
    <definedName name="Resumen">#REF!</definedName>
    <definedName name="resumencito" localSheetId="5">#REF!</definedName>
    <definedName name="resumencito" localSheetId="1">#REF!</definedName>
    <definedName name="resumencito">#REF!</definedName>
    <definedName name="REVOCADA" localSheetId="5">#REF!</definedName>
    <definedName name="REVOCADA" localSheetId="1">#REF!</definedName>
    <definedName name="REVOCADA">#REF!</definedName>
    <definedName name="selbid" localSheetId="5">#REF!</definedName>
    <definedName name="selbid" localSheetId="1">#REF!</definedName>
    <definedName name="selbid">#REF!</definedName>
    <definedName name="SFGH" localSheetId="5">#REF!</definedName>
    <definedName name="SFGH" localSheetId="1">#REF!</definedName>
    <definedName name="SFGH">#REF!</definedName>
    <definedName name="SISTEMA" localSheetId="5">#REF!</definedName>
    <definedName name="SISTEMA" localSheetId="1">#REF!</definedName>
    <definedName name="SISTEMA">#REF!</definedName>
    <definedName name="Tabla_asignación" localSheetId="5">#REF!</definedName>
    <definedName name="Tabla_asignación" localSheetId="1">#REF!</definedName>
    <definedName name="Tabla_asignación">#REF!</definedName>
    <definedName name="Tabla_Recursos" localSheetId="5">#REF!</definedName>
    <definedName name="Tabla_Recursos" localSheetId="1">#REF!</definedName>
    <definedName name="Tabla_Recursos">#REF!</definedName>
    <definedName name="TOMA_DE_RAZON" localSheetId="5">#REF!</definedName>
    <definedName name="TOMA_DE_RAZON" localSheetId="1">#REF!</definedName>
    <definedName name="TOMA_DE_RAZON">#REF!</definedName>
    <definedName name="TTTTT" localSheetId="5">#REF!</definedName>
    <definedName name="TTTTT" localSheetId="1">#REF!</definedName>
    <definedName name="TTTTT">#REF!</definedName>
    <definedName name="uf" localSheetId="5">#REF!</definedName>
    <definedName name="uf" localSheetId="1">#REF!</definedName>
    <definedName name="uf">#REF!</definedName>
    <definedName name="xxx" localSheetId="5">#REF!</definedName>
    <definedName name="xxx" localSheetId="1">#REF!</definedName>
    <definedName name="xxx">#REF!</definedName>
    <definedName name="Z" localSheetId="5">#REF!</definedName>
    <definedName name="Z">#REF!</definedName>
  </definedNames>
  <calcPr calcId="191028"/>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1" i="31" l="1"/>
  <c r="L32" i="31"/>
  <c r="L33" i="31"/>
  <c r="K29" i="31"/>
  <c r="L29" i="31" s="1"/>
  <c r="K12" i="31"/>
  <c r="K60" i="23"/>
  <c r="M124" i="22"/>
  <c r="N101" i="22"/>
  <c r="M83" i="22"/>
  <c r="M71" i="22"/>
  <c r="N61" i="22"/>
  <c r="M52" i="22"/>
  <c r="M37" i="22"/>
  <c r="K21" i="31"/>
  <c r="K80" i="21"/>
  <c r="K57" i="21"/>
  <c r="K36" i="21"/>
  <c r="L36" i="21" s="1"/>
  <c r="L33" i="21"/>
  <c r="K17" i="21"/>
  <c r="L17" i="21" s="1"/>
  <c r="M52" i="25"/>
  <c r="L20" i="31"/>
  <c r="H61" i="31"/>
  <c r="M136" i="22" l="1"/>
  <c r="L77" i="31"/>
  <c r="K39" i="31"/>
  <c r="K50" i="31"/>
  <c r="L58" i="31"/>
  <c r="K57" i="31"/>
  <c r="K47" i="31"/>
  <c r="L93" i="31"/>
  <c r="L87" i="31"/>
  <c r="L88" i="31"/>
  <c r="L89" i="31"/>
  <c r="L90" i="31"/>
  <c r="L56" i="31"/>
  <c r="L37" i="31"/>
  <c r="L86" i="31" l="1"/>
  <c r="G100" i="15"/>
  <c r="M151" i="22"/>
  <c r="M156" i="22" s="1"/>
  <c r="N121" i="22"/>
  <c r="F101" i="15"/>
  <c r="L159" i="22" l="1"/>
  <c r="E62" i="15"/>
  <c r="D55" i="15" l="1"/>
  <c r="L73" i="23"/>
  <c r="G55" i="15" s="1"/>
  <c r="L74" i="23"/>
  <c r="G53" i="15" s="1"/>
  <c r="L71" i="23"/>
  <c r="K72" i="23"/>
  <c r="L72" i="23" s="1"/>
  <c r="L26" i="23"/>
  <c r="G64" i="15" s="1"/>
  <c r="L27" i="23"/>
  <c r="G65" i="15" s="1"/>
  <c r="K46" i="23"/>
  <c r="L46" i="23" s="1"/>
  <c r="G56" i="15" s="1"/>
  <c r="L47" i="23"/>
  <c r="L48" i="23"/>
  <c r="L59" i="23" l="1"/>
  <c r="L52" i="23"/>
  <c r="L53" i="23"/>
  <c r="L54" i="23"/>
  <c r="L55" i="23"/>
  <c r="L56" i="23"/>
  <c r="L57" i="23"/>
  <c r="L58" i="23"/>
  <c r="K51" i="23"/>
  <c r="L51" i="23" s="1"/>
  <c r="L61" i="23"/>
  <c r="L65" i="23"/>
  <c r="L70" i="23"/>
  <c r="L23" i="23"/>
  <c r="C123" i="14"/>
  <c r="C124" i="14"/>
  <c r="B124" i="14"/>
  <c r="B123" i="14"/>
  <c r="B83" i="14" l="1"/>
  <c r="K80" i="24" l="1"/>
  <c r="K79" i="24"/>
  <c r="L54" i="24"/>
  <c r="L55" i="24"/>
  <c r="L53" i="24"/>
  <c r="U26" i="14" l="1"/>
  <c r="G23" i="15"/>
  <c r="L79" i="24"/>
  <c r="U32" i="14"/>
  <c r="U35" i="14" s="1"/>
  <c r="G29" i="15"/>
  <c r="U29" i="14"/>
  <c r="G26" i="15"/>
  <c r="U33" i="14"/>
  <c r="U34" i="14"/>
  <c r="K45" i="24"/>
  <c r="K30" i="24"/>
  <c r="N83" i="22" l="1"/>
  <c r="N126" i="22"/>
  <c r="N127" i="22"/>
  <c r="N128" i="22"/>
  <c r="N129" i="22"/>
  <c r="N130" i="22"/>
  <c r="N131" i="22"/>
  <c r="N124" i="22"/>
  <c r="N47" i="22"/>
  <c r="N48" i="22"/>
  <c r="M49" i="22"/>
  <c r="N49" i="22" s="1"/>
  <c r="G105" i="15" l="1"/>
  <c r="F99" i="15" l="1"/>
  <c r="F105" i="15" s="1"/>
  <c r="M159" i="22"/>
  <c r="N37" i="22"/>
  <c r="L13" i="31" l="1"/>
  <c r="L14" i="31"/>
  <c r="L15" i="31"/>
  <c r="L16" i="31"/>
  <c r="L17" i="31"/>
  <c r="L18" i="31"/>
  <c r="L19" i="31"/>
  <c r="L22" i="31"/>
  <c r="N24" i="31"/>
  <c r="L30" i="31"/>
  <c r="L35" i="31"/>
  <c r="L36" i="31"/>
  <c r="L38" i="31"/>
  <c r="L40" i="31"/>
  <c r="N42" i="31"/>
  <c r="L48" i="31"/>
  <c r="L49" i="31"/>
  <c r="L51" i="31"/>
  <c r="L53" i="31"/>
  <c r="L54" i="31"/>
  <c r="L55" i="31"/>
  <c r="F73" i="15" s="1"/>
  <c r="N60" i="31"/>
  <c r="L78" i="31"/>
  <c r="L79" i="31"/>
  <c r="K79" i="31" s="1"/>
  <c r="K107" i="31" s="1"/>
  <c r="K86" i="31"/>
  <c r="L91" i="31"/>
  <c r="L92" i="31"/>
  <c r="G10" i="15" l="1"/>
  <c r="L94" i="31"/>
  <c r="K105" i="31"/>
  <c r="K94" i="31"/>
  <c r="L12" i="31"/>
  <c r="L47" i="31"/>
  <c r="L107" i="31"/>
  <c r="L106" i="31"/>
  <c r="L105" i="31"/>
  <c r="K78" i="31"/>
  <c r="G12" i="15"/>
  <c r="K158" i="21"/>
  <c r="K159" i="21"/>
  <c r="K106" i="31" l="1"/>
  <c r="B134" i="14" l="1"/>
  <c r="C134" i="14"/>
  <c r="C133" i="14"/>
  <c r="B133" i="14"/>
  <c r="C132" i="14"/>
  <c r="B132" i="14"/>
  <c r="C129" i="14"/>
  <c r="B129" i="14"/>
  <c r="B128" i="14"/>
  <c r="C128" i="14"/>
  <c r="C127" i="14"/>
  <c r="B127" i="14"/>
  <c r="C117" i="14"/>
  <c r="B117" i="14"/>
  <c r="C109" i="14"/>
  <c r="B109" i="14"/>
  <c r="B108" i="14"/>
  <c r="C108" i="14"/>
  <c r="C107" i="14"/>
  <c r="B107" i="14"/>
  <c r="C84" i="14"/>
  <c r="B84" i="14"/>
  <c r="B82" i="14"/>
  <c r="C81" i="14"/>
  <c r="B81" i="14"/>
  <c r="C80" i="14"/>
  <c r="B80" i="14"/>
  <c r="C76" i="14"/>
  <c r="B76" i="14"/>
  <c r="C63" i="14"/>
  <c r="B63" i="14"/>
  <c r="B58" i="14"/>
  <c r="C58" i="14"/>
  <c r="C57" i="14"/>
  <c r="B57" i="14"/>
  <c r="C50" i="14"/>
  <c r="C51" i="14"/>
  <c r="C52" i="14"/>
  <c r="C53" i="14"/>
  <c r="C54" i="14"/>
  <c r="B51" i="14"/>
  <c r="B52" i="14"/>
  <c r="B53" i="14"/>
  <c r="B54" i="14"/>
  <c r="B50" i="14"/>
  <c r="C38" i="14"/>
  <c r="B38" i="14"/>
  <c r="C23" i="14"/>
  <c r="B23" i="14"/>
  <c r="C19" i="14"/>
  <c r="B19" i="14"/>
  <c r="B17" i="14"/>
  <c r="B18" i="14"/>
  <c r="B16" i="14"/>
  <c r="B10" i="14"/>
  <c r="B9" i="14"/>
  <c r="H62" i="15" l="1"/>
  <c r="E14" i="15" l="1"/>
  <c r="K51" i="15"/>
  <c r="K52" i="15"/>
  <c r="K53" i="15"/>
  <c r="K54" i="15"/>
  <c r="K57" i="15"/>
  <c r="K58" i="15"/>
  <c r="K59" i="15"/>
  <c r="K60" i="15"/>
  <c r="K61" i="15"/>
  <c r="K64" i="15"/>
  <c r="K65" i="15"/>
  <c r="K72" i="15"/>
  <c r="K73" i="15"/>
  <c r="D54" i="15" l="1"/>
  <c r="C82" i="14" s="1"/>
  <c r="N120" i="22" l="1"/>
  <c r="I39" i="15" s="1"/>
  <c r="D128" i="14" l="1"/>
  <c r="E128" i="14"/>
  <c r="F128" i="14"/>
  <c r="G128" i="14"/>
  <c r="G71" i="15"/>
  <c r="F72" i="15"/>
  <c r="H45" i="15"/>
  <c r="J129" i="14" l="1"/>
  <c r="F71" i="15"/>
  <c r="J132" i="14"/>
  <c r="J128" i="14" l="1"/>
  <c r="I128" i="14"/>
  <c r="L60" i="23" l="1"/>
  <c r="N135" i="22" l="1"/>
  <c r="N82" i="22"/>
  <c r="I38" i="15" s="1"/>
  <c r="N66" i="22"/>
  <c r="I37" i="15" s="1"/>
  <c r="N62" i="22"/>
  <c r="N63" i="22"/>
  <c r="N64" i="22"/>
  <c r="N51" i="22"/>
  <c r="I49" i="15" l="1"/>
  <c r="I48" i="15" s="1"/>
  <c r="I36" i="15"/>
  <c r="N154" i="22"/>
  <c r="H71" i="15"/>
  <c r="H10" i="15"/>
  <c r="H44" i="15"/>
  <c r="G44" i="15"/>
  <c r="L63" i="21" l="1"/>
  <c r="L62" i="21"/>
  <c r="L61" i="21"/>
  <c r="L60" i="21"/>
  <c r="L59" i="21"/>
  <c r="L58" i="21"/>
  <c r="L18" i="21"/>
  <c r="L19" i="21"/>
  <c r="L20" i="21"/>
  <c r="L21" i="21"/>
  <c r="L22" i="21"/>
  <c r="L23" i="21"/>
  <c r="L24" i="21"/>
  <c r="L25" i="21"/>
  <c r="L26" i="21"/>
  <c r="L27" i="21"/>
  <c r="L28" i="21"/>
  <c r="L29" i="21"/>
  <c r="L30" i="21"/>
  <c r="L31" i="21"/>
  <c r="N84" i="22" l="1"/>
  <c r="N85" i="22"/>
  <c r="N86" i="22"/>
  <c r="N87" i="22"/>
  <c r="N88" i="22"/>
  <c r="N89" i="22"/>
  <c r="N90" i="22"/>
  <c r="N91" i="22"/>
  <c r="N92" i="22"/>
  <c r="N93" i="22"/>
  <c r="N94" i="22"/>
  <c r="N95" i="22"/>
  <c r="N96" i="22"/>
  <c r="N97" i="22"/>
  <c r="N125" i="22"/>
  <c r="N122" i="22"/>
  <c r="N123" i="22"/>
  <c r="N70" i="22"/>
  <c r="N68" i="22"/>
  <c r="N69" i="22"/>
  <c r="N60" i="22"/>
  <c r="N53" i="22"/>
  <c r="N54" i="22"/>
  <c r="N55" i="22"/>
  <c r="N56" i="22"/>
  <c r="N57" i="22"/>
  <c r="N58" i="22"/>
  <c r="N59" i="22"/>
  <c r="N40" i="22" l="1"/>
  <c r="N42" i="22"/>
  <c r="N38" i="22"/>
  <c r="N39" i="22"/>
  <c r="N41" i="22"/>
  <c r="N43" i="22"/>
  <c r="N44" i="22"/>
  <c r="N46" i="22"/>
  <c r="D18" i="30" l="1"/>
  <c r="C11" i="30"/>
  <c r="D11" i="30" s="1"/>
  <c r="K76" i="25" l="1"/>
  <c r="K68" i="25"/>
  <c r="F69" i="25"/>
  <c r="D69" i="25"/>
  <c r="I29" i="25"/>
  <c r="K22" i="25"/>
  <c r="G75" i="15" s="1"/>
  <c r="E69" i="25"/>
  <c r="K50" i="24"/>
  <c r="G20" i="15"/>
  <c r="G14" i="15" s="1"/>
  <c r="L66" i="24"/>
  <c r="L65" i="24"/>
  <c r="K64" i="24"/>
  <c r="K68" i="24" s="1"/>
  <c r="L52" i="24"/>
  <c r="L51" i="24"/>
  <c r="L50" i="24" s="1"/>
  <c r="L44" i="24"/>
  <c r="L45" i="24" s="1"/>
  <c r="J39" i="24"/>
  <c r="L37" i="24"/>
  <c r="L36" i="24"/>
  <c r="K35" i="24"/>
  <c r="K39" i="24" s="1"/>
  <c r="L30" i="24"/>
  <c r="N24" i="24"/>
  <c r="L22" i="24"/>
  <c r="L80" i="24" s="1"/>
  <c r="L20" i="24"/>
  <c r="L19" i="24"/>
  <c r="L18" i="24"/>
  <c r="K17" i="24"/>
  <c r="L75" i="23"/>
  <c r="F54" i="15"/>
  <c r="F52" i="15"/>
  <c r="F53" i="15"/>
  <c r="L49" i="23"/>
  <c r="K49" i="23" s="1"/>
  <c r="L45" i="23"/>
  <c r="N30" i="23"/>
  <c r="L28" i="23"/>
  <c r="K28" i="23" s="1"/>
  <c r="L24" i="23"/>
  <c r="F65" i="15" s="1"/>
  <c r="F64" i="15"/>
  <c r="M153" i="22"/>
  <c r="M152" i="22"/>
  <c r="N134" i="22"/>
  <c r="N133" i="22"/>
  <c r="G49" i="15" s="1"/>
  <c r="F49" i="15"/>
  <c r="N119" i="22"/>
  <c r="H39" i="15" s="1"/>
  <c r="G39" i="15"/>
  <c r="F39" i="15"/>
  <c r="N81" i="22"/>
  <c r="H38" i="15" s="1"/>
  <c r="N71" i="22"/>
  <c r="N67" i="22"/>
  <c r="F38" i="15" s="1"/>
  <c r="N65" i="22"/>
  <c r="H37" i="15" s="1"/>
  <c r="G37" i="15"/>
  <c r="N52" i="22"/>
  <c r="N50" i="22"/>
  <c r="G36" i="15"/>
  <c r="F36" i="15"/>
  <c r="N139" i="21"/>
  <c r="M139" i="21"/>
  <c r="L137" i="21"/>
  <c r="K137" i="21" s="1"/>
  <c r="L136" i="21"/>
  <c r="L135" i="21"/>
  <c r="L134" i="21"/>
  <c r="L133" i="21"/>
  <c r="L132" i="21"/>
  <c r="L131" i="21"/>
  <c r="L130" i="21"/>
  <c r="L129" i="21"/>
  <c r="L128" i="21"/>
  <c r="L127" i="21"/>
  <c r="L126" i="21"/>
  <c r="L125" i="21"/>
  <c r="L124" i="21"/>
  <c r="L123" i="21"/>
  <c r="L122" i="21"/>
  <c r="L121" i="21"/>
  <c r="L120" i="21"/>
  <c r="L119" i="21"/>
  <c r="L118" i="21"/>
  <c r="L117" i="21"/>
  <c r="L116" i="21"/>
  <c r="L115" i="21"/>
  <c r="L114" i="21"/>
  <c r="L113" i="21"/>
  <c r="L112" i="21"/>
  <c r="L111" i="21"/>
  <c r="L110" i="21"/>
  <c r="L109" i="21"/>
  <c r="L108" i="21"/>
  <c r="L107" i="21"/>
  <c r="L106" i="21"/>
  <c r="L105" i="21"/>
  <c r="L104" i="21"/>
  <c r="L103" i="21"/>
  <c r="L102" i="21"/>
  <c r="L101" i="21"/>
  <c r="L100" i="21"/>
  <c r="L99" i="21"/>
  <c r="L98" i="21"/>
  <c r="L97" i="21"/>
  <c r="L96" i="21"/>
  <c r="L95" i="21"/>
  <c r="L94" i="21"/>
  <c r="L93" i="21"/>
  <c r="L92" i="21"/>
  <c r="L91" i="21"/>
  <c r="L90" i="21"/>
  <c r="L89" i="21"/>
  <c r="L88" i="21"/>
  <c r="L87" i="21"/>
  <c r="L86" i="21"/>
  <c r="L85" i="21"/>
  <c r="L84" i="21"/>
  <c r="L83" i="21"/>
  <c r="L82" i="21"/>
  <c r="L81" i="21"/>
  <c r="L80" i="21" s="1"/>
  <c r="K153" i="21"/>
  <c r="J69" i="21"/>
  <c r="L67" i="21"/>
  <c r="K67" i="21" s="1"/>
  <c r="L66" i="21"/>
  <c r="K66" i="21" s="1"/>
  <c r="L65" i="21"/>
  <c r="L64" i="21"/>
  <c r="L57" i="21" s="1"/>
  <c r="N47" i="21"/>
  <c r="L34" i="21"/>
  <c r="K34" i="21" s="1"/>
  <c r="H49" i="15" l="1"/>
  <c r="H48" i="15" s="1"/>
  <c r="H47" i="15" s="1"/>
  <c r="H46" i="15" s="1"/>
  <c r="N136" i="22"/>
  <c r="K24" i="24"/>
  <c r="K78" i="24"/>
  <c r="G38" i="15"/>
  <c r="N152" i="22"/>
  <c r="N153" i="22"/>
  <c r="G48" i="15"/>
  <c r="J49" i="15"/>
  <c r="F40" i="15"/>
  <c r="J40" i="15" s="1"/>
  <c r="K40" i="15" s="1"/>
  <c r="N151" i="22"/>
  <c r="K75" i="23"/>
  <c r="K93" i="23" s="1"/>
  <c r="G50" i="15"/>
  <c r="F56" i="15"/>
  <c r="G86" i="15"/>
  <c r="L153" i="21"/>
  <c r="F35" i="15"/>
  <c r="F19" i="15"/>
  <c r="F15" i="15"/>
  <c r="G34" i="15"/>
  <c r="H20" i="15"/>
  <c r="H14" i="15" s="1"/>
  <c r="F63" i="15"/>
  <c r="F50" i="15"/>
  <c r="C14" i="30"/>
  <c r="D14" i="30" s="1"/>
  <c r="K155" i="21"/>
  <c r="K33" i="21"/>
  <c r="L154" i="21"/>
  <c r="J82" i="14"/>
  <c r="J109" i="14"/>
  <c r="K136" i="21"/>
  <c r="J117" i="14"/>
  <c r="F37" i="15"/>
  <c r="F86" i="15" s="1"/>
  <c r="N150" i="22"/>
  <c r="H36" i="15"/>
  <c r="L93" i="23"/>
  <c r="L155" i="21"/>
  <c r="C68" i="25"/>
  <c r="A78" i="25" s="1"/>
  <c r="G66" i="25"/>
  <c r="C67" i="25"/>
  <c r="L68" i="25"/>
  <c r="G70" i="25"/>
  <c r="C69" i="25"/>
  <c r="J69" i="25" s="1"/>
  <c r="E68" i="25"/>
  <c r="F68" i="25"/>
  <c r="G67" i="25"/>
  <c r="D68" i="25"/>
  <c r="L35" i="24"/>
  <c r="L39" i="24" s="1"/>
  <c r="N77" i="24"/>
  <c r="N78" i="24" s="1"/>
  <c r="L17" i="24"/>
  <c r="L64" i="24"/>
  <c r="L68" i="24" s="1"/>
  <c r="L22" i="23"/>
  <c r="K22" i="23"/>
  <c r="P150" i="22"/>
  <c r="P151" i="22" s="1"/>
  <c r="F12" i="15"/>
  <c r="N152" i="21"/>
  <c r="N153" i="21" s="1"/>
  <c r="K91" i="23" l="1"/>
  <c r="O91" i="23" s="1"/>
  <c r="L91" i="23"/>
  <c r="L24" i="24"/>
  <c r="L78" i="24"/>
  <c r="I50" i="15"/>
  <c r="J50" i="15"/>
  <c r="K50" i="15" s="1"/>
  <c r="G47" i="15"/>
  <c r="F14" i="15"/>
  <c r="F62" i="15"/>
  <c r="I56" i="15"/>
  <c r="J56" i="15" s="1"/>
  <c r="K56" i="15" s="1"/>
  <c r="F87" i="15"/>
  <c r="I14" i="15"/>
  <c r="L56" i="24" s="1"/>
  <c r="G88" i="15"/>
  <c r="F34" i="15"/>
  <c r="F33" i="15" s="1"/>
  <c r="N154" i="21"/>
  <c r="J36" i="15"/>
  <c r="K36" i="15" s="1"/>
  <c r="H34" i="15"/>
  <c r="H33" i="15" s="1"/>
  <c r="G33" i="15"/>
  <c r="K154" i="21"/>
  <c r="F13" i="15"/>
  <c r="P152" i="22"/>
  <c r="P153" i="22" s="1"/>
  <c r="N79" i="24"/>
  <c r="N80" i="24" s="1"/>
  <c r="C66" i="25"/>
  <c r="H66" i="25" s="1"/>
  <c r="I66" i="25" s="1"/>
  <c r="J67" i="25"/>
  <c r="J68" i="25"/>
  <c r="H69" i="25"/>
  <c r="I69" i="25" s="1"/>
  <c r="C70" i="25"/>
  <c r="H70" i="25" s="1"/>
  <c r="I70" i="25" s="1"/>
  <c r="H67" i="25"/>
  <c r="I67" i="25" s="1"/>
  <c r="H68" i="25"/>
  <c r="I68" i="25" s="1"/>
  <c r="N155" i="21"/>
  <c r="I47" i="15" l="1"/>
  <c r="L57" i="24"/>
  <c r="K56" i="24"/>
  <c r="L81" i="24"/>
  <c r="F88" i="15"/>
  <c r="H50" i="14"/>
  <c r="J66" i="25"/>
  <c r="J70" i="25"/>
  <c r="H73" i="25"/>
  <c r="L58" i="24" l="1"/>
  <c r="L59" i="24"/>
  <c r="K81" i="24"/>
  <c r="K58" i="24"/>
  <c r="K59" i="24" s="1"/>
  <c r="L77" i="24"/>
  <c r="J14" i="15"/>
  <c r="K14" i="15" s="1"/>
  <c r="F9" i="15"/>
  <c r="K77" i="24" l="1"/>
  <c r="F45" i="15"/>
  <c r="L50" i="23" l="1"/>
  <c r="F10" i="15"/>
  <c r="F44" i="15"/>
  <c r="I71" i="15"/>
  <c r="L59" i="31" s="1"/>
  <c r="K59" i="31" s="1"/>
  <c r="K50" i="23" l="1"/>
  <c r="I13" i="15"/>
  <c r="L35" i="21" s="1"/>
  <c r="L47" i="21" l="1"/>
  <c r="K35" i="21"/>
  <c r="K47" i="21" s="1"/>
  <c r="H89" i="15" l="1"/>
  <c r="H87" i="15"/>
  <c r="G85" i="15"/>
  <c r="H85" i="15"/>
  <c r="G90" i="15" l="1"/>
  <c r="H88" i="15" l="1"/>
  <c r="L76" i="23" l="1"/>
  <c r="L77" i="23" s="1"/>
  <c r="K76" i="23"/>
  <c r="K77" i="23" s="1"/>
  <c r="G91" i="15" l="1"/>
  <c r="F91" i="15"/>
  <c r="F90" i="15"/>
  <c r="I88" i="15" l="1"/>
  <c r="J88" i="15" s="1"/>
  <c r="J38" i="15" l="1"/>
  <c r="K38" i="15" s="1"/>
  <c r="H52" i="14" l="1"/>
  <c r="H134" i="14"/>
  <c r="H133" i="14" s="1"/>
  <c r="H128" i="14"/>
  <c r="H108" i="14" l="1"/>
  <c r="H107" i="14" s="1"/>
  <c r="J75" i="14"/>
  <c r="H9" i="14"/>
  <c r="H10" i="14"/>
  <c r="H16" i="14"/>
  <c r="H17" i="14"/>
  <c r="H18" i="14"/>
  <c r="H38" i="14"/>
  <c r="H57" i="14"/>
  <c r="H58" i="14"/>
  <c r="H75" i="14"/>
  <c r="H84" i="14"/>
  <c r="J84" i="14"/>
  <c r="J81" i="14"/>
  <c r="J80" i="14"/>
  <c r="J63" i="14"/>
  <c r="J51" i="14"/>
  <c r="J52" i="14"/>
  <c r="J53" i="14"/>
  <c r="J54" i="14"/>
  <c r="J50" i="14"/>
  <c r="J18" i="14"/>
  <c r="I12" i="15" l="1"/>
  <c r="L138" i="21" s="1"/>
  <c r="L139" i="21" s="1"/>
  <c r="J16" i="14"/>
  <c r="F85" i="15"/>
  <c r="G70" i="15"/>
  <c r="H70" i="15"/>
  <c r="E70" i="15"/>
  <c r="E69" i="15" s="1"/>
  <c r="H127" i="14"/>
  <c r="H126" i="14" s="1"/>
  <c r="H125" i="14" s="1"/>
  <c r="K138" i="21" l="1"/>
  <c r="K139" i="21" s="1"/>
  <c r="J58" i="14"/>
  <c r="J17" i="14"/>
  <c r="I11" i="15"/>
  <c r="J38" i="14"/>
  <c r="I35" i="15"/>
  <c r="I34" i="15" s="1"/>
  <c r="I33" i="15" s="1"/>
  <c r="J33" i="15" s="1"/>
  <c r="J34" i="15" l="1"/>
  <c r="L68" i="21"/>
  <c r="L69" i="21" s="1"/>
  <c r="I85" i="15"/>
  <c r="J85" i="15" s="1"/>
  <c r="I9" i="15"/>
  <c r="L80" i="31" s="1"/>
  <c r="L81" i="31" s="1"/>
  <c r="C17" i="30" s="1"/>
  <c r="J57" i="14"/>
  <c r="I44" i="15"/>
  <c r="L23" i="31" s="1"/>
  <c r="L24" i="31" s="1"/>
  <c r="J9" i="14"/>
  <c r="J127" i="14"/>
  <c r="K23" i="31" l="1"/>
  <c r="K24" i="31" s="1"/>
  <c r="K80" i="31"/>
  <c r="K81" i="31" s="1"/>
  <c r="L152" i="21"/>
  <c r="L156" i="21"/>
  <c r="K68" i="21"/>
  <c r="F89" i="15"/>
  <c r="F70" i="15"/>
  <c r="I70" i="15"/>
  <c r="J10" i="14"/>
  <c r="F93" i="15" l="1"/>
  <c r="E94" i="15" s="1"/>
  <c r="K156" i="21"/>
  <c r="K69" i="21"/>
  <c r="C12" i="30"/>
  <c r="D12" i="30" s="1"/>
  <c r="H54" i="14"/>
  <c r="K152" i="21"/>
  <c r="J71" i="15"/>
  <c r="J70" i="15" l="1"/>
  <c r="K70" i="15" s="1"/>
  <c r="K71" i="15"/>
  <c r="J12" i="15"/>
  <c r="K12" i="15" s="1"/>
  <c r="F48" i="15"/>
  <c r="F74" i="15"/>
  <c r="F69" i="15"/>
  <c r="F8" i="15"/>
  <c r="F11" i="15"/>
  <c r="F43" i="15"/>
  <c r="F42" i="15" s="1"/>
  <c r="G74" i="15"/>
  <c r="G69" i="15"/>
  <c r="H69" i="15"/>
  <c r="H8" i="15"/>
  <c r="H43" i="15"/>
  <c r="H42" i="15" s="1"/>
  <c r="E74" i="15"/>
  <c r="E48" i="15"/>
  <c r="E47" i="15" s="1"/>
  <c r="E46" i="15" s="1"/>
  <c r="E8" i="15"/>
  <c r="E11" i="15"/>
  <c r="E43" i="15"/>
  <c r="E42" i="15" s="1"/>
  <c r="J126" i="14"/>
  <c r="J125" i="14" s="1"/>
  <c r="J62" i="14"/>
  <c r="J37" i="14"/>
  <c r="J36" i="14" s="1"/>
  <c r="J56" i="14"/>
  <c r="J55" i="14" s="1"/>
  <c r="H56" i="14"/>
  <c r="H55" i="14" s="1"/>
  <c r="J15" i="14"/>
  <c r="J8" i="14"/>
  <c r="H8" i="14"/>
  <c r="H15" i="14"/>
  <c r="E76" i="15"/>
  <c r="F47" i="15" l="1"/>
  <c r="J48" i="15"/>
  <c r="K48" i="15" s="1"/>
  <c r="K23" i="25"/>
  <c r="E68" i="15"/>
  <c r="H135" i="14"/>
  <c r="G68" i="15"/>
  <c r="H11" i="15"/>
  <c r="H7" i="15" s="1"/>
  <c r="J39" i="15"/>
  <c r="K39" i="15" s="1"/>
  <c r="J61" i="14"/>
  <c r="J7" i="14"/>
  <c r="J6" i="14" s="1"/>
  <c r="J13" i="15"/>
  <c r="K13" i="15" s="1"/>
  <c r="H7" i="14"/>
  <c r="J44" i="15"/>
  <c r="K44" i="15" s="1"/>
  <c r="G11" i="15"/>
  <c r="J35" i="15"/>
  <c r="K35" i="15" s="1"/>
  <c r="E7" i="15"/>
  <c r="F7" i="15"/>
  <c r="F68" i="15"/>
  <c r="F46" i="15" l="1"/>
  <c r="J47" i="15"/>
  <c r="K47" i="15" s="1"/>
  <c r="H53" i="14"/>
  <c r="J23" i="25"/>
  <c r="J24" i="25" s="1"/>
  <c r="I75" i="15"/>
  <c r="I74" i="15" s="1"/>
  <c r="K24" i="25"/>
  <c r="H75" i="15"/>
  <c r="F6" i="15"/>
  <c r="H63" i="14" l="1"/>
  <c r="H62" i="14" s="1"/>
  <c r="H61" i="14" s="1"/>
  <c r="H60" i="14" s="1"/>
  <c r="J75" i="15"/>
  <c r="K75" i="15" s="1"/>
  <c r="H90" i="15"/>
  <c r="H74" i="15"/>
  <c r="H68" i="15" s="1"/>
  <c r="I90" i="15"/>
  <c r="J90" i="15" s="1"/>
  <c r="I69" i="15"/>
  <c r="I68" i="15" s="1"/>
  <c r="J74" i="15" l="1"/>
  <c r="K74" i="15" s="1"/>
  <c r="J11" i="15"/>
  <c r="K11" i="15" s="1"/>
  <c r="J69" i="15"/>
  <c r="K69" i="15" s="1"/>
  <c r="J68" i="15" l="1"/>
  <c r="J9" i="15"/>
  <c r="K9" i="15" s="1"/>
  <c r="C26" i="30" l="1"/>
  <c r="K68" i="15"/>
  <c r="E34" i="15"/>
  <c r="K34" i="15" s="1"/>
  <c r="D26" i="30" l="1"/>
  <c r="F26" i="30"/>
  <c r="E33" i="15"/>
  <c r="K33" i="15" s="1"/>
  <c r="F92" i="15"/>
  <c r="F82" i="15" s="1"/>
  <c r="F83" i="15" s="1"/>
  <c r="J108" i="14"/>
  <c r="E6" i="15" l="1"/>
  <c r="E78" i="15" s="1"/>
  <c r="J107" i="14"/>
  <c r="J60" i="14" s="1"/>
  <c r="J137" i="14" s="1"/>
  <c r="F78" i="15" l="1"/>
  <c r="H86" i="15" l="1"/>
  <c r="I86" i="15"/>
  <c r="J86" i="15" l="1"/>
  <c r="H6" i="15"/>
  <c r="J37" i="15"/>
  <c r="K37" i="15" s="1"/>
  <c r="H51" i="14" l="1"/>
  <c r="H37" i="14" s="1"/>
  <c r="H36" i="14" s="1"/>
  <c r="H6" i="14" s="1"/>
  <c r="H137" i="14" s="1"/>
  <c r="M154" i="22" l="1"/>
  <c r="M150" i="22"/>
  <c r="D17" i="30" l="1"/>
  <c r="I10" i="15"/>
  <c r="L41" i="31" s="1"/>
  <c r="L42" i="31" l="1"/>
  <c r="G8" i="15"/>
  <c r="G7" i="15" s="1"/>
  <c r="J10" i="15"/>
  <c r="K10" i="15" s="1"/>
  <c r="I8" i="15"/>
  <c r="C15" i="30" l="1"/>
  <c r="D15" i="30" s="1"/>
  <c r="K41" i="31"/>
  <c r="K42" i="31" s="1"/>
  <c r="I7" i="15"/>
  <c r="J8" i="15"/>
  <c r="K8" i="15" s="1"/>
  <c r="C13" i="30" l="1"/>
  <c r="D13" i="30" s="1"/>
  <c r="J7" i="15"/>
  <c r="K7" i="15" s="1"/>
  <c r="G45" i="15" l="1"/>
  <c r="I45" i="15" s="1"/>
  <c r="L52" i="31" s="1"/>
  <c r="L60" i="31" s="1"/>
  <c r="K52" i="31" l="1"/>
  <c r="K60" i="31" s="1"/>
  <c r="L104" i="31"/>
  <c r="L108" i="31"/>
  <c r="I89" i="15"/>
  <c r="G43" i="15"/>
  <c r="G42" i="15" s="1"/>
  <c r="G6" i="15" s="1"/>
  <c r="G89" i="15"/>
  <c r="G93" i="15" s="1"/>
  <c r="J45" i="15"/>
  <c r="K45" i="15" s="1"/>
  <c r="I43" i="15"/>
  <c r="I42" i="15" s="1"/>
  <c r="I6" i="15" s="1"/>
  <c r="J89" i="15" l="1"/>
  <c r="K104" i="31"/>
  <c r="K108" i="31"/>
  <c r="J42" i="15"/>
  <c r="K42" i="15" s="1"/>
  <c r="J6" i="15"/>
  <c r="K6" i="15" s="1"/>
  <c r="J43" i="15"/>
  <c r="K43" i="15" s="1"/>
  <c r="C24" i="30" l="1"/>
  <c r="F24" i="30" l="1"/>
  <c r="D24" i="30"/>
  <c r="K25" i="23"/>
  <c r="L25" i="23" l="1"/>
  <c r="K92" i="23"/>
  <c r="I77" i="15"/>
  <c r="I76" i="15" s="1"/>
  <c r="I91" i="15"/>
  <c r="L92" i="23" l="1"/>
  <c r="G63" i="15"/>
  <c r="I63" i="15" l="1"/>
  <c r="G62" i="15"/>
  <c r="G87" i="15"/>
  <c r="G92" i="15" l="1"/>
  <c r="G46" i="15"/>
  <c r="I62" i="15"/>
  <c r="I87" i="15"/>
  <c r="L29" i="23"/>
  <c r="J63" i="15"/>
  <c r="K63" i="15" s="1"/>
  <c r="K29" i="23" l="1"/>
  <c r="L30" i="23"/>
  <c r="L94" i="23"/>
  <c r="I92" i="15"/>
  <c r="J87" i="15"/>
  <c r="I46" i="15"/>
  <c r="I78" i="15" s="1"/>
  <c r="J62" i="15"/>
  <c r="K62" i="15" s="1"/>
  <c r="J46" i="15"/>
  <c r="G78" i="15"/>
  <c r="U137" i="14" s="1"/>
  <c r="K46" i="15" l="1"/>
  <c r="K78" i="15" s="1"/>
  <c r="H77" i="15" s="1"/>
  <c r="C25" i="30"/>
  <c r="C16" i="30"/>
  <c r="L90" i="23"/>
  <c r="K30" i="23"/>
  <c r="K90" i="23" s="1"/>
  <c r="K94" i="23"/>
  <c r="D16" i="30" l="1"/>
  <c r="F25" i="30"/>
  <c r="D25" i="30"/>
  <c r="K50" i="25"/>
  <c r="K52" i="25" s="1"/>
  <c r="C19" i="30" s="1"/>
  <c r="H91" i="15"/>
  <c r="H76" i="15"/>
  <c r="J77" i="15"/>
  <c r="K77" i="15" s="1"/>
  <c r="J76" i="15" l="1"/>
  <c r="H78" i="15"/>
  <c r="J78" i="15" s="1"/>
  <c r="H92" i="15"/>
  <c r="J91" i="15"/>
  <c r="J92" i="15" s="1"/>
  <c r="D19" i="30"/>
  <c r="C20" i="30"/>
  <c r="C21" i="30" s="1"/>
  <c r="D20" i="30"/>
  <c r="K76" i="15" l="1"/>
  <c r="C27" i="30"/>
  <c r="D27" i="30" l="1"/>
  <c r="D30" i="30" s="1"/>
  <c r="D34" i="30" s="1"/>
  <c r="F27" i="30"/>
  <c r="C30" i="30"/>
  <c r="C34"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C19" authorId="0" shapeId="0" xr:uid="{00000000-0006-0000-0200-000001000000}">
      <text>
        <r>
          <rPr>
            <b/>
            <sz val="9"/>
            <color indexed="81"/>
            <rFont val="Tahoma"/>
            <family val="2"/>
          </rPr>
          <t>Gabriela Acharan:</t>
        </r>
        <r>
          <rPr>
            <sz val="9"/>
            <color indexed="81"/>
            <rFont val="Tahoma"/>
            <family val="2"/>
          </rPr>
          <t xml:space="preserve">
Mercado CHEC</t>
        </r>
      </text>
    </comment>
    <comment ref="C23" authorId="0" shapeId="0" xr:uid="{00000000-0006-0000-0200-000002000000}">
      <text>
        <r>
          <rPr>
            <b/>
            <sz val="9"/>
            <color indexed="81"/>
            <rFont val="Tahoma"/>
            <family val="2"/>
          </rPr>
          <t>Gabriela Acharan:</t>
        </r>
        <r>
          <rPr>
            <sz val="9"/>
            <color indexed="81"/>
            <rFont val="Tahoma"/>
            <family val="2"/>
          </rPr>
          <t xml:space="preserve">
MICBR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I50" authorId="0" shapeId="0" xr:uid="{00000000-0006-0000-0300-000001000000}">
      <text>
        <r>
          <rPr>
            <b/>
            <sz val="9"/>
            <color indexed="81"/>
            <rFont val="Tahoma"/>
            <family val="2"/>
          </rPr>
          <t>Gabriela Acharan:</t>
        </r>
        <r>
          <rPr>
            <sz val="9"/>
            <color indexed="81"/>
            <rFont val="Tahoma"/>
            <family val="2"/>
          </rPr>
          <t xml:space="preserve">
se descuenta recursos no transferidos en 2018 por no ejecucuión de cursos. Quedan en  imprevistos 2020</t>
        </r>
      </text>
    </comment>
    <comment ref="H77" authorId="0" shapeId="0" xr:uid="{00000000-0006-0000-0300-000002000000}">
      <text>
        <r>
          <rPr>
            <b/>
            <sz val="12"/>
            <color indexed="81"/>
            <rFont val="Tahoma"/>
            <family val="2"/>
          </rPr>
          <t>Gabriela Acharan:</t>
        </r>
        <r>
          <rPr>
            <sz val="12"/>
            <color indexed="81"/>
            <rFont val="Tahoma"/>
            <family val="2"/>
          </rPr>
          <t xml:space="preserve">
corresponde a lo no transferido en SENCE 2018 al TC del BID 603.39 y a los recursos no utilizados CORFO por rechazo reasignación 2018.
En caso de que CORFO no pueda devolver los recursos al Programa antes del 31 de diciembre 2018, se deben rebajar de imprevistos porque los recursos se devolverían al Tesoro y no se podrían ejecutar en el programa.</t>
        </r>
      </text>
    </comment>
    <comment ref="K78" authorId="0" shapeId="0" xr:uid="{00000000-0006-0000-0300-000003000000}">
      <text>
        <r>
          <rPr>
            <b/>
            <sz val="12"/>
            <color indexed="81"/>
            <rFont val="Tahoma"/>
            <family val="2"/>
          </rPr>
          <t>Gabriela Acharan:</t>
        </r>
        <r>
          <rPr>
            <sz val="12"/>
            <color indexed="81"/>
            <rFont val="Tahoma"/>
            <family val="2"/>
          </rPr>
          <t xml:space="preserve">
Diferencia que queda por:
1. replanificación de CORFO por el rechazo de dipres a la solicitud de reasignación del subtítulo en el año presupuestario 2018.
2. por la no transferencia segunda cuota a sence 2018.
3. Ajustes TC según el valor que se ocupó en la planificación de actividades.</t>
        </r>
      </text>
    </comment>
    <comment ref="F99" authorId="0" shapeId="0" xr:uid="{00000000-0006-0000-0300-000004000000}">
      <text>
        <r>
          <rPr>
            <b/>
            <sz val="9"/>
            <color indexed="81"/>
            <rFont val="Tahoma"/>
            <family val="2"/>
          </rPr>
          <t>Gabriela Acharan:</t>
        </r>
        <r>
          <rPr>
            <sz val="9"/>
            <color indexed="81"/>
            <rFont val="Tahoma"/>
            <family val="2"/>
          </rPr>
          <t xml:space="preserve">
a dónde lo descontamos?</t>
        </r>
      </text>
    </comment>
    <comment ref="G99" authorId="0" shapeId="0" xr:uid="{00000000-0006-0000-0300-000005000000}">
      <text>
        <r>
          <rPr>
            <b/>
            <sz val="9"/>
            <color indexed="81"/>
            <rFont val="Tahoma"/>
            <family val="2"/>
          </rPr>
          <t>Gabriela Acharan:</t>
        </r>
        <r>
          <rPr>
            <sz val="9"/>
            <color indexed="81"/>
            <rFont val="Tahoma"/>
            <family val="2"/>
          </rPr>
          <t xml:space="preserve">
a dónde lo descontamos?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B71" authorId="0" shapeId="0" xr:uid="{00000000-0006-0000-0400-000001000000}">
      <text>
        <r>
          <rPr>
            <b/>
            <sz val="9"/>
            <color indexed="81"/>
            <rFont val="Tahoma"/>
            <family val="2"/>
          </rPr>
          <t>Gabriela Acharan:</t>
        </r>
        <r>
          <rPr>
            <sz val="9"/>
            <color indexed="81"/>
            <rFont val="Tahoma"/>
            <family val="2"/>
          </rPr>
          <t xml:space="preserve">
</t>
        </r>
        <r>
          <rPr>
            <sz val="14"/>
            <color indexed="81"/>
            <rFont val="Tahoma"/>
            <family val="2"/>
          </rPr>
          <t>Ver si cambia el PEP</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K20" authorId="0" shapeId="0" xr:uid="{00000000-0006-0000-0500-000001000000}">
      <text>
        <r>
          <rPr>
            <b/>
            <sz val="9"/>
            <color indexed="81"/>
            <rFont val="Tahoma"/>
            <family val="2"/>
          </rPr>
          <t>Gabriela Acharan:</t>
        </r>
        <r>
          <rPr>
            <sz val="9"/>
            <color indexed="81"/>
            <rFont val="Tahoma"/>
            <family val="2"/>
          </rPr>
          <t xml:space="preserve">
por confirmar rendiciones noviembre y diciembre</t>
        </r>
      </text>
    </comment>
    <comment ref="K51" authorId="0" shapeId="0" xr:uid="{00000000-0006-0000-0500-000002000000}">
      <text>
        <r>
          <rPr>
            <b/>
            <sz val="9"/>
            <color indexed="81"/>
            <rFont val="Tahoma"/>
            <family val="2"/>
          </rPr>
          <t>Gabriela Acharan:calculado en base a que son 2, no se considera costos fijos en la estimación</t>
        </r>
      </text>
    </comment>
    <comment ref="K56" authorId="0" shapeId="0" xr:uid="{00000000-0006-0000-0500-000003000000}">
      <text>
        <r>
          <rPr>
            <b/>
            <sz val="9"/>
            <color indexed="81"/>
            <rFont val="Tahoma"/>
            <family val="2"/>
          </rPr>
          <t>Gabriela Acharan:</t>
        </r>
        <r>
          <rPr>
            <sz val="9"/>
            <color indexed="81"/>
            <rFont val="Tahoma"/>
            <family val="2"/>
          </rPr>
          <t xml:space="preserve">
por confirmar rendiciones noviembre y diciembre</t>
        </r>
      </text>
    </comment>
    <comment ref="B67" authorId="0" shapeId="0" xr:uid="{00000000-0006-0000-0500-000004000000}">
      <text>
        <r>
          <rPr>
            <b/>
            <sz val="9"/>
            <color indexed="81"/>
            <rFont val="Tahoma"/>
            <family val="2"/>
          </rPr>
          <t>Gabriela Acharan:</t>
        </r>
        <r>
          <rPr>
            <sz val="9"/>
            <color indexed="81"/>
            <rFont val="Tahoma"/>
            <family val="2"/>
          </rPr>
          <t xml:space="preserve">
</t>
        </r>
        <r>
          <rPr>
            <sz val="14"/>
            <color indexed="81"/>
            <rFont val="Tahoma"/>
            <family val="2"/>
          </rPr>
          <t>Ver si cambia el PEP</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B29" authorId="0" shapeId="0" xr:uid="{00000000-0006-0000-0600-000001000000}">
      <text>
        <r>
          <rPr>
            <b/>
            <sz val="9"/>
            <color indexed="81"/>
            <rFont val="Tahoma"/>
            <family val="2"/>
          </rPr>
          <t>Gabriela Acharan:</t>
        </r>
        <r>
          <rPr>
            <sz val="9"/>
            <color indexed="81"/>
            <rFont val="Tahoma"/>
            <family val="2"/>
          </rPr>
          <t xml:space="preserve">
</t>
        </r>
        <r>
          <rPr>
            <sz val="14"/>
            <color indexed="81"/>
            <rFont val="Tahoma"/>
            <family val="2"/>
          </rPr>
          <t>Ver si cambia el PEP</t>
        </r>
      </text>
    </comment>
    <comment ref="M122" authorId="0" shapeId="0" xr:uid="{00000000-0006-0000-0600-000002000000}">
      <text>
        <r>
          <rPr>
            <b/>
            <sz val="9"/>
            <color indexed="81"/>
            <rFont val="Tahoma"/>
            <family val="2"/>
          </rPr>
          <t>Gabriela Acharan:</t>
        </r>
        <r>
          <rPr>
            <sz val="9"/>
            <color indexed="81"/>
            <rFont val="Tahoma"/>
            <family val="2"/>
          </rPr>
          <t xml:space="preserve">
confirmar detalle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B37" authorId="0" shapeId="0" xr:uid="{00000000-0006-0000-0700-000001000000}">
      <text>
        <r>
          <rPr>
            <b/>
            <sz val="9"/>
            <color indexed="81"/>
            <rFont val="Tahoma"/>
            <family val="2"/>
          </rPr>
          <t>Gabriela Acharan:</t>
        </r>
        <r>
          <rPr>
            <sz val="9"/>
            <color indexed="81"/>
            <rFont val="Tahoma"/>
            <family val="2"/>
          </rPr>
          <t xml:space="preserve">
</t>
        </r>
        <r>
          <rPr>
            <sz val="14"/>
            <color indexed="81"/>
            <rFont val="Tahoma"/>
            <family val="2"/>
          </rPr>
          <t>Ver si cambia el PEP</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B41" authorId="0" shapeId="0" xr:uid="{00000000-0006-0000-0800-000001000000}">
      <text>
        <r>
          <rPr>
            <b/>
            <sz val="9"/>
            <color indexed="81"/>
            <rFont val="Tahoma"/>
            <family val="2"/>
          </rPr>
          <t>Gabriela Acharan:</t>
        </r>
        <r>
          <rPr>
            <sz val="9"/>
            <color indexed="81"/>
            <rFont val="Tahoma"/>
            <family val="2"/>
          </rPr>
          <t xml:space="preserve">
</t>
        </r>
        <r>
          <rPr>
            <sz val="14"/>
            <color indexed="81"/>
            <rFont val="Tahoma"/>
            <family val="2"/>
          </rPr>
          <t>Ver si cambia el PEP</t>
        </r>
      </text>
    </comment>
    <comment ref="A53" authorId="0" shapeId="0" xr:uid="{00000000-0006-0000-0800-000002000000}">
      <text>
        <r>
          <rPr>
            <b/>
            <sz val="9"/>
            <color indexed="81"/>
            <rFont val="Tahoma"/>
            <family val="2"/>
          </rPr>
          <t>Gabriela Acharan:</t>
        </r>
        <r>
          <rPr>
            <sz val="9"/>
            <color indexed="81"/>
            <rFont val="Tahoma"/>
            <family val="2"/>
          </rPr>
          <t xml:space="preserve">
SEPARAR POR TIPO DE COMPRA SEGÚN NUEVA PROPUESTA DE CULTURA</t>
        </r>
      </text>
    </comment>
    <comment ref="F53" authorId="0" shapeId="0" xr:uid="{00000000-0006-0000-0800-000003000000}">
      <text>
        <r>
          <rPr>
            <b/>
            <sz val="9"/>
            <color indexed="81"/>
            <rFont val="Tahoma"/>
            <family val="2"/>
          </rPr>
          <t>Gabriela Acharan:definir tipo de adquisiciones de las tres líneas en amarillo</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Gabriela Acharan</author>
  </authors>
  <commentList>
    <comment ref="B31" authorId="0" shapeId="0" xr:uid="{00000000-0006-0000-0900-000001000000}">
      <text>
        <r>
          <rPr>
            <b/>
            <sz val="9"/>
            <color indexed="81"/>
            <rFont val="Tahoma"/>
            <family val="2"/>
          </rPr>
          <t>Gabriela Acharan:</t>
        </r>
        <r>
          <rPr>
            <sz val="9"/>
            <color indexed="81"/>
            <rFont val="Tahoma"/>
            <family val="2"/>
          </rPr>
          <t xml:space="preserve">
</t>
        </r>
        <r>
          <rPr>
            <sz val="14"/>
            <color indexed="81"/>
            <rFont val="Tahoma"/>
            <family val="2"/>
          </rPr>
          <t>Ver si cambia el PEP</t>
        </r>
      </text>
    </comment>
  </commentList>
</comments>
</file>

<file path=xl/sharedStrings.xml><?xml version="1.0" encoding="utf-8"?>
<sst xmlns="http://schemas.openxmlformats.org/spreadsheetml/2006/main" count="4827" uniqueCount="953">
  <si>
    <t>Chile</t>
  </si>
  <si>
    <t>Programa de Apoyo a las Exportaciones de Servicios Globales de Chile</t>
  </si>
  <si>
    <t>(CH-L1138)</t>
  </si>
  <si>
    <t>Nombre Organismo Prestatario</t>
  </si>
  <si>
    <t>Nombre Organismo Sub-Ejecutor (si aplica)</t>
  </si>
  <si>
    <t>Iniciales Organismo Sub-ejecutor</t>
  </si>
  <si>
    <t>Ministerio de Hacienda</t>
  </si>
  <si>
    <t>Dirección de Promoción de Exportaciones</t>
  </si>
  <si>
    <t>Prochile</t>
  </si>
  <si>
    <t xml:space="preserve">Agencia de Promoción de la Inversión Extranjera </t>
  </si>
  <si>
    <t>Inveschile</t>
  </si>
  <si>
    <t xml:space="preserve">Corporación de Fomento de la Producción </t>
  </si>
  <si>
    <t>Corfo</t>
  </si>
  <si>
    <t xml:space="preserve">Servicio Nacional de Capacitación y Empleo de Chile </t>
  </si>
  <si>
    <t>Sence</t>
  </si>
  <si>
    <t>Consejo Nacional de Cultura y las Artes</t>
  </si>
  <si>
    <t>CNCA</t>
  </si>
  <si>
    <t xml:space="preserve"> </t>
  </si>
  <si>
    <t>COMPONENTES? (SI / NO)</t>
  </si>
  <si>
    <t>Nombre de los componentes (listar por numero o letra)</t>
  </si>
  <si>
    <t>SI</t>
  </si>
  <si>
    <r>
      <rPr>
        <b/>
        <sz val="11"/>
        <rFont val="Calibri"/>
        <family val="2"/>
        <scheme val="minor"/>
      </rPr>
      <t>Componente 1:</t>
    </r>
    <r>
      <rPr>
        <sz val="11"/>
        <rFont val="Calibri"/>
        <family val="2"/>
        <scheme val="minor"/>
      </rPr>
      <t xml:space="preserve"> Generación de capacidades empresariales y atracción de inversiones de Servicios Globales</t>
    </r>
  </si>
  <si>
    <r>
      <rPr>
        <b/>
        <sz val="11"/>
        <rFont val="Calibri"/>
        <family val="2"/>
        <scheme val="minor"/>
      </rPr>
      <t>Componente 2:</t>
    </r>
    <r>
      <rPr>
        <sz val="11"/>
        <rFont val="Calibri"/>
        <family val="2"/>
        <scheme val="minor"/>
      </rPr>
      <t xml:space="preserve"> Mejorar la calidad y pertinencia del talento humano para el sector de Servicios Globales</t>
    </r>
  </si>
  <si>
    <r>
      <rPr>
        <b/>
        <sz val="11"/>
        <rFont val="Calibri"/>
        <family val="2"/>
        <scheme val="minor"/>
      </rPr>
      <t xml:space="preserve">Componente 3: </t>
    </r>
    <r>
      <rPr>
        <sz val="11"/>
        <rFont val="Calibri"/>
        <family val="2"/>
        <scheme val="minor"/>
      </rPr>
      <t>Ecosistema y Coordinación Interinstitucional</t>
    </r>
  </si>
  <si>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</si>
  <si>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</si>
  <si>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</si>
  <si>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</si>
  <si>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</si>
  <si>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</si>
  <si>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</si>
  <si>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Versión 1 ( 29-Oct - 2014) :</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</si>
  <si>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</si>
  <si>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</si>
  <si>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</si>
  <si>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</si>
  <si>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</si>
  <si>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</si>
  <si>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</si>
  <si>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</si>
  <si>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</si>
  <si>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</si>
  <si>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Transferencias  y Becas</t>
  </si>
  <si>
    <t>Subproyectos Comunitarios</t>
  </si>
  <si>
    <t xml:space="preserve">No asignados </t>
  </si>
  <si>
    <t>Total</t>
  </si>
  <si>
    <t>4. Componentes</t>
  </si>
  <si>
    <t>Componente de Inversión</t>
  </si>
  <si>
    <t>Original</t>
  </si>
  <si>
    <t>diferencia</t>
  </si>
  <si>
    <r>
      <rPr>
        <b/>
        <sz val="12"/>
        <rFont val="Calibri"/>
        <family val="2"/>
        <scheme val="minor"/>
      </rPr>
      <t>Componente 1:</t>
    </r>
    <r>
      <rPr>
        <sz val="12"/>
        <rFont val="Calibri"/>
        <family val="2"/>
        <scheme val="minor"/>
      </rPr>
      <t xml:space="preserve"> Generación de capacidades empresariales y atracción de inversiones de Servicios Globales</t>
    </r>
  </si>
  <si>
    <r>
      <rPr>
        <b/>
        <sz val="12"/>
        <rFont val="Calibri"/>
        <family val="2"/>
        <scheme val="minor"/>
      </rPr>
      <t>Componente 2:</t>
    </r>
    <r>
      <rPr>
        <sz val="12"/>
        <rFont val="Calibri"/>
        <family val="2"/>
        <scheme val="minor"/>
      </rPr>
      <t xml:space="preserve"> Mejorar la calidad y pertinencia del talento humano para el sector de Servicios Globales</t>
    </r>
  </si>
  <si>
    <r>
      <rPr>
        <b/>
        <sz val="12"/>
        <rFont val="Calibri"/>
        <family val="2"/>
        <scheme val="minor"/>
      </rPr>
      <t xml:space="preserve">Componente 3: </t>
    </r>
    <r>
      <rPr>
        <sz val="12"/>
        <rFont val="Calibri"/>
        <family val="2"/>
        <scheme val="minor"/>
      </rPr>
      <t>Ecosistema y Coordinación Interinstitucional</t>
    </r>
  </si>
  <si>
    <t>Imprevistos</t>
  </si>
  <si>
    <t>Total Prestamo</t>
  </si>
  <si>
    <t>PROGRAMA DE APOYO A LAS EXPORTACIONES DE SERVICIOS GLOBALES DE CHILE (CH-L1138)</t>
  </si>
  <si>
    <t>PLAN DE OPERACIÓN ANUAL</t>
  </si>
  <si>
    <t>15/06/2018</t>
  </si>
  <si>
    <t>BID</t>
  </si>
  <si>
    <t>Aporte BID</t>
  </si>
  <si>
    <t>Nº</t>
  </si>
  <si>
    <t>Descripción</t>
  </si>
  <si>
    <t>Global</t>
  </si>
  <si>
    <t>Año 1: 2018</t>
  </si>
  <si>
    <t>Año 1: 2019</t>
  </si>
  <si>
    <t>1</t>
  </si>
  <si>
    <t>Componente 1: Generación de capacidades empresariales y atracción de inversiones de Servicios Globales</t>
  </si>
  <si>
    <t>2018</t>
  </si>
  <si>
    <t>2019</t>
  </si>
  <si>
    <t>1.1</t>
  </si>
  <si>
    <t>Producto 1: Promoción Internacional</t>
  </si>
  <si>
    <t>A
(Aprobador)</t>
  </si>
  <si>
    <t>C
(Consultado)</t>
  </si>
  <si>
    <t>I
(Informado)</t>
  </si>
  <si>
    <t>mar/18</t>
  </si>
  <si>
    <t>abr/18</t>
  </si>
  <si>
    <t>may/18</t>
  </si>
  <si>
    <t>Jun/18</t>
  </si>
  <si>
    <t>Jul/18</t>
  </si>
  <si>
    <t>Ago/18</t>
  </si>
  <si>
    <t>Sep/18</t>
  </si>
  <si>
    <t>Oct/18</t>
  </si>
  <si>
    <t>Nov/18</t>
  </si>
  <si>
    <t>Dic/18</t>
  </si>
  <si>
    <t>Ene/19</t>
  </si>
  <si>
    <t>Feb/19</t>
  </si>
  <si>
    <t>mar/19</t>
  </si>
  <si>
    <t>1.1.1.</t>
  </si>
  <si>
    <t>Actividades de Promoción de Inversiones Externas en Chile</t>
  </si>
  <si>
    <t>investchile</t>
  </si>
  <si>
    <t xml:space="preserve"> Operación de las representaciones en el exterior. Esto se realizará a través de un convenio con Direcon/ Prochile </t>
  </si>
  <si>
    <t>Jefe de División de Promoción de Inversiones (Ian Frederick)</t>
  </si>
  <si>
    <t>Director InvestChile</t>
  </si>
  <si>
    <t>Direcon</t>
  </si>
  <si>
    <t>Realización de acciones de marketing y de promoción de inversiones en Chile y en el extranjero (principales eventos sectoriales, giras presidenciales, etc) en el sector de servicios globales</t>
  </si>
  <si>
    <t>1.1.1.2.1</t>
  </si>
  <si>
    <t>Pasajes y traslados internacionales a actividades de promoción</t>
  </si>
  <si>
    <t>Director InvestChile / Minisro de Economía</t>
  </si>
  <si>
    <t>Direcon / ProChile / Fundación Imagen</t>
  </si>
  <si>
    <t>1.1.1.2.2</t>
  </si>
  <si>
    <t>Producción Actividades de Promoción en Chile y el Extranjero</t>
  </si>
  <si>
    <t>Jefe de División de Comunicaciones y Marketing (Sebastián Villela)</t>
  </si>
  <si>
    <t>Jefe de Promoción</t>
  </si>
  <si>
    <t>1.1.1.2.3</t>
  </si>
  <si>
    <t>Campañas de marketing digital</t>
  </si>
  <si>
    <t>Encargada de Marketing de División de Comunicaciones y Marketing (Fabiola Samhan)</t>
  </si>
  <si>
    <t>Jefe de División de Comunicación y Marketing / Director de InvestChile</t>
  </si>
  <si>
    <t>Fundación Imagen / ProChile</t>
  </si>
  <si>
    <t>1.1.1.2.4</t>
  </si>
  <si>
    <t>Producción Foro Internacional de Inversiones</t>
  </si>
  <si>
    <t>1.1.2.</t>
  </si>
  <si>
    <t>Actividades de Promoción Empresarial</t>
  </si>
  <si>
    <t>prochile</t>
  </si>
  <si>
    <t>Fondo concursable Sector Servicios</t>
  </si>
  <si>
    <t>Secretario Ejecutivo ProChile (Marcelo Sobarzo)</t>
  </si>
  <si>
    <t>Jefe de Concurso (Edith Luna)</t>
  </si>
  <si>
    <t>Director de ProChile</t>
  </si>
  <si>
    <t>Ruedas de Negocios en Chile y en el exterior</t>
  </si>
  <si>
    <t>Oficinas comerciales / Oficinas regionales</t>
  </si>
  <si>
    <t>MINCAP</t>
  </si>
  <si>
    <t>Mercado Creativo en Chile y en el extranjero</t>
  </si>
  <si>
    <t>1.1.2.3.1.1</t>
  </si>
  <si>
    <t>Convenio de Colaboración con Cámara de Comercio Santiago firmado</t>
  </si>
  <si>
    <t>Secretaría Ejecutiva de Economía Creativa (Sofía Lobos)</t>
  </si>
  <si>
    <t>Subsecretario de Cultura y las Artes (Juan Carlos Silva)</t>
  </si>
  <si>
    <t>Jefatura de Departamento Jurídico (Carmen Paz Alvarado)</t>
  </si>
  <si>
    <t>1.1.2.3.1.2</t>
  </si>
  <si>
    <t>Servicios de producción contratados</t>
  </si>
  <si>
    <t>Jefe de Departamento de Fomento</t>
  </si>
  <si>
    <t>Departamento de Planificación y Presupuesto (Eduardo Oyarzun)</t>
  </si>
  <si>
    <t>Delegaciones invitadas</t>
  </si>
  <si>
    <t>1.1.2.3.1.3</t>
  </si>
  <si>
    <t>Contratación de contraparte técnico (Ministerio) realizada</t>
  </si>
  <si>
    <t>Secretaría Ejecutiva de Economía Creativa</t>
  </si>
  <si>
    <t>Jefe de Departamento de Fomento (Claudia Gutierrez)</t>
  </si>
  <si>
    <t>Departamento de Planificación y Presupuesto</t>
  </si>
  <si>
    <t>1.1.2.3.2.1</t>
  </si>
  <si>
    <t>1.1.2.3.2.2</t>
  </si>
  <si>
    <t>1.2.2.3.3</t>
  </si>
  <si>
    <t>Generación, desarrollo y fortalecimiento de competencias y redes de intermediadores</t>
  </si>
  <si>
    <t xml:space="preserve">Instancias de formación y asociatividad para intermediadores de carácter sectorial que fomenten la circulación, difusión y comercialización
</t>
  </si>
  <si>
    <t>X</t>
  </si>
  <si>
    <t>Diseño de estrategia piloto de formación y pasantías agentes intermediadores 2020-2022</t>
  </si>
  <si>
    <t>1.2.2.3.4</t>
  </si>
  <si>
    <t xml:space="preserve">Promoción de instancias de circulación, difusión y comercialización a nivel nacional e internacional </t>
  </si>
  <si>
    <t>Fortalecimiento de ecosistema regional</t>
  </si>
  <si>
    <t>Organización y coordinación de participación de delegaciones en encuentros intersectoriales de carácter nacional e internacional</t>
  </si>
  <si>
    <t>1.2.2.3.5</t>
  </si>
  <si>
    <t>Desarrollo y difusión  de estrategia de internacionalización</t>
  </si>
  <si>
    <t xml:space="preserve">Generación y análisis de información para el diseño de estrategia de internacionalización. </t>
  </si>
  <si>
    <t>Desarrollo de una plataforma interactiva para acceder a contenido formativo sobre intermediación</t>
  </si>
  <si>
    <t>Estrategia comunicacional de posicionamiento de talento creativo</t>
  </si>
  <si>
    <t>1.2</t>
  </si>
  <si>
    <t>Producto 2: Capacidades Empresariales</t>
  </si>
  <si>
    <t>1.2.1.</t>
  </si>
  <si>
    <t>Capacidades de exportación</t>
  </si>
  <si>
    <t>1.2.1.1.1</t>
  </si>
  <si>
    <t>Coaching de exportadores realizado</t>
  </si>
  <si>
    <t>1.2.1.1.1.1</t>
  </si>
  <si>
    <t>Convocatoria de empresas desarrollada</t>
  </si>
  <si>
    <t>Jefe de Generación de Capacidad Exportadora (Scarlett Hofmanm)</t>
  </si>
  <si>
    <t>1.2.1.1.1.2</t>
  </si>
  <si>
    <t>Selección de relatores realizada</t>
  </si>
  <si>
    <t>Subdirectora Nacional de ProChile (Marcela Aravena)</t>
  </si>
  <si>
    <t>1.2.1.1.1.3</t>
  </si>
  <si>
    <t>Funcionario Departamento de compras Direcon (Patricia Gillibrand)</t>
  </si>
  <si>
    <t>Jefe de SubDepartamento de Compras (Mauricio Gonzalez)</t>
  </si>
  <si>
    <t>1.2.1.1.1.4</t>
  </si>
  <si>
    <t>Evaluación de satisfacción realizada</t>
  </si>
  <si>
    <t>Funcionaria de Gestión Institucional (Cynthia Carrazco</t>
  </si>
  <si>
    <t>Subdirector de Desarrollo (Ricardo Bosnic)</t>
  </si>
  <si>
    <t>1.2.1.1.2</t>
  </si>
  <si>
    <t>Talleres de formación realizados</t>
  </si>
  <si>
    <t>1.2.1.1.2.1</t>
  </si>
  <si>
    <t>1.2.1.1.2.2</t>
  </si>
  <si>
    <t>Contenido de talleres finalizado</t>
  </si>
  <si>
    <t>1.2.1.1.2.3</t>
  </si>
  <si>
    <t>1.2.1.1.2.4</t>
  </si>
  <si>
    <t>1.2.1.1.2.5</t>
  </si>
  <si>
    <t>corfo</t>
  </si>
  <si>
    <t>1.3</t>
  </si>
  <si>
    <t>Producto 3: Sistemas de Articulación</t>
  </si>
  <si>
    <t>1.3.1.</t>
  </si>
  <si>
    <t>Capacidades institucionales</t>
  </si>
  <si>
    <t xml:space="preserve">Jefe de Inteligencias de Negocios </t>
  </si>
  <si>
    <t>1.3.1.2.1</t>
  </si>
  <si>
    <t>Modelo validado por actores claves y autoridades</t>
  </si>
  <si>
    <t>Jefe de División de Estrategia y Gestión Corporativa (Tania Sutin)</t>
  </si>
  <si>
    <t>Director InvestChile / Comité de Ministro para el Fomento y Promoción Comercial Extranjera / Subsecretario de Economía / Subsecretario de Desarrollo Regional</t>
  </si>
  <si>
    <t>Autoridades regionales</t>
  </si>
  <si>
    <t>2</t>
  </si>
  <si>
    <t>Componente 2: Mejorar la calidad y pertinencia del talento humano para el sector de Servicios Globales</t>
  </si>
  <si>
    <t>2.1</t>
  </si>
  <si>
    <t>Producto 1: Cursos de capacitación alineados con las necesidades del sector</t>
  </si>
  <si>
    <t>2.1.1</t>
  </si>
  <si>
    <t>Formación en áreas específicas demandadas por la industria de servicios globales</t>
  </si>
  <si>
    <t>2.1.1.1.1</t>
  </si>
  <si>
    <t>Identificación de ámbitos específicos de sectores en los que ya se han trabajado (contenido audiovisuales)</t>
  </si>
  <si>
    <t>2.1.1.1.2</t>
  </si>
  <si>
    <t xml:space="preserve">Programa diseñado </t>
  </si>
  <si>
    <t>2.1.1.1.3</t>
  </si>
  <si>
    <t>Proveedor del curso seleccionado y contratado</t>
  </si>
  <si>
    <t>2.1.1.1.4</t>
  </si>
  <si>
    <t>Participantes seleccionados</t>
  </si>
  <si>
    <t>2.1.1.1.5</t>
  </si>
  <si>
    <t>Curso implementados</t>
  </si>
  <si>
    <t>2.1.1.1.6</t>
  </si>
  <si>
    <t xml:space="preserve">Necesidades sectoriales específicas definidas (levantamiento) </t>
  </si>
  <si>
    <t>Miguel Soto</t>
  </si>
  <si>
    <t>Ministerio de Economia / SubComite de Capita Humano / SENCE</t>
  </si>
  <si>
    <t>2.1.1.1.7</t>
  </si>
  <si>
    <t>Propuestas cursos 2019</t>
  </si>
  <si>
    <t>2.1.1.1.8</t>
  </si>
  <si>
    <t>2.1.1.1.9</t>
  </si>
  <si>
    <t>2.1.1.1.10</t>
  </si>
  <si>
    <t>2.1.1.1.11</t>
  </si>
  <si>
    <t>Cursos implementados</t>
  </si>
  <si>
    <t>2.1.2</t>
  </si>
  <si>
    <t>Cursos de Capacitación relacionadas a las demandas del sector privado en el sector de servicios globales</t>
  </si>
  <si>
    <t>SENCE</t>
  </si>
  <si>
    <t>x</t>
  </si>
  <si>
    <t>2.1.2.1.1</t>
  </si>
  <si>
    <t>Bases de licitación del curso de programadores formuladas</t>
  </si>
  <si>
    <t>Encargada de Becas Laborales (Melisa Vicuna)</t>
  </si>
  <si>
    <t>Jefe del Departamento de Capacitación a Personas (Rodrigo Vasquez)</t>
  </si>
  <si>
    <t>2.1.2.1.2</t>
  </si>
  <si>
    <t>Selección y contratación del proveedor</t>
  </si>
  <si>
    <t>OTIC</t>
  </si>
  <si>
    <t>Departamento de Capacitacion a Personas</t>
  </si>
  <si>
    <t>2.1.2.1.3</t>
  </si>
  <si>
    <t>Curso de programadores implementados</t>
  </si>
  <si>
    <t xml:space="preserve">OTIC </t>
  </si>
  <si>
    <t>Encargada de Programa Capacitación en Oficios (Gaynor  Fuentealba) / Encargada de Liceos Técnicos Profesionales: Programa Más Capaz (Anita Melo)</t>
  </si>
  <si>
    <t xml:space="preserve">Encargado Línea de Continuidad de Estudios: Programa Más Capaz (Gastón Cerda) </t>
  </si>
  <si>
    <t>Cursos orientados a la formación en oficios y/o cierre de brechas</t>
  </si>
  <si>
    <t>2.1.3.1</t>
  </si>
  <si>
    <t>Campaña de difusión en redes y medios radiales</t>
  </si>
  <si>
    <t>2.1.3.1.1</t>
  </si>
  <si>
    <t xml:space="preserve">Diseño de productos área comunicación de SENCE </t>
  </si>
  <si>
    <t>Encargada de Comunicaciones (Marcela Doll)</t>
  </si>
  <si>
    <t>2.1.3.1.2</t>
  </si>
  <si>
    <t>Ejecución de la campaña de difusión en redes y medios</t>
  </si>
  <si>
    <t>2.1.3.2</t>
  </si>
  <si>
    <t>Plataforma de postulación</t>
  </si>
  <si>
    <t>2.1.3.2.1</t>
  </si>
  <si>
    <t>Implementación plataforma</t>
  </si>
  <si>
    <t>Encargada de Unidad Administrador SIC (Lucia Jerez)</t>
  </si>
  <si>
    <t>Jefe de la Unidad de Tecnologia de Informacion (Gonzalo Vera)</t>
  </si>
  <si>
    <t>2.1.3.2.2</t>
  </si>
  <si>
    <t>Desarrollo por la Unidad de Tecnología</t>
  </si>
  <si>
    <t>2.1.3.3</t>
  </si>
  <si>
    <t>2.1.3.3.1</t>
  </si>
  <si>
    <t>Diseño y Ejecución examen</t>
  </si>
  <si>
    <t>Encargado de la Unidad de Administracion (Felipe Allende)</t>
  </si>
  <si>
    <t>2.1.3.3.2</t>
  </si>
  <si>
    <t>Selección Participantes</t>
  </si>
  <si>
    <t>2.1.3.3.3</t>
  </si>
  <si>
    <t>Derivación usuarios a OTEC</t>
  </si>
  <si>
    <t>Direcciones regionales</t>
  </si>
  <si>
    <t>2.1.3.4</t>
  </si>
  <si>
    <t>Seguimiento de la ejecución (mesa de ayuda, supervisión académica, etc.)</t>
  </si>
  <si>
    <t>2.1.3.4.1</t>
  </si>
  <si>
    <t>Definición del mecanismo y método de contratación</t>
  </si>
  <si>
    <t>2.1.3.4.2</t>
  </si>
  <si>
    <t>Implementación del apoyo al seguimiento de la ejecución de los cursos</t>
  </si>
  <si>
    <t>2.1.3.5</t>
  </si>
  <si>
    <t>Vinculación con Empresas</t>
  </si>
  <si>
    <t>2.1.3.5.1</t>
  </si>
  <si>
    <t>Definición de mecanismos de ejecución y selección de ejecutor</t>
  </si>
  <si>
    <t>2.1.3.5.2</t>
  </si>
  <si>
    <t>Ejecución del Servicio</t>
  </si>
  <si>
    <t>InvestChile / Unidad Ejecutora del Ministerio de Hacienda / BID / SubComite de Capital Humano / CORFO / DUOC</t>
  </si>
  <si>
    <t>2.1.3.6</t>
  </si>
  <si>
    <t>Impresión Guía del Participante</t>
  </si>
  <si>
    <t>2.1.3.7</t>
  </si>
  <si>
    <t>Impresión Material Instruccional (Relatores)</t>
  </si>
  <si>
    <t>2.1.3.8</t>
  </si>
  <si>
    <t>Plataforma de Gestión de Usuarios (Empresas y Personas)</t>
  </si>
  <si>
    <t>2.1.3.9</t>
  </si>
  <si>
    <t>Diseño e implementación de campañas de atracción a población objetivo</t>
  </si>
  <si>
    <t>2.1.3.10</t>
  </si>
  <si>
    <t>Diseño e implementación de campaña de comunicaciones y construcción de marca</t>
  </si>
  <si>
    <t>2.2.1.1.1</t>
  </si>
  <si>
    <t>Validación alcance</t>
  </si>
  <si>
    <t>Jefe de la Unidad del Observatorio Laboral (SENCE) (Felipe Mcerotie)</t>
  </si>
  <si>
    <t>2.2.1.1.2</t>
  </si>
  <si>
    <t>TDR definido</t>
  </si>
  <si>
    <t>InvestChile / Unidad Ejecutora del Ministerio de Hacienda / BID / SubComite de Capital Humano / CORFO</t>
  </si>
  <si>
    <t>2.2.1.1.3</t>
  </si>
  <si>
    <t>Selección y contratación de los servicios de consultoría</t>
  </si>
  <si>
    <t>Jefe del Departamento de Administracion y Finanzas (Luis Pino)</t>
  </si>
  <si>
    <t>InvestChile</t>
  </si>
  <si>
    <t>2.2.1.1.4</t>
  </si>
  <si>
    <t>Ejecución del estudio</t>
  </si>
  <si>
    <t>2.2.1.1.4.1</t>
  </si>
  <si>
    <t>Pilotaje, marco muestral y capacitación encuestadores</t>
  </si>
  <si>
    <t>2.2.1.1.4.2</t>
  </si>
  <si>
    <t>Reporte capacitación encuestadores, reporte avance del levantamiento y base de datos preliminar</t>
  </si>
  <si>
    <t>2.2.1.1.4.3</t>
  </si>
  <si>
    <t xml:space="preserve">BBDD final, codificada y validada. Reporte final con análisis de datos. </t>
  </si>
  <si>
    <t>2.2.1.2.1</t>
  </si>
  <si>
    <t>2.2.1.2.2</t>
  </si>
  <si>
    <t>2.2.1.2.2.1</t>
  </si>
  <si>
    <t>Adecuación Plan Formativo</t>
  </si>
  <si>
    <t>2.2.1.2.2.2</t>
  </si>
  <si>
    <t>Guía del OTEC</t>
  </si>
  <si>
    <t>2.2.1.2.2.3</t>
  </si>
  <si>
    <t>Material Instruccional y de Asistencia Técnica</t>
  </si>
  <si>
    <t>Componente 3: Ecosistema y coordinación interinstitucional</t>
  </si>
  <si>
    <t>3.1</t>
  </si>
  <si>
    <t>Producto 1: Mejoramiento del Ecosistema</t>
  </si>
  <si>
    <t>3.1.1.1.1.1</t>
  </si>
  <si>
    <t>Encuesta de IED y Clima de Inversión</t>
  </si>
  <si>
    <t>3.1.1.1.1.2</t>
  </si>
  <si>
    <t>Encuesta de clima de inversión Clientes InvestChile</t>
  </si>
  <si>
    <t>MindHa</t>
  </si>
  <si>
    <t>TOTAL GENERAL</t>
  </si>
  <si>
    <t>PLAN DE EJECUCIÓN PLURIANUAL</t>
  </si>
  <si>
    <t>Aporte BID_Original</t>
  </si>
  <si>
    <t>Año: 2018</t>
  </si>
  <si>
    <t>Año 2: 2019</t>
  </si>
  <si>
    <t>Año 3: 2020</t>
  </si>
  <si>
    <t>Año 4: 2021 (1)</t>
  </si>
  <si>
    <t>TOTAL (1)</t>
  </si>
  <si>
    <t>Diferencia</t>
  </si>
  <si>
    <t>CRONOGRAMA</t>
  </si>
  <si>
    <t>ID producto</t>
  </si>
  <si>
    <t>SubEjecutor</t>
  </si>
  <si>
    <t>Año 1</t>
  </si>
  <si>
    <t>Año 2</t>
  </si>
  <si>
    <t>Año 3</t>
  </si>
  <si>
    <t>Año 4</t>
  </si>
  <si>
    <t>T1</t>
  </si>
  <si>
    <t>T2</t>
  </si>
  <si>
    <t>T3</t>
  </si>
  <si>
    <t>T4</t>
  </si>
  <si>
    <t>1,1 - 1,3</t>
  </si>
  <si>
    <t>1.1.1.1</t>
  </si>
  <si>
    <t>Representaciones en el exterior</t>
  </si>
  <si>
    <t>1.1.1.2</t>
  </si>
  <si>
    <t>Acciones estratégicas de promoción y marketing en Servicios Globales</t>
  </si>
  <si>
    <t>1.1.2.1.</t>
  </si>
  <si>
    <t>1.1.2.2.</t>
  </si>
  <si>
    <t>Ruedas de Negocios en chile y en el exterior</t>
  </si>
  <si>
    <t>cnca</t>
  </si>
  <si>
    <t>1.2.2.3</t>
  </si>
  <si>
    <t>1, 10</t>
  </si>
  <si>
    <t>1.2.2.3.1</t>
  </si>
  <si>
    <t xml:space="preserve">Encuentros del mercado nacional de industrias creativas </t>
  </si>
  <si>
    <t>1.2.2.3.2</t>
  </si>
  <si>
    <t>Participación de delegaciones nacionales en mercados internacionales de economía creativas</t>
  </si>
  <si>
    <t>Organización de instancia de mercado a nivel latinoamericano de Economía Creativa a realizarse en Chile</t>
  </si>
  <si>
    <t>1.2.1.1.</t>
  </si>
  <si>
    <t>Programa de Formación Exportadora (coaching exportador y talleres de mercado y de temáticas especifícas)</t>
  </si>
  <si>
    <t>1.2.1.2.</t>
  </si>
  <si>
    <t>FOCAL, Programa de fomento a la calidad (apoyo a empresas para la implementación de sistemas de gestión de calidad)</t>
  </si>
  <si>
    <t>1.2.1.3.</t>
  </si>
  <si>
    <t>NODO parar la competitividad (apoyo a un grupos de empresas pyme parar la generación de capacidades y conocimientos útiles para acceder a mercados de exportación)</t>
  </si>
  <si>
    <t>1.2.1.4.</t>
  </si>
  <si>
    <t>PROFO, Programa Asociativos de Fomento (apoyo a un grupo de al menos 3 empresas para que materialicen un negocio o aprovechen una oportunidad de mercado de forma asociativa)</t>
  </si>
  <si>
    <t>1.2.1.5.</t>
  </si>
  <si>
    <t>Programa de Fomento al Cine y la Industria Audiovisual (apoyo a productoras o distribuidoras audiovisuales en el proceso de comercialización y distribución de producciones audiovisuales Chilenas o co-producciones chilenas)</t>
  </si>
  <si>
    <t>1.2.1.6.</t>
  </si>
  <si>
    <t>IFI Atracción de inversiones; Componente Desarrollo de Proveedores</t>
  </si>
  <si>
    <t>1.3.1.1.</t>
  </si>
  <si>
    <t>Sistema de capacidades para la inteligencia de negocios en atracción de inversiones</t>
  </si>
  <si>
    <t>1.3.1.2</t>
  </si>
  <si>
    <t>Operación y ampliación del modelo de operación regional</t>
  </si>
  <si>
    <t>2.1.1.1</t>
  </si>
  <si>
    <t>Programa de Formación para la Competitividad</t>
  </si>
  <si>
    <t>sence</t>
  </si>
  <si>
    <t>2.1.2.</t>
  </si>
  <si>
    <t>2.1.2.1</t>
  </si>
  <si>
    <t>Curso de programadores 2018 realizado extra presupuestario</t>
  </si>
  <si>
    <t>2.1.2.2</t>
  </si>
  <si>
    <t>Cursos de Formación o Capacitación en Oficios</t>
  </si>
  <si>
    <t>2.1.2.3</t>
  </si>
  <si>
    <t>Formación Laboral con Continuidad de Estudios en Educación Técnica Profesional en Centros de Formación Técnica o Institutos Profesionales</t>
  </si>
  <si>
    <t>2.1.2.4</t>
  </si>
  <si>
    <t>2.1.2.5</t>
  </si>
  <si>
    <t>2.1.3.</t>
  </si>
  <si>
    <t xml:space="preserve">Programa de Articulación de Oferta y Atracción de Demanda para el desarrollo de talento humano para el sector de servicios globales. </t>
  </si>
  <si>
    <t xml:space="preserve">Campaña de difusión en redes y medios </t>
  </si>
  <si>
    <t>Seminario de capital humano para exportación de servicios</t>
  </si>
  <si>
    <t>2.2</t>
  </si>
  <si>
    <t>Producto 2: Mecanismos de aseguramiento de calidad y pertinencia</t>
  </si>
  <si>
    <t>2.2.1.</t>
  </si>
  <si>
    <t>Estudios estratégicos para asegurar la calidad y pertinencia de los cursos de capacitación</t>
  </si>
  <si>
    <t>2.2.1.1</t>
  </si>
  <si>
    <t>Estudio de identificación de demanda y necesidades de capacitación en el sector de servicios globales</t>
  </si>
  <si>
    <t>2.2.1.2</t>
  </si>
  <si>
    <t>Definición de paquete de entrenamiento evaluables y certificables en competencias priorizadas por la industria.</t>
  </si>
  <si>
    <t>2.2.1.3</t>
  </si>
  <si>
    <t>Estudios de Levantamiento de Demanda</t>
  </si>
  <si>
    <t>2.2.1.4</t>
  </si>
  <si>
    <t xml:space="preserve">Diseño de Paquetes Formativos (Perfiles +  Planes Formativos + Pruebas de Salida) </t>
  </si>
  <si>
    <t xml:space="preserve">Producto 1: Mejoramiento del Ecosistema </t>
  </si>
  <si>
    <t>3.1.1.</t>
  </si>
  <si>
    <t>Estudios y Evaluaciones</t>
  </si>
  <si>
    <t>3.1.1.1</t>
  </si>
  <si>
    <t xml:space="preserve">Estudios y Evaluaciones: Diseño de estudios y metodología para evaluación de resultados y de impacto de InvestChile y su implementación. </t>
  </si>
  <si>
    <t>3.1.1.1.1</t>
  </si>
  <si>
    <t>Realización y/o actualización de estudios que permitan describir elementos necesarios para determinar y/o actualizar la estrategia sectorial de promoción de inversiones en servicios globales (Oferta de valor actualizada para la estrategia)</t>
  </si>
  <si>
    <t>3.1.1.1.2.</t>
  </si>
  <si>
    <t>Desarrollo e implementacion de mencanismos de seguimiento y evaluacion en atracción de inversiones (modelo de evaluación diseñado) .</t>
  </si>
  <si>
    <t>3.2</t>
  </si>
  <si>
    <t>Producto 2: Coordinación Interinstitucional</t>
  </si>
  <si>
    <t>hacienda</t>
  </si>
  <si>
    <t>3.2.1.</t>
  </si>
  <si>
    <t>Coordinación interinstitucional</t>
  </si>
  <si>
    <t>(1) Los ajustes a lo planificado en el Programa según autorización por ley de presupuesto anual, se verán reflejados en el último año del Programa.</t>
  </si>
  <si>
    <t>(1) Con ajustes por TC y presupuestos 2018 y 2019, más cambios dentro del Componente 2 de SENCE</t>
  </si>
  <si>
    <t>(2) Diferencia entre 2018 proyectado y ajustado según Ley de Presupuestos 2018 y tipo de cambio 669.</t>
  </si>
  <si>
    <t>TC</t>
  </si>
  <si>
    <t>TC 2018</t>
  </si>
  <si>
    <t>Institución</t>
  </si>
  <si>
    <t>TC 2019</t>
  </si>
  <si>
    <t>TC 2020</t>
  </si>
  <si>
    <t>CORFO</t>
  </si>
  <si>
    <t>TC 2021</t>
  </si>
  <si>
    <t>Ministerio de las Cutluras, las Artes y el Patrimonio</t>
  </si>
  <si>
    <t>Hacienda</t>
  </si>
  <si>
    <t>No ejecución 2018</t>
  </si>
  <si>
    <t>en imprevistos 2020</t>
  </si>
  <si>
    <t>subejecución</t>
  </si>
  <si>
    <t>No transferido</t>
  </si>
  <si>
    <t>ORIGINAL</t>
  </si>
  <si>
    <t>total por institucion</t>
  </si>
  <si>
    <t>TOTAL</t>
  </si>
  <si>
    <t>ProChile</t>
  </si>
  <si>
    <t>Coordinación Interinstitucional</t>
  </si>
  <si>
    <t>imprevistos</t>
  </si>
  <si>
    <t xml:space="preserve">total </t>
  </si>
  <si>
    <t xml:space="preserve">PLAN DE ADQUISICIONES </t>
  </si>
  <si>
    <t>30 de junio de 2018</t>
  </si>
  <si>
    <t>N° PEP</t>
  </si>
  <si>
    <t>OBRAS</t>
  </si>
  <si>
    <t>Unidad Ejecutora:</t>
  </si>
  <si>
    <t>Año</t>
  </si>
  <si>
    <t xml:space="preserve">N° Proyecto/Código Plan de Adquisiciones </t>
  </si>
  <si>
    <t>Actividad:</t>
  </si>
  <si>
    <t>Descripción adicional:</t>
  </si>
  <si>
    <t>Convenio</t>
  </si>
  <si>
    <r>
      <t xml:space="preserve">Método de Selección/Adquisición
</t>
    </r>
    <r>
      <rPr>
        <i/>
        <sz val="12"/>
        <color indexed="9"/>
        <rFont val="Calibri"/>
        <family val="2"/>
        <scheme val="minor"/>
      </rPr>
      <t>(Seleccionar una de las opciones)</t>
    </r>
    <r>
      <rPr>
        <sz val="12"/>
        <color indexed="9"/>
        <rFont val="Calibri"/>
        <family val="2"/>
        <scheme val="minor"/>
      </rPr>
      <t>:</t>
    </r>
  </si>
  <si>
    <t>Cantidad de Lotes :</t>
  </si>
  <si>
    <t>Número de Proceso:</t>
  </si>
  <si>
    <t xml:space="preserve">Monto Estimado </t>
  </si>
  <si>
    <t>Componente Asociado:</t>
  </si>
  <si>
    <r>
      <t xml:space="preserve">Método de Revisión </t>
    </r>
    <r>
      <rPr>
        <i/>
        <sz val="12"/>
        <color indexed="9"/>
        <rFont val="Calibri"/>
        <family val="2"/>
        <scheme val="minor"/>
      </rPr>
      <t>(Seleccionar una de las opciones)</t>
    </r>
    <r>
      <rPr>
        <sz val="12"/>
        <color indexed="9"/>
        <rFont val="Calibri"/>
        <family val="2"/>
        <scheme val="minor"/>
      </rPr>
      <t>:</t>
    </r>
  </si>
  <si>
    <t>Fechas</t>
  </si>
  <si>
    <t>Comentarios - para UCS incluir método de selección</t>
  </si>
  <si>
    <t>Monto Estimado en CLP$:</t>
  </si>
  <si>
    <t>Monto Estimado en US$:</t>
  </si>
  <si>
    <t>Monto Estimado % BID:</t>
  </si>
  <si>
    <t>Monto Estimado % Contraparte:</t>
  </si>
  <si>
    <t>Aviso Especial de Adquisiciones</t>
  </si>
  <si>
    <t>Firma del Contrato</t>
  </si>
  <si>
    <t xml:space="preserve">SUBTOTAL </t>
  </si>
  <si>
    <t>BIENES</t>
  </si>
  <si>
    <r>
      <t xml:space="preserve">Método de Adquisición
</t>
    </r>
    <r>
      <rPr>
        <i/>
        <sz val="12"/>
        <color indexed="9"/>
        <rFont val="Calibri"/>
        <family val="2"/>
        <scheme val="minor"/>
      </rPr>
      <t>(Seleccionar una de las opciones)</t>
    </r>
    <r>
      <rPr>
        <sz val="12"/>
        <color indexed="9"/>
        <rFont val="Calibri"/>
        <family val="2"/>
        <scheme val="minor"/>
      </rPr>
      <t>:</t>
    </r>
  </si>
  <si>
    <t>SERVICIOS DE NO CONSULTORÍA</t>
  </si>
  <si>
    <t>Documento de Licitación</t>
  </si>
  <si>
    <t>Promoción internacional - Actividades de Promoción comercial 2018</t>
  </si>
  <si>
    <t>Ruedas de negocios en Chile y en el exterior</t>
  </si>
  <si>
    <t>Ruedas de negocios y traida de importadores 2018</t>
  </si>
  <si>
    <t>Sistema Nacional</t>
  </si>
  <si>
    <t>Componente 1</t>
  </si>
  <si>
    <t>A determinar</t>
  </si>
  <si>
    <t>Convenio marco</t>
  </si>
  <si>
    <t>Encuentro Exportador Enexpro Servicios</t>
  </si>
  <si>
    <t>compra de pasajes</t>
  </si>
  <si>
    <t>708-1144-SE18 (07-08-2018); 708-1144-SE18 (07-08-2018); 708-1145-SE18 (07-08-2018); 708-1145-SE18 (07-08-2018); 708-1145-SE18 (07-08-2018); 708-1145-SE18 (07-08-2018); 708-1153-SE18 (08-08-2018); 708-1188-SE18 (13-08-2018); 708-1187-SE18 (13-08-2018); 708-1189-SE18 (13-08-2018); 708-1215-SE18 (14-08-2018; 708-1241-SE18 (17-08-2018); 708-1259-SE18 (20-08-2018); 708-1290-SE18 (22-08-2018; 708-1293-SE18 (24-08-2018); 708-1320-SE18 (28-08-2018); 708-1344-SE18 (30-08-2018; 708-1345-SE18 (30-08-2018); 708-1351-SE18 (03-09-2018); 708-1352-SE18 (03-09-2018; 708-1352-SE18 (03-09-2018); 708-1424-SE18 (10-09-2018); 708-811-SE18 (20-06-2018)</t>
  </si>
  <si>
    <t>Licitación pública</t>
  </si>
  <si>
    <t>Arriendo de salón y audio</t>
  </si>
  <si>
    <t>708-1140-CM18 (09-08-2018); 708-1280-CM18 (29-08-2018); 708-1250-CM18 (23-08-2018); 708-1313-CM18 (31-08-2018)</t>
  </si>
  <si>
    <t>Convenio Marco</t>
  </si>
  <si>
    <t xml:space="preserve">Alimentación </t>
  </si>
  <si>
    <t>708-1030-CM18</t>
  </si>
  <si>
    <t>Transporte terrestre</t>
  </si>
  <si>
    <t>Fecha publicación estimada o de la orden de compra. Ejemplo: Septiembre 2018</t>
  </si>
  <si>
    <t>Fecha de la resolución que aprueba el contrato o fecha de la orden de compra. Ejemplo: Octubre 2018</t>
  </si>
  <si>
    <t>Licitación pública, Licitacion privada, Convenio marco o Contratacion directa</t>
  </si>
  <si>
    <t xml:space="preserve">Pantallas </t>
  </si>
  <si>
    <t>s/n</t>
  </si>
  <si>
    <t>Encuentro Empresarial Servicios Forestales</t>
  </si>
  <si>
    <t>Encuentro Empresarial Servicios Acuícolas (Los Lagos)</t>
  </si>
  <si>
    <t>Promoción internacional - Actividades de Promoción comercial 2019</t>
  </si>
  <si>
    <t>Ruedas de negocios en Chile y en el exterior 2019</t>
  </si>
  <si>
    <t>Promoción internacional - Actividades de Promoción comercial 2020</t>
  </si>
  <si>
    <t>Ruedas de negocios en Chile y en el exterior 2020</t>
  </si>
  <si>
    <t>Promoción internacional - Actividades de Promoción comercial 2021</t>
  </si>
  <si>
    <t>Ruedas de negocios en Chile y en el exterior 2021</t>
  </si>
  <si>
    <t>1.2.1.1</t>
  </si>
  <si>
    <t>Capacidades empresariales - Capacidades de exportación 2018</t>
  </si>
  <si>
    <t>Taller Exportación de Servicios de Arquitectura, Ingeniería y Construcción</t>
  </si>
  <si>
    <t>Programa de Formación Exportadora (coaching exportador y talleres de mercado) - 2018</t>
  </si>
  <si>
    <t>TALLER AMPLIADO- INGENIERÍA INFRAESTRUCTURA</t>
  </si>
  <si>
    <t>708-795-CM18</t>
  </si>
  <si>
    <t>708-811-SE18</t>
  </si>
  <si>
    <t>Licitación Pública</t>
  </si>
  <si>
    <t>Taller Smart City</t>
  </si>
  <si>
    <t>708-1024-CM18</t>
  </si>
  <si>
    <t>708-1092-SE18</t>
  </si>
  <si>
    <t>Coaching exportador SMART CITY RM 2018</t>
  </si>
  <si>
    <t>Taller Exportando Soluciones para la Educación</t>
  </si>
  <si>
    <t xml:space="preserve">CAPACITACIÓN OFICOM MERCADO META   </t>
  </si>
  <si>
    <t>Coaching exportador TIC´S Santiago 2018</t>
  </si>
  <si>
    <t>Por definir</t>
  </si>
  <si>
    <t>SUBTOTAL</t>
  </si>
  <si>
    <t>CONSULTORÍAS FIRMAS</t>
  </si>
  <si>
    <t>Aviso de Expresiones de Interés</t>
  </si>
  <si>
    <t>CONSULTORÍAS INDIVIDUOS</t>
  </si>
  <si>
    <t>Cantidad Estimada de Consultores:</t>
  </si>
  <si>
    <t>No Objeción a los TdR de la Actividad</t>
  </si>
  <si>
    <t>Firma Contrato</t>
  </si>
  <si>
    <t>Programa de Formación Exportadora (coaching exportador y talleres de mercado y de  temáticas especifícas)</t>
  </si>
  <si>
    <t>708-882-CM18</t>
  </si>
  <si>
    <t>n/a</t>
  </si>
  <si>
    <t xml:space="preserve">Fecha de la resolución que aprueba el contrato o fecha de la orden de compra. </t>
  </si>
  <si>
    <t>Capacidades empresariales - Capacidades de exportación 2019</t>
  </si>
  <si>
    <t>Capacidades empresariales - Capacidades de exportación 2020</t>
  </si>
  <si>
    <t>Capacidades empresariales - Capacidades de exportación 2021</t>
  </si>
  <si>
    <t>CAPACITACIÓN</t>
  </si>
  <si>
    <t>Producto según Convenio</t>
  </si>
  <si>
    <t>TRANSFERENCIAS Y BECAS</t>
  </si>
  <si>
    <t xml:space="preserve">Fondo  Concursable Sector Servicios </t>
  </si>
  <si>
    <t>Continuacion de acciones existentes durante el periodod 2018 al 2021</t>
  </si>
  <si>
    <t>Continuacion de acciones existentes durante el periodo 2018 al 2021</t>
  </si>
  <si>
    <t>Concurso Publico</t>
  </si>
  <si>
    <t>Plataforma de Servicios Logísticos Antárticos</t>
  </si>
  <si>
    <t>Proyectos de promoción fondo de transferencia a terceros</t>
  </si>
  <si>
    <t>Fondos concursables - 2018</t>
  </si>
  <si>
    <t>Fecha de la resolución que aprueba el contrato o fecha de la orden de compra.</t>
  </si>
  <si>
    <t>Licitación pública, Licitacion privada, Convenio marco, Consurso Público o Contratacion directa</t>
  </si>
  <si>
    <t>Misión búsqueda de nuevos mercados en Perú</t>
  </si>
  <si>
    <t>Art Central HK</t>
  </si>
  <si>
    <t>Penetración de Mercado en Bolivia</t>
  </si>
  <si>
    <t>Seminario Mineralogía Aplicada</t>
  </si>
  <si>
    <t>Prospección de mercado nimbu.travel</t>
  </si>
  <si>
    <t>Penetración de Mercado Alemán para Medinet Assistant</t>
  </si>
  <si>
    <t>Penetración de plataformas de modernización y gestión escolar en México.</t>
  </si>
  <si>
    <t>Homy Player la plataforma definitiva para monetizar TV, Entretenimiento y Smart Home en un servicio</t>
  </si>
  <si>
    <t>Servicios FRANMAR a Empresas de VIV Europe un Trade Show de Nutrición y Salud Animal</t>
  </si>
  <si>
    <t>Prospección de mercado ecuatoriano y peruano para servicios tecnológicos sustentables</t>
  </si>
  <si>
    <t>PENETRACIÓN CENTROAMERCICA</t>
  </si>
  <si>
    <t>Prospección de oportunidades de mercado para el Comic y la Ilustración Chilena</t>
  </si>
  <si>
    <t>Penetracion de Servicios Informaticos en el Mercado Norte Americano desde La Araucania</t>
  </si>
  <si>
    <t>Prospección Comercial de LOGChile a México</t>
  </si>
  <si>
    <t>EdiPro - Plataforma para edificios inteligentes: Entrada a México</t>
  </si>
  <si>
    <t>Sudamerica, all around</t>
  </si>
  <si>
    <t>Libros chilenos en las principales ferias del libro en Italia</t>
  </si>
  <si>
    <t>Internacionalización de Novotraining en Centro America</t>
  </si>
  <si>
    <t>Exportación Digital de Música Chilena: Tierradefuego y Jungla Music 2018</t>
  </si>
  <si>
    <t>Misiones comerciales de empresas chilenas desarrolladoras de videojuegos para PC y Consolas.</t>
  </si>
  <si>
    <t>Prospección del mercado Peruano y Colombiano para servicios de ingeniería y Medio Ambiente</t>
  </si>
  <si>
    <t>Prospección al mercado Chino de Servicios de Arquitectura especializada en el mundo del vino.</t>
  </si>
  <si>
    <t>Misión de consolidación de vínculos con IES Chinas</t>
  </si>
  <si>
    <t>EXPANSIÓN MERCADO DE SERVICIOS GENÉTICOS AL MERCADO ACUÍCOLA MUNDIAL</t>
  </si>
  <si>
    <t>Internacionalización USA</t>
  </si>
  <si>
    <t>SInbad: Conectado alojamientos con grandes OTAs</t>
  </si>
  <si>
    <t>Internacionalización tecnología Browser2app</t>
  </si>
  <si>
    <t>Homeurbano - Internacionalización a Argentina</t>
  </si>
  <si>
    <t>Expositor en feria RETAIL DESIGN EXPO Londres 2018</t>
  </si>
  <si>
    <t>Estrategia de Penetración en el  Mercado Educativo Colombiano</t>
  </si>
  <si>
    <t>Taller Internacional para el Diseño de Soluciones Ingenieriles en Inspecciones de Tuberías.</t>
  </si>
  <si>
    <t>Taller para clientes potenciales</t>
  </si>
  <si>
    <t>VERSATIL CONSULTORES</t>
  </si>
  <si>
    <t>Exportación servicio Zoco</t>
  </si>
  <si>
    <t>Exportación de plataformas de modernización y gestión escolar a España</t>
  </si>
  <si>
    <t>Hola Nación. Servicios para Productos Gourmet de Chile</t>
  </si>
  <si>
    <t>PROYECTO EDUCACIÓN SUPERIOR - INDIA - 1° Parte - Delhi / Jaipur</t>
  </si>
  <si>
    <t>Instalación Oficina en Estados Unidos</t>
  </si>
  <si>
    <t>Prospección de mercados "Estimación demanda Programa DFWP y Servicios de Testeo de A&amp;D"</t>
  </si>
  <si>
    <t>PROSPECCIÓN DE NUEVOS MERCADOS EN LATAM</t>
  </si>
  <si>
    <t>CONTINUIDAD DE PROSPECCIÓN EN ARGENTINA Y CENTROAMERICA</t>
  </si>
  <si>
    <t>Mision Comercial a Ecuador</t>
  </si>
  <si>
    <t>Misiones Comerciales a Costa Rica y Panamá</t>
  </si>
  <si>
    <t>Misión Comercial a Argentina y Uruguay</t>
  </si>
  <si>
    <t>Taller Wine Captain en 4 destinos del vino chileno</t>
  </si>
  <si>
    <t>Misión Comercial de Prospección de Mercado a Peru y Ecuador para la industria de servicios a</t>
  </si>
  <si>
    <t>Misiones Comerciales a Perú y Colombia</t>
  </si>
  <si>
    <t>Programa de internacionalización de Artes Escénicas  Santiago Off</t>
  </si>
  <si>
    <t>Promoción del Videojuego Chileno Original</t>
  </si>
  <si>
    <t>Potenciando las capacidades de exportación de empresas de servicios y tecnología</t>
  </si>
  <si>
    <t>S/N</t>
  </si>
  <si>
    <t>Lista de espera Concurso Servicios Bid</t>
  </si>
  <si>
    <t>Diseño e Implementación de la marca sectorial para el posicionamiento de la industria documental chilena en los mercados prioritarios</t>
  </si>
  <si>
    <t>INTERNACIONALIZACIÓN DE LMING EN ALIANZA DEL PACÍFICO (ETAPA 1: PERÚ)</t>
  </si>
  <si>
    <t>MISIÓN PENETRACIÓN: ARGENTINA Y PARAGUAY</t>
  </si>
  <si>
    <t>Fondos concursables - 2019</t>
  </si>
  <si>
    <t>Fondos concursables - 2020</t>
  </si>
  <si>
    <t>Fondos concursables - 2021</t>
  </si>
  <si>
    <t>GASTOS OPERATIVOS</t>
  </si>
  <si>
    <t>SUBPROYECTOS COMUNITARIOS</t>
  </si>
  <si>
    <t>Objeto de la Transferencia:</t>
  </si>
  <si>
    <t>Cantidad Estimada de Subproyectos:</t>
  </si>
  <si>
    <t>Comentarios</t>
  </si>
  <si>
    <t>Firma del Contrato / Convenio por Adjudicación de los Subproyectos</t>
  </si>
  <si>
    <t>Fecha de 
Transferencia</t>
  </si>
  <si>
    <t>Tipo de Cambio 2018</t>
  </si>
  <si>
    <t>Tipo de Cambio 2019</t>
  </si>
  <si>
    <t>Tipo de Cambio 2020</t>
  </si>
  <si>
    <t>Tipo de cambio 2021</t>
  </si>
  <si>
    <t>15 de junio de 2018</t>
  </si>
  <si>
    <t>Sistemas y Articulación - Capacidades  institucionales 2018 - Operación del área de Inteligencia de Negocios para lo cual se requiere contar con sistemas (software, licencias, bases de datos, etc.) y capacidades adicionales.</t>
  </si>
  <si>
    <t xml:space="preserve">Aumentar en un 20% la base de contactos respecto del año anterior </t>
  </si>
  <si>
    <t>Herramientas de BI</t>
  </si>
  <si>
    <t>Licencia Hunter</t>
  </si>
  <si>
    <t>Junio</t>
  </si>
  <si>
    <t>Pago internacional realizado con Tarjeta de Crédito - Gasto incluido en Rendición N°3.-</t>
  </si>
  <si>
    <t>Licencia Rocketreach</t>
  </si>
  <si>
    <t>Licencias Api Orbis</t>
  </si>
  <si>
    <t>Mayo</t>
  </si>
  <si>
    <t>Pago internacional - Gasto incluido en Rendición N°2.</t>
  </si>
  <si>
    <t>Licencia Tableau Explorer</t>
  </si>
  <si>
    <t>Fecha OC</t>
  </si>
  <si>
    <t>Trato directo</t>
  </si>
  <si>
    <t>Licencias CRM Microsoft  (2)</t>
  </si>
  <si>
    <t>Julio</t>
  </si>
  <si>
    <t>Licencias Orbis (2)  Renovación de licencia por 12 meses para Orbis+Orbis Crossborder Investment+Orbis Ownership+Ccmpliance Catalyst.</t>
  </si>
  <si>
    <t>Horas desarrollo e integración SW para CRM .Para mantener la operatividad de la plataforma Dynamics 365 (CRM).</t>
  </si>
  <si>
    <t>CRM</t>
  </si>
  <si>
    <t>Sistemas y Articulación - Capacidades  institucionales 2019</t>
  </si>
  <si>
    <t>Operación del área de Inteligencia de Negocios para lo cual se requiere contar con sistemas (software, licencias, bases de datos, etc.) y capacidades adicionales.</t>
  </si>
  <si>
    <t xml:space="preserve">Aumentar en un 5% la base de contactos respecto del año anterior </t>
  </si>
  <si>
    <t>por definir</t>
  </si>
  <si>
    <t>Varios procesos de hasta US$100,000,- Licitación pública, Licitacion privada, Convenio marco o Contratacion directa</t>
  </si>
  <si>
    <t>Sistemas y Articulación - Capacidades  institucionales 2020</t>
  </si>
  <si>
    <t>Sistemas y Articulación - Capacidades  institucionales 2021</t>
  </si>
  <si>
    <t>Promoción Internacional - Actividades de promoción de inversiones externas en Chile - 2018- Material de promoción e inscripciones en eventos.</t>
  </si>
  <si>
    <t>Realización del acciones de marketing y de promoción de inversiones en Chile y en el extranjero (principales eventos sectoriales, giras presidenciales, etc.) en el sector de Servicios Globales.</t>
  </si>
  <si>
    <t>Aumento de la base de proyectos de inversión en la cartera de proyectos en un 5% respecto del año anterior</t>
  </si>
  <si>
    <t xml:space="preserve">Abril y Mayo </t>
  </si>
  <si>
    <t>Trato directo por inscripciones y participaciones en eventos en el extranjero. Compra internacional. Gastos Incluidos en  Rendición N°1.</t>
  </si>
  <si>
    <t>Realización del acciones de marketing y de promoción de inversiones en Chile y en el extranjero en el sector de Servicios Globales.                                                       Rendición de Gastos de Salvatore Di-Giovanni Vergara por Comisión de Servicio a Miami -  EE.UU ,realizada entre los días 19 al 25 de Agosto  2018,para representar a InvestChile en el Workshops del evento Shared Service and Outsourcing Week,como asi en los paneles de discusión e instancias de networking de Servicios Globales  y de Juan Pablo Garnica por Comisión de Servicio a San José,ciudad de San Francisco -  EE.UU ,realizada entre los días 23 al 29 de Septiembre 2018,para participar en el evento Shared Services Outsourcing Week y en el DreamForce,junto a ello,sostendrá reuniones con empresas traget identificadas.</t>
  </si>
  <si>
    <t>Realización Workshop "Servicios Globales: Facilitación del comercio y desafios en capital humano" En Hotel Best Western Marina Las Condes - Stgo.</t>
  </si>
  <si>
    <t>Producción de encuentro a realizarse el día 23 de Octubre 2018 en la Ciudad de Paris-Francia.</t>
  </si>
  <si>
    <t>Promoción Internacional - Actividades de promoción de inversiones externas en Chile - 2018- Campañas digitales.</t>
  </si>
  <si>
    <t>Acciones de marketing digital en el Extranjero - Convierta S.A.</t>
  </si>
  <si>
    <t>Convenio Marco. Gasto incluido en Rendición N°4.</t>
  </si>
  <si>
    <t xml:space="preserve">Acciones de marketing digital en el Extranjero - Convierta S.A.Porducción sitio Web Foro </t>
  </si>
  <si>
    <t xml:space="preserve">Septiembre </t>
  </si>
  <si>
    <t>Convenio Marco. Gasto incluido en Rendición N°6</t>
  </si>
  <si>
    <t>Acciones de marketing digital en el Extranjero - Convierta S.A.Promoción de Chile como destino atractivo de inversiones en Serv. Globales y otros sectores en EE.UU Y Europa.</t>
  </si>
  <si>
    <t>Promoción Internacional - Actividades de promoción de inversiones externas en Chile - 2018- Reclutamiento y producción foro internacional de inversiones.</t>
  </si>
  <si>
    <t>Septiembre</t>
  </si>
  <si>
    <t>Servicio Integral de producción del V Foro Internacional de Inversiones Chile  2019, según OC 875-132-SE18.                                                                     ** Servicio de Selección y Reclutamiento de Inversionistas de Canadá y EE.UU en el Foro Internacional de Inversiones,según OC 875-170-SE18 .Rendición N°6.</t>
  </si>
  <si>
    <t>Promoción Internacional - Actividades de promoción de inversiones externas en Chile - 2019.</t>
  </si>
  <si>
    <t>Realización del acciones de marketing y de promoción de inversiones en Chile y en el extranjero (principales eventos sectoriales, giras presidenciales, etc.) en el sector de servicios globales.</t>
  </si>
  <si>
    <t>Varios procesos de hasta US$151,000 Licitación pública, Licitacion privada, Convenio marco o Contratación directa</t>
  </si>
  <si>
    <t>Promoción Internacional - Actividades de promoción de inversiones externas en Chile - 2020.</t>
  </si>
  <si>
    <t>Promoción Internacional - Actividades de promoción de inversiones externas en Chile - 2021.</t>
  </si>
  <si>
    <t>Varios procesos de hasta US$151,000 Licitación pública, Licitación privada, Convenio marco o Contratación directa</t>
  </si>
  <si>
    <t>Sistemas y Articulación - Capacidades Institucionales 2018</t>
  </si>
  <si>
    <t>Sistemas y Articulación - Capacidades Institucionales 2018 Seminario de presentación modelo de actores relevantes.</t>
  </si>
  <si>
    <t>Consultoría de diseño e implementación de Seminario de presentación modelo a actores relevantes. (diseñar y transferir metodología para masificación modelo)</t>
  </si>
  <si>
    <t>Una región con modelo de operación implementado</t>
  </si>
  <si>
    <t>Sistemas y Articulación - Capacidades Institucionales 2018.</t>
  </si>
  <si>
    <t>Consultoría para diseño y traspaso de habilidades y competencias habilitantes para la implementación del modelo de de atracción de inversiones en regiones.</t>
  </si>
  <si>
    <t>Sistemas y Articulación - Capacidades Institucionales 2019.</t>
  </si>
  <si>
    <t>1 región con modelo de operación implementado</t>
  </si>
  <si>
    <t>Sistemas y Articulación - Capacidades Institucionales 2020.</t>
  </si>
  <si>
    <t>2 regiones con modelo de operación implementado</t>
  </si>
  <si>
    <t>Sistemas y Articulación - Capacidades Institucionales 2021.</t>
  </si>
  <si>
    <t>4 regiones con modelo de operación implementado</t>
  </si>
  <si>
    <t>Mejoramiento de Ecosistema - Estudios y Evaluaciones 2018.</t>
  </si>
  <si>
    <t>Oferta de valor actualizada para la Estrategia</t>
  </si>
  <si>
    <t xml:space="preserve">Oferta de valor actualizada para la estrategia </t>
  </si>
  <si>
    <t>Componente 3</t>
  </si>
  <si>
    <t>3.1.1.1.2</t>
  </si>
  <si>
    <t xml:space="preserve">Mercer </t>
  </si>
  <si>
    <t xml:space="preserve">Modelo de evaluación diseñado </t>
  </si>
  <si>
    <t>Licitación pública/Norma BID en evaluación</t>
  </si>
  <si>
    <t xml:space="preserve">Gartner </t>
  </si>
  <si>
    <t>Mejoramiento de Ecosistema - Estudios y Evaluaciones 2019.</t>
  </si>
  <si>
    <t xml:space="preserve">Diseño de estudios y metodología para evaluación de resultados y de impacto de la agencia y su implementación. </t>
  </si>
  <si>
    <t>Medición anual - Estrategia actualizada</t>
  </si>
  <si>
    <t>Mejoramiento de Ecosistema - Estudios y Evaluaciones 2020.</t>
  </si>
  <si>
    <t>Mejoramiento de Ecosistema - Estudios y Evaluaciones 2021.</t>
  </si>
  <si>
    <t>Promoción Internacional - Actividades de promoción de inversiones externas en Chile 2018</t>
  </si>
  <si>
    <t xml:space="preserve"> Operación de las representaciones en el exterior. Esto se realizará a través de un convenio con Direcon/ Prochile 2018</t>
  </si>
  <si>
    <t>Operación de las 3 representaciones en el exterior</t>
  </si>
  <si>
    <t>3 transferencias a Direcon (marzo, junio y septiembre) por un monto máximo de $325,000,000.-      Gastos Incluidos en  Rendiciones  N°1 y N°3. A la fecha , ya se han transferido dos cuotas por $143,729,180 y se encuentra programada otra por la diferencia en septiembre por $37,500,000  aprox.</t>
  </si>
  <si>
    <t>Promoción Internacional - Actividades de promoción de inversiones externas en Chile 2019</t>
  </si>
  <si>
    <t xml:space="preserve"> Operación de las representaciones en el exterior. Esto se realizará a través de un convenio con Direcon/ Prochile 2019</t>
  </si>
  <si>
    <t>Transferencia</t>
  </si>
  <si>
    <t>Promoción Internacional - Actividades de promoción de inversiones externas en Chile 2020</t>
  </si>
  <si>
    <t xml:space="preserve"> Operación de las representaciones en el exterior. Esto se realizará a través de un convenio con Direcon/ Prochile 2020</t>
  </si>
  <si>
    <t>Promoción Internacional - Actividades de promoción de inversiones externas en Chile 2021</t>
  </si>
  <si>
    <t xml:space="preserve"> Operación de las representaciones en el exterior. Esto se realizará a través de un convenio con Direcon/ Prochile 2021</t>
  </si>
  <si>
    <t>Compra de Pasajes Aéreos 2018</t>
  </si>
  <si>
    <t>Compra de Pasajes Aéreos</t>
  </si>
  <si>
    <t>Evento en Miami - EE.UU el que reune a los ejectutivos de Servicios Empresariales Globales responsables de liderar SSO/GBS cautivos que brindan servicios de back - office a y desde la regíon de LATAM.</t>
  </si>
  <si>
    <t>junio</t>
  </si>
  <si>
    <t>Convenio marco .</t>
  </si>
  <si>
    <t>Gira Asia de InvestChile -Feria Chile Week y lanzamiento de Guía del Inversionista en idioma Chino relizada en la Feria China International Import Expo,entre otras.</t>
  </si>
  <si>
    <t>julio</t>
  </si>
  <si>
    <t>Evento de alto nivel en San Fco. - EE.UU enfocado en profesionales de Shared Services ,BPO,GBS. El objetivo de Investchile es temas técnicos en tendencia de shared services , aprovechar networking y gestionar reuniones utilizando la APP del evento e inteligencia previa.</t>
  </si>
  <si>
    <t>Promoción Internacional - Actividades de promoción de inversiones externas en Chile - 2019 - COMPRA DE PASAJES AÉREOS.</t>
  </si>
  <si>
    <t>Realización de acciones de marketing y de promoción de inversiones en Chile y en el extranjero (principales eventos sectoriales, giras presidenciales, etc.) en el sector de Servicios Globales.</t>
  </si>
  <si>
    <t xml:space="preserve">Varios procesos de hasta US$24.000 por Convenio marco y/o trato directo. </t>
  </si>
  <si>
    <t>Promoción Internacional - Actividades de promoción de inversiones externas en Chile - 2020 - COMPRA DE PASAJES AÉREOS.</t>
  </si>
  <si>
    <t>Promoción Internacional - Actividades de promoción de inversiones externas en Chile - 2021 - COMPRA DE PASAJES AÉREOS.</t>
  </si>
  <si>
    <t>Código CORFO de la actividad
 (Proyecto)</t>
  </si>
  <si>
    <t>Beneficiarios</t>
  </si>
  <si>
    <t>Capacidades empresariales - Capacidad de exportación 2018</t>
  </si>
  <si>
    <t xml:space="preserve">FOCAL, Programa de fomento a la calidad </t>
  </si>
  <si>
    <t>Revisar continuidad de esta línea para el 2019-2021</t>
  </si>
  <si>
    <t>Ventanilla (Postulaciones todos los días del año a traves de Agentes Qperadores Intermediarios)</t>
  </si>
  <si>
    <t>FOCAL PTI Chile - ISO 9001:2015</t>
  </si>
  <si>
    <t>18FOREM-90486</t>
  </si>
  <si>
    <t>Cuota 1 de 1</t>
  </si>
  <si>
    <t>FOCAL Avance Individual ADEVCOM</t>
  </si>
  <si>
    <t>18FOAVI-93138</t>
  </si>
  <si>
    <t>PROYECTO FOCAL- PARACLINICS S.A.</t>
  </si>
  <si>
    <t>18FOAVI-94355</t>
  </si>
  <si>
    <t>PROYECTO FOCAL- OKLOK</t>
  </si>
  <si>
    <t>18FOAVI-94346</t>
  </si>
  <si>
    <t>PROYECTO FOCAL- OOT LTDA.</t>
  </si>
  <si>
    <t>18FOAVI-94349</t>
  </si>
  <si>
    <t>PROYECTO FOCAL - Dínamo Ingeniería</t>
  </si>
  <si>
    <t>18FOAVI-E</t>
  </si>
  <si>
    <t>Capacidades empresariales - Capacidad de exportación 2019</t>
  </si>
  <si>
    <t>meta</t>
  </si>
  <si>
    <t>Cuota 1 de 2</t>
  </si>
  <si>
    <t>PROYECTO FOCAL- Quantica</t>
  </si>
  <si>
    <t>18FOREM-105186</t>
  </si>
  <si>
    <t>Capacidades empresariales - Capacidad de exportación 2020</t>
  </si>
  <si>
    <t>Capacidades empresariales - Capacidad de exportación 2021</t>
  </si>
  <si>
    <t>Meta</t>
  </si>
  <si>
    <t>Ventanilla (Postulaciones todos los días del año a través de Agentes Operadores Intermediarios)</t>
  </si>
  <si>
    <t>NODO Exportador Revolución Divulgativa - ACHIPEC</t>
  </si>
  <si>
    <t>18NODO-89966</t>
  </si>
  <si>
    <t>NODO Exportación: NODE Preparando las Competencias de tu Empresa para Exportar Servicios Tecnológicos</t>
  </si>
  <si>
    <t>17NODO-86944-2</t>
  </si>
  <si>
    <t>NODO Exportación "Internalización de los Servicios de Ingeniería y Construcción Sustentable de la Región de Valparaíso"</t>
  </si>
  <si>
    <t>17NODO-84229-2</t>
  </si>
  <si>
    <t>NODO Exportador Revolución Divulgativa - ACHIPEC (Desarrollo - Continuidad)</t>
  </si>
  <si>
    <t>18NODO-89966-2</t>
  </si>
  <si>
    <t>NODO Exporta TI Araucanía - Exportación de Servicios Tecnológicos con Sello Araucanía</t>
  </si>
  <si>
    <t>18NODO-96899</t>
  </si>
  <si>
    <t>NODO Exportador: Servicios región de O'Higgins</t>
  </si>
  <si>
    <t>17NODO-88764-2</t>
  </si>
  <si>
    <t>NODO Exportación: NODO Locaciones Filmicas Región de Coquimbo</t>
  </si>
  <si>
    <t>17NODO-89124-2</t>
  </si>
  <si>
    <t>NODO INTERSECTORIAL DE ARTES VIVAS</t>
  </si>
  <si>
    <t>18NODO-105161</t>
  </si>
  <si>
    <t>Cuota 2 de 2</t>
  </si>
  <si>
    <t>Revisar factibilidad de reasignar recursos de otras líneas para cubrir nuevos proyectos</t>
  </si>
  <si>
    <t>PROFO Plataforma de Negocios Tecnológicos en Colombia</t>
  </si>
  <si>
    <t>18PROFO-89741</t>
  </si>
  <si>
    <t xml:space="preserve">PROFO Consorcio Exportador de Servicios de Arquitectura Sustentable, Región de Valparaíso </t>
  </si>
  <si>
    <t>18PROFO-91473</t>
  </si>
  <si>
    <t>PROFO Exportación de Servicios EDTECH para Mercados de México y Perú</t>
  </si>
  <si>
    <t>18PROFO-96933</t>
  </si>
  <si>
    <t>PROFO Consorcio Exportador de Servicios de Arquitectura Sustentable, Región de Valparaíso (Continuidad)</t>
  </si>
  <si>
    <t>18PROFO-91473-3</t>
  </si>
  <si>
    <t>PROFO Plataformas Tecnológicas en la Industria Financiera para Mercados de la Alianza del Pacífico (Continuidad)</t>
  </si>
  <si>
    <t>17PROFO-88677-3</t>
  </si>
  <si>
    <t>PROFO Plataforma de Negocios Tecnológicos en Colombia (Continuidad)</t>
  </si>
  <si>
    <t>18PROFO-89741-2</t>
  </si>
  <si>
    <t>PROFO Escalamiento Comercial Servicios TI</t>
  </si>
  <si>
    <t>18PROFO-100315-2</t>
  </si>
  <si>
    <t>PROFO Consorcio Exportador de Servicios de Arquitectura Sustentable, Región de Valparaíso (continuidad)</t>
  </si>
  <si>
    <t>18PROFO-91473-2</t>
  </si>
  <si>
    <t>PROFO Plataformas Tecnológicas en la Industria Financiera para Mercados de la Alianza del Pacífico</t>
  </si>
  <si>
    <t>17PROFO-88677-2</t>
  </si>
  <si>
    <t>PROFO Exportación de Servicios para el Mercado Agrícola</t>
  </si>
  <si>
    <t>17PROFO-81691-2</t>
  </si>
  <si>
    <t>18PROFO-100315</t>
  </si>
  <si>
    <t>Transferencia - convocatoria por plazo fijo</t>
  </si>
  <si>
    <t>Estrategia de comercialización internacional 2018-2019 para Marmota Studio</t>
  </si>
  <si>
    <t>18PAEI-93689</t>
  </si>
  <si>
    <t>Distribución y comercialización internacional serie "Alto Hospicio"</t>
  </si>
  <si>
    <t>18PAEI-93664</t>
  </si>
  <si>
    <t>Asistencia a eventos de mercados internacionales Producciones Storyboard Media</t>
  </si>
  <si>
    <t>18PAEI-93698</t>
  </si>
  <si>
    <t>Asistencia de Invercine &amp; Wood a mercados internacionales</t>
  </si>
  <si>
    <t>18PAEI-93693</t>
  </si>
  <si>
    <t>MI Norte es el Sur: Mercados</t>
  </si>
  <si>
    <t>18PAEI-93688</t>
  </si>
  <si>
    <t>Jirafa Mercados Internacionales 2018-2019</t>
  </si>
  <si>
    <t>18PAEI-93677</t>
  </si>
  <si>
    <t>Difusión y Comercialización Documental "Las Cruces 2018-2019"</t>
  </si>
  <si>
    <t>18PAEI-93665</t>
  </si>
  <si>
    <t>Animación de Lunes a Mercados Internacionales</t>
  </si>
  <si>
    <t>18PAEI-93546</t>
  </si>
  <si>
    <t>La madre, el hijo y la abuela, prospección en USA</t>
  </si>
  <si>
    <t>18PADI-93696</t>
  </si>
  <si>
    <t>Internacionalización cortometraje “El verano del León eléctrico”</t>
  </si>
  <si>
    <t>18PADI-93552</t>
  </si>
  <si>
    <t>Internacionalización cortometraje SNAP</t>
  </si>
  <si>
    <t>18PADI-93544</t>
  </si>
  <si>
    <t>Plan de Comercialización Internacional del Videojuego 'Causa, Voces del Ocaso'.</t>
  </si>
  <si>
    <t>18PADI-93658</t>
  </si>
  <si>
    <t>Unfinished Plan, The Path of Alain Johannes</t>
  </si>
  <si>
    <t>18PADI-93543</t>
  </si>
  <si>
    <t>Omen of Sorrow: Fase Exhibición y Comercialización Nuevas Plataformas</t>
  </si>
  <si>
    <t>18PADI-93553</t>
  </si>
  <si>
    <t xml:space="preserve">Continuacion de acciones existentes durante el periodo 2019 </t>
  </si>
  <si>
    <t>no hay nuevas, solo arrastre</t>
  </si>
  <si>
    <t>Transferencia - ventanilla abierta</t>
  </si>
  <si>
    <t>iHUB: Centro de Innovación en Capacidades Altamente Especializadas para la Exportación de Soluciones Tecnológicas</t>
  </si>
  <si>
    <t>17IFI-88684</t>
  </si>
  <si>
    <t>Cursos de capacitación alineados con las necesidades del sector 2018</t>
  </si>
  <si>
    <t>PFC - Programa de Formación para la Competitividad</t>
  </si>
  <si>
    <t>Componente 2</t>
  </si>
  <si>
    <t>Licitación agente intermediario - transferencia beneficiario</t>
  </si>
  <si>
    <t>Formación de productores Ejecutivos de Cine y TV</t>
  </si>
  <si>
    <t>18PFC-89919</t>
  </si>
  <si>
    <t>Formación para la revisión de proyecto en BIM para la industria de la construcción de la región de Valparaíso</t>
  </si>
  <si>
    <t>18PFC-90752</t>
  </si>
  <si>
    <t>PFC Programa de Formación para El Diseño de Instalaciones en BIM</t>
  </si>
  <si>
    <t>18PFC-97069</t>
  </si>
  <si>
    <t>PFC "PROGRAMA DE FORMACION PARA LA SEGURIDAD DE LA INFORMACIÓN Y LA CIBERSEGURIDAD"</t>
  </si>
  <si>
    <t>18PFC-99573</t>
  </si>
  <si>
    <t>PFC Certificación SFIA (valparaiso)</t>
  </si>
  <si>
    <t>18PFC-98347</t>
  </si>
  <si>
    <t>PFC Certificación SFIA (Araucanía)</t>
  </si>
  <si>
    <t>18PFC-97665</t>
  </si>
  <si>
    <t>PFC Certificación SFIA (Los Lagos)</t>
  </si>
  <si>
    <t>18PFC-97644</t>
  </si>
  <si>
    <t>Cursos de capacitación alineados con las necesidades del sector 2019</t>
  </si>
  <si>
    <t>Cursos de capacitación alineados con las necesidades del sector 2020</t>
  </si>
  <si>
    <t>Cursos de capacitación alineados con las necesidades del sector 2021</t>
  </si>
  <si>
    <t>2.2.1</t>
  </si>
  <si>
    <t>Mejoramiento de Ecosistema - Estudios y Evaluaciones 2018</t>
  </si>
  <si>
    <t>2.2.1.1.</t>
  </si>
  <si>
    <t>Estudio de identificación de demanda y necesidades de capacitación en el sector servicios globales</t>
  </si>
  <si>
    <t>Estudio de identficiación de demanda y necesidades de capacitación en el sector servicios globales</t>
  </si>
  <si>
    <t xml:space="preserve"> 1/2</t>
  </si>
  <si>
    <t>Licitación públicao Contratacion directa</t>
  </si>
  <si>
    <t>2.2.1.2.</t>
  </si>
  <si>
    <t>Definición de Paquete de Entrenamiento Evaluables y Certificables en Competencias priorizadas por la Industria</t>
  </si>
  <si>
    <t>Plan formativo sector tecnologías de la información y material instruccional asociado</t>
  </si>
  <si>
    <t>Mejoramiento de Ecosistema - Estudios y Evaluaciones 2019</t>
  </si>
  <si>
    <t xml:space="preserve"> 2/2</t>
  </si>
  <si>
    <t>Estudios de levantamiento de demanda y diseño de paquetes formativos</t>
  </si>
  <si>
    <t>Mejoramiento de Ecosistema - Estudios y Evaluaciones 2020</t>
  </si>
  <si>
    <t>Mejoramiento de Ecosistema - Estudios y Evaluaciones 2021</t>
  </si>
  <si>
    <t>Programa de Articulación de Oferta y Atracción de Demanda para el desarrollo de talento humano para el sector de servicios globales 2018</t>
  </si>
  <si>
    <t>Consultoría en difusión, selección y apoyo metodológico a ejecutores de formación: Convocatoria y difusión de los programa de formación, diseño de pruebas de selección, logística del proceso de rendición de exámenes de selección, guías metodológicas y seguimiento de los programas.</t>
  </si>
  <si>
    <t>3.000 personas inscritas en Sistema Integrado de Capacitación SIC y derivados a diversos programas de formación., ya sea con financiamiento SENCE o financiamiento en el marco del Programa de Exportación de Servicios, de las cuales, a lo menos 2.000 serán personas efectivamente capacitadas.</t>
  </si>
  <si>
    <t>Programa de Articulación de Oferta y Atracción de Demanda para el desarrollo de talento humano para el sector de servicios globales 2019</t>
  </si>
  <si>
    <t>Plataforma de Gestión de Empresas y Personas</t>
  </si>
  <si>
    <t>Diseño e implementación de campañas de atracción a población objetivo, implementación de campañas de comunicación y construcción de marca.</t>
  </si>
  <si>
    <t>Programa de Articulación de Oferta y Atracción de Demanda para el desarrollo de talento humano para el sector de servicios globales 2020</t>
  </si>
  <si>
    <t>Programa de Articulación de Oferta y Atracción de Demanda para el desarrollo de talento humano para el sector de servicios globales 2021</t>
  </si>
  <si>
    <t>Habilidades Específicas - Formación en áreas específicas demandadas por la industria de servicios globales 2018</t>
  </si>
  <si>
    <t xml:space="preserve">Formación Laboral con continuidad de estudios en Educación Técnico Profesional en Centros de Formación Técnica o Institutos Profesionales </t>
  </si>
  <si>
    <t>Continuidad Acciones En Ejecución 2018</t>
  </si>
  <si>
    <t>Convenios de Transferencia de Recursos</t>
  </si>
  <si>
    <t>MCC-15-01-05-0035-1 / ASISTENTE EJECUTIVO EN TRAMITACION ADUANERA</t>
  </si>
  <si>
    <t>MCC-15-01-05-0035-2 / ASISTENTE EJECUTIVO EN TRAMITACION ADUANERA</t>
  </si>
  <si>
    <t>MCC-16-01-13-0011-1 / ASISTENTE DE PROGRAMACION</t>
  </si>
  <si>
    <t>MCC-16-01-13-0077-1 / ADMINISTRADOR DE COMUNIDADES Y REDES SOCIALES</t>
  </si>
  <si>
    <t>MCC-16-01-13-0077-2 / ADMINISTRADOR DE COMUNIDADES Y REDES SOCIALES</t>
  </si>
  <si>
    <t>MCC-16-01-13-0078-1 / DISENADOR DE SITIOS WEB</t>
  </si>
  <si>
    <t>MCC-16-01-13-0078-2 / DISENADOR DE SITIOS WEB</t>
  </si>
  <si>
    <t>MCC-16-01-13-0092-1 / ASISTENTE EN SISTEMAS COMPUTACIONALES</t>
  </si>
  <si>
    <t xml:space="preserve">Cursos de Formación o capacitación en Oficios (Organismos Técnicos de Capacitación y Liceos Técnicos Profesionales). </t>
  </si>
  <si>
    <t>355 personas capacitadas</t>
  </si>
  <si>
    <t>Concurso Publico, Licitación pública o Contratacion directa</t>
  </si>
  <si>
    <t>Capacitación en oficios</t>
  </si>
  <si>
    <t>CAP-18-01-08-0014</t>
  </si>
  <si>
    <t>Soporte en Mantenimiento Computacional</t>
  </si>
  <si>
    <t>CAP-18-01-13-0058</t>
  </si>
  <si>
    <t>Asistente de Hardware y Redes Locales</t>
  </si>
  <si>
    <t>CAP-18-01-13-0200</t>
  </si>
  <si>
    <t>Asistente En Mantención De Redes Y Equipos Electrónicos</t>
  </si>
  <si>
    <t>Más capaz, línea regular</t>
  </si>
  <si>
    <t>MCR-18-01-13-0013-1</t>
  </si>
  <si>
    <t>Actividades de Asistencia básica en Informática</t>
  </si>
  <si>
    <t>MCR-18-01-13-0012-1</t>
  </si>
  <si>
    <t>Actividades de asistencia básica en informática</t>
  </si>
  <si>
    <t>MCR-18-01-13-0146-1</t>
  </si>
  <si>
    <t>Soporte operacional en plataformas informáticas</t>
  </si>
  <si>
    <t>MCR-18-01-13-0145-1</t>
  </si>
  <si>
    <t>Soporte en redes y equipos computacionales</t>
  </si>
  <si>
    <t>línea LTP</t>
  </si>
  <si>
    <t>200-230</t>
  </si>
  <si>
    <t>nuevo</t>
  </si>
  <si>
    <t>Cursos de capacitación alineados con las necesidades del sector</t>
  </si>
  <si>
    <t xml:space="preserve">Formación de capital humano en sectores emergentes. Cursos orientados al cierre de brechas del sector de economías creativas “Exportación de Servicios Creativos” </t>
  </si>
  <si>
    <t>Cursos</t>
  </si>
  <si>
    <t>Concurso Publico, Licitación pública, Licitacion privada o Contratacion directa</t>
  </si>
  <si>
    <t xml:space="preserve">Arrastre 2018 Cursos de Formación o capacitación en Oficios (Organismos Técnicos de Capacitación y Liceos Técnicos Profesionales). </t>
  </si>
  <si>
    <t xml:space="preserve">Cursos de capacitación alineados con las necesidades del sector </t>
  </si>
  <si>
    <t>no ejecutado</t>
  </si>
  <si>
    <r>
      <t xml:space="preserve">Método de Selección/Adquisición
</t>
    </r>
    <r>
      <rPr>
        <i/>
        <sz val="12"/>
        <rFont val="Calibri"/>
        <family val="2"/>
        <scheme val="minor"/>
      </rPr>
      <t>(Seleccionar una de las opciones)</t>
    </r>
    <r>
      <rPr>
        <sz val="12"/>
        <rFont val="Calibri"/>
        <family val="2"/>
        <scheme val="minor"/>
      </rPr>
      <t>:</t>
    </r>
  </si>
  <si>
    <r>
      <t xml:space="preserve">Método de Revisión </t>
    </r>
    <r>
      <rPr>
        <i/>
        <sz val="12"/>
        <rFont val="Calibri"/>
        <family val="2"/>
        <scheme val="minor"/>
      </rPr>
      <t>(Seleccionar una de las opciones)</t>
    </r>
    <r>
      <rPr>
        <sz val="12"/>
        <rFont val="Calibri"/>
        <family val="2"/>
        <scheme val="minor"/>
      </rPr>
      <t>:</t>
    </r>
  </si>
  <si>
    <r>
      <t xml:space="preserve">Método de Adquisición
</t>
    </r>
    <r>
      <rPr>
        <i/>
        <sz val="12"/>
        <rFont val="Calibri"/>
        <family val="2"/>
        <scheme val="minor"/>
      </rPr>
      <t>(Seleccionar una de las opciones)</t>
    </r>
    <r>
      <rPr>
        <sz val="12"/>
        <rFont val="Calibri"/>
        <family val="2"/>
        <scheme val="minor"/>
      </rPr>
      <t>:</t>
    </r>
  </si>
  <si>
    <r>
      <t xml:space="preserve">Método de Adquisición
</t>
    </r>
    <r>
      <rPr>
        <i/>
        <sz val="12"/>
        <color theme="0"/>
        <rFont val="Calibri"/>
        <family val="2"/>
        <scheme val="minor"/>
      </rPr>
      <t>(Seleccionar una de las opciones)</t>
    </r>
    <r>
      <rPr>
        <sz val="12"/>
        <color theme="0"/>
        <rFont val="Calibri"/>
        <family val="2"/>
        <scheme val="minor"/>
      </rPr>
      <t>:</t>
    </r>
  </si>
  <si>
    <r>
      <t xml:space="preserve">Método de Revisión </t>
    </r>
    <r>
      <rPr>
        <i/>
        <sz val="12"/>
        <color theme="0"/>
        <rFont val="Calibri"/>
        <family val="2"/>
        <scheme val="minor"/>
      </rPr>
      <t>(Seleccionar una de las opciones)</t>
    </r>
    <r>
      <rPr>
        <sz val="12"/>
        <color theme="0"/>
        <rFont val="Calibri"/>
        <family val="2"/>
        <scheme val="minor"/>
      </rPr>
      <t>:</t>
    </r>
  </si>
  <si>
    <t>Ministerio de las Culturas, las Artes y El Patrimonio</t>
  </si>
  <si>
    <t>MICBr 2018</t>
  </si>
  <si>
    <t>Contratación de servicio de producción para la organización de instancias de mercado de sectores creativos a nivel nacional y organización de comitivas de creativos para participar en mercados internacionales.</t>
  </si>
  <si>
    <t>Servicio de producción integral para asistencia al MICBr</t>
  </si>
  <si>
    <t>Asistencia MICBr: compra de pasajes para los participantes chilenos en MICBr</t>
  </si>
  <si>
    <t>Mercado CHEC Nacional 2018</t>
  </si>
  <si>
    <t>Asistencia internacional al Mercado CHEC Regional: pasajes para asistentes internacionales, alojamiento y traslado</t>
  </si>
  <si>
    <t>2020: Organización MEC Latinoamérica 2020</t>
  </si>
  <si>
    <t xml:space="preserve">Realización en Chile del Mercado de Economía Creativa Latinoamérica, actividad que reúnes a más de 500 oferentes y compradores internacionales provenientes de 10 países de America del Sur. </t>
  </si>
  <si>
    <t>Organización del mercado MEC Latinoamérica en Chile - Se estima que se realice en mayo de 2020</t>
  </si>
  <si>
    <t>A ser definido el alcance y contenido</t>
  </si>
  <si>
    <t>MICBr</t>
  </si>
  <si>
    <t>Contratación de servicios de personal para trabajo organización de comitiva chilena y trabajo en terror en MICBr</t>
  </si>
  <si>
    <t>Coordinación MICBr: contratación de honorario esporádico</t>
  </si>
  <si>
    <t>Mercado CHEC (nacional y zona sur)</t>
  </si>
  <si>
    <t>Contratación de servicios de personal para trabajo de coordinación de proyectos CHEC: Nacional y Regional</t>
  </si>
  <si>
    <t>Coordinación CHEC: contratación de honorario esporádico</t>
  </si>
  <si>
    <t xml:space="preserve">Año </t>
  </si>
  <si>
    <r>
      <t xml:space="preserve">Método de Adquisición
</t>
    </r>
    <r>
      <rPr>
        <i/>
        <sz val="12"/>
        <color theme="0"/>
        <rFont val="Calibri"/>
        <family val="2"/>
      </rPr>
      <t>(Seleccionar una de las opciones)</t>
    </r>
    <r>
      <rPr>
        <sz val="12"/>
        <color theme="0"/>
        <rFont val="Calibri"/>
        <family val="2"/>
      </rPr>
      <t>:</t>
    </r>
  </si>
  <si>
    <r>
      <t xml:space="preserve">Método de Revisión </t>
    </r>
    <r>
      <rPr>
        <i/>
        <sz val="12"/>
        <color theme="0"/>
        <rFont val="Calibri"/>
        <family val="2"/>
      </rPr>
      <t>(Seleccionar una de las opciones)</t>
    </r>
    <r>
      <rPr>
        <sz val="12"/>
        <color theme="0"/>
        <rFont val="Calibri"/>
        <family val="2"/>
      </rPr>
      <t>:</t>
    </r>
  </si>
  <si>
    <t>1.2.1.7</t>
  </si>
  <si>
    <t>2019: Preparación de participación en mercados</t>
  </si>
  <si>
    <t>Programa Piloto de talleres de formación enfocados en generación de competencias para facilitar participación en mercados creativos.</t>
  </si>
  <si>
    <t>Talleres a realizarse con cobertura nacional a todas las regiones del país para profesionalización de agentes creativos regionales</t>
  </si>
  <si>
    <t>Mercado CHEC Nacional</t>
  </si>
  <si>
    <t>Transferencia vía convenio con Cámara Comercio Santiago</t>
  </si>
  <si>
    <t>Fortalecer articulación público-privada mediante participación y creación de instancias de comercialización que contribuyan al fomento del sector creativo</t>
  </si>
  <si>
    <t>Contratación Directa </t>
  </si>
  <si>
    <t>Ex-Post</t>
  </si>
  <si>
    <t>2018: Mercado CHEC Zona Sur</t>
  </si>
  <si>
    <t>Transferencia vía Regionalización a SEREMIA Cultura de Los Ríos</t>
  </si>
  <si>
    <t>Regionalización</t>
  </si>
  <si>
    <t>no aplica</t>
  </si>
  <si>
    <t>Rendición de las actividades más detallada se hará a partir de la rendición de la SEREMIA de Cultura de Los Ríos</t>
  </si>
  <si>
    <t xml:space="preserve">Esta línea se realizará mediante convenios y regionalización de recursos. </t>
  </si>
  <si>
    <t>DESAGREGAR POR TIPO DE COMPRA</t>
  </si>
  <si>
    <t>2021: Mercado CHEC</t>
  </si>
  <si>
    <t>Transferencia vía Regionalización a SEREMIA Cultura Regional Sur (región por definir) / Transferencia vía convenio con Cámara Comercio Santiago</t>
  </si>
  <si>
    <t>Fortalecer articulación público-privada mediante participación y creación de instancias de comercialización que contribuyan al fomento del sector creativo / Regionalización</t>
  </si>
  <si>
    <t>Rendición de las actividades más detallada se hará a partir de la rendición de la SEREMIA de Cultura de la región correspondiente de la zona norte. Actividad a realizarse en el año 2019.</t>
  </si>
  <si>
    <t xml:space="preserve">Actividad a realizarse el año 2019. Definición de distribución de los recursos totales está pendiente. </t>
  </si>
  <si>
    <t>Asistencia de funcionarios de Economía Creativa a reunión MICBr en Sao Paulo</t>
  </si>
  <si>
    <t>Viáticos</t>
  </si>
  <si>
    <t>No aplica</t>
  </si>
  <si>
    <t>Presencia en Sao Paulo de Secretaria Ejecutiva de Economía Creativa del Ministerio de las Culturas en MICSUR</t>
  </si>
  <si>
    <t>Mercado CHEC Zona Sur</t>
  </si>
  <si>
    <t>Asistencia a mercado CHEC Zona Sur de funcionarios de Economía Creativa</t>
  </si>
  <si>
    <t>Presencia en mercado regional CHEC de Secretaria Ejecutiva de Economía Creativa del Ministerio de las Culturas</t>
  </si>
  <si>
    <t>2019: Coordinación Interinstitucional</t>
  </si>
  <si>
    <t>Coordinación interinstitucional y coordinación del Programa</t>
  </si>
  <si>
    <t>Coordinación Interinstitucional 2020-2021</t>
  </si>
  <si>
    <r>
      <t xml:space="preserve">Método de Adquisición
</t>
    </r>
    <r>
      <rPr>
        <i/>
        <sz val="12"/>
        <color indexed="9"/>
        <rFont val="Calibri"/>
        <family val="2"/>
      </rPr>
      <t>(Seleccionar una de las opciones)</t>
    </r>
    <r>
      <rPr>
        <sz val="12"/>
        <color indexed="9"/>
        <rFont val="Calibri"/>
        <family val="2"/>
      </rPr>
      <t>:</t>
    </r>
  </si>
  <si>
    <r>
      <t xml:space="preserve">Método de Revisión </t>
    </r>
    <r>
      <rPr>
        <i/>
        <sz val="12"/>
        <color indexed="9"/>
        <rFont val="Calibri"/>
        <family val="2"/>
      </rPr>
      <t>(Seleccionar una de las opciones)</t>
    </r>
    <r>
      <rPr>
        <sz val="12"/>
        <color indexed="9"/>
        <rFont val="Calibri"/>
        <family val="2"/>
      </rPr>
      <t>:</t>
    </r>
  </si>
  <si>
    <t>IMPREVISTOS</t>
  </si>
  <si>
    <t>Subejecutor</t>
  </si>
  <si>
    <t>2019-2021</t>
  </si>
  <si>
    <t>Total subejecutor</t>
  </si>
  <si>
    <t>Préstamo</t>
  </si>
  <si>
    <t>Ministerio de las Cutluras, las Artes y El Patrimonio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</si>
</sst>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_-* #,##0.00\ _€_-;\-* #,##0.00\ _€_-;_-* &quot;-&quot;??\ _€_-;_-@_-"/>
    <numFmt numFmtId="165" formatCode="_-* #,##0\ _€_-;\-* #,##0\ _€_-;_-* &quot;-&quot;??\ _€_-;_-@_-"/>
    <numFmt numFmtId="166" formatCode="[$USD]\ #,##0.00"/>
    <numFmt numFmtId="167" formatCode="[$USD]\ #,##0"/>
  </numFmts>
  <fonts count="60">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theme="1"/>
      <name val="Calibri"/>
      <family val="2"/>
    </font>
    <font>
      <sz val="11"/>
      <color theme="1"/>
      <name val="Calibri"/>
      <family val="2"/>
      <scheme val="minor"/>
    </font>
    <font>
      <sz val="12"/>
      <name val="Arial"/>
      <family val="2"/>
    </font>
    <font>
      <sz val="10"/>
      <name val="Verdana"/>
      <family val="2"/>
    </font>
    <font>
      <sz val="9"/>
      <color indexed="81"/>
      <name val="Tahoma"/>
      <family val="2"/>
    </font>
    <font>
      <b/>
      <sz val="9"/>
      <color indexed="81"/>
      <name val="Tahoma"/>
      <family val="2"/>
    </font>
    <font>
      <sz val="14"/>
      <color indexed="81"/>
      <name val="Tahoma"/>
      <family val="2"/>
    </font>
    <font>
      <sz val="12"/>
      <color rgb="FFFF0000"/>
      <name val="Calibri"/>
      <family val="2"/>
      <scheme val="minor"/>
    </font>
    <font>
      <sz val="12"/>
      <name val="Calibri"/>
      <family val="2"/>
      <scheme val="minor"/>
    </font>
    <font>
      <b/>
      <sz val="12"/>
      <name val="Calibri"/>
      <family val="2"/>
      <scheme val="minor"/>
    </font>
    <font>
      <sz val="12"/>
      <color theme="1"/>
      <name val="Calibri"/>
      <family val="2"/>
      <scheme val="minor"/>
    </font>
    <font>
      <b/>
      <sz val="12"/>
      <color indexed="9"/>
      <name val="Calibri"/>
      <family val="2"/>
      <scheme val="minor"/>
    </font>
    <font>
      <sz val="11"/>
      <color indexed="9"/>
      <name val="Calibri"/>
      <family val="2"/>
      <scheme val="minor"/>
    </font>
    <font>
      <b/>
      <sz val="12"/>
      <color theme="0"/>
      <name val="Calibri"/>
      <family val="2"/>
      <scheme val="minor"/>
    </font>
    <font>
      <b/>
      <sz val="12"/>
      <color rgb="FF000000"/>
      <name val="Calibri"/>
      <family val="2"/>
      <scheme val="minor"/>
    </font>
    <font>
      <sz val="12"/>
      <color indexed="9"/>
      <name val="Calibri"/>
      <family val="2"/>
      <scheme val="minor"/>
    </font>
    <font>
      <i/>
      <sz val="12"/>
      <color indexed="9"/>
      <name val="Calibri"/>
      <family val="2"/>
      <scheme val="minor"/>
    </font>
    <font>
      <b/>
      <sz val="12"/>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b/>
      <sz val="11"/>
      <color indexed="9"/>
      <name val="Calibri"/>
      <family val="2"/>
      <scheme val="minor"/>
    </font>
    <font>
      <b/>
      <sz val="11"/>
      <name val="Calibri"/>
      <family val="2"/>
      <scheme val="minor"/>
    </font>
    <font>
      <sz val="12"/>
      <color theme="5" tint="-0.249977111117893"/>
      <name val="Calibri"/>
      <family val="2"/>
      <scheme val="minor"/>
    </font>
    <font>
      <sz val="12"/>
      <color theme="0"/>
      <name val="Calibri"/>
      <family val="2"/>
      <scheme val="minor"/>
    </font>
    <font>
      <b/>
      <sz val="12"/>
      <color theme="5" tint="-0.249977111117893"/>
      <name val="Calibri"/>
      <family val="2"/>
      <scheme val="minor"/>
    </font>
    <font>
      <b/>
      <sz val="12"/>
      <color rgb="FFFF0000"/>
      <name val="Calibri"/>
      <family val="2"/>
      <scheme val="minor"/>
    </font>
    <font>
      <i/>
      <sz val="12"/>
      <color indexed="9"/>
      <name val="Calibri"/>
      <family val="2"/>
    </font>
    <font>
      <sz val="12"/>
      <color indexed="9"/>
      <name val="Calibri"/>
      <family val="2"/>
    </font>
    <font>
      <i/>
      <sz val="12"/>
      <name val="Calibri"/>
      <family val="2"/>
      <scheme val="minor"/>
    </font>
    <font>
      <i/>
      <sz val="12"/>
      <color theme="0"/>
      <name val="Calibri"/>
      <family val="2"/>
      <scheme val="minor"/>
    </font>
    <font>
      <i/>
      <sz val="12"/>
      <color theme="0"/>
      <name val="Calibri"/>
      <family val="2"/>
    </font>
    <font>
      <sz val="12"/>
      <color theme="0"/>
      <name val="Calibri"/>
      <family val="2"/>
    </font>
    <font>
      <sz val="10"/>
      <name val="Times New Roman"/>
      <family val="1"/>
    </font>
    <font>
      <sz val="10"/>
      <color theme="1"/>
      <name val="Times New Roman"/>
      <family val="1"/>
    </font>
    <font>
      <sz val="10"/>
      <name val="Calibri"/>
      <family val="2"/>
      <scheme val="minor"/>
    </font>
    <font>
      <sz val="12"/>
      <color rgb="FF000000"/>
      <name val="Arial"/>
      <family val="2"/>
    </font>
    <font>
      <sz val="12"/>
      <name val="Calibri"/>
      <family val="2"/>
    </font>
    <font>
      <b/>
      <sz val="12"/>
      <color indexed="81"/>
      <name val="Tahoma"/>
      <family val="2"/>
    </font>
    <font>
      <sz val="12"/>
      <color indexed="81"/>
      <name val="Tahoma"/>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C8C8C8"/>
        <bgColor rgb="FFC8C8C8"/>
      </patternFill>
    </fill>
    <fill>
      <patternFill patternType="solid">
        <fgColor theme="3"/>
        <bgColor indexed="64"/>
      </patternFill>
    </fill>
    <fill>
      <patternFill patternType="solid">
        <fgColor theme="4" tint="0.79998168889431442"/>
        <bgColor rgb="FF8EAADB"/>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3" tint="-0.249977111117893"/>
        <bgColor indexed="64"/>
      </patternFill>
    </fill>
    <fill>
      <patternFill patternType="solid">
        <fgColor rgb="FF002060"/>
        <bgColor indexed="64"/>
      </patternFill>
    </fill>
    <fill>
      <patternFill patternType="solid">
        <fgColor theme="4"/>
        <bgColor indexed="64"/>
      </patternFill>
    </fill>
    <fill>
      <patternFill patternType="solid">
        <fgColor theme="6" tint="0.59999389629810485"/>
        <bgColor indexed="64"/>
      </patternFill>
    </fill>
    <fill>
      <patternFill patternType="solid">
        <fgColor indexed="48"/>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0070C0"/>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7"/>
        <bgColor indexed="64"/>
      </patternFill>
    </fill>
    <fill>
      <patternFill patternType="solid">
        <fgColor theme="0"/>
        <bgColor rgb="FF000000"/>
      </patternFill>
    </fill>
  </fills>
  <borders count="4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indexed="30"/>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medium">
        <color indexed="64"/>
      </top>
      <bottom style="medium">
        <color indexed="64"/>
      </bottom>
      <diagonal/>
    </border>
    <border>
      <left/>
      <right style="thin">
        <color auto="1"/>
      </right>
      <top style="thin">
        <color auto="1"/>
      </top>
      <bottom/>
      <diagonal/>
    </border>
    <border>
      <left/>
      <right/>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auto="1"/>
      </right>
      <top style="medium">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medium">
        <color auto="1"/>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thin">
        <color indexed="64"/>
      </left>
      <right/>
      <top style="thin">
        <color indexed="64"/>
      </top>
      <bottom style="thin">
        <color indexed="64"/>
      </bottom>
      <diagonal/>
    </border>
    <border>
      <left style="thin">
        <color auto="1"/>
      </left>
      <right/>
      <top style="thin">
        <color auto="1"/>
      </top>
      <bottom style="medium">
        <color auto="1"/>
      </bottom>
      <diagonal/>
    </border>
  </borders>
  <cellStyleXfs count="57">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0"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1" fillId="0" borderId="0"/>
    <xf numFmtId="41" fontId="1" fillId="0" borderId="0" applyFont="0" applyFill="0" applyBorder="0" applyAlignment="0" applyProtection="0"/>
    <xf numFmtId="0" fontId="23" fillId="0" borderId="0"/>
    <xf numFmtId="0" fontId="12" fillId="0" borderId="16" applyNumberFormat="0" applyFill="0" applyAlignment="0" applyProtection="0"/>
    <xf numFmtId="0" fontId="1" fillId="23" borderId="7" applyNumberFormat="0" applyFont="0" applyAlignment="0" applyProtection="0"/>
    <xf numFmtId="164" fontId="21" fillId="0" borderId="0" applyFont="0" applyFill="0" applyBorder="0" applyAlignment="0" applyProtection="0"/>
    <xf numFmtId="164" fontId="21" fillId="0" borderId="0" applyFont="0" applyFill="0" applyBorder="0" applyAlignment="0" applyProtection="0"/>
  </cellStyleXfs>
  <cellXfs count="895">
    <xf numFmtId="0" fontId="0" fillId="0" borderId="0" xfId="0"/>
    <xf numFmtId="0" fontId="32" fillId="35" borderId="10" xfId="1" applyFont="1" applyFill="1" applyBorder="1" applyAlignment="1">
      <alignment horizontal="center" vertical="center"/>
    </xf>
    <xf numFmtId="0" fontId="32" fillId="35" borderId="11" xfId="1" applyFont="1" applyFill="1" applyBorder="1" applyAlignment="1">
      <alignment horizontal="center" vertical="center"/>
    </xf>
    <xf numFmtId="0" fontId="32" fillId="35" borderId="12" xfId="1" applyFont="1" applyFill="1" applyBorder="1" applyAlignment="1">
      <alignment horizontal="center" vertical="center" wrapText="1"/>
    </xf>
    <xf numFmtId="0" fontId="30" fillId="0" borderId="0" xfId="0" applyFont="1"/>
    <xf numFmtId="167" fontId="30" fillId="0" borderId="0" xfId="0" applyNumberFormat="1" applyFont="1"/>
    <xf numFmtId="0" fontId="30" fillId="0" borderId="0" xfId="0" applyFont="1" applyAlignment="1">
      <alignment wrapText="1"/>
    </xf>
    <xf numFmtId="0" fontId="28" fillId="0" borderId="0" xfId="46" applyFont="1" applyFill="1" applyBorder="1" applyAlignment="1">
      <alignment horizontal="right"/>
    </xf>
    <xf numFmtId="0" fontId="28" fillId="0" borderId="0" xfId="46" applyFont="1" applyBorder="1" applyAlignment="1">
      <alignment horizontal="center"/>
    </xf>
    <xf numFmtId="0" fontId="28" fillId="0" borderId="0" xfId="46" applyFont="1" applyBorder="1" applyAlignment="1">
      <alignment horizontal="center" vertical="center"/>
    </xf>
    <xf numFmtId="0" fontId="28" fillId="0" borderId="0" xfId="46" applyFont="1" applyBorder="1" applyAlignment="1">
      <alignment horizontal="right"/>
    </xf>
    <xf numFmtId="0" fontId="28" fillId="0" borderId="0" xfId="46" applyFont="1" applyBorder="1" applyAlignment="1">
      <alignment horizontal="left"/>
    </xf>
    <xf numFmtId="0" fontId="28" fillId="0" borderId="0" xfId="46" applyFont="1" applyFill="1" applyBorder="1" applyAlignment="1">
      <alignment horizontal="left"/>
    </xf>
    <xf numFmtId="3" fontId="28" fillId="0" borderId="0" xfId="46" applyNumberFormat="1" applyFont="1" applyFill="1" applyBorder="1" applyAlignment="1">
      <alignment horizontal="right"/>
    </xf>
    <xf numFmtId="0" fontId="27" fillId="0" borderId="0" xfId="46" applyFont="1" applyFill="1" applyBorder="1" applyAlignment="1">
      <alignment horizontal="right"/>
    </xf>
    <xf numFmtId="3" fontId="28" fillId="0" borderId="0" xfId="46" applyNumberFormat="1" applyFont="1" applyBorder="1" applyAlignment="1">
      <alignment horizontal="center"/>
    </xf>
    <xf numFmtId="0" fontId="28" fillId="0" borderId="0" xfId="46" applyFont="1" applyFill="1" applyBorder="1" applyAlignment="1"/>
    <xf numFmtId="0" fontId="28" fillId="0" borderId="0" xfId="46" applyFont="1" applyBorder="1" applyAlignment="1"/>
    <xf numFmtId="0" fontId="28" fillId="24" borderId="0" xfId="46" applyFont="1" applyFill="1" applyBorder="1" applyAlignment="1">
      <alignment horizontal="left" vertical="distributed"/>
    </xf>
    <xf numFmtId="0" fontId="30" fillId="24" borderId="0" xfId="0" applyFont="1" applyFill="1" applyAlignment="1">
      <alignment horizontal="left" vertical="distributed"/>
    </xf>
    <xf numFmtId="0" fontId="30" fillId="24" borderId="0" xfId="0" applyFont="1" applyFill="1" applyBorder="1" applyAlignment="1">
      <alignment horizontal="left" vertical="distributed"/>
    </xf>
    <xf numFmtId="0" fontId="30" fillId="0" borderId="0" xfId="0" applyFont="1" applyAlignment="1">
      <alignment horizontal="left" vertical="distributed"/>
    </xf>
    <xf numFmtId="4" fontId="30" fillId="0" borderId="0" xfId="0" applyNumberFormat="1" applyFont="1" applyAlignment="1">
      <alignment horizontal="left" vertical="distributed"/>
    </xf>
    <xf numFmtId="10" fontId="30" fillId="0" borderId="0" xfId="0" applyNumberFormat="1" applyFont="1" applyAlignment="1">
      <alignment horizontal="left" vertical="distributed"/>
    </xf>
    <xf numFmtId="2" fontId="30" fillId="0" borderId="0" xfId="0" applyNumberFormat="1" applyFont="1" applyAlignment="1">
      <alignment horizontal="left" vertical="distributed"/>
    </xf>
    <xf numFmtId="0" fontId="30" fillId="40" borderId="0" xfId="0" applyFont="1" applyFill="1" applyAlignment="1">
      <alignment horizontal="left" vertical="distributed"/>
    </xf>
    <xf numFmtId="165" fontId="30" fillId="0" borderId="0" xfId="55" applyNumberFormat="1" applyFont="1" applyAlignment="1">
      <alignment horizontal="left" vertical="distributed"/>
    </xf>
    <xf numFmtId="4" fontId="30" fillId="24" borderId="0" xfId="0" applyNumberFormat="1" applyFont="1" applyFill="1" applyAlignment="1">
      <alignment horizontal="left" vertical="distributed"/>
    </xf>
    <xf numFmtId="49" fontId="28" fillId="24" borderId="15" xfId="46" applyNumberFormat="1" applyFont="1" applyFill="1" applyBorder="1" applyAlignment="1">
      <alignment horizontal="left" vertical="distributed"/>
    </xf>
    <xf numFmtId="0" fontId="28" fillId="24" borderId="15" xfId="45" applyFont="1" applyFill="1" applyBorder="1" applyAlignment="1">
      <alignment horizontal="left" vertical="distributed" wrapText="1"/>
    </xf>
    <xf numFmtId="3" fontId="28" fillId="24" borderId="15" xfId="45" applyNumberFormat="1" applyFont="1" applyFill="1" applyBorder="1" applyAlignment="1">
      <alignment horizontal="left" vertical="distributed" wrapText="1"/>
    </xf>
    <xf numFmtId="10" fontId="28" fillId="24" borderId="15" xfId="45" applyNumberFormat="1" applyFont="1" applyFill="1" applyBorder="1" applyAlignment="1">
      <alignment horizontal="left" vertical="distributed" wrapText="1"/>
    </xf>
    <xf numFmtId="10" fontId="30" fillId="24" borderId="0" xfId="0" applyNumberFormat="1" applyFont="1" applyFill="1" applyAlignment="1">
      <alignment horizontal="left" vertical="distributed"/>
    </xf>
    <xf numFmtId="10" fontId="35" fillId="35" borderId="15" xfId="45" applyNumberFormat="1" applyFont="1" applyFill="1" applyBorder="1" applyAlignment="1">
      <alignment horizontal="left" vertical="distributed" wrapText="1"/>
    </xf>
    <xf numFmtId="0" fontId="28" fillId="0" borderId="0" xfId="45" applyFont="1" applyFill="1" applyBorder="1" applyAlignment="1">
      <alignment horizontal="left" vertical="distributed" wrapText="1"/>
    </xf>
    <xf numFmtId="3" fontId="28" fillId="24" borderId="0" xfId="45" applyNumberFormat="1" applyFont="1" applyFill="1" applyBorder="1" applyAlignment="1">
      <alignment horizontal="left" vertical="distributed" wrapText="1"/>
    </xf>
    <xf numFmtId="10" fontId="28" fillId="0" borderId="0" xfId="45" applyNumberFormat="1" applyFont="1" applyFill="1" applyBorder="1" applyAlignment="1">
      <alignment horizontal="left" vertical="distributed" wrapText="1"/>
    </xf>
    <xf numFmtId="0" fontId="37" fillId="24" borderId="0" xfId="0" applyFont="1" applyFill="1" applyBorder="1" applyAlignment="1">
      <alignment horizontal="left" vertical="distributed"/>
    </xf>
    <xf numFmtId="0" fontId="37" fillId="24" borderId="0" xfId="0" applyFont="1" applyFill="1" applyAlignment="1">
      <alignment horizontal="left" vertical="distributed"/>
    </xf>
    <xf numFmtId="4" fontId="28" fillId="0" borderId="0" xfId="45" applyNumberFormat="1" applyFont="1" applyFill="1" applyBorder="1" applyAlignment="1">
      <alignment horizontal="left" vertical="distributed" wrapText="1"/>
    </xf>
    <xf numFmtId="4" fontId="35" fillId="35" borderId="24" xfId="45" applyNumberFormat="1" applyFont="1" applyFill="1" applyBorder="1" applyAlignment="1">
      <alignment horizontal="left" vertical="distributed" wrapText="1"/>
    </xf>
    <xf numFmtId="49" fontId="28" fillId="24" borderId="0" xfId="46" applyNumberFormat="1" applyFont="1" applyFill="1" applyBorder="1" applyAlignment="1">
      <alignment horizontal="left" vertical="distributed"/>
    </xf>
    <xf numFmtId="3" fontId="28" fillId="24" borderId="0" xfId="46" applyNumberFormat="1" applyFont="1" applyFill="1" applyBorder="1" applyAlignment="1">
      <alignment horizontal="left" vertical="distributed"/>
    </xf>
    <xf numFmtId="165" fontId="28" fillId="24" borderId="0" xfId="46" applyNumberFormat="1" applyFont="1" applyFill="1" applyBorder="1" applyAlignment="1">
      <alignment horizontal="left" vertical="distributed"/>
    </xf>
    <xf numFmtId="3" fontId="27" fillId="24" borderId="0" xfId="46" applyNumberFormat="1" applyFont="1" applyFill="1" applyBorder="1" applyAlignment="1">
      <alignment horizontal="left" vertical="distributed"/>
    </xf>
    <xf numFmtId="165" fontId="27" fillId="24" borderId="0" xfId="46" applyNumberFormat="1" applyFont="1" applyFill="1" applyBorder="1" applyAlignment="1">
      <alignment horizontal="left" vertical="distributed"/>
    </xf>
    <xf numFmtId="0" fontId="27" fillId="24" borderId="0" xfId="46" applyFont="1" applyFill="1" applyBorder="1" applyAlignment="1">
      <alignment horizontal="left" vertical="distributed"/>
    </xf>
    <xf numFmtId="165" fontId="28" fillId="24" borderId="0" xfId="55" applyNumberFormat="1" applyFont="1" applyFill="1" applyBorder="1" applyAlignment="1">
      <alignment horizontal="left" vertical="distributed"/>
    </xf>
    <xf numFmtId="0" fontId="28" fillId="0" borderId="0" xfId="46" applyFont="1" applyFill="1" applyBorder="1" applyAlignment="1">
      <alignment horizontal="left" vertical="distributed"/>
    </xf>
    <xf numFmtId="0" fontId="28" fillId="0" borderId="0" xfId="46" applyFont="1" applyBorder="1" applyAlignment="1">
      <alignment horizontal="left" vertical="distributed"/>
    </xf>
    <xf numFmtId="0" fontId="0" fillId="0" borderId="0" xfId="0" applyFont="1"/>
    <xf numFmtId="0" fontId="39" fillId="0" borderId="0" xfId="1" applyFont="1"/>
    <xf numFmtId="0" fontId="41" fillId="35" borderId="29" xfId="1" applyFont="1" applyFill="1" applyBorder="1" applyAlignment="1">
      <alignment horizontal="center" vertical="center"/>
    </xf>
    <xf numFmtId="49" fontId="28" fillId="0" borderId="0" xfId="46" applyNumberFormat="1" applyFont="1" applyBorder="1" applyAlignment="1">
      <alignment horizontal="left"/>
    </xf>
    <xf numFmtId="0" fontId="28" fillId="24" borderId="0" xfId="46" applyFont="1" applyFill="1" applyBorder="1" applyAlignment="1">
      <alignment horizontal="left" wrapText="1"/>
    </xf>
    <xf numFmtId="49" fontId="28" fillId="0" borderId="0" xfId="46" applyNumberFormat="1" applyFont="1" applyBorder="1" applyAlignment="1">
      <alignment horizontal="center" vertical="center"/>
    </xf>
    <xf numFmtId="49" fontId="28" fillId="0" borderId="0" xfId="46" applyNumberFormat="1" applyFont="1" applyFill="1" applyBorder="1" applyAlignment="1">
      <alignment horizontal="left" wrapText="1"/>
    </xf>
    <xf numFmtId="49" fontId="28" fillId="0" borderId="0" xfId="46" applyNumberFormat="1" applyFont="1" applyFill="1" applyBorder="1" applyAlignment="1">
      <alignment horizontal="center" vertical="center"/>
    </xf>
    <xf numFmtId="0" fontId="28" fillId="0" borderId="0" xfId="46" applyNumberFormat="1" applyFont="1" applyFill="1" applyBorder="1" applyAlignment="1">
      <alignment vertical="center"/>
    </xf>
    <xf numFmtId="49" fontId="33" fillId="26" borderId="0" xfId="0" applyNumberFormat="1" applyFont="1" applyFill="1" applyBorder="1" applyAlignment="1">
      <alignment horizontal="center" vertical="top" wrapText="1"/>
    </xf>
    <xf numFmtId="49" fontId="28" fillId="0" borderId="0" xfId="45" applyNumberFormat="1" applyFont="1" applyBorder="1" applyAlignment="1">
      <alignment horizontal="left"/>
    </xf>
    <xf numFmtId="49" fontId="29" fillId="28" borderId="0" xfId="45" applyNumberFormat="1" applyFont="1" applyFill="1" applyBorder="1" applyAlignment="1">
      <alignment horizontal="left"/>
    </xf>
    <xf numFmtId="49" fontId="29" fillId="28" borderId="0" xfId="46" applyNumberFormat="1" applyFont="1" applyFill="1" applyBorder="1" applyAlignment="1">
      <alignment horizontal="left"/>
    </xf>
    <xf numFmtId="49" fontId="28" fillId="24" borderId="0" xfId="46" applyNumberFormat="1" applyFont="1" applyFill="1" applyBorder="1" applyAlignment="1">
      <alignment horizontal="left"/>
    </xf>
    <xf numFmtId="49" fontId="28" fillId="24" borderId="0" xfId="46" applyNumberFormat="1" applyFont="1" applyFill="1" applyBorder="1" applyAlignment="1">
      <alignment horizontal="left" indent="4"/>
    </xf>
    <xf numFmtId="49" fontId="28" fillId="0" borderId="0" xfId="46" applyNumberFormat="1" applyFont="1" applyBorder="1" applyAlignment="1">
      <alignment horizontal="left" wrapText="1"/>
    </xf>
    <xf numFmtId="49" fontId="29" fillId="28" borderId="0" xfId="46" applyNumberFormat="1" applyFont="1" applyFill="1" applyBorder="1" applyAlignment="1">
      <alignment horizontal="left" wrapText="1"/>
    </xf>
    <xf numFmtId="49" fontId="28" fillId="24" borderId="0" xfId="45" applyNumberFormat="1" applyFont="1" applyFill="1" applyBorder="1" applyAlignment="1">
      <alignment horizontal="left"/>
    </xf>
    <xf numFmtId="49" fontId="28" fillId="24" borderId="0" xfId="46" applyNumberFormat="1" applyFont="1" applyFill="1" applyBorder="1" applyAlignment="1">
      <alignment horizontal="left" wrapText="1"/>
    </xf>
    <xf numFmtId="49" fontId="28" fillId="0" borderId="0" xfId="46" applyNumberFormat="1" applyFont="1" applyFill="1" applyBorder="1" applyAlignment="1">
      <alignment horizontal="left"/>
    </xf>
    <xf numFmtId="49" fontId="29" fillId="28" borderId="0" xfId="46" applyNumberFormat="1" applyFont="1" applyFill="1" applyBorder="1" applyAlignment="1">
      <alignment horizontal="center" vertical="center"/>
    </xf>
    <xf numFmtId="49" fontId="28" fillId="24" borderId="0" xfId="0" applyNumberFormat="1" applyFont="1" applyFill="1" applyBorder="1" applyAlignment="1">
      <alignment horizontal="left" vertical="center" wrapText="1"/>
    </xf>
    <xf numFmtId="0" fontId="28" fillId="0" borderId="0" xfId="46" applyFont="1" applyFill="1" applyBorder="1" applyAlignment="1">
      <alignment horizontal="center" vertical="center"/>
    </xf>
    <xf numFmtId="0" fontId="28" fillId="0" borderId="0" xfId="46" applyFont="1" applyFill="1" applyBorder="1" applyAlignment="1">
      <alignment horizontal="left" vertical="center"/>
    </xf>
    <xf numFmtId="0" fontId="28" fillId="0" borderId="0" xfId="46" applyFont="1" applyFill="1" applyBorder="1" applyAlignment="1">
      <alignment horizontal="left" wrapText="1"/>
    </xf>
    <xf numFmtId="3" fontId="43" fillId="0" borderId="0" xfId="46" applyNumberFormat="1" applyFont="1" applyBorder="1" applyAlignment="1">
      <alignment horizontal="center" vertical="center"/>
    </xf>
    <xf numFmtId="3" fontId="28" fillId="0" borderId="0" xfId="46" applyNumberFormat="1" applyFont="1" applyBorder="1" applyAlignment="1">
      <alignment horizontal="center" vertical="center"/>
    </xf>
    <xf numFmtId="0" fontId="27" fillId="0" borderId="0" xfId="46" applyFont="1" applyBorder="1" applyAlignment="1">
      <alignment horizontal="left"/>
    </xf>
    <xf numFmtId="0" fontId="29" fillId="0" borderId="0" xfId="46" applyFont="1" applyBorder="1" applyAlignment="1">
      <alignment horizontal="center" vertical="center"/>
    </xf>
    <xf numFmtId="0" fontId="28" fillId="0" borderId="0" xfId="45" applyFont="1" applyBorder="1" applyAlignment="1">
      <alignment horizontal="left"/>
    </xf>
    <xf numFmtId="0" fontId="29" fillId="0" borderId="32" xfId="46" applyFont="1" applyBorder="1" applyAlignment="1">
      <alignment horizontal="center" vertical="center"/>
    </xf>
    <xf numFmtId="0" fontId="29" fillId="0" borderId="15" xfId="46" applyFont="1" applyBorder="1" applyAlignment="1">
      <alignment horizontal="center" vertical="center"/>
    </xf>
    <xf numFmtId="0" fontId="29" fillId="24" borderId="32" xfId="46" applyFont="1" applyFill="1" applyBorder="1" applyAlignment="1">
      <alignment horizontal="center" vertical="center"/>
    </xf>
    <xf numFmtId="0" fontId="29" fillId="24" borderId="15" xfId="46" applyFont="1" applyFill="1" applyBorder="1" applyAlignment="1">
      <alignment horizontal="center" vertical="center"/>
    </xf>
    <xf numFmtId="0" fontId="28" fillId="24" borderId="0" xfId="46" applyFont="1" applyFill="1" applyBorder="1" applyAlignment="1">
      <alignment horizontal="left"/>
    </xf>
    <xf numFmtId="0" fontId="28" fillId="0" borderId="0" xfId="46" applyFont="1" applyBorder="1" applyAlignment="1">
      <alignment horizontal="left" wrapText="1"/>
    </xf>
    <xf numFmtId="0" fontId="46" fillId="0" borderId="32" xfId="46" applyFont="1" applyBorder="1" applyAlignment="1">
      <alignment horizontal="center" vertical="center"/>
    </xf>
    <xf numFmtId="0" fontId="46" fillId="0" borderId="15" xfId="46" applyFont="1" applyBorder="1" applyAlignment="1">
      <alignment horizontal="center" vertical="center"/>
    </xf>
    <xf numFmtId="0" fontId="27" fillId="0" borderId="0" xfId="45" applyFont="1" applyBorder="1" applyAlignment="1">
      <alignment horizontal="left"/>
    </xf>
    <xf numFmtId="0" fontId="28" fillId="24" borderId="0" xfId="45" applyFont="1" applyFill="1" applyBorder="1" applyAlignment="1">
      <alignment horizontal="left"/>
    </xf>
    <xf numFmtId="0" fontId="29" fillId="0" borderId="0" xfId="46" applyFont="1" applyFill="1" applyBorder="1" applyAlignment="1">
      <alignment horizontal="center" vertical="center" wrapText="1"/>
    </xf>
    <xf numFmtId="0" fontId="29" fillId="0" borderId="0" xfId="46" applyFont="1" applyBorder="1" applyAlignment="1">
      <alignment horizontal="center" vertical="center" wrapText="1"/>
    </xf>
    <xf numFmtId="0" fontId="43" fillId="0" borderId="0" xfId="46" applyFont="1" applyBorder="1" applyAlignment="1">
      <alignment horizontal="left"/>
    </xf>
    <xf numFmtId="3" fontId="27" fillId="0" borderId="0" xfId="46" applyNumberFormat="1" applyFont="1" applyBorder="1" applyAlignment="1">
      <alignment horizontal="left"/>
    </xf>
    <xf numFmtId="3" fontId="28" fillId="0" borderId="0" xfId="46" applyNumberFormat="1" applyFont="1" applyBorder="1" applyAlignment="1">
      <alignment horizontal="left"/>
    </xf>
    <xf numFmtId="0" fontId="29" fillId="37" borderId="0" xfId="46" applyFont="1" applyFill="1" applyBorder="1" applyAlignment="1">
      <alignment horizontal="center"/>
    </xf>
    <xf numFmtId="165" fontId="28" fillId="0" borderId="0" xfId="55" applyNumberFormat="1" applyFont="1" applyFill="1" applyBorder="1" applyAlignment="1">
      <alignment horizontal="left" wrapText="1"/>
    </xf>
    <xf numFmtId="3" fontId="29" fillId="0" borderId="0" xfId="46" applyNumberFormat="1" applyFont="1" applyBorder="1" applyAlignment="1">
      <alignment horizontal="center" vertical="center"/>
    </xf>
    <xf numFmtId="3" fontId="29" fillId="37" borderId="0" xfId="46" applyNumberFormat="1" applyFont="1" applyFill="1" applyBorder="1" applyAlignment="1">
      <alignment horizontal="center"/>
    </xf>
    <xf numFmtId="49" fontId="28" fillId="24" borderId="10" xfId="46" applyNumberFormat="1" applyFont="1" applyFill="1" applyBorder="1" applyAlignment="1">
      <alignment horizontal="left" vertical="distributed"/>
    </xf>
    <xf numFmtId="0" fontId="28" fillId="24" borderId="11" xfId="45" applyFont="1" applyFill="1" applyBorder="1" applyAlignment="1">
      <alignment horizontal="left" vertical="distributed" wrapText="1"/>
    </xf>
    <xf numFmtId="3" fontId="28" fillId="24" borderId="11" xfId="45" applyNumberFormat="1" applyFont="1" applyFill="1" applyBorder="1" applyAlignment="1">
      <alignment horizontal="left" vertical="distributed" wrapText="1"/>
    </xf>
    <xf numFmtId="3" fontId="30" fillId="24" borderId="11" xfId="0" applyNumberFormat="1" applyFont="1" applyFill="1" applyBorder="1" applyAlignment="1">
      <alignment horizontal="left" vertical="distributed" wrapText="1"/>
    </xf>
    <xf numFmtId="0" fontId="30" fillId="24" borderId="11" xfId="0" applyFont="1" applyFill="1" applyBorder="1" applyAlignment="1">
      <alignment horizontal="left" vertical="distributed" wrapText="1"/>
    </xf>
    <xf numFmtId="0" fontId="30" fillId="24" borderId="12" xfId="0" applyFont="1" applyFill="1" applyBorder="1" applyAlignment="1">
      <alignment horizontal="left" vertical="distributed" wrapText="1"/>
    </xf>
    <xf numFmtId="0" fontId="30" fillId="24" borderId="14" xfId="0" applyFont="1" applyFill="1" applyBorder="1" applyAlignment="1">
      <alignment horizontal="left" vertical="distributed"/>
    </xf>
    <xf numFmtId="0" fontId="28" fillId="0" borderId="0" xfId="0" applyFont="1" applyAlignment="1">
      <alignment horizontal="left" vertical="distributed"/>
    </xf>
    <xf numFmtId="0" fontId="28" fillId="24" borderId="0" xfId="0" applyFont="1" applyFill="1" applyAlignment="1">
      <alignment horizontal="left" vertical="distributed"/>
    </xf>
    <xf numFmtId="0" fontId="28" fillId="24" borderId="0" xfId="0" applyFont="1" applyFill="1" applyBorder="1" applyAlignment="1">
      <alignment horizontal="left" vertical="distributed"/>
    </xf>
    <xf numFmtId="0" fontId="28" fillId="24" borderId="0" xfId="46" applyFont="1" applyFill="1" applyBorder="1" applyAlignment="1">
      <alignment horizontal="center" vertical="top"/>
    </xf>
    <xf numFmtId="0" fontId="28" fillId="24" borderId="0" xfId="46" applyFont="1" applyFill="1" applyBorder="1" applyAlignment="1">
      <alignment horizontal="left" vertical="top"/>
    </xf>
    <xf numFmtId="0" fontId="30" fillId="24" borderId="0" xfId="0" applyFont="1" applyFill="1" applyAlignment="1">
      <alignment horizontal="center" vertical="top"/>
    </xf>
    <xf numFmtId="0" fontId="30" fillId="24" borderId="0" xfId="0" applyFont="1" applyFill="1" applyBorder="1" applyAlignment="1">
      <alignment horizontal="left" vertical="top"/>
    </xf>
    <xf numFmtId="0" fontId="30" fillId="24" borderId="0" xfId="0" applyFont="1" applyFill="1" applyAlignment="1">
      <alignment horizontal="left" vertical="top"/>
    </xf>
    <xf numFmtId="0" fontId="30" fillId="0" borderId="0" xfId="0" applyFont="1" applyAlignment="1">
      <alignment horizontal="left" vertical="top"/>
    </xf>
    <xf numFmtId="0" fontId="30" fillId="0" borderId="0" xfId="0" applyFont="1" applyAlignment="1">
      <alignment horizontal="center" vertical="top"/>
    </xf>
    <xf numFmtId="0" fontId="30" fillId="0" borderId="0" xfId="0" applyFont="1" applyAlignment="1">
      <alignment horizontal="distributed" vertical="top"/>
    </xf>
    <xf numFmtId="4" fontId="30" fillId="0" borderId="0" xfId="0" applyNumberFormat="1" applyFont="1" applyAlignment="1">
      <alignment horizontal="distributed" vertical="top"/>
    </xf>
    <xf numFmtId="10" fontId="30" fillId="0" borderId="0" xfId="0" applyNumberFormat="1" applyFont="1" applyAlignment="1">
      <alignment horizontal="distributed" vertical="top"/>
    </xf>
    <xf numFmtId="2" fontId="30" fillId="0" borderId="0" xfId="0" applyNumberFormat="1" applyFont="1" applyAlignment="1">
      <alignment horizontal="distributed" vertical="top"/>
    </xf>
    <xf numFmtId="0" fontId="28" fillId="0" borderId="0" xfId="46" applyFont="1" applyFill="1" applyBorder="1" applyAlignment="1">
      <alignment horizontal="center" vertical="top"/>
    </xf>
    <xf numFmtId="0" fontId="28" fillId="0" borderId="0" xfId="46" applyFont="1" applyFill="1" applyBorder="1" applyAlignment="1">
      <alignment horizontal="left" vertical="top"/>
    </xf>
    <xf numFmtId="0" fontId="28" fillId="0" borderId="0" xfId="46" applyFont="1" applyBorder="1" applyAlignment="1">
      <alignment horizontal="left" vertical="top"/>
    </xf>
    <xf numFmtId="0" fontId="28" fillId="0" borderId="0" xfId="46" applyFont="1" applyBorder="1" applyAlignment="1">
      <alignment horizontal="distributed" vertical="top"/>
    </xf>
    <xf numFmtId="0" fontId="37" fillId="24" borderId="0" xfId="0" applyFont="1" applyFill="1" applyBorder="1" applyAlignment="1">
      <alignment horizontal="left" vertical="top"/>
    </xf>
    <xf numFmtId="0" fontId="37" fillId="24" borderId="0" xfId="0" applyFont="1" applyFill="1" applyAlignment="1">
      <alignment horizontal="left" vertical="top"/>
    </xf>
    <xf numFmtId="165" fontId="30" fillId="0" borderId="0" xfId="55" applyNumberFormat="1" applyFont="1" applyAlignment="1">
      <alignment horizontal="left" vertical="top"/>
    </xf>
    <xf numFmtId="4" fontId="30" fillId="24" borderId="0" xfId="0" applyNumberFormat="1" applyFont="1" applyFill="1" applyAlignment="1">
      <alignment horizontal="distributed" vertical="top"/>
    </xf>
    <xf numFmtId="49" fontId="28" fillId="24" borderId="15" xfId="46" applyNumberFormat="1" applyFont="1" applyFill="1" applyBorder="1" applyAlignment="1">
      <alignment horizontal="center" vertical="top"/>
    </xf>
    <xf numFmtId="0" fontId="28" fillId="24" borderId="15" xfId="45" applyFont="1" applyFill="1" applyBorder="1" applyAlignment="1">
      <alignment horizontal="left" vertical="top" wrapText="1"/>
    </xf>
    <xf numFmtId="3" fontId="28" fillId="24" borderId="15" xfId="45" applyNumberFormat="1" applyFont="1" applyFill="1" applyBorder="1" applyAlignment="1">
      <alignment horizontal="left" vertical="top" wrapText="1"/>
    </xf>
    <xf numFmtId="3" fontId="28" fillId="24" borderId="15" xfId="45" applyNumberFormat="1" applyFont="1" applyFill="1" applyBorder="1" applyAlignment="1">
      <alignment horizontal="distributed" vertical="top" wrapText="1"/>
    </xf>
    <xf numFmtId="10" fontId="28" fillId="24" borderId="15" xfId="45" applyNumberFormat="1" applyFont="1" applyFill="1" applyBorder="1" applyAlignment="1">
      <alignment horizontal="distributed" vertical="top" wrapText="1"/>
    </xf>
    <xf numFmtId="0" fontId="30" fillId="24" borderId="0" xfId="0" applyFont="1" applyFill="1" applyAlignment="1">
      <alignment horizontal="distributed" vertical="top"/>
    </xf>
    <xf numFmtId="10" fontId="30" fillId="24" borderId="0" xfId="0" applyNumberFormat="1" applyFont="1" applyFill="1" applyAlignment="1">
      <alignment horizontal="distributed" vertical="top"/>
    </xf>
    <xf numFmtId="10" fontId="35" fillId="35" borderId="15" xfId="45" applyNumberFormat="1" applyFont="1" applyFill="1" applyBorder="1" applyAlignment="1">
      <alignment horizontal="center" vertical="center" wrapText="1"/>
    </xf>
    <xf numFmtId="0" fontId="28" fillId="24" borderId="0" xfId="0" applyFont="1" applyFill="1" applyBorder="1" applyAlignment="1">
      <alignment horizontal="left" vertical="top"/>
    </xf>
    <xf numFmtId="0" fontId="28" fillId="24" borderId="0" xfId="0" applyFont="1" applyFill="1" applyAlignment="1">
      <alignment horizontal="left" vertical="top"/>
    </xf>
    <xf numFmtId="0" fontId="28" fillId="0" borderId="0" xfId="45" applyFont="1" applyFill="1" applyBorder="1" applyAlignment="1">
      <alignment horizontal="left" vertical="top" wrapText="1"/>
    </xf>
    <xf numFmtId="0" fontId="28" fillId="0" borderId="0" xfId="45" applyFont="1" applyFill="1" applyBorder="1" applyAlignment="1">
      <alignment horizontal="distributed" vertical="top" wrapText="1"/>
    </xf>
    <xf numFmtId="3" fontId="28" fillId="24" borderId="0" xfId="45" applyNumberFormat="1" applyFont="1" applyFill="1" applyBorder="1" applyAlignment="1">
      <alignment horizontal="distributed" vertical="top" wrapText="1"/>
    </xf>
    <xf numFmtId="10" fontId="28" fillId="0" borderId="0" xfId="45" applyNumberFormat="1" applyFont="1" applyFill="1" applyBorder="1" applyAlignment="1">
      <alignment horizontal="left" vertical="top" wrapText="1"/>
    </xf>
    <xf numFmtId="4" fontId="28" fillId="0" borderId="0" xfId="45" applyNumberFormat="1" applyFont="1" applyFill="1" applyBorder="1" applyAlignment="1">
      <alignment horizontal="distributed" vertical="top" wrapText="1"/>
    </xf>
    <xf numFmtId="10" fontId="28" fillId="0" borderId="0" xfId="45" applyNumberFormat="1" applyFont="1" applyFill="1" applyBorder="1" applyAlignment="1">
      <alignment horizontal="distributed" vertical="top" wrapText="1"/>
    </xf>
    <xf numFmtId="0" fontId="30" fillId="24" borderId="14" xfId="0" applyFont="1" applyFill="1" applyBorder="1" applyAlignment="1">
      <alignment horizontal="left" vertical="top"/>
    </xf>
    <xf numFmtId="0" fontId="28" fillId="24" borderId="0" xfId="46" applyFont="1" applyFill="1" applyBorder="1" applyAlignment="1">
      <alignment horizontal="left" vertical="top" wrapText="1"/>
    </xf>
    <xf numFmtId="0" fontId="28" fillId="24" borderId="0" xfId="46" applyFont="1" applyFill="1" applyBorder="1" applyAlignment="1">
      <alignment horizontal="distributed" vertical="top"/>
    </xf>
    <xf numFmtId="3" fontId="28" fillId="24" borderId="0" xfId="46" applyNumberFormat="1" applyFont="1" applyFill="1" applyBorder="1" applyAlignment="1">
      <alignment horizontal="left" vertical="top"/>
    </xf>
    <xf numFmtId="165" fontId="28" fillId="24" borderId="0" xfId="46" applyNumberFormat="1" applyFont="1" applyFill="1" applyBorder="1" applyAlignment="1">
      <alignment horizontal="left" vertical="top"/>
    </xf>
    <xf numFmtId="3" fontId="28" fillId="24" borderId="0" xfId="46" applyNumberFormat="1" applyFont="1" applyFill="1" applyBorder="1" applyAlignment="1">
      <alignment horizontal="distributed" vertical="top"/>
    </xf>
    <xf numFmtId="3" fontId="27" fillId="24" borderId="0" xfId="46" applyNumberFormat="1" applyFont="1" applyFill="1" applyBorder="1" applyAlignment="1">
      <alignment horizontal="left" vertical="top"/>
    </xf>
    <xf numFmtId="165" fontId="27" fillId="24" borderId="0" xfId="46" applyNumberFormat="1" applyFont="1" applyFill="1" applyBorder="1" applyAlignment="1">
      <alignment horizontal="left" vertical="top"/>
    </xf>
    <xf numFmtId="0" fontId="27" fillId="24" borderId="0" xfId="46" applyFont="1" applyFill="1" applyBorder="1" applyAlignment="1">
      <alignment horizontal="left" vertical="top"/>
    </xf>
    <xf numFmtId="165" fontId="28" fillId="24" borderId="0" xfId="46" applyNumberFormat="1" applyFont="1" applyFill="1" applyBorder="1" applyAlignment="1">
      <alignment horizontal="distributed" vertical="top"/>
    </xf>
    <xf numFmtId="165" fontId="28" fillId="24" borderId="0" xfId="55" applyNumberFormat="1" applyFont="1" applyFill="1" applyBorder="1" applyAlignment="1">
      <alignment horizontal="left" vertical="top"/>
    </xf>
    <xf numFmtId="165" fontId="28" fillId="24" borderId="0" xfId="55" applyNumberFormat="1" applyFont="1" applyFill="1" applyBorder="1" applyAlignment="1">
      <alignment horizontal="distributed" vertical="top"/>
    </xf>
    <xf numFmtId="3" fontId="28" fillId="24" borderId="0" xfId="46" applyNumberFormat="1" applyFont="1" applyFill="1" applyBorder="1" applyAlignment="1">
      <alignment horizontal="center" vertical="top"/>
    </xf>
    <xf numFmtId="4" fontId="28" fillId="0" borderId="0" xfId="0" applyNumberFormat="1" applyFont="1" applyAlignment="1">
      <alignment horizontal="left" vertical="distributed"/>
    </xf>
    <xf numFmtId="10" fontId="28" fillId="0" borderId="0" xfId="0" applyNumberFormat="1" applyFont="1" applyAlignment="1">
      <alignment horizontal="left" vertical="distributed"/>
    </xf>
    <xf numFmtId="2" fontId="28" fillId="0" borderId="0" xfId="0" applyNumberFormat="1" applyFont="1" applyAlignment="1">
      <alignment horizontal="left" vertical="distributed"/>
    </xf>
    <xf numFmtId="165" fontId="28" fillId="0" borderId="0" xfId="55" applyNumberFormat="1" applyFont="1" applyAlignment="1">
      <alignment horizontal="left" vertical="distributed"/>
    </xf>
    <xf numFmtId="4" fontId="28" fillId="24" borderId="0" xfId="0" applyNumberFormat="1" applyFont="1" applyFill="1" applyAlignment="1">
      <alignment horizontal="left" vertical="distributed"/>
    </xf>
    <xf numFmtId="0" fontId="44" fillId="41" borderId="24" xfId="45" applyFont="1" applyFill="1" applyBorder="1" applyAlignment="1">
      <alignment horizontal="left" vertical="distributed" wrapText="1"/>
    </xf>
    <xf numFmtId="49" fontId="29" fillId="24" borderId="10" xfId="46" applyNumberFormat="1" applyFont="1" applyFill="1" applyBorder="1" applyAlignment="1">
      <alignment horizontal="left" vertical="distributed"/>
    </xf>
    <xf numFmtId="0" fontId="29" fillId="24" borderId="11" xfId="45" applyFont="1" applyFill="1" applyBorder="1" applyAlignment="1">
      <alignment horizontal="left" vertical="distributed" wrapText="1"/>
    </xf>
    <xf numFmtId="49" fontId="29" fillId="24" borderId="11" xfId="46" applyNumberFormat="1" applyFont="1" applyFill="1" applyBorder="1" applyAlignment="1">
      <alignment horizontal="left" vertical="distributed" wrapText="1"/>
    </xf>
    <xf numFmtId="3" fontId="29" fillId="24" borderId="11" xfId="45" applyNumberFormat="1" applyFont="1" applyFill="1" applyBorder="1" applyAlignment="1">
      <alignment horizontal="left" vertical="distributed" wrapText="1"/>
    </xf>
    <xf numFmtId="3" fontId="29" fillId="24" borderId="11" xfId="0" applyNumberFormat="1" applyFont="1" applyFill="1" applyBorder="1" applyAlignment="1">
      <alignment horizontal="left" vertical="distributed" wrapText="1"/>
    </xf>
    <xf numFmtId="0" fontId="29" fillId="24" borderId="11" xfId="0" applyFont="1" applyFill="1" applyBorder="1" applyAlignment="1">
      <alignment horizontal="left" vertical="distributed" wrapText="1"/>
    </xf>
    <xf numFmtId="14" fontId="29" fillId="24" borderId="11" xfId="0" applyNumberFormat="1" applyFont="1" applyFill="1" applyBorder="1" applyAlignment="1">
      <alignment horizontal="left" vertical="distributed" wrapText="1"/>
    </xf>
    <xf numFmtId="0" fontId="29" fillId="24" borderId="12" xfId="0" applyFont="1" applyFill="1" applyBorder="1" applyAlignment="1">
      <alignment horizontal="left" vertical="distributed" wrapText="1"/>
    </xf>
    <xf numFmtId="0" fontId="29" fillId="24" borderId="0" xfId="0" applyFont="1" applyFill="1" applyBorder="1" applyAlignment="1">
      <alignment horizontal="left" vertical="distributed"/>
    </xf>
    <xf numFmtId="0" fontId="29" fillId="24" borderId="0" xfId="0" applyFont="1" applyFill="1" applyAlignment="1">
      <alignment horizontal="left" vertical="distributed"/>
    </xf>
    <xf numFmtId="164" fontId="28" fillId="24" borderId="15" xfId="55" applyFont="1" applyFill="1" applyBorder="1" applyAlignment="1">
      <alignment horizontal="left" vertical="distributed" wrapText="1"/>
    </xf>
    <xf numFmtId="10" fontId="28" fillId="24" borderId="0" xfId="0" applyNumberFormat="1" applyFont="1" applyFill="1" applyAlignment="1">
      <alignment horizontal="left" vertical="distributed"/>
    </xf>
    <xf numFmtId="10" fontId="44" fillId="41" borderId="15" xfId="45" applyNumberFormat="1" applyFont="1" applyFill="1" applyBorder="1" applyAlignment="1">
      <alignment horizontal="left" vertical="distributed" wrapText="1"/>
    </xf>
    <xf numFmtId="0" fontId="44" fillId="24" borderId="0" xfId="0" applyFont="1" applyFill="1" applyBorder="1" applyAlignment="1">
      <alignment horizontal="left" vertical="distributed"/>
    </xf>
    <xf numFmtId="0" fontId="44" fillId="24" borderId="0" xfId="0" applyFont="1" applyFill="1" applyAlignment="1">
      <alignment horizontal="left" vertical="distributed"/>
    </xf>
    <xf numFmtId="0" fontId="44" fillId="0" borderId="0" xfId="0" applyFont="1" applyAlignment="1">
      <alignment horizontal="left" vertical="distributed"/>
    </xf>
    <xf numFmtId="49" fontId="28" fillId="24" borderId="25" xfId="46" applyNumberFormat="1" applyFont="1" applyFill="1" applyBorder="1" applyAlignment="1">
      <alignment horizontal="left" vertical="distributed"/>
    </xf>
    <xf numFmtId="0" fontId="28" fillId="24" borderId="23" xfId="0" applyFont="1" applyFill="1" applyBorder="1" applyAlignment="1">
      <alignment horizontal="left" vertical="distributed"/>
    </xf>
    <xf numFmtId="0" fontId="28" fillId="24" borderId="21" xfId="0" applyFont="1" applyFill="1" applyBorder="1" applyAlignment="1">
      <alignment horizontal="left" vertical="distributed"/>
    </xf>
    <xf numFmtId="0" fontId="28" fillId="24" borderId="25" xfId="0" applyFont="1" applyFill="1" applyBorder="1" applyAlignment="1">
      <alignment horizontal="left" vertical="distributed"/>
    </xf>
    <xf numFmtId="4" fontId="28" fillId="24" borderId="23" xfId="0" applyNumberFormat="1" applyFont="1" applyFill="1" applyBorder="1" applyAlignment="1">
      <alignment horizontal="left" vertical="distributed"/>
    </xf>
    <xf numFmtId="10" fontId="28" fillId="24" borderId="23" xfId="0" applyNumberFormat="1" applyFont="1" applyFill="1" applyBorder="1" applyAlignment="1">
      <alignment horizontal="left" vertical="distributed"/>
    </xf>
    <xf numFmtId="0" fontId="28" fillId="24" borderId="24" xfId="0" applyFont="1" applyFill="1" applyBorder="1" applyAlignment="1">
      <alignment horizontal="left" vertical="distributed"/>
    </xf>
    <xf numFmtId="49" fontId="28" fillId="24" borderId="15" xfId="46" applyNumberFormat="1" applyFont="1" applyFill="1" applyBorder="1" applyAlignment="1">
      <alignment horizontal="left" vertical="top"/>
    </xf>
    <xf numFmtId="3" fontId="30" fillId="24" borderId="0" xfId="0" applyNumberFormat="1" applyFont="1" applyFill="1" applyAlignment="1">
      <alignment horizontal="distributed" vertical="top"/>
    </xf>
    <xf numFmtId="3" fontId="28" fillId="0" borderId="0" xfId="46" applyNumberFormat="1" applyFont="1" applyFill="1" applyBorder="1" applyAlignment="1">
      <alignment horizontal="left" vertical="top"/>
    </xf>
    <xf numFmtId="165" fontId="28" fillId="0" borderId="0" xfId="46" applyNumberFormat="1" applyFont="1" applyBorder="1" applyAlignment="1">
      <alignment horizontal="left" vertical="top"/>
    </xf>
    <xf numFmtId="165" fontId="28" fillId="30" borderId="0" xfId="46" applyNumberFormat="1" applyFont="1" applyFill="1" applyBorder="1" applyAlignment="1">
      <alignment horizontal="left" vertical="top"/>
    </xf>
    <xf numFmtId="3" fontId="28" fillId="30" borderId="0" xfId="46" applyNumberFormat="1" applyFont="1" applyFill="1" applyBorder="1" applyAlignment="1">
      <alignment horizontal="distributed" vertical="top"/>
    </xf>
    <xf numFmtId="3" fontId="28" fillId="0" borderId="0" xfId="46" applyNumberFormat="1" applyFont="1" applyBorder="1" applyAlignment="1">
      <alignment horizontal="left" vertical="top"/>
    </xf>
    <xf numFmtId="3" fontId="27" fillId="0" borderId="0" xfId="46" applyNumberFormat="1" applyFont="1" applyFill="1" applyBorder="1" applyAlignment="1">
      <alignment horizontal="left" vertical="top"/>
    </xf>
    <xf numFmtId="3" fontId="27" fillId="0" borderId="0" xfId="46" applyNumberFormat="1" applyFont="1" applyBorder="1" applyAlignment="1">
      <alignment horizontal="left" vertical="top"/>
    </xf>
    <xf numFmtId="165" fontId="27" fillId="30" borderId="0" xfId="46" applyNumberFormat="1" applyFont="1" applyFill="1" applyBorder="1" applyAlignment="1">
      <alignment horizontal="left" vertical="top"/>
    </xf>
    <xf numFmtId="165" fontId="27" fillId="0" borderId="0" xfId="46" applyNumberFormat="1" applyFont="1" applyBorder="1" applyAlignment="1">
      <alignment horizontal="left" vertical="top"/>
    </xf>
    <xf numFmtId="3" fontId="28" fillId="0" borderId="0" xfId="46" applyNumberFormat="1" applyFont="1" applyBorder="1" applyAlignment="1">
      <alignment horizontal="distributed" vertical="top"/>
    </xf>
    <xf numFmtId="0" fontId="27" fillId="0" borderId="0" xfId="46" applyFont="1" applyFill="1" applyBorder="1" applyAlignment="1">
      <alignment horizontal="left" vertical="top"/>
    </xf>
    <xf numFmtId="165" fontId="28" fillId="0" borderId="0" xfId="46" applyNumberFormat="1" applyFont="1" applyFill="1" applyBorder="1" applyAlignment="1">
      <alignment horizontal="left" vertical="top"/>
    </xf>
    <xf numFmtId="165" fontId="28" fillId="30" borderId="0" xfId="46" applyNumberFormat="1" applyFont="1" applyFill="1" applyBorder="1" applyAlignment="1">
      <alignment horizontal="distributed" vertical="top"/>
    </xf>
    <xf numFmtId="165" fontId="28" fillId="0" borderId="0" xfId="55" applyNumberFormat="1" applyFont="1" applyBorder="1" applyAlignment="1">
      <alignment horizontal="left" vertical="top"/>
    </xf>
    <xf numFmtId="165" fontId="28" fillId="30" borderId="0" xfId="55" applyNumberFormat="1" applyFont="1" applyFill="1" applyBorder="1" applyAlignment="1">
      <alignment horizontal="left" vertical="top"/>
    </xf>
    <xf numFmtId="165" fontId="28" fillId="0" borderId="0" xfId="55" applyNumberFormat="1" applyFont="1" applyBorder="1" applyAlignment="1">
      <alignment horizontal="distributed" vertical="top"/>
    </xf>
    <xf numFmtId="0" fontId="30" fillId="24" borderId="33" xfId="0" applyFont="1" applyFill="1" applyBorder="1" applyAlignment="1">
      <alignment horizontal="left" vertical="distributed"/>
    </xf>
    <xf numFmtId="10" fontId="35" fillId="35" borderId="24" xfId="45" applyNumberFormat="1" applyFont="1" applyFill="1" applyBorder="1" applyAlignment="1">
      <alignment horizontal="left" vertical="distributed" wrapText="1"/>
    </xf>
    <xf numFmtId="0" fontId="30" fillId="42" borderId="0" xfId="0" applyFont="1" applyFill="1" applyBorder="1" applyAlignment="1">
      <alignment horizontal="left" vertical="distributed"/>
    </xf>
    <xf numFmtId="0" fontId="30" fillId="42" borderId="0" xfId="0" applyFont="1" applyFill="1" applyAlignment="1">
      <alignment horizontal="left" vertical="distributed"/>
    </xf>
    <xf numFmtId="49" fontId="29" fillId="0" borderId="0" xfId="46" applyNumberFormat="1" applyFont="1" applyBorder="1" applyAlignment="1">
      <alignment horizontal="center" vertical="center"/>
    </xf>
    <xf numFmtId="49" fontId="29" fillId="0" borderId="0" xfId="46" applyNumberFormat="1" applyFont="1" applyFill="1" applyBorder="1" applyAlignment="1">
      <alignment horizontal="left" wrapText="1"/>
    </xf>
    <xf numFmtId="0" fontId="28" fillId="24" borderId="0" xfId="45" applyFont="1" applyFill="1" applyBorder="1" applyAlignment="1">
      <alignment horizontal="left" vertical="distributed" wrapText="1"/>
    </xf>
    <xf numFmtId="49" fontId="28" fillId="24" borderId="0" xfId="46" applyNumberFormat="1" applyFont="1" applyFill="1" applyBorder="1" applyAlignment="1">
      <alignment horizontal="left" vertical="distributed" wrapText="1"/>
    </xf>
    <xf numFmtId="0" fontId="53" fillId="0" borderId="0" xfId="45" applyFont="1" applyFill="1" applyBorder="1" applyAlignment="1">
      <alignment horizontal="left" vertical="center" wrapText="1"/>
    </xf>
    <xf numFmtId="0" fontId="28" fillId="24" borderId="0" xfId="1" applyFont="1" applyFill="1" applyBorder="1" applyAlignment="1" applyProtection="1">
      <alignment horizontal="left" vertical="distributed" wrapText="1"/>
    </xf>
    <xf numFmtId="0" fontId="55" fillId="0" borderId="0" xfId="45" applyFont="1" applyFill="1" applyBorder="1" applyAlignment="1">
      <alignment vertical="center" wrapText="1"/>
    </xf>
    <xf numFmtId="49" fontId="28" fillId="24" borderId="24" xfId="46" applyNumberFormat="1" applyFont="1" applyFill="1" applyBorder="1" applyAlignment="1">
      <alignment horizontal="left" vertical="distributed" wrapText="1"/>
    </xf>
    <xf numFmtId="0" fontId="53" fillId="0" borderId="24" xfId="45" applyFont="1" applyFill="1" applyBorder="1" applyAlignment="1">
      <alignment horizontal="left" vertical="center" wrapText="1"/>
    </xf>
    <xf numFmtId="3" fontId="28" fillId="24" borderId="24" xfId="45" applyNumberFormat="1" applyFont="1" applyFill="1" applyBorder="1" applyAlignment="1">
      <alignment horizontal="left" vertical="distributed" wrapText="1"/>
    </xf>
    <xf numFmtId="0" fontId="28" fillId="24" borderId="24" xfId="1" applyFont="1" applyFill="1" applyBorder="1" applyAlignment="1" applyProtection="1">
      <alignment horizontal="left" vertical="distributed" wrapText="1"/>
    </xf>
    <xf numFmtId="0" fontId="55" fillId="0" borderId="35" xfId="45" applyFont="1" applyFill="1" applyBorder="1" applyAlignment="1">
      <alignment vertical="center" wrapText="1"/>
    </xf>
    <xf numFmtId="165" fontId="28" fillId="24" borderId="37" xfId="56" applyNumberFormat="1" applyFont="1" applyFill="1" applyBorder="1" applyAlignment="1">
      <alignment horizontal="center" vertical="center"/>
    </xf>
    <xf numFmtId="165" fontId="28" fillId="24" borderId="37" xfId="55" applyNumberFormat="1" applyFont="1" applyFill="1" applyBorder="1" applyAlignment="1">
      <alignment horizontal="center" vertical="center"/>
    </xf>
    <xf numFmtId="3" fontId="28" fillId="24" borderId="36" xfId="45" applyNumberFormat="1" applyFont="1" applyFill="1" applyBorder="1" applyAlignment="1">
      <alignment horizontal="left" vertical="top" wrapText="1"/>
    </xf>
    <xf numFmtId="165" fontId="27" fillId="0" borderId="0" xfId="55" applyNumberFormat="1" applyFont="1" applyBorder="1" applyAlignment="1">
      <alignment horizontal="left"/>
    </xf>
    <xf numFmtId="3" fontId="45" fillId="0" borderId="0" xfId="46" applyNumberFormat="1" applyFont="1" applyBorder="1" applyAlignment="1">
      <alignment horizontal="center" vertical="center"/>
    </xf>
    <xf numFmtId="165" fontId="30" fillId="24" borderId="0" xfId="0" applyNumberFormat="1" applyFont="1" applyFill="1" applyAlignment="1">
      <alignment horizontal="left" vertical="top"/>
    </xf>
    <xf numFmtId="165" fontId="30" fillId="24" borderId="0" xfId="0" applyNumberFormat="1" applyFont="1" applyFill="1" applyAlignment="1">
      <alignment horizontal="left" vertical="distributed"/>
    </xf>
    <xf numFmtId="0" fontId="30" fillId="0" borderId="0" xfId="0" applyFont="1" applyAlignment="1">
      <alignment horizontal="right" vertical="distributed"/>
    </xf>
    <xf numFmtId="4" fontId="30" fillId="0" borderId="0" xfId="0" applyNumberFormat="1" applyFont="1" applyAlignment="1">
      <alignment horizontal="right" vertical="distributed"/>
    </xf>
    <xf numFmtId="165" fontId="30" fillId="0" borderId="0" xfId="0" applyNumberFormat="1" applyFont="1" applyAlignment="1">
      <alignment horizontal="right" vertical="distributed"/>
    </xf>
    <xf numFmtId="4" fontId="30" fillId="24" borderId="0" xfId="0" applyNumberFormat="1" applyFont="1" applyFill="1" applyAlignment="1">
      <alignment horizontal="right" vertical="distributed"/>
    </xf>
    <xf numFmtId="0" fontId="35" fillId="35" borderId="24" xfId="45" applyFont="1" applyFill="1" applyBorder="1" applyAlignment="1">
      <alignment horizontal="right" vertical="distributed" wrapText="1"/>
    </xf>
    <xf numFmtId="3" fontId="28" fillId="24" borderId="15" xfId="45" applyNumberFormat="1" applyFont="1" applyFill="1" applyBorder="1" applyAlignment="1">
      <alignment horizontal="right" vertical="distributed" wrapText="1"/>
    </xf>
    <xf numFmtId="0" fontId="30" fillId="24" borderId="0" xfId="0" applyFont="1" applyFill="1" applyAlignment="1">
      <alignment horizontal="right" vertical="distributed"/>
    </xf>
    <xf numFmtId="10" fontId="35" fillId="35" borderId="15" xfId="45" applyNumberFormat="1" applyFont="1" applyFill="1" applyBorder="1" applyAlignment="1">
      <alignment horizontal="right" vertical="distributed" wrapText="1"/>
    </xf>
    <xf numFmtId="0" fontId="28" fillId="0" borderId="0" xfId="45" applyFont="1" applyFill="1" applyBorder="1" applyAlignment="1">
      <alignment horizontal="right" vertical="distributed" wrapText="1"/>
    </xf>
    <xf numFmtId="3" fontId="28" fillId="24" borderId="0" xfId="45" applyNumberFormat="1" applyFont="1" applyFill="1" applyBorder="1" applyAlignment="1">
      <alignment horizontal="right" vertical="distributed" wrapText="1"/>
    </xf>
    <xf numFmtId="0" fontId="30" fillId="24" borderId="0" xfId="0" applyFont="1" applyFill="1" applyBorder="1" applyAlignment="1">
      <alignment horizontal="right" vertical="distributed"/>
    </xf>
    <xf numFmtId="3" fontId="28" fillId="24" borderId="0" xfId="46" applyNumberFormat="1" applyFont="1" applyFill="1" applyBorder="1" applyAlignment="1">
      <alignment horizontal="right" vertical="distributed"/>
    </xf>
    <xf numFmtId="0" fontId="28" fillId="24" borderId="0" xfId="46" applyFont="1" applyFill="1" applyBorder="1" applyAlignment="1">
      <alignment horizontal="right" vertical="distributed"/>
    </xf>
    <xf numFmtId="165" fontId="28" fillId="24" borderId="0" xfId="46" applyNumberFormat="1" applyFont="1" applyFill="1" applyBorder="1" applyAlignment="1">
      <alignment horizontal="right" vertical="distributed"/>
    </xf>
    <xf numFmtId="165" fontId="28" fillId="24" borderId="0" xfId="55" applyNumberFormat="1" applyFont="1" applyFill="1" applyBorder="1" applyAlignment="1">
      <alignment horizontal="right" vertical="distributed"/>
    </xf>
    <xf numFmtId="0" fontId="28" fillId="0" borderId="0" xfId="46" applyFont="1" applyBorder="1" applyAlignment="1">
      <alignment horizontal="right" vertical="distributed"/>
    </xf>
    <xf numFmtId="0" fontId="30" fillId="0" borderId="0" xfId="0" applyFont="1" applyAlignment="1">
      <alignment horizontal="right" vertical="distributed" indent="1"/>
    </xf>
    <xf numFmtId="4" fontId="30" fillId="0" borderId="0" xfId="0" applyNumberFormat="1" applyFont="1" applyAlignment="1">
      <alignment horizontal="right" vertical="distributed" indent="1"/>
    </xf>
    <xf numFmtId="10" fontId="30" fillId="0" borderId="0" xfId="0" applyNumberFormat="1" applyFont="1" applyAlignment="1">
      <alignment horizontal="right" vertical="distributed" indent="1"/>
    </xf>
    <xf numFmtId="2" fontId="30" fillId="0" borderId="0" xfId="0" applyNumberFormat="1" applyFont="1" applyAlignment="1">
      <alignment horizontal="right" vertical="distributed" indent="1"/>
    </xf>
    <xf numFmtId="4" fontId="30" fillId="24" borderId="0" xfId="0" applyNumberFormat="1" applyFont="1" applyFill="1" applyAlignment="1">
      <alignment horizontal="right" vertical="distributed" indent="1"/>
    </xf>
    <xf numFmtId="3" fontId="28" fillId="24" borderId="15" xfId="45" applyNumberFormat="1" applyFont="1" applyFill="1" applyBorder="1" applyAlignment="1">
      <alignment horizontal="right" vertical="distributed" wrapText="1" indent="1"/>
    </xf>
    <xf numFmtId="10" fontId="28" fillId="24" borderId="15" xfId="45" applyNumberFormat="1" applyFont="1" applyFill="1" applyBorder="1" applyAlignment="1">
      <alignment horizontal="right" vertical="distributed" wrapText="1" indent="1"/>
    </xf>
    <xf numFmtId="0" fontId="30" fillId="24" borderId="0" xfId="0" applyFont="1" applyFill="1" applyAlignment="1">
      <alignment horizontal="right" vertical="distributed" indent="1"/>
    </xf>
    <xf numFmtId="10" fontId="30" fillId="24" borderId="0" xfId="0" applyNumberFormat="1" applyFont="1" applyFill="1" applyAlignment="1">
      <alignment horizontal="right" vertical="distributed" indent="1"/>
    </xf>
    <xf numFmtId="10" fontId="35" fillId="35" borderId="15" xfId="45" applyNumberFormat="1" applyFont="1" applyFill="1" applyBorder="1" applyAlignment="1">
      <alignment horizontal="right" vertical="distributed" wrapText="1" indent="1"/>
    </xf>
    <xf numFmtId="0" fontId="28" fillId="0" borderId="0" xfId="45" applyFont="1" applyFill="1" applyBorder="1" applyAlignment="1">
      <alignment horizontal="right" vertical="distributed" wrapText="1" indent="1"/>
    </xf>
    <xf numFmtId="3" fontId="28" fillId="24" borderId="0" xfId="45" applyNumberFormat="1" applyFont="1" applyFill="1" applyBorder="1" applyAlignment="1">
      <alignment horizontal="right" vertical="distributed" wrapText="1" indent="1"/>
    </xf>
    <xf numFmtId="4" fontId="28" fillId="0" borderId="0" xfId="45" applyNumberFormat="1" applyFont="1" applyFill="1" applyBorder="1" applyAlignment="1">
      <alignment horizontal="right" vertical="distributed" wrapText="1" indent="1"/>
    </xf>
    <xf numFmtId="10" fontId="28" fillId="0" borderId="0" xfId="45" applyNumberFormat="1" applyFont="1" applyFill="1" applyBorder="1" applyAlignment="1">
      <alignment horizontal="right" vertical="distributed" wrapText="1" indent="1"/>
    </xf>
    <xf numFmtId="0" fontId="28" fillId="24" borderId="0" xfId="46" applyFont="1" applyFill="1" applyBorder="1" applyAlignment="1">
      <alignment horizontal="right" vertical="distributed" indent="1"/>
    </xf>
    <xf numFmtId="165" fontId="28" fillId="24" borderId="0" xfId="55" applyNumberFormat="1" applyFont="1" applyFill="1" applyBorder="1" applyAlignment="1">
      <alignment horizontal="right" vertical="distributed" indent="1"/>
    </xf>
    <xf numFmtId="3" fontId="28" fillId="24" borderId="0" xfId="46" applyNumberFormat="1" applyFont="1" applyFill="1" applyBorder="1" applyAlignment="1">
      <alignment horizontal="right" vertical="distributed" indent="1"/>
    </xf>
    <xf numFmtId="165" fontId="28" fillId="24" borderId="0" xfId="46" applyNumberFormat="1" applyFont="1" applyFill="1" applyBorder="1" applyAlignment="1">
      <alignment horizontal="right" vertical="distributed" indent="1"/>
    </xf>
    <xf numFmtId="0" fontId="28" fillId="0" borderId="0" xfId="46" applyFont="1" applyBorder="1" applyAlignment="1">
      <alignment horizontal="right" vertical="distributed" indent="1"/>
    </xf>
    <xf numFmtId="0" fontId="56" fillId="24" borderId="31" xfId="0" applyFont="1" applyFill="1" applyBorder="1" applyAlignment="1">
      <alignment horizontal="left" vertical="center" wrapText="1"/>
    </xf>
    <xf numFmtId="0" fontId="56" fillId="24" borderId="24" xfId="0" applyFont="1" applyFill="1" applyBorder="1" applyAlignment="1">
      <alignment horizontal="left" vertical="center" wrapText="1"/>
    </xf>
    <xf numFmtId="0" fontId="30" fillId="0" borderId="0" xfId="0" applyFont="1" applyAlignment="1">
      <alignment horizontal="left" vertical="top" wrapText="1"/>
    </xf>
    <xf numFmtId="0" fontId="30" fillId="24" borderId="0" xfId="0" applyFont="1" applyFill="1" applyAlignment="1">
      <alignment horizontal="left" vertical="top" wrapText="1"/>
    </xf>
    <xf numFmtId="0" fontId="30" fillId="24" borderId="0" xfId="0" applyFont="1" applyFill="1" applyBorder="1" applyAlignment="1">
      <alignment horizontal="left" vertical="top" wrapText="1"/>
    </xf>
    <xf numFmtId="3" fontId="27" fillId="24" borderId="0" xfId="46" applyNumberFormat="1" applyFont="1" applyFill="1" applyBorder="1" applyAlignment="1">
      <alignment horizontal="left" vertical="top" wrapText="1"/>
    </xf>
    <xf numFmtId="165" fontId="28" fillId="24" borderId="0" xfId="55" applyNumberFormat="1" applyFont="1" applyFill="1" applyBorder="1" applyAlignment="1">
      <alignment horizontal="left" vertical="top" wrapText="1"/>
    </xf>
    <xf numFmtId="0" fontId="28" fillId="0" borderId="0" xfId="46" applyFont="1" applyBorder="1" applyAlignment="1">
      <alignment horizontal="left" vertical="top" wrapText="1"/>
    </xf>
    <xf numFmtId="49" fontId="28" fillId="24" borderId="11" xfId="46" applyNumberFormat="1" applyFont="1" applyFill="1" applyBorder="1" applyAlignment="1">
      <alignment horizontal="left" vertical="top" wrapText="1"/>
    </xf>
    <xf numFmtId="3" fontId="28" fillId="24" borderId="11" xfId="45" applyNumberFormat="1" applyFont="1" applyFill="1" applyBorder="1" applyAlignment="1">
      <alignment horizontal="left" vertical="top" wrapText="1"/>
    </xf>
    <xf numFmtId="3" fontId="28" fillId="24" borderId="11" xfId="45" applyNumberFormat="1" applyFont="1" applyFill="1" applyBorder="1" applyAlignment="1">
      <alignment horizontal="right" vertical="distributed" wrapText="1"/>
    </xf>
    <xf numFmtId="0" fontId="38" fillId="0" borderId="0" xfId="0" applyFont="1" applyBorder="1" applyAlignment="1">
      <alignment horizontal="center" vertical="center"/>
    </xf>
    <xf numFmtId="49" fontId="34" fillId="0" borderId="0" xfId="0" applyNumberFormat="1" applyFont="1" applyAlignment="1">
      <alignment horizontal="center" vertical="center" wrapText="1"/>
    </xf>
    <xf numFmtId="49" fontId="34" fillId="0" borderId="0" xfId="0" applyNumberFormat="1" applyFont="1" applyAlignment="1">
      <alignment horizontal="center"/>
    </xf>
    <xf numFmtId="0" fontId="34" fillId="0" borderId="0" xfId="0" applyFont="1" applyAlignment="1">
      <alignment horizontal="center" vertical="center" wrapText="1"/>
    </xf>
    <xf numFmtId="0" fontId="34" fillId="0" borderId="0" xfId="0" applyFont="1" applyAlignment="1">
      <alignment horizontal="center"/>
    </xf>
    <xf numFmtId="14" fontId="34" fillId="0" borderId="0" xfId="0" applyNumberFormat="1" applyFont="1" applyAlignment="1">
      <alignment horizontal="center"/>
    </xf>
    <xf numFmtId="0" fontId="35" fillId="41" borderId="24" xfId="45" applyFont="1" applyFill="1" applyBorder="1" applyAlignment="1">
      <alignment horizontal="left" vertical="distributed" wrapText="1"/>
    </xf>
    <xf numFmtId="0" fontId="35" fillId="35" borderId="24" xfId="45" applyFont="1" applyFill="1" applyBorder="1" applyAlignment="1">
      <alignment horizontal="left" vertical="distributed" wrapText="1"/>
    </xf>
    <xf numFmtId="0" fontId="35" fillId="35" borderId="15" xfId="45" applyFont="1" applyFill="1" applyBorder="1" applyAlignment="1">
      <alignment horizontal="left" vertical="distributed" wrapText="1"/>
    </xf>
    <xf numFmtId="0" fontId="28" fillId="24" borderId="0" xfId="46" applyFont="1" applyFill="1" applyBorder="1" applyAlignment="1">
      <alignment horizontal="left" vertical="distributed" wrapText="1"/>
    </xf>
    <xf numFmtId="0" fontId="35" fillId="35" borderId="24" xfId="45" applyFont="1" applyFill="1" applyBorder="1" applyAlignment="1">
      <alignment horizontal="left" vertical="top" wrapText="1"/>
    </xf>
    <xf numFmtId="0" fontId="35" fillId="41" borderId="24" xfId="45" applyFont="1" applyFill="1" applyBorder="1" applyAlignment="1">
      <alignment horizontal="center" vertical="top" wrapText="1"/>
    </xf>
    <xf numFmtId="0" fontId="28" fillId="24" borderId="24" xfId="45" applyFont="1" applyFill="1" applyBorder="1" applyAlignment="1">
      <alignment horizontal="left" vertical="distributed" wrapText="1"/>
    </xf>
    <xf numFmtId="0" fontId="44" fillId="41" borderId="15" xfId="45" applyFont="1" applyFill="1" applyBorder="1" applyAlignment="1">
      <alignment horizontal="left" vertical="distributed" wrapText="1"/>
    </xf>
    <xf numFmtId="0" fontId="39" fillId="0" borderId="0" xfId="45" applyFont="1" applyAlignment="1">
      <alignment horizontal="left" vertical="center" wrapText="1"/>
    </xf>
    <xf numFmtId="0" fontId="41" fillId="35" borderId="0" xfId="1" applyFont="1" applyFill="1" applyBorder="1" applyAlignment="1">
      <alignment horizontal="center" vertical="center"/>
    </xf>
    <xf numFmtId="0" fontId="0" fillId="0" borderId="0" xfId="0" applyFont="1" applyAlignment="1"/>
    <xf numFmtId="0" fontId="38" fillId="0" borderId="0" xfId="0" applyFont="1" applyAlignment="1">
      <alignment horizontal="center"/>
    </xf>
    <xf numFmtId="0" fontId="38" fillId="0" borderId="0" xfId="0" applyFont="1" applyAlignment="1">
      <alignment horizontal="center" vertical="center"/>
    </xf>
    <xf numFmtId="0" fontId="38" fillId="0" borderId="0" xfId="0" applyFont="1" applyBorder="1" applyAlignment="1">
      <alignment horizontal="center" vertical="center"/>
    </xf>
    <xf numFmtId="0" fontId="39" fillId="0" borderId="26" xfId="1" applyFont="1" applyBorder="1" applyAlignment="1">
      <alignment horizontal="center" vertical="center" wrapText="1"/>
    </xf>
    <xf numFmtId="0" fontId="39" fillId="0" borderId="27" xfId="1" applyFont="1" applyBorder="1" applyAlignment="1">
      <alignment horizontal="center" vertical="center" wrapText="1"/>
    </xf>
    <xf numFmtId="0" fontId="39" fillId="0" borderId="28" xfId="1" applyFont="1" applyBorder="1" applyAlignment="1">
      <alignment horizontal="center" vertical="center" wrapText="1"/>
    </xf>
    <xf numFmtId="0" fontId="39" fillId="0" borderId="0" xfId="1" applyFont="1" applyAlignment="1">
      <alignment horizontal="left" vertical="center" wrapText="1"/>
    </xf>
    <xf numFmtId="0" fontId="31" fillId="35" borderId="10" xfId="1" applyFont="1" applyFill="1" applyBorder="1" applyAlignment="1">
      <alignment horizontal="center" vertical="center" wrapText="1"/>
    </xf>
    <xf numFmtId="0" fontId="31" fillId="35" borderId="30" xfId="1" applyFont="1" applyFill="1" applyBorder="1" applyAlignment="1">
      <alignment horizontal="center" vertical="center" wrapText="1"/>
    </xf>
    <xf numFmtId="0" fontId="31" fillId="35" borderId="11" xfId="1" applyFont="1" applyFill="1" applyBorder="1" applyAlignment="1">
      <alignment horizontal="center" vertical="center" wrapText="1"/>
    </xf>
    <xf numFmtId="0" fontId="31" fillId="35" borderId="12" xfId="1" applyFont="1" applyFill="1" applyBorder="1" applyAlignment="1">
      <alignment horizontal="center" vertical="center" wrapText="1"/>
    </xf>
    <xf numFmtId="0" fontId="29" fillId="0" borderId="24" xfId="1" applyFont="1" applyFill="1" applyBorder="1" applyAlignment="1">
      <alignment horizontal="center" vertical="center" wrapText="1"/>
    </xf>
    <xf numFmtId="0" fontId="29" fillId="0" borderId="31" xfId="1" applyFont="1" applyFill="1" applyBorder="1" applyAlignment="1">
      <alignment horizontal="center" vertical="center" wrapText="1"/>
    </xf>
    <xf numFmtId="49" fontId="44" fillId="26" borderId="22" xfId="45" applyNumberFormat="1" applyFont="1" applyFill="1" applyBorder="1" applyAlignment="1">
      <alignment horizontal="center"/>
    </xf>
    <xf numFmtId="49" fontId="34" fillId="0" borderId="0" xfId="0" applyNumberFormat="1" applyFont="1" applyAlignment="1">
      <alignment horizontal="center" vertical="center" wrapText="1"/>
    </xf>
    <xf numFmtId="49" fontId="34" fillId="0" borderId="0" xfId="0" applyNumberFormat="1" applyFont="1" applyAlignment="1">
      <alignment horizontal="center"/>
    </xf>
    <xf numFmtId="0" fontId="29" fillId="27" borderId="13" xfId="0" applyFont="1" applyFill="1" applyBorder="1" applyAlignment="1">
      <alignment horizontal="center" vertical="center"/>
    </xf>
    <xf numFmtId="0" fontId="29" fillId="27" borderId="20" xfId="0" applyFont="1" applyFill="1" applyBorder="1" applyAlignment="1">
      <alignment horizontal="center" vertical="center"/>
    </xf>
    <xf numFmtId="0" fontId="29" fillId="27" borderId="30" xfId="0" applyFont="1" applyFill="1" applyBorder="1" applyAlignment="1">
      <alignment horizontal="center" vertical="center"/>
    </xf>
    <xf numFmtId="0" fontId="29" fillId="28" borderId="11" xfId="0" applyFont="1" applyFill="1" applyBorder="1" applyAlignment="1">
      <alignment horizontal="center" vertical="center"/>
    </xf>
    <xf numFmtId="0" fontId="29" fillId="28" borderId="12" xfId="0" applyFont="1" applyFill="1" applyBorder="1" applyAlignment="1">
      <alignment horizontal="center" vertical="center"/>
    </xf>
    <xf numFmtId="0" fontId="29" fillId="27" borderId="10" xfId="0" applyFont="1" applyFill="1" applyBorder="1" applyAlignment="1">
      <alignment horizontal="center" vertical="center"/>
    </xf>
    <xf numFmtId="0" fontId="34" fillId="0" borderId="0" xfId="0" applyFont="1" applyAlignment="1">
      <alignment horizontal="center" vertical="center" wrapText="1"/>
    </xf>
    <xf numFmtId="0" fontId="34" fillId="0" borderId="0" xfId="0" applyFont="1" applyAlignment="1">
      <alignment horizontal="center"/>
    </xf>
    <xf numFmtId="14" fontId="34" fillId="0" borderId="0" xfId="0" applyNumberFormat="1" applyFont="1" applyAlignment="1">
      <alignment horizontal="center"/>
    </xf>
    <xf numFmtId="0" fontId="34" fillId="24" borderId="0" xfId="0" applyFont="1" applyFill="1" applyAlignment="1">
      <alignment horizontal="left" vertical="distributed" wrapText="1"/>
    </xf>
    <xf numFmtId="0" fontId="29" fillId="24" borderId="0" xfId="45" applyFont="1" applyFill="1" applyBorder="1" applyAlignment="1">
      <alignment horizontal="left" vertical="distributed" wrapText="1"/>
    </xf>
    <xf numFmtId="0" fontId="29" fillId="24" borderId="22" xfId="45" applyFont="1" applyFill="1" applyBorder="1" applyAlignment="1">
      <alignment horizontal="left" vertical="distributed" wrapText="1"/>
    </xf>
    <xf numFmtId="0" fontId="35" fillId="41" borderId="24" xfId="45" applyFont="1" applyFill="1" applyBorder="1" applyAlignment="1">
      <alignment horizontal="left" vertical="distributed" wrapText="1"/>
    </xf>
    <xf numFmtId="0" fontId="35" fillId="41" borderId="15" xfId="45" applyFont="1" applyFill="1" applyBorder="1" applyAlignment="1">
      <alignment horizontal="left" vertical="distributed" wrapText="1"/>
    </xf>
    <xf numFmtId="0" fontId="35" fillId="41" borderId="17" xfId="45" applyFont="1" applyFill="1" applyBorder="1" applyAlignment="1">
      <alignment horizontal="left" vertical="distributed" wrapText="1"/>
    </xf>
    <xf numFmtId="0" fontId="35" fillId="41" borderId="18" xfId="45" applyFont="1" applyFill="1" applyBorder="1" applyAlignment="1">
      <alignment horizontal="left" vertical="distributed" wrapText="1"/>
    </xf>
    <xf numFmtId="0" fontId="35" fillId="41" borderId="19" xfId="45" applyFont="1" applyFill="1" applyBorder="1" applyAlignment="1">
      <alignment horizontal="left" vertical="distributed" wrapText="1"/>
    </xf>
    <xf numFmtId="0" fontId="35" fillId="35" borderId="23" xfId="45" applyFont="1" applyFill="1" applyBorder="1" applyAlignment="1">
      <alignment horizontal="left" vertical="distributed" wrapText="1"/>
    </xf>
    <xf numFmtId="0" fontId="35" fillId="35" borderId="0" xfId="45" applyFont="1" applyFill="1" applyBorder="1" applyAlignment="1">
      <alignment horizontal="left" vertical="distributed" wrapText="1"/>
    </xf>
    <xf numFmtId="0" fontId="35" fillId="35" borderId="22" xfId="45" applyFont="1" applyFill="1" applyBorder="1" applyAlignment="1">
      <alignment horizontal="left" vertical="distributed" wrapText="1"/>
    </xf>
    <xf numFmtId="0" fontId="35" fillId="35" borderId="15" xfId="45" applyFont="1" applyFill="1" applyBorder="1" applyAlignment="1">
      <alignment horizontal="left" vertical="distributed" wrapText="1"/>
    </xf>
    <xf numFmtId="0" fontId="35" fillId="35" borderId="15" xfId="45" applyFont="1" applyFill="1" applyBorder="1" applyAlignment="1">
      <alignment horizontal="left" vertical="top" wrapText="1"/>
    </xf>
    <xf numFmtId="0" fontId="35" fillId="35" borderId="24" xfId="45" applyFont="1" applyFill="1" applyBorder="1" applyAlignment="1">
      <alignment horizontal="left" vertical="distributed" wrapText="1"/>
    </xf>
    <xf numFmtId="0" fontId="35" fillId="35" borderId="24" xfId="45" applyFont="1" applyFill="1" applyBorder="1" applyAlignment="1">
      <alignment horizontal="left" vertical="top" wrapText="1"/>
    </xf>
    <xf numFmtId="0" fontId="35" fillId="35" borderId="34" xfId="45" applyFont="1" applyFill="1" applyBorder="1" applyAlignment="1">
      <alignment horizontal="left" vertical="distributed"/>
    </xf>
    <xf numFmtId="0" fontId="31" fillId="35" borderId="34" xfId="45" applyFont="1" applyFill="1" applyBorder="1" applyAlignment="1">
      <alignment horizontal="left" vertical="distributed" wrapText="1"/>
    </xf>
    <xf numFmtId="0" fontId="28" fillId="24" borderId="0" xfId="46" applyFont="1" applyFill="1" applyBorder="1" applyAlignment="1">
      <alignment horizontal="left" vertical="distributed" wrapText="1"/>
    </xf>
    <xf numFmtId="0" fontId="35" fillId="35" borderId="17" xfId="45" applyFont="1" applyFill="1" applyBorder="1" applyAlignment="1">
      <alignment horizontal="left" vertical="distributed" wrapText="1"/>
    </xf>
    <xf numFmtId="0" fontId="35" fillId="35" borderId="18" xfId="45" applyFont="1" applyFill="1" applyBorder="1" applyAlignment="1">
      <alignment horizontal="left" vertical="distributed" wrapText="1"/>
    </xf>
    <xf numFmtId="0" fontId="35" fillId="35" borderId="19" xfId="45" applyFont="1" applyFill="1" applyBorder="1" applyAlignment="1">
      <alignment horizontal="left" vertical="distributed" wrapText="1"/>
    </xf>
    <xf numFmtId="0" fontId="35" fillId="35" borderId="24" xfId="45" applyFont="1" applyFill="1" applyBorder="1" applyAlignment="1">
      <alignment horizontal="center" vertical="top" wrapText="1"/>
    </xf>
    <xf numFmtId="0" fontId="35" fillId="35" borderId="15" xfId="45" applyFont="1" applyFill="1" applyBorder="1" applyAlignment="1">
      <alignment horizontal="center" vertical="top" wrapText="1"/>
    </xf>
    <xf numFmtId="0" fontId="34" fillId="24" borderId="0" xfId="0" applyFont="1" applyFill="1" applyAlignment="1">
      <alignment horizontal="center" vertical="top" wrapText="1"/>
    </xf>
    <xf numFmtId="0" fontId="29" fillId="24" borderId="0" xfId="45" applyFont="1" applyFill="1" applyBorder="1" applyAlignment="1">
      <alignment horizontal="center" vertical="top" wrapText="1"/>
    </xf>
    <xf numFmtId="0" fontId="29" fillId="24" borderId="22" xfId="45" applyFont="1" applyFill="1" applyBorder="1" applyAlignment="1">
      <alignment horizontal="center" vertical="top" wrapText="1"/>
    </xf>
    <xf numFmtId="0" fontId="35" fillId="41" borderId="17" xfId="45" applyFont="1" applyFill="1" applyBorder="1" applyAlignment="1">
      <alignment horizontal="left" vertical="top" wrapText="1"/>
    </xf>
    <xf numFmtId="0" fontId="35" fillId="41" borderId="18" xfId="45" applyFont="1" applyFill="1" applyBorder="1" applyAlignment="1">
      <alignment horizontal="left" vertical="top" wrapText="1"/>
    </xf>
    <xf numFmtId="0" fontId="35" fillId="41" borderId="19" xfId="45" applyFont="1" applyFill="1" applyBorder="1" applyAlignment="1">
      <alignment horizontal="left" vertical="top" wrapText="1"/>
    </xf>
    <xf numFmtId="0" fontId="35" fillId="35" borderId="23" xfId="45" applyFont="1" applyFill="1" applyBorder="1" applyAlignment="1">
      <alignment horizontal="center" vertical="top" wrapText="1"/>
    </xf>
    <xf numFmtId="0" fontId="35" fillId="35" borderId="0" xfId="45" applyFont="1" applyFill="1" applyBorder="1" applyAlignment="1">
      <alignment horizontal="center" vertical="top" wrapText="1"/>
    </xf>
    <xf numFmtId="0" fontId="35" fillId="35" borderId="22" xfId="45" applyFont="1" applyFill="1" applyBorder="1" applyAlignment="1">
      <alignment horizontal="center" vertical="top" wrapText="1"/>
    </xf>
    <xf numFmtId="0" fontId="35" fillId="35" borderId="15" xfId="45" applyFont="1" applyFill="1" applyBorder="1" applyAlignment="1">
      <alignment horizontal="center" vertical="center" wrapText="1"/>
    </xf>
    <xf numFmtId="0" fontId="35" fillId="41" borderId="15" xfId="45" applyFont="1" applyFill="1" applyBorder="1" applyAlignment="1">
      <alignment horizontal="center" vertical="center" wrapText="1"/>
    </xf>
    <xf numFmtId="0" fontId="35" fillId="41" borderId="24" xfId="45" applyFont="1" applyFill="1" applyBorder="1" applyAlignment="1">
      <alignment horizontal="center" vertical="top" wrapText="1"/>
    </xf>
    <xf numFmtId="0" fontId="35" fillId="41" borderId="15" xfId="45" applyFont="1" applyFill="1" applyBorder="1" applyAlignment="1">
      <alignment horizontal="center" vertical="top" wrapText="1"/>
    </xf>
    <xf numFmtId="0" fontId="29" fillId="24" borderId="0" xfId="0" applyFont="1" applyFill="1" applyAlignment="1">
      <alignment horizontal="left" vertical="distributed" wrapText="1"/>
    </xf>
    <xf numFmtId="0" fontId="44" fillId="41" borderId="17" xfId="45" applyFont="1" applyFill="1" applyBorder="1" applyAlignment="1">
      <alignment horizontal="left" vertical="distributed" wrapText="1"/>
    </xf>
    <xf numFmtId="0" fontId="44" fillId="41" borderId="18" xfId="45" applyFont="1" applyFill="1" applyBorder="1" applyAlignment="1">
      <alignment horizontal="left" vertical="distributed" wrapText="1"/>
    </xf>
    <xf numFmtId="0" fontId="44" fillId="41" borderId="19" xfId="45" applyFont="1" applyFill="1" applyBorder="1" applyAlignment="1">
      <alignment horizontal="left" vertical="distributed" wrapText="1"/>
    </xf>
    <xf numFmtId="0" fontId="44" fillId="41" borderId="23" xfId="45" applyFont="1" applyFill="1" applyBorder="1" applyAlignment="1">
      <alignment horizontal="left" vertical="distributed" wrapText="1"/>
    </xf>
    <xf numFmtId="0" fontId="44" fillId="41" borderId="0" xfId="45" applyFont="1" applyFill="1" applyBorder="1" applyAlignment="1">
      <alignment horizontal="left" vertical="distributed" wrapText="1"/>
    </xf>
    <xf numFmtId="0" fontId="44" fillId="41" borderId="22" xfId="45" applyFont="1" applyFill="1" applyBorder="1" applyAlignment="1">
      <alignment horizontal="left" vertical="distributed" wrapText="1"/>
    </xf>
    <xf numFmtId="0" fontId="44" fillId="41" borderId="15" xfId="45" applyFont="1" applyFill="1" applyBorder="1" applyAlignment="1">
      <alignment horizontal="left" vertical="distributed" wrapText="1"/>
    </xf>
    <xf numFmtId="0" fontId="28" fillId="24" borderId="24" xfId="45" applyFont="1" applyFill="1" applyBorder="1" applyAlignment="1">
      <alignment horizontal="left" vertical="distributed" wrapText="1"/>
    </xf>
    <xf numFmtId="0" fontId="40" fillId="0" borderId="38" xfId="0" applyFont="1" applyBorder="1"/>
    <xf numFmtId="0" fontId="39" fillId="0" borderId="38" xfId="1" applyFont="1" applyBorder="1" applyAlignment="1">
      <alignment horizontal="center" wrapText="1"/>
    </xf>
    <xf numFmtId="0" fontId="0" fillId="0" borderId="38" xfId="0" applyFont="1" applyBorder="1"/>
    <xf numFmtId="0" fontId="39" fillId="0" borderId="38" xfId="1" applyFont="1" applyBorder="1" applyAlignment="1">
      <alignment horizontal="center" vertical="center" wrapText="1"/>
    </xf>
    <xf numFmtId="0" fontId="39" fillId="0" borderId="38" xfId="1" applyFont="1" applyBorder="1" applyAlignment="1">
      <alignment vertical="center"/>
    </xf>
    <xf numFmtId="0" fontId="39" fillId="0" borderId="39" xfId="1" applyFont="1" applyBorder="1" applyAlignment="1">
      <alignment vertical="center"/>
    </xf>
    <xf numFmtId="0" fontId="39" fillId="0" borderId="40" xfId="1" applyFont="1" applyBorder="1" applyAlignment="1">
      <alignment vertical="center"/>
    </xf>
    <xf numFmtId="0" fontId="39" fillId="0" borderId="41" xfId="1" applyFont="1" applyBorder="1" applyAlignment="1">
      <alignment vertical="center"/>
    </xf>
    <xf numFmtId="0" fontId="39" fillId="0" borderId="42" xfId="1" applyFont="1" applyBorder="1" applyAlignment="1">
      <alignment horizontal="center" vertical="center"/>
    </xf>
    <xf numFmtId="0" fontId="39" fillId="0" borderId="38" xfId="1" applyFont="1" applyBorder="1" applyAlignment="1">
      <alignment vertical="center"/>
    </xf>
    <xf numFmtId="0" fontId="0" fillId="0" borderId="38" xfId="0" applyFont="1" applyBorder="1" applyAlignment="1"/>
    <xf numFmtId="0" fontId="42" fillId="0" borderId="38" xfId="1" applyFont="1" applyBorder="1" applyAlignment="1">
      <alignment vertical="center"/>
    </xf>
    <xf numFmtId="0" fontId="39" fillId="0" borderId="43" xfId="1" applyFont="1" applyBorder="1" applyAlignment="1">
      <alignment horizontal="center" vertical="center"/>
    </xf>
    <xf numFmtId="0" fontId="31" fillId="35" borderId="42" xfId="1" applyFont="1" applyFill="1" applyBorder="1" applyAlignment="1">
      <alignment horizontal="center" vertical="center" wrapText="1"/>
    </xf>
    <xf numFmtId="0" fontId="31" fillId="35" borderId="44" xfId="1" applyFont="1" applyFill="1" applyBorder="1" applyAlignment="1">
      <alignment horizontal="center" vertical="center" wrapText="1"/>
    </xf>
    <xf numFmtId="0" fontId="31" fillId="35" borderId="38" xfId="1" applyFont="1" applyFill="1" applyBorder="1" applyAlignment="1">
      <alignment horizontal="center" vertical="center" wrapText="1"/>
    </xf>
    <xf numFmtId="0" fontId="31" fillId="35" borderId="39" xfId="1" applyFont="1" applyFill="1" applyBorder="1" applyAlignment="1">
      <alignment horizontal="center" vertical="center" wrapText="1"/>
    </xf>
    <xf numFmtId="0" fontId="29" fillId="0" borderId="43" xfId="1" applyFont="1" applyFill="1" applyBorder="1" applyAlignment="1">
      <alignment horizontal="left" vertical="center" wrapText="1"/>
    </xf>
    <xf numFmtId="0" fontId="29" fillId="0" borderId="45" xfId="1" applyFont="1" applyFill="1" applyBorder="1" applyAlignment="1">
      <alignment horizontal="left" vertical="center" wrapText="1"/>
    </xf>
    <xf numFmtId="0" fontId="28" fillId="0" borderId="40" xfId="1" applyFont="1" applyFill="1" applyBorder="1" applyAlignment="1">
      <alignment horizontal="left" vertical="center" wrapText="1"/>
    </xf>
    <xf numFmtId="0" fontId="28" fillId="0" borderId="41" xfId="1" applyFont="1" applyFill="1" applyBorder="1" applyAlignment="1">
      <alignment horizontal="left" vertical="center" wrapText="1"/>
    </xf>
    <xf numFmtId="0" fontId="28" fillId="0" borderId="40" xfId="1" applyFont="1" applyFill="1" applyBorder="1" applyAlignment="1">
      <alignment horizontal="center" vertical="center" wrapText="1"/>
    </xf>
    <xf numFmtId="0" fontId="28" fillId="0" borderId="41" xfId="1" applyFont="1" applyFill="1" applyBorder="1" applyAlignment="1">
      <alignment horizontal="center" vertical="center" wrapText="1"/>
    </xf>
    <xf numFmtId="0" fontId="28" fillId="0" borderId="42" xfId="1" quotePrefix="1" applyFont="1" applyBorder="1" applyAlignment="1" applyProtection="1"/>
    <xf numFmtId="0" fontId="28" fillId="0" borderId="44" xfId="1" quotePrefix="1" applyFont="1" applyBorder="1" applyAlignment="1" applyProtection="1"/>
    <xf numFmtId="166" fontId="28" fillId="0" borderId="38" xfId="1" applyNumberFormat="1" applyFont="1" applyFill="1" applyBorder="1" applyAlignment="1">
      <alignment horizontal="right" vertical="center" wrapText="1"/>
    </xf>
    <xf numFmtId="167" fontId="28" fillId="0" borderId="39" xfId="1" applyNumberFormat="1" applyFont="1" applyFill="1" applyBorder="1" applyAlignment="1">
      <alignment horizontal="right" vertical="center" wrapText="1"/>
    </xf>
    <xf numFmtId="0" fontId="28" fillId="24" borderId="42" xfId="1" quotePrefix="1" applyFont="1" applyFill="1" applyBorder="1" applyAlignment="1" applyProtection="1"/>
    <xf numFmtId="0" fontId="28" fillId="24" borderId="38" xfId="1" quotePrefix="1" applyFont="1" applyFill="1" applyBorder="1" applyAlignment="1" applyProtection="1"/>
    <xf numFmtId="166" fontId="28" fillId="24" borderId="38" xfId="1" applyNumberFormat="1" applyFont="1" applyFill="1" applyBorder="1" applyAlignment="1">
      <alignment horizontal="right" vertical="center" wrapText="1"/>
    </xf>
    <xf numFmtId="0" fontId="30" fillId="24" borderId="38" xfId="0" applyFont="1" applyFill="1" applyBorder="1"/>
    <xf numFmtId="0" fontId="28" fillId="24" borderId="42" xfId="1" applyFont="1" applyFill="1" applyBorder="1" applyAlignment="1" applyProtection="1"/>
    <xf numFmtId="0" fontId="28" fillId="0" borderId="42" xfId="1" applyFont="1" applyBorder="1" applyAlignment="1" applyProtection="1"/>
    <xf numFmtId="0" fontId="28" fillId="0" borderId="44" xfId="1" applyFont="1" applyBorder="1" applyAlignment="1" applyProtection="1"/>
    <xf numFmtId="166" fontId="30" fillId="0" borderId="38" xfId="1" applyNumberFormat="1" applyFont="1" applyFill="1" applyBorder="1" applyAlignment="1">
      <alignment horizontal="right" vertical="center" wrapText="1"/>
    </xf>
    <xf numFmtId="0" fontId="31" fillId="35" borderId="43" xfId="1" applyFont="1" applyFill="1" applyBorder="1" applyAlignment="1">
      <alignment horizontal="center" vertical="center" wrapText="1"/>
    </xf>
    <xf numFmtId="0" fontId="31" fillId="35" borderId="45" xfId="1" applyFont="1" applyFill="1" applyBorder="1" applyAlignment="1">
      <alignment horizontal="center" vertical="center" wrapText="1"/>
    </xf>
    <xf numFmtId="167" fontId="31" fillId="35" borderId="40" xfId="1" applyNumberFormat="1" applyFont="1" applyFill="1" applyBorder="1" applyAlignment="1">
      <alignment horizontal="right" vertical="center" wrapText="1"/>
    </xf>
    <xf numFmtId="167" fontId="31" fillId="35" borderId="41" xfId="1" applyNumberFormat="1" applyFont="1" applyFill="1" applyBorder="1" applyAlignment="1">
      <alignment horizontal="right" vertical="center" wrapText="1"/>
    </xf>
    <xf numFmtId="166" fontId="31" fillId="0" borderId="41" xfId="1" applyNumberFormat="1" applyFont="1" applyFill="1" applyBorder="1" applyAlignment="1">
      <alignment horizontal="right" vertical="center" wrapText="1"/>
    </xf>
    <xf numFmtId="0" fontId="31" fillId="35" borderId="46" xfId="1" applyFont="1" applyFill="1" applyBorder="1" applyAlignment="1">
      <alignment horizontal="center" vertical="center" wrapText="1"/>
    </xf>
    <xf numFmtId="0" fontId="28" fillId="0" borderId="38" xfId="46" applyFont="1" applyFill="1" applyBorder="1" applyAlignment="1">
      <alignment horizontal="right"/>
    </xf>
    <xf numFmtId="0" fontId="28" fillId="0" borderId="38" xfId="1" applyFont="1" applyBorder="1" applyAlignment="1">
      <alignment vertical="center" wrapText="1"/>
    </xf>
    <xf numFmtId="0" fontId="30" fillId="0" borderId="38" xfId="0" applyFont="1" applyBorder="1" applyAlignment="1">
      <alignment wrapText="1"/>
    </xf>
    <xf numFmtId="166" fontId="30" fillId="0" borderId="38" xfId="0" applyNumberFormat="1" applyFont="1" applyBorder="1" applyAlignment="1">
      <alignment wrapText="1"/>
    </xf>
    <xf numFmtId="166" fontId="28" fillId="0" borderId="46" xfId="1" applyNumberFormat="1" applyFont="1" applyFill="1" applyBorder="1" applyAlignment="1">
      <alignment horizontal="right" vertical="center" wrapText="1"/>
    </xf>
    <xf numFmtId="0" fontId="33" fillId="38" borderId="38" xfId="0" applyFont="1" applyFill="1" applyBorder="1" applyAlignment="1">
      <alignment horizontal="center"/>
    </xf>
    <xf numFmtId="167" fontId="33" fillId="38" borderId="38" xfId="0" applyNumberFormat="1" applyFont="1" applyFill="1" applyBorder="1" applyAlignment="1">
      <alignment horizontal="right"/>
    </xf>
    <xf numFmtId="49" fontId="33" fillId="26" borderId="24" xfId="0" applyNumberFormat="1" applyFont="1" applyFill="1" applyBorder="1" applyAlignment="1">
      <alignment horizontal="center" vertical="top" wrapText="1"/>
    </xf>
    <xf numFmtId="49" fontId="30" fillId="25" borderId="38" xfId="0" applyNumberFormat="1" applyFont="1" applyFill="1" applyBorder="1" applyAlignment="1">
      <alignment horizontal="center" vertical="center"/>
    </xf>
    <xf numFmtId="49" fontId="34" fillId="25" borderId="38" xfId="0" applyNumberFormat="1" applyFont="1" applyFill="1" applyBorder="1" applyAlignment="1">
      <alignment horizontal="center" vertical="center" wrapText="1"/>
    </xf>
    <xf numFmtId="49" fontId="34" fillId="25" borderId="37" xfId="0" applyNumberFormat="1" applyFont="1" applyFill="1" applyBorder="1" applyAlignment="1">
      <alignment horizontal="center" vertical="center"/>
    </xf>
    <xf numFmtId="49" fontId="34" fillId="25" borderId="38" xfId="0" applyNumberFormat="1" applyFont="1" applyFill="1" applyBorder="1" applyAlignment="1">
      <alignment horizontal="center" vertical="center"/>
    </xf>
    <xf numFmtId="49" fontId="33" fillId="26" borderId="38" xfId="0" applyNumberFormat="1" applyFont="1" applyFill="1" applyBorder="1" applyAlignment="1">
      <alignment horizontal="center" vertical="center"/>
    </xf>
    <xf numFmtId="49" fontId="33" fillId="26" borderId="38" xfId="0" applyNumberFormat="1" applyFont="1" applyFill="1" applyBorder="1" applyAlignment="1">
      <alignment horizontal="left" vertical="top" wrapText="1"/>
    </xf>
    <xf numFmtId="49" fontId="33" fillId="26" borderId="38" xfId="0" applyNumberFormat="1" applyFont="1" applyFill="1" applyBorder="1" applyAlignment="1">
      <alignment horizontal="left" vertical="top" wrapText="1"/>
    </xf>
    <xf numFmtId="165" fontId="33" fillId="26" borderId="37" xfId="55" applyNumberFormat="1" applyFont="1" applyFill="1" applyBorder="1" applyAlignment="1">
      <alignment horizontal="center" vertical="center"/>
    </xf>
    <xf numFmtId="49" fontId="33" fillId="26" borderId="38" xfId="0" applyNumberFormat="1" applyFont="1" applyFill="1" applyBorder="1" applyAlignment="1">
      <alignment horizontal="center" vertical="top" wrapText="1"/>
    </xf>
    <xf numFmtId="0" fontId="29" fillId="28" borderId="38" xfId="46" applyNumberFormat="1" applyFont="1" applyFill="1" applyBorder="1" applyAlignment="1">
      <alignment horizontal="left" vertical="center"/>
    </xf>
    <xf numFmtId="49" fontId="29" fillId="28" borderId="38" xfId="0" applyNumberFormat="1" applyFont="1" applyFill="1" applyBorder="1" applyAlignment="1">
      <alignment vertical="top" wrapText="1"/>
    </xf>
    <xf numFmtId="49" fontId="29" fillId="28" borderId="38" xfId="0" applyNumberFormat="1" applyFont="1" applyFill="1" applyBorder="1" applyAlignment="1">
      <alignment horizontal="center" vertical="center" wrapText="1"/>
    </xf>
    <xf numFmtId="165" fontId="29" fillId="28" borderId="37" xfId="55" applyNumberFormat="1" applyFont="1" applyFill="1" applyBorder="1" applyAlignment="1">
      <alignment horizontal="center" vertical="center"/>
    </xf>
    <xf numFmtId="49" fontId="29" fillId="28" borderId="38" xfId="0" applyNumberFormat="1" applyFont="1" applyFill="1" applyBorder="1" applyAlignment="1">
      <alignment horizontal="center" vertical="center"/>
    </xf>
    <xf numFmtId="17" fontId="29" fillId="28" borderId="38" xfId="0" applyNumberFormat="1" applyFont="1" applyFill="1" applyBorder="1" applyAlignment="1">
      <alignment horizontal="center" vertical="center" wrapText="1"/>
    </xf>
    <xf numFmtId="17" fontId="29" fillId="28" borderId="38" xfId="0" applyNumberFormat="1" applyFont="1" applyFill="1" applyBorder="1" applyAlignment="1">
      <alignment horizontal="center" vertical="center"/>
    </xf>
    <xf numFmtId="49" fontId="29" fillId="28" borderId="38" xfId="48" applyNumberFormat="1" applyFont="1" applyFill="1" applyBorder="1" applyAlignment="1">
      <alignment horizontal="center" vertical="center"/>
    </xf>
    <xf numFmtId="49" fontId="29" fillId="28" borderId="38" xfId="46" applyNumberFormat="1" applyFont="1" applyFill="1" applyBorder="1" applyAlignment="1">
      <alignment horizontal="left" vertical="center" wrapText="1"/>
    </xf>
    <xf numFmtId="165" fontId="29" fillId="28" borderId="38" xfId="55" applyNumberFormat="1" applyFont="1" applyFill="1" applyBorder="1" applyAlignment="1">
      <alignment horizontal="center" vertical="center"/>
    </xf>
    <xf numFmtId="49" fontId="29" fillId="28" borderId="38" xfId="46" applyNumberFormat="1" applyFont="1" applyFill="1" applyBorder="1" applyAlignment="1">
      <alignment horizontal="left"/>
    </xf>
    <xf numFmtId="49" fontId="28" fillId="24" borderId="38" xfId="46" applyNumberFormat="1" applyFont="1" applyFill="1" applyBorder="1" applyAlignment="1">
      <alignment horizontal="left" vertical="center"/>
    </xf>
    <xf numFmtId="0" fontId="28" fillId="24" borderId="38" xfId="46" applyNumberFormat="1" applyFont="1" applyFill="1" applyBorder="1" applyAlignment="1">
      <alignment horizontal="left" vertical="center"/>
    </xf>
    <xf numFmtId="49" fontId="30" fillId="24" borderId="38" xfId="0" applyNumberFormat="1" applyFont="1" applyFill="1" applyBorder="1" applyAlignment="1">
      <alignment horizontal="left" vertical="center" wrapText="1"/>
    </xf>
    <xf numFmtId="49" fontId="28" fillId="24" borderId="38" xfId="0" applyNumberFormat="1" applyFont="1" applyFill="1" applyBorder="1" applyAlignment="1">
      <alignment horizontal="left" vertical="center" wrapText="1"/>
    </xf>
    <xf numFmtId="165" fontId="28" fillId="33" borderId="38" xfId="55" applyNumberFormat="1" applyFont="1" applyFill="1" applyBorder="1" applyAlignment="1">
      <alignment horizontal="center" vertical="center" wrapText="1"/>
    </xf>
    <xf numFmtId="165" fontId="28" fillId="24" borderId="38" xfId="55" applyNumberFormat="1" applyFont="1" applyFill="1" applyBorder="1" applyAlignment="1">
      <alignment horizontal="center" vertical="center"/>
    </xf>
    <xf numFmtId="49" fontId="28" fillId="24" borderId="38" xfId="46" applyNumberFormat="1" applyFont="1" applyFill="1" applyBorder="1" applyAlignment="1">
      <alignment horizontal="center" vertical="center"/>
    </xf>
    <xf numFmtId="49" fontId="29" fillId="24" borderId="38" xfId="46" applyNumberFormat="1" applyFont="1" applyFill="1" applyBorder="1" applyAlignment="1">
      <alignment horizontal="center" vertical="center"/>
    </xf>
    <xf numFmtId="49" fontId="28" fillId="24" borderId="38" xfId="46" applyNumberFormat="1" applyFont="1" applyFill="1" applyBorder="1" applyAlignment="1">
      <alignment horizontal="left"/>
    </xf>
    <xf numFmtId="165" fontId="29" fillId="33" borderId="38" xfId="55" applyNumberFormat="1" applyFont="1" applyFill="1" applyBorder="1" applyAlignment="1">
      <alignment horizontal="center" vertical="center" wrapText="1"/>
    </xf>
    <xf numFmtId="0" fontId="28" fillId="24" borderId="38" xfId="46" applyNumberFormat="1" applyFont="1" applyFill="1" applyBorder="1" applyAlignment="1">
      <alignment vertical="center"/>
    </xf>
    <xf numFmtId="49" fontId="28" fillId="24" borderId="38" xfId="0" applyNumberFormat="1" applyFont="1" applyFill="1" applyBorder="1" applyAlignment="1">
      <alignment horizontal="left" vertical="center" wrapText="1" indent="2"/>
    </xf>
    <xf numFmtId="165" fontId="28" fillId="24" borderId="38" xfId="55" applyNumberFormat="1" applyFont="1" applyFill="1" applyBorder="1" applyAlignment="1">
      <alignment horizontal="center" vertical="center" wrapText="1"/>
    </xf>
    <xf numFmtId="49" fontId="29" fillId="28" borderId="38" xfId="46" applyNumberFormat="1" applyFont="1" applyFill="1" applyBorder="1" applyAlignment="1">
      <alignment horizontal="left" vertical="center"/>
    </xf>
    <xf numFmtId="0" fontId="29" fillId="28" borderId="38" xfId="46" applyNumberFormat="1" applyFont="1" applyFill="1" applyBorder="1" applyAlignment="1">
      <alignment vertical="center"/>
    </xf>
    <xf numFmtId="49" fontId="29" fillId="28" borderId="38" xfId="0" applyNumberFormat="1" applyFont="1" applyFill="1" applyBorder="1" applyAlignment="1">
      <alignment horizontal="left" vertical="center" wrapText="1"/>
    </xf>
    <xf numFmtId="49" fontId="28" fillId="24" borderId="38" xfId="46" applyNumberFormat="1" applyFont="1" applyFill="1" applyBorder="1" applyAlignment="1">
      <alignment horizontal="left" vertical="center" wrapText="1"/>
    </xf>
    <xf numFmtId="49" fontId="28" fillId="36" borderId="38" xfId="46" applyNumberFormat="1" applyFont="1" applyFill="1" applyBorder="1" applyAlignment="1">
      <alignment horizontal="left" vertical="center" wrapText="1"/>
    </xf>
    <xf numFmtId="49" fontId="29" fillId="36" borderId="38" xfId="46" applyNumberFormat="1" applyFont="1" applyFill="1" applyBorder="1" applyAlignment="1">
      <alignment horizontal="left" vertical="center" wrapText="1"/>
    </xf>
    <xf numFmtId="3" fontId="22" fillId="34" borderId="38" xfId="46" applyNumberFormat="1" applyFont="1" applyFill="1" applyBorder="1" applyAlignment="1">
      <alignment horizontal="center" vertical="center"/>
    </xf>
    <xf numFmtId="49" fontId="29" fillId="24" borderId="38" xfId="46" applyNumberFormat="1" applyFont="1" applyFill="1" applyBorder="1" applyAlignment="1">
      <alignment horizontal="left" vertical="center" wrapText="1"/>
    </xf>
    <xf numFmtId="49" fontId="28" fillId="34" borderId="38" xfId="46" applyNumberFormat="1" applyFont="1" applyFill="1" applyBorder="1" applyAlignment="1">
      <alignment horizontal="left" vertical="center" wrapText="1"/>
    </xf>
    <xf numFmtId="165" fontId="28" fillId="34" borderId="38" xfId="55" applyNumberFormat="1" applyFont="1" applyFill="1" applyBorder="1" applyAlignment="1">
      <alignment horizontal="left" vertical="center" wrapText="1"/>
    </xf>
    <xf numFmtId="49" fontId="28" fillId="24" borderId="38" xfId="46" applyNumberFormat="1" applyFont="1" applyFill="1" applyBorder="1" applyAlignment="1">
      <alignment horizontal="left" vertical="center" wrapText="1" indent="4"/>
    </xf>
    <xf numFmtId="2" fontId="28" fillId="24" borderId="37" xfId="55" applyNumberFormat="1" applyFont="1" applyFill="1" applyBorder="1" applyAlignment="1">
      <alignment horizontal="center" vertical="center"/>
    </xf>
    <xf numFmtId="2" fontId="28" fillId="24" borderId="38" xfId="55" applyNumberFormat="1" applyFont="1" applyFill="1" applyBorder="1" applyAlignment="1">
      <alignment horizontal="center" vertical="center"/>
    </xf>
    <xf numFmtId="49" fontId="28" fillId="24" borderId="38" xfId="46" applyNumberFormat="1" applyFont="1" applyFill="1" applyBorder="1" applyAlignment="1">
      <alignment vertical="center"/>
    </xf>
    <xf numFmtId="3" fontId="22" fillId="0" borderId="38" xfId="46" applyNumberFormat="1" applyFont="1" applyFill="1" applyBorder="1" applyAlignment="1">
      <alignment horizontal="center" vertical="center"/>
    </xf>
    <xf numFmtId="49" fontId="28" fillId="24" borderId="38" xfId="46" applyNumberFormat="1" applyFont="1" applyFill="1" applyBorder="1" applyAlignment="1">
      <alignment vertical="top" wrapText="1"/>
    </xf>
    <xf numFmtId="3" fontId="28" fillId="24" borderId="37" xfId="55" applyNumberFormat="1" applyFont="1" applyFill="1" applyBorder="1" applyAlignment="1">
      <alignment horizontal="center" vertical="center"/>
    </xf>
    <xf numFmtId="3" fontId="28" fillId="34" borderId="37" xfId="55" applyNumberFormat="1" applyFont="1" applyFill="1" applyBorder="1" applyAlignment="1">
      <alignment horizontal="center" vertical="center"/>
    </xf>
    <xf numFmtId="49" fontId="28" fillId="24" borderId="38" xfId="46" applyNumberFormat="1" applyFont="1" applyFill="1" applyBorder="1" applyAlignment="1">
      <alignment vertical="center" wrapText="1"/>
    </xf>
    <xf numFmtId="3" fontId="28" fillId="0" borderId="37" xfId="55" applyNumberFormat="1" applyFont="1" applyFill="1" applyBorder="1" applyAlignment="1">
      <alignment horizontal="center" vertical="center"/>
    </xf>
    <xf numFmtId="49" fontId="28" fillId="24" borderId="40" xfId="46" applyNumberFormat="1" applyFont="1" applyFill="1" applyBorder="1" applyAlignment="1">
      <alignment horizontal="left" vertical="center"/>
    </xf>
    <xf numFmtId="0" fontId="28" fillId="24" borderId="40" xfId="46" applyNumberFormat="1" applyFont="1" applyFill="1" applyBorder="1" applyAlignment="1">
      <alignment vertical="center"/>
    </xf>
    <xf numFmtId="49" fontId="28" fillId="24" borderId="40" xfId="46" applyNumberFormat="1" applyFont="1" applyFill="1" applyBorder="1" applyAlignment="1">
      <alignment vertical="center" wrapText="1"/>
    </xf>
    <xf numFmtId="3" fontId="28" fillId="24" borderId="45" xfId="55" applyNumberFormat="1" applyFont="1" applyFill="1" applyBorder="1" applyAlignment="1">
      <alignment horizontal="center" vertical="center"/>
    </xf>
    <xf numFmtId="3" fontId="28" fillId="34" borderId="45" xfId="55" applyNumberFormat="1" applyFont="1" applyFill="1" applyBorder="1" applyAlignment="1">
      <alignment horizontal="center" vertical="center"/>
    </xf>
    <xf numFmtId="49" fontId="31" fillId="28" borderId="38" xfId="45" applyNumberFormat="1" applyFont="1" applyFill="1" applyBorder="1" applyAlignment="1">
      <alignment horizontal="center" vertical="center" wrapText="1"/>
    </xf>
    <xf numFmtId="49" fontId="29" fillId="28" borderId="38" xfId="45" applyNumberFormat="1" applyFont="1" applyFill="1" applyBorder="1" applyAlignment="1">
      <alignment horizontal="left"/>
    </xf>
    <xf numFmtId="49" fontId="29" fillId="28" borderId="38" xfId="45" applyNumberFormat="1" applyFont="1" applyFill="1" applyBorder="1" applyAlignment="1">
      <alignment vertical="center" wrapText="1"/>
    </xf>
    <xf numFmtId="165" fontId="28" fillId="0" borderId="38" xfId="55" applyNumberFormat="1" applyFont="1" applyFill="1" applyBorder="1" applyAlignment="1">
      <alignment vertical="center" wrapText="1"/>
    </xf>
    <xf numFmtId="165" fontId="29" fillId="0" borderId="38" xfId="55" applyNumberFormat="1" applyFont="1" applyFill="1" applyBorder="1" applyAlignment="1">
      <alignment vertical="center" wrapText="1"/>
    </xf>
    <xf numFmtId="49" fontId="28" fillId="24" borderId="38" xfId="45" applyNumberFormat="1" applyFont="1" applyFill="1" applyBorder="1" applyAlignment="1">
      <alignment horizontal="left" vertical="center" wrapText="1" indent="2"/>
    </xf>
    <xf numFmtId="49" fontId="28" fillId="31" borderId="38" xfId="45" applyNumberFormat="1" applyFont="1" applyFill="1" applyBorder="1" applyAlignment="1">
      <alignment vertical="center" wrapText="1"/>
    </xf>
    <xf numFmtId="49" fontId="28" fillId="24" borderId="38" xfId="45" applyNumberFormat="1" applyFont="1" applyFill="1" applyBorder="1" applyAlignment="1">
      <alignment horizontal="left" vertical="center" wrapText="1" indent="4"/>
    </xf>
    <xf numFmtId="49" fontId="28" fillId="24" borderId="38" xfId="45" applyNumberFormat="1" applyFont="1" applyFill="1" applyBorder="1" applyAlignment="1">
      <alignment vertical="center" wrapText="1"/>
    </xf>
    <xf numFmtId="49" fontId="28" fillId="24" borderId="38" xfId="46" applyNumberFormat="1" applyFont="1" applyFill="1" applyBorder="1" applyAlignment="1">
      <alignment horizontal="left" indent="4"/>
    </xf>
    <xf numFmtId="49" fontId="27" fillId="24" borderId="38" xfId="45" applyNumberFormat="1" applyFont="1" applyFill="1" applyBorder="1" applyAlignment="1">
      <alignment vertical="center" wrapText="1"/>
    </xf>
    <xf numFmtId="165" fontId="28" fillId="39" borderId="38" xfId="55" applyNumberFormat="1" applyFont="1" applyFill="1" applyBorder="1" applyAlignment="1">
      <alignment vertical="center" wrapText="1"/>
    </xf>
    <xf numFmtId="49" fontId="28" fillId="39" borderId="38" xfId="46" applyNumberFormat="1" applyFont="1" applyFill="1" applyBorder="1" applyAlignment="1">
      <alignment horizontal="left"/>
    </xf>
    <xf numFmtId="165" fontId="28" fillId="24" borderId="38" xfId="55" applyNumberFormat="1" applyFont="1" applyFill="1" applyBorder="1" applyAlignment="1">
      <alignment vertical="center" wrapText="1"/>
    </xf>
    <xf numFmtId="49" fontId="29" fillId="28" borderId="38" xfId="0" applyNumberFormat="1" applyFont="1" applyFill="1" applyBorder="1" applyAlignment="1">
      <alignment horizontal="left" vertical="center"/>
    </xf>
    <xf numFmtId="0" fontId="29" fillId="28" borderId="38" xfId="0" applyNumberFormat="1" applyFont="1" applyFill="1" applyBorder="1" applyAlignment="1">
      <alignment vertical="center"/>
    </xf>
    <xf numFmtId="165" fontId="28" fillId="33" borderId="38" xfId="55" applyNumberFormat="1" applyFont="1" applyFill="1" applyBorder="1" applyAlignment="1">
      <alignment horizontal="center" vertical="center"/>
    </xf>
    <xf numFmtId="49" fontId="28" fillId="24" borderId="38" xfId="46" applyNumberFormat="1" applyFont="1" applyFill="1" applyBorder="1" applyAlignment="1">
      <alignment horizontal="left" vertical="center" wrapText="1" indent="2"/>
    </xf>
    <xf numFmtId="49" fontId="28" fillId="26" borderId="38" xfId="0" applyNumberFormat="1" applyFont="1" applyFill="1" applyBorder="1" applyAlignment="1">
      <alignment horizontal="left" vertical="center" wrapText="1"/>
    </xf>
    <xf numFmtId="165" fontId="33" fillId="26" borderId="38" xfId="55" applyNumberFormat="1" applyFont="1" applyFill="1" applyBorder="1" applyAlignment="1">
      <alignment horizontal="center" vertical="center"/>
    </xf>
    <xf numFmtId="49" fontId="33" fillId="26" borderId="38" xfId="0" applyNumberFormat="1" applyFont="1" applyFill="1" applyBorder="1" applyAlignment="1">
      <alignment horizontal="left" vertical="center"/>
    </xf>
    <xf numFmtId="49" fontId="28" fillId="0" borderId="38" xfId="46" applyNumberFormat="1" applyFont="1" applyBorder="1" applyAlignment="1">
      <alignment horizontal="left" wrapText="1"/>
    </xf>
    <xf numFmtId="0" fontId="29" fillId="24" borderId="38" xfId="0" applyNumberFormat="1" applyFont="1" applyFill="1" applyBorder="1" applyAlignment="1">
      <alignment vertical="center"/>
    </xf>
    <xf numFmtId="49" fontId="29" fillId="24" borderId="38" xfId="0" applyNumberFormat="1" applyFont="1" applyFill="1" applyBorder="1" applyAlignment="1">
      <alignment horizontal="left" vertical="center"/>
    </xf>
    <xf numFmtId="49" fontId="29" fillId="28" borderId="38" xfId="46" applyNumberFormat="1" applyFont="1" applyFill="1" applyBorder="1" applyAlignment="1">
      <alignment horizontal="left" wrapText="1"/>
    </xf>
    <xf numFmtId="0" fontId="29" fillId="24" borderId="38" xfId="46" applyNumberFormat="1" applyFont="1" applyFill="1" applyBorder="1" applyAlignment="1">
      <alignment vertical="center"/>
    </xf>
    <xf numFmtId="49" fontId="29" fillId="24" borderId="38" xfId="45" applyNumberFormat="1" applyFont="1" applyFill="1" applyBorder="1" applyAlignment="1">
      <alignment vertical="center" wrapText="1"/>
    </xf>
    <xf numFmtId="49" fontId="28" fillId="0" borderId="38" xfId="45" applyNumberFormat="1" applyFont="1" applyFill="1" applyBorder="1" applyAlignment="1">
      <alignment horizontal="left"/>
    </xf>
    <xf numFmtId="49" fontId="28" fillId="24" borderId="38" xfId="45" applyNumberFormat="1" applyFont="1" applyFill="1" applyBorder="1" applyAlignment="1">
      <alignment horizontal="left"/>
    </xf>
    <xf numFmtId="49" fontId="28" fillId="39" borderId="38" xfId="45" applyNumberFormat="1" applyFont="1" applyFill="1" applyBorder="1" applyAlignment="1">
      <alignment horizontal="left"/>
    </xf>
    <xf numFmtId="49" fontId="28" fillId="32" borderId="38" xfId="45" applyNumberFormat="1" applyFont="1" applyFill="1" applyBorder="1" applyAlignment="1">
      <alignment vertical="center" wrapText="1"/>
    </xf>
    <xf numFmtId="49" fontId="28" fillId="0" borderId="38" xfId="45" applyNumberFormat="1" applyFont="1" applyFill="1" applyBorder="1" applyAlignment="1">
      <alignment vertical="center" wrapText="1"/>
    </xf>
    <xf numFmtId="49" fontId="29" fillId="0" borderId="38" xfId="45" applyNumberFormat="1" applyFont="1" applyFill="1" applyBorder="1" applyAlignment="1">
      <alignment vertical="center" wrapText="1"/>
    </xf>
    <xf numFmtId="49" fontId="29" fillId="32" borderId="38" xfId="45" applyNumberFormat="1" applyFont="1" applyFill="1" applyBorder="1" applyAlignment="1">
      <alignment vertical="center" wrapText="1"/>
    </xf>
    <xf numFmtId="49" fontId="28" fillId="24" borderId="38" xfId="46" applyNumberFormat="1" applyFont="1" applyFill="1" applyBorder="1" applyAlignment="1">
      <alignment horizontal="left" wrapText="1"/>
    </xf>
    <xf numFmtId="49" fontId="57" fillId="44" borderId="38" xfId="46" applyNumberFormat="1" applyFont="1" applyFill="1" applyBorder="1" applyAlignment="1">
      <alignment horizontal="left" vertical="center" wrapText="1"/>
    </xf>
    <xf numFmtId="49" fontId="28" fillId="43" borderId="38" xfId="46" applyNumberFormat="1" applyFont="1" applyFill="1" applyBorder="1" applyAlignment="1">
      <alignment horizontal="left" wrapText="1"/>
    </xf>
    <xf numFmtId="49" fontId="29" fillId="28" borderId="38" xfId="46" applyNumberFormat="1" applyFont="1" applyFill="1" applyBorder="1" applyAlignment="1">
      <alignment vertical="center"/>
    </xf>
    <xf numFmtId="49" fontId="29" fillId="28" borderId="38" xfId="46" applyNumberFormat="1" applyFont="1" applyFill="1" applyBorder="1" applyAlignment="1">
      <alignment vertical="center" wrapText="1"/>
    </xf>
    <xf numFmtId="165" fontId="28" fillId="24" borderId="38" xfId="56" applyNumberFormat="1" applyFont="1" applyFill="1" applyBorder="1" applyAlignment="1">
      <alignment horizontal="center" vertical="center"/>
    </xf>
    <xf numFmtId="165" fontId="28" fillId="32" borderId="38" xfId="56" applyNumberFormat="1" applyFont="1" applyFill="1" applyBorder="1" applyAlignment="1">
      <alignment vertical="center" wrapText="1"/>
    </xf>
    <xf numFmtId="49" fontId="28" fillId="0" borderId="38" xfId="46" applyNumberFormat="1" applyFont="1" applyFill="1" applyBorder="1" applyAlignment="1">
      <alignment horizontal="left" wrapText="1"/>
    </xf>
    <xf numFmtId="0" fontId="28" fillId="32" borderId="38" xfId="56" applyNumberFormat="1" applyFont="1" applyFill="1" applyBorder="1" applyAlignment="1">
      <alignment vertical="center" wrapText="1"/>
    </xf>
    <xf numFmtId="0" fontId="28" fillId="32" borderId="38" xfId="45" applyNumberFormat="1" applyFont="1" applyFill="1" applyBorder="1" applyAlignment="1">
      <alignment vertical="center" wrapText="1"/>
    </xf>
    <xf numFmtId="49" fontId="29" fillId="28" borderId="38" xfId="0" applyNumberFormat="1" applyFont="1" applyFill="1" applyBorder="1" applyAlignment="1">
      <alignment vertical="center"/>
    </xf>
    <xf numFmtId="3" fontId="28" fillId="24" borderId="38" xfId="46" applyNumberFormat="1" applyFont="1" applyFill="1" applyBorder="1" applyAlignment="1">
      <alignment horizontal="center" vertical="center"/>
    </xf>
    <xf numFmtId="165" fontId="28" fillId="32" borderId="38" xfId="56" applyNumberFormat="1" applyFont="1" applyFill="1" applyBorder="1" applyAlignment="1">
      <alignment horizontal="left" vertical="center" wrapText="1"/>
    </xf>
    <xf numFmtId="165" fontId="29" fillId="32" borderId="38" xfId="56" applyNumberFormat="1" applyFont="1" applyFill="1" applyBorder="1" applyAlignment="1">
      <alignment horizontal="left" vertical="center" wrapText="1"/>
    </xf>
    <xf numFmtId="49" fontId="28" fillId="32" borderId="38" xfId="46" applyNumberFormat="1" applyFont="1" applyFill="1" applyBorder="1" applyAlignment="1">
      <alignment horizontal="left" vertical="center" wrapText="1"/>
    </xf>
    <xf numFmtId="49" fontId="28" fillId="0" borderId="38" xfId="46" applyNumberFormat="1" applyFont="1" applyFill="1" applyBorder="1" applyAlignment="1">
      <alignment horizontal="left" vertical="center" wrapText="1"/>
    </xf>
    <xf numFmtId="49" fontId="29" fillId="0" borderId="38" xfId="46" applyNumberFormat="1" applyFont="1" applyFill="1" applyBorder="1" applyAlignment="1">
      <alignment horizontal="left" vertical="center" wrapText="1"/>
    </xf>
    <xf numFmtId="49" fontId="28" fillId="0" borderId="38" xfId="46" applyNumberFormat="1" applyFont="1" applyFill="1" applyBorder="1" applyAlignment="1">
      <alignment horizontal="left"/>
    </xf>
    <xf numFmtId="49" fontId="28" fillId="24" borderId="38" xfId="46" applyNumberFormat="1" applyFont="1" applyFill="1" applyBorder="1" applyAlignment="1">
      <alignment horizontal="left" vertical="center" wrapText="1" indent="3"/>
    </xf>
    <xf numFmtId="49" fontId="28" fillId="43" borderId="38" xfId="46" applyNumberFormat="1" applyFont="1" applyFill="1" applyBorder="1" applyAlignment="1">
      <alignment horizontal="left"/>
    </xf>
    <xf numFmtId="0" fontId="33" fillId="26" borderId="38" xfId="0" applyNumberFormat="1" applyFont="1" applyFill="1" applyBorder="1" applyAlignment="1">
      <alignment vertical="center"/>
    </xf>
    <xf numFmtId="49" fontId="33" fillId="26" borderId="38" xfId="0" applyNumberFormat="1" applyFont="1" applyFill="1" applyBorder="1" applyAlignment="1">
      <alignment vertical="center"/>
    </xf>
    <xf numFmtId="49" fontId="28" fillId="0" borderId="38" xfId="46" applyNumberFormat="1" applyFont="1" applyBorder="1" applyAlignment="1">
      <alignment horizontal="left"/>
    </xf>
    <xf numFmtId="0" fontId="28" fillId="24" borderId="38" xfId="46" applyFont="1" applyFill="1" applyBorder="1" applyAlignment="1">
      <alignment horizontal="left" vertical="center"/>
    </xf>
    <xf numFmtId="0" fontId="29" fillId="28" borderId="38" xfId="46" applyNumberFormat="1" applyFont="1" applyFill="1" applyBorder="1" applyAlignment="1">
      <alignment vertical="center" wrapText="1"/>
    </xf>
    <xf numFmtId="165" fontId="29" fillId="24" borderId="37" xfId="55" applyNumberFormat="1" applyFont="1" applyFill="1" applyBorder="1" applyAlignment="1">
      <alignment horizontal="center" vertical="center"/>
    </xf>
    <xf numFmtId="165" fontId="28" fillId="33" borderId="37" xfId="55" applyNumberFormat="1" applyFont="1" applyFill="1" applyBorder="1" applyAlignment="1">
      <alignment horizontal="center" vertical="center"/>
    </xf>
    <xf numFmtId="49" fontId="28" fillId="24" borderId="37" xfId="46" applyNumberFormat="1" applyFont="1" applyFill="1" applyBorder="1" applyAlignment="1">
      <alignment horizontal="left" vertical="center" wrapText="1"/>
    </xf>
    <xf numFmtId="165" fontId="29" fillId="33" borderId="37" xfId="55" applyNumberFormat="1" applyFont="1" applyFill="1" applyBorder="1" applyAlignment="1">
      <alignment horizontal="center" vertical="center"/>
    </xf>
    <xf numFmtId="3" fontId="28" fillId="0" borderId="38" xfId="46" applyNumberFormat="1" applyFont="1" applyFill="1" applyBorder="1" applyAlignment="1">
      <alignment horizontal="center" vertical="center" wrapText="1"/>
    </xf>
    <xf numFmtId="3" fontId="29" fillId="0" borderId="38" xfId="46" applyNumberFormat="1" applyFont="1" applyFill="1" applyBorder="1" applyAlignment="1">
      <alignment horizontal="center" vertical="center" wrapText="1"/>
    </xf>
    <xf numFmtId="49" fontId="29" fillId="24" borderId="37" xfId="46" applyNumberFormat="1" applyFont="1" applyFill="1" applyBorder="1" applyAlignment="1">
      <alignment horizontal="left" vertical="center" wrapText="1"/>
    </xf>
    <xf numFmtId="49" fontId="28" fillId="0" borderId="38" xfId="48" applyNumberFormat="1" applyFont="1" applyFill="1" applyBorder="1" applyAlignment="1">
      <alignment horizontal="center" vertical="center"/>
    </xf>
    <xf numFmtId="2" fontId="28" fillId="0" borderId="37" xfId="55" applyNumberFormat="1" applyFont="1" applyFill="1" applyBorder="1" applyAlignment="1">
      <alignment horizontal="center" vertical="center" wrapText="1"/>
    </xf>
    <xf numFmtId="2" fontId="28" fillId="0" borderId="38" xfId="55" applyNumberFormat="1" applyFont="1" applyBorder="1" applyAlignment="1">
      <alignment horizontal="center" vertical="center" wrapText="1"/>
    </xf>
    <xf numFmtId="49" fontId="34" fillId="25" borderId="38" xfId="0" applyNumberFormat="1" applyFont="1" applyFill="1" applyBorder="1" applyAlignment="1">
      <alignment horizontal="center" vertical="center" wrapText="1"/>
    </xf>
    <xf numFmtId="49" fontId="30" fillId="0" borderId="38" xfId="0" applyNumberFormat="1" applyFont="1" applyBorder="1" applyAlignment="1">
      <alignment horizontal="center" vertical="center" wrapText="1"/>
    </xf>
    <xf numFmtId="49" fontId="28" fillId="29" borderId="38" xfId="0" applyNumberFormat="1" applyFont="1" applyFill="1" applyBorder="1" applyAlignment="1">
      <alignment horizontal="left" vertical="center" wrapText="1"/>
    </xf>
    <xf numFmtId="165" fontId="29" fillId="29" borderId="38" xfId="55" applyNumberFormat="1" applyFont="1" applyFill="1" applyBorder="1" applyAlignment="1">
      <alignment horizontal="left" vertical="center" wrapText="1"/>
    </xf>
    <xf numFmtId="49" fontId="30" fillId="29" borderId="38" xfId="0" applyNumberFormat="1" applyFont="1" applyFill="1" applyBorder="1" applyAlignment="1">
      <alignment horizontal="center" vertical="center" wrapText="1"/>
    </xf>
    <xf numFmtId="0" fontId="30" fillId="25" borderId="38" xfId="0" applyFont="1" applyFill="1" applyBorder="1" applyAlignment="1">
      <alignment horizontal="center" vertical="center"/>
    </xf>
    <xf numFmtId="0" fontId="34" fillId="25" borderId="38" xfId="0" applyFont="1" applyFill="1" applyBorder="1" applyAlignment="1">
      <alignment horizontal="center" vertical="center" wrapText="1"/>
    </xf>
    <xf numFmtId="3" fontId="29" fillId="25" borderId="38" xfId="0" applyNumberFormat="1" applyFont="1" applyFill="1" applyBorder="1" applyAlignment="1">
      <alignment horizontal="center" vertical="center" wrapText="1"/>
    </xf>
    <xf numFmtId="3" fontId="34" fillId="25" borderId="38" xfId="0" applyNumberFormat="1" applyFont="1" applyFill="1" applyBorder="1" applyAlignment="1">
      <alignment horizontal="center" vertical="center"/>
    </xf>
    <xf numFmtId="49" fontId="33" fillId="26" borderId="38" xfId="0" applyNumberFormat="1" applyFont="1" applyFill="1" applyBorder="1" applyAlignment="1">
      <alignment horizontal="left" vertical="center" wrapText="1"/>
    </xf>
    <xf numFmtId="3" fontId="33" fillId="26" borderId="38" xfId="0" applyNumberFormat="1" applyFont="1" applyFill="1" applyBorder="1" applyAlignment="1">
      <alignment horizontal="center" vertical="top" wrapText="1"/>
    </xf>
    <xf numFmtId="3" fontId="29" fillId="28" borderId="38" xfId="46" applyNumberFormat="1" applyFont="1" applyFill="1" applyBorder="1" applyAlignment="1">
      <alignment horizontal="center" vertical="center"/>
    </xf>
    <xf numFmtId="3" fontId="29" fillId="28" borderId="38" xfId="0" applyNumberFormat="1" applyFont="1" applyFill="1" applyBorder="1" applyAlignment="1">
      <alignment horizontal="center" vertical="center"/>
    </xf>
    <xf numFmtId="0" fontId="29" fillId="27" borderId="45" xfId="0" applyFont="1" applyFill="1" applyBorder="1" applyAlignment="1">
      <alignment horizontal="center" vertical="center"/>
    </xf>
    <xf numFmtId="0" fontId="29" fillId="27" borderId="40" xfId="0" applyFont="1" applyFill="1" applyBorder="1" applyAlignment="1">
      <alignment horizontal="center" vertical="center"/>
    </xf>
    <xf numFmtId="0" fontId="29" fillId="27" borderId="41" xfId="0" applyFont="1" applyFill="1" applyBorder="1" applyAlignment="1">
      <alignment horizontal="center" vertical="center"/>
    </xf>
    <xf numFmtId="0" fontId="29" fillId="27" borderId="43" xfId="0" applyFont="1" applyFill="1" applyBorder="1" applyAlignment="1">
      <alignment horizontal="center" vertical="center"/>
    </xf>
    <xf numFmtId="0" fontId="28" fillId="28" borderId="38" xfId="46" applyFont="1" applyFill="1" applyBorder="1" applyAlignment="1">
      <alignment horizontal="left" vertical="center"/>
    </xf>
    <xf numFmtId="0" fontId="28" fillId="0" borderId="38" xfId="48" applyNumberFormat="1" applyFont="1" applyFill="1" applyBorder="1" applyAlignment="1">
      <alignment horizontal="center" vertical="center"/>
    </xf>
    <xf numFmtId="49" fontId="28" fillId="34" borderId="38" xfId="46" applyNumberFormat="1" applyFont="1" applyFill="1" applyBorder="1" applyAlignment="1">
      <alignment horizontal="left" vertical="center"/>
    </xf>
    <xf numFmtId="3" fontId="28" fillId="0" borderId="38" xfId="46" applyNumberFormat="1" applyFont="1" applyFill="1" applyBorder="1" applyAlignment="1">
      <alignment horizontal="center" vertical="center"/>
    </xf>
    <xf numFmtId="3" fontId="29" fillId="0" borderId="38" xfId="46" applyNumberFormat="1" applyFont="1" applyFill="1" applyBorder="1" applyAlignment="1">
      <alignment horizontal="center" vertical="center"/>
    </xf>
    <xf numFmtId="0" fontId="29" fillId="0" borderId="38" xfId="46" applyFont="1" applyBorder="1" applyAlignment="1">
      <alignment horizontal="center" vertical="center"/>
    </xf>
    <xf numFmtId="0" fontId="28" fillId="24" borderId="38" xfId="48" applyNumberFormat="1" applyFont="1" applyFill="1" applyBorder="1" applyAlignment="1">
      <alignment horizontal="center" vertical="center"/>
    </xf>
    <xf numFmtId="0" fontId="28" fillId="24" borderId="38" xfId="46" applyFont="1" applyFill="1" applyBorder="1" applyAlignment="1">
      <alignment horizontal="left"/>
    </xf>
    <xf numFmtId="49" fontId="28" fillId="0" borderId="38" xfId="46" applyNumberFormat="1" applyFont="1" applyFill="1" applyBorder="1" applyAlignment="1">
      <alignment horizontal="left" vertical="center" wrapText="1" indent="4"/>
    </xf>
    <xf numFmtId="0" fontId="29" fillId="28" borderId="38" xfId="45" applyFont="1" applyFill="1" applyBorder="1" applyAlignment="1">
      <alignment vertical="center" wrapText="1"/>
    </xf>
    <xf numFmtId="0" fontId="28" fillId="0" borderId="38" xfId="45" applyFont="1" applyFill="1" applyBorder="1" applyAlignment="1">
      <alignment vertical="center" wrapText="1"/>
    </xf>
    <xf numFmtId="3" fontId="28" fillId="0" borderId="38" xfId="46" applyNumberFormat="1" applyFont="1" applyBorder="1" applyAlignment="1">
      <alignment horizontal="center" vertical="center"/>
    </xf>
    <xf numFmtId="3" fontId="28" fillId="0" borderId="38" xfId="45" applyNumberFormat="1" applyFont="1" applyFill="1" applyBorder="1" applyAlignment="1">
      <alignment vertical="center" wrapText="1"/>
    </xf>
    <xf numFmtId="3" fontId="27" fillId="0" borderId="38" xfId="46" applyNumberFormat="1" applyFont="1" applyBorder="1" applyAlignment="1">
      <alignment horizontal="center" vertical="center"/>
    </xf>
    <xf numFmtId="3" fontId="27" fillId="0" borderId="38" xfId="46" applyNumberFormat="1" applyFont="1" applyFill="1" applyBorder="1" applyAlignment="1">
      <alignment horizontal="center" vertical="center"/>
    </xf>
    <xf numFmtId="3" fontId="28" fillId="28" borderId="38" xfId="46" applyNumberFormat="1" applyFont="1" applyFill="1" applyBorder="1" applyAlignment="1">
      <alignment horizontal="center" vertical="center"/>
    </xf>
    <xf numFmtId="1" fontId="33" fillId="26" borderId="38" xfId="0" applyNumberFormat="1" applyFont="1" applyFill="1" applyBorder="1" applyAlignment="1">
      <alignment horizontal="center" vertical="center"/>
    </xf>
    <xf numFmtId="49" fontId="33" fillId="26" borderId="46" xfId="0" applyNumberFormat="1" applyFont="1" applyFill="1" applyBorder="1" applyAlignment="1">
      <alignment horizontal="left" vertical="top" wrapText="1"/>
    </xf>
    <xf numFmtId="49" fontId="33" fillId="26" borderId="37" xfId="0" applyNumberFormat="1" applyFont="1" applyFill="1" applyBorder="1" applyAlignment="1">
      <alignment horizontal="left" vertical="top" wrapText="1"/>
    </xf>
    <xf numFmtId="3" fontId="29" fillId="28" borderId="38" xfId="45" applyNumberFormat="1" applyFont="1" applyFill="1" applyBorder="1" applyAlignment="1">
      <alignment horizontal="center" vertical="center" wrapText="1"/>
    </xf>
    <xf numFmtId="0" fontId="28" fillId="24" borderId="38" xfId="45" applyFont="1" applyFill="1" applyBorder="1" applyAlignment="1">
      <alignment vertical="center" wrapText="1"/>
    </xf>
    <xf numFmtId="3" fontId="29" fillId="24" borderId="38" xfId="0" applyNumberFormat="1" applyFont="1" applyFill="1" applyBorder="1" applyAlignment="1">
      <alignment horizontal="center" vertical="center"/>
    </xf>
    <xf numFmtId="3" fontId="45" fillId="24" borderId="38" xfId="46" applyNumberFormat="1" applyFont="1" applyFill="1" applyBorder="1" applyAlignment="1">
      <alignment horizontal="center" vertical="center"/>
    </xf>
    <xf numFmtId="3" fontId="29" fillId="24" borderId="38" xfId="46" applyNumberFormat="1" applyFont="1" applyFill="1" applyBorder="1" applyAlignment="1">
      <alignment horizontal="center" vertical="center"/>
    </xf>
    <xf numFmtId="3" fontId="43" fillId="24" borderId="38" xfId="46" applyNumberFormat="1" applyFont="1" applyFill="1" applyBorder="1" applyAlignment="1">
      <alignment horizontal="center" vertical="center" wrapText="1"/>
    </xf>
    <xf numFmtId="1" fontId="33" fillId="26" borderId="38" xfId="0" applyNumberFormat="1" applyFont="1" applyFill="1" applyBorder="1" applyAlignment="1">
      <alignment horizontal="left" vertical="center"/>
    </xf>
    <xf numFmtId="0" fontId="29" fillId="28" borderId="38" xfId="46" applyFont="1" applyFill="1" applyBorder="1" applyAlignment="1">
      <alignment horizontal="left" vertical="center"/>
    </xf>
    <xf numFmtId="3" fontId="29" fillId="28" borderId="38" xfId="46" applyNumberFormat="1" applyFont="1" applyFill="1" applyBorder="1" applyAlignment="1">
      <alignment horizontal="center" vertical="center" wrapText="1"/>
    </xf>
    <xf numFmtId="3" fontId="43" fillId="0" borderId="38" xfId="46" applyNumberFormat="1" applyFont="1" applyFill="1" applyBorder="1" applyAlignment="1">
      <alignment horizontal="center" vertical="center" wrapText="1"/>
    </xf>
    <xf numFmtId="3" fontId="28" fillId="0" borderId="38" xfId="46" applyNumberFormat="1" applyFont="1" applyBorder="1" applyAlignment="1">
      <alignment horizontal="center" vertical="center" wrapText="1"/>
    </xf>
    <xf numFmtId="3" fontId="28" fillId="24" borderId="38" xfId="46" applyNumberFormat="1" applyFont="1" applyFill="1" applyBorder="1" applyAlignment="1">
      <alignment horizontal="center" vertical="center" wrapText="1"/>
    </xf>
    <xf numFmtId="0" fontId="28" fillId="0" borderId="38" xfId="46" applyFont="1" applyFill="1" applyBorder="1" applyAlignment="1">
      <alignment horizontal="left" vertical="center"/>
    </xf>
    <xf numFmtId="0" fontId="34" fillId="25" borderId="38" xfId="0" applyFont="1" applyFill="1" applyBorder="1" applyAlignment="1">
      <alignment horizontal="center" vertical="center" wrapText="1"/>
    </xf>
    <xf numFmtId="0" fontId="30" fillId="0" borderId="38" xfId="0" applyFont="1" applyBorder="1" applyAlignment="1">
      <alignment horizontal="center" vertical="center" wrapText="1"/>
    </xf>
    <xf numFmtId="3" fontId="29" fillId="29" borderId="38" xfId="46" applyNumberFormat="1" applyFont="1" applyFill="1" applyBorder="1" applyAlignment="1">
      <alignment horizontal="center" vertical="center"/>
    </xf>
    <xf numFmtId="0" fontId="28" fillId="24" borderId="38" xfId="46" applyFont="1" applyFill="1" applyBorder="1" applyAlignment="1">
      <alignment horizontal="left" vertical="distributed"/>
    </xf>
    <xf numFmtId="0" fontId="28" fillId="24" borderId="38" xfId="46" applyFont="1" applyFill="1" applyBorder="1" applyAlignment="1">
      <alignment horizontal="left" vertical="distributed"/>
    </xf>
    <xf numFmtId="0" fontId="29" fillId="37" borderId="38" xfId="46" applyFont="1" applyFill="1" applyBorder="1" applyAlignment="1">
      <alignment horizontal="center"/>
    </xf>
    <xf numFmtId="0" fontId="29" fillId="0" borderId="38" xfId="46" applyFont="1" applyFill="1" applyBorder="1" applyAlignment="1">
      <alignment horizontal="center" vertical="top"/>
    </xf>
    <xf numFmtId="3" fontId="29" fillId="0" borderId="38" xfId="46" applyNumberFormat="1" applyFont="1" applyBorder="1" applyAlignment="1">
      <alignment horizontal="center" vertical="center"/>
    </xf>
    <xf numFmtId="0" fontId="29" fillId="0" borderId="38" xfId="46" applyFont="1" applyFill="1" applyBorder="1" applyAlignment="1">
      <alignment horizontal="center" wrapText="1"/>
    </xf>
    <xf numFmtId="0" fontId="29" fillId="37" borderId="38" xfId="46" applyFont="1" applyFill="1" applyBorder="1" applyAlignment="1">
      <alignment horizontal="center" wrapText="1"/>
    </xf>
    <xf numFmtId="3" fontId="29" fillId="37" borderId="38" xfId="46" applyNumberFormat="1" applyFont="1" applyFill="1" applyBorder="1" applyAlignment="1">
      <alignment horizontal="center"/>
    </xf>
    <xf numFmtId="0" fontId="29" fillId="0" borderId="38" xfId="46" applyFont="1" applyFill="1" applyBorder="1" applyAlignment="1">
      <alignment horizontal="center" vertical="top" wrapText="1"/>
    </xf>
    <xf numFmtId="165" fontId="28" fillId="0" borderId="38" xfId="55" applyNumberFormat="1" applyFont="1" applyBorder="1" applyAlignment="1">
      <alignment horizontal="center" vertical="center"/>
    </xf>
    <xf numFmtId="165" fontId="29" fillId="0" borderId="38" xfId="55" applyNumberFormat="1" applyFont="1" applyBorder="1" applyAlignment="1">
      <alignment horizontal="center" vertical="center"/>
    </xf>
    <xf numFmtId="0" fontId="35" fillId="41" borderId="38" xfId="45" applyFont="1" applyFill="1" applyBorder="1" applyAlignment="1">
      <alignment horizontal="left" vertical="distributed" wrapText="1"/>
    </xf>
    <xf numFmtId="0" fontId="35" fillId="41" borderId="38" xfId="45" applyFont="1" applyFill="1" applyBorder="1" applyAlignment="1">
      <alignment horizontal="left" vertical="top" wrapText="1"/>
    </xf>
    <xf numFmtId="0" fontId="35" fillId="41" borderId="38" xfId="45" applyFont="1" applyFill="1" applyBorder="1" applyAlignment="1">
      <alignment horizontal="right" vertical="distributed" wrapText="1"/>
    </xf>
    <xf numFmtId="0" fontId="35" fillId="41" borderId="38" xfId="45" applyFont="1" applyFill="1" applyBorder="1" applyAlignment="1">
      <alignment horizontal="left" vertical="distributed"/>
    </xf>
    <xf numFmtId="0" fontId="35" fillId="41" borderId="38" xfId="45" applyFont="1" applyFill="1" applyBorder="1" applyAlignment="1">
      <alignment horizontal="left" vertical="distributed" wrapText="1"/>
    </xf>
    <xf numFmtId="4" fontId="35" fillId="41" borderId="38" xfId="45" applyNumberFormat="1" applyFont="1" applyFill="1" applyBorder="1" applyAlignment="1">
      <alignment horizontal="right" vertical="distributed" wrapText="1"/>
    </xf>
    <xf numFmtId="4" fontId="35" fillId="41" borderId="38" xfId="45" applyNumberFormat="1" applyFont="1" applyFill="1" applyBorder="1" applyAlignment="1">
      <alignment horizontal="left" vertical="distributed" wrapText="1"/>
    </xf>
    <xf numFmtId="10" fontId="35" fillId="41" borderId="38" xfId="45" applyNumberFormat="1" applyFont="1" applyFill="1" applyBorder="1" applyAlignment="1">
      <alignment horizontal="left" vertical="distributed" wrapText="1"/>
    </xf>
    <xf numFmtId="49" fontId="28" fillId="24" borderId="38" xfId="46" applyNumberFormat="1" applyFont="1" applyFill="1" applyBorder="1" applyAlignment="1">
      <alignment horizontal="left" vertical="distributed"/>
    </xf>
    <xf numFmtId="0" fontId="28" fillId="24" borderId="38" xfId="45" applyFont="1" applyFill="1" applyBorder="1" applyAlignment="1">
      <alignment horizontal="left" vertical="distributed" wrapText="1"/>
    </xf>
    <xf numFmtId="0" fontId="28" fillId="24" borderId="38" xfId="45" applyFont="1" applyFill="1" applyBorder="1" applyAlignment="1">
      <alignment horizontal="left" vertical="top" wrapText="1"/>
    </xf>
    <xf numFmtId="3" fontId="28" fillId="24" borderId="38" xfId="45" applyNumberFormat="1" applyFont="1" applyFill="1" applyBorder="1" applyAlignment="1">
      <alignment horizontal="right" vertical="distributed" wrapText="1"/>
    </xf>
    <xf numFmtId="3" fontId="28" fillId="24" borderId="38" xfId="45" applyNumberFormat="1" applyFont="1" applyFill="1" applyBorder="1" applyAlignment="1">
      <alignment horizontal="left" vertical="distributed" wrapText="1"/>
    </xf>
    <xf numFmtId="49" fontId="28" fillId="24" borderId="38" xfId="46" applyNumberFormat="1" applyFont="1" applyFill="1" applyBorder="1" applyAlignment="1">
      <alignment horizontal="left" vertical="top" wrapText="1"/>
    </xf>
    <xf numFmtId="3" fontId="28" fillId="24" borderId="38" xfId="45" applyNumberFormat="1" applyFont="1" applyFill="1" applyBorder="1" applyAlignment="1">
      <alignment horizontal="left" vertical="top" wrapText="1"/>
    </xf>
    <xf numFmtId="3" fontId="30" fillId="24" borderId="38" xfId="0" applyNumberFormat="1" applyFont="1" applyFill="1" applyBorder="1" applyAlignment="1">
      <alignment horizontal="left" vertical="distributed" wrapText="1"/>
    </xf>
    <xf numFmtId="0" fontId="30" fillId="24" borderId="38" xfId="0" applyFont="1" applyFill="1" applyBorder="1" applyAlignment="1">
      <alignment horizontal="left" vertical="distributed" wrapText="1"/>
    </xf>
    <xf numFmtId="0" fontId="28" fillId="24" borderId="38" xfId="0" applyFont="1" applyFill="1" applyBorder="1" applyAlignment="1">
      <alignment horizontal="left" vertical="distributed"/>
    </xf>
    <xf numFmtId="165" fontId="28" fillId="24" borderId="38" xfId="55" applyNumberFormat="1" applyFont="1" applyFill="1" applyBorder="1" applyAlignment="1">
      <alignment horizontal="right" vertical="distributed" wrapText="1"/>
    </xf>
    <xf numFmtId="0" fontId="28" fillId="24" borderId="38" xfId="0" applyFont="1" applyFill="1" applyBorder="1" applyAlignment="1">
      <alignment horizontal="left" vertical="distributed" wrapText="1"/>
    </xf>
    <xf numFmtId="0" fontId="28" fillId="24" borderId="38" xfId="0" applyFont="1" applyFill="1" applyBorder="1" applyAlignment="1">
      <alignment horizontal="left" vertical="top" wrapText="1"/>
    </xf>
    <xf numFmtId="0" fontId="22" fillId="0" borderId="38" xfId="0" applyFont="1" applyFill="1" applyBorder="1" applyAlignment="1">
      <alignment horizontal="left" vertical="top" wrapText="1"/>
    </xf>
    <xf numFmtId="0" fontId="35" fillId="41" borderId="42" xfId="45" applyFont="1" applyFill="1" applyBorder="1" applyAlignment="1">
      <alignment horizontal="left" vertical="distributed" wrapText="1"/>
    </xf>
    <xf numFmtId="0" fontId="35" fillId="41" borderId="46" xfId="45" applyFont="1" applyFill="1" applyBorder="1" applyAlignment="1">
      <alignment horizontal="left" vertical="distributed" wrapText="1"/>
    </xf>
    <xf numFmtId="3" fontId="30" fillId="24" borderId="38" xfId="0" applyNumberFormat="1" applyFont="1" applyFill="1" applyBorder="1" applyAlignment="1">
      <alignment horizontal="right" vertical="distributed" wrapText="1"/>
    </xf>
    <xf numFmtId="0" fontId="35" fillId="41" borderId="24" xfId="45" applyFont="1" applyFill="1" applyBorder="1" applyAlignment="1">
      <alignment horizontal="left" vertical="top" wrapText="1"/>
    </xf>
    <xf numFmtId="10" fontId="35" fillId="41" borderId="24" xfId="45" applyNumberFormat="1" applyFont="1" applyFill="1" applyBorder="1" applyAlignment="1">
      <alignment horizontal="left" vertical="distributed" wrapText="1"/>
    </xf>
    <xf numFmtId="0" fontId="35" fillId="41" borderId="24" xfId="45" applyFont="1" applyFill="1" applyBorder="1" applyAlignment="1">
      <alignment horizontal="right" vertical="distributed" wrapText="1"/>
    </xf>
    <xf numFmtId="4" fontId="35" fillId="41" borderId="24" xfId="45" applyNumberFormat="1" applyFont="1" applyFill="1" applyBorder="1" applyAlignment="1">
      <alignment horizontal="left" vertical="distributed" wrapText="1"/>
    </xf>
    <xf numFmtId="49" fontId="28" fillId="24" borderId="42" xfId="46" applyNumberFormat="1" applyFont="1" applyFill="1" applyBorder="1" applyAlignment="1">
      <alignment horizontal="left" vertical="distributed"/>
    </xf>
    <xf numFmtId="14" fontId="22" fillId="24" borderId="38" xfId="0" applyNumberFormat="1" applyFont="1" applyFill="1" applyBorder="1" applyAlignment="1">
      <alignment horizontal="left" vertical="center" wrapText="1"/>
    </xf>
    <xf numFmtId="0" fontId="30" fillId="24" borderId="39" xfId="0" applyFont="1" applyFill="1" applyBorder="1" applyAlignment="1">
      <alignment horizontal="left" vertical="distributed" wrapText="1"/>
    </xf>
    <xf numFmtId="0" fontId="28" fillId="24" borderId="38" xfId="1" applyFont="1" applyFill="1" applyBorder="1" applyAlignment="1" applyProtection="1">
      <alignment horizontal="left" vertical="distributed" wrapText="1"/>
    </xf>
    <xf numFmtId="49" fontId="28" fillId="24" borderId="43" xfId="46" applyNumberFormat="1" applyFont="1" applyFill="1" applyBorder="1" applyAlignment="1">
      <alignment horizontal="left" vertical="distributed"/>
    </xf>
    <xf numFmtId="0" fontId="28" fillId="24" borderId="40" xfId="45" applyFont="1" applyFill="1" applyBorder="1" applyAlignment="1">
      <alignment horizontal="left" vertical="distributed" wrapText="1"/>
    </xf>
    <xf numFmtId="49" fontId="28" fillId="24" borderId="40" xfId="46" applyNumberFormat="1" applyFont="1" applyFill="1" applyBorder="1" applyAlignment="1">
      <alignment horizontal="left" vertical="top" wrapText="1"/>
    </xf>
    <xf numFmtId="3" fontId="28" fillId="24" borderId="40" xfId="45" applyNumberFormat="1" applyFont="1" applyFill="1" applyBorder="1" applyAlignment="1">
      <alignment horizontal="left" vertical="top" wrapText="1"/>
    </xf>
    <xf numFmtId="165" fontId="28" fillId="24" borderId="40" xfId="55" applyNumberFormat="1" applyFont="1" applyFill="1" applyBorder="1" applyAlignment="1">
      <alignment horizontal="right" vertical="distributed" wrapText="1"/>
    </xf>
    <xf numFmtId="3" fontId="30" fillId="24" borderId="40" xfId="0" applyNumberFormat="1" applyFont="1" applyFill="1" applyBorder="1" applyAlignment="1">
      <alignment horizontal="left" vertical="distributed" wrapText="1"/>
    </xf>
    <xf numFmtId="0" fontId="28" fillId="24" borderId="40" xfId="1" applyFont="1" applyFill="1" applyBorder="1" applyAlignment="1" applyProtection="1">
      <alignment horizontal="left" vertical="distributed" wrapText="1"/>
    </xf>
    <xf numFmtId="0" fontId="30" fillId="24" borderId="40" xfId="0" applyFont="1" applyFill="1" applyBorder="1" applyAlignment="1">
      <alignment horizontal="left" vertical="distributed" wrapText="1"/>
    </xf>
    <xf numFmtId="0" fontId="30" fillId="24" borderId="41" xfId="0" applyFont="1" applyFill="1" applyBorder="1" applyAlignment="1">
      <alignment horizontal="left" vertical="distributed" wrapText="1"/>
    </xf>
    <xf numFmtId="0" fontId="31" fillId="35" borderId="46" xfId="45" applyFont="1" applyFill="1" applyBorder="1" applyAlignment="1">
      <alignment horizontal="left" vertical="distributed" wrapText="1"/>
    </xf>
    <xf numFmtId="0" fontId="31" fillId="35" borderId="37" xfId="45" applyFont="1" applyFill="1" applyBorder="1" applyAlignment="1">
      <alignment horizontal="left" vertical="distributed" wrapText="1"/>
    </xf>
    <xf numFmtId="0" fontId="35" fillId="35" borderId="38" xfId="45" applyFont="1" applyFill="1" applyBorder="1" applyAlignment="1">
      <alignment horizontal="left" vertical="distributed" wrapText="1"/>
    </xf>
    <xf numFmtId="0" fontId="35" fillId="35" borderId="38" xfId="45" applyFont="1" applyFill="1" applyBorder="1" applyAlignment="1">
      <alignment horizontal="left" vertical="top" wrapText="1"/>
    </xf>
    <xf numFmtId="0" fontId="31" fillId="35" borderId="38" xfId="45" applyFont="1" applyFill="1" applyBorder="1" applyAlignment="1">
      <alignment horizontal="left" vertical="distributed" wrapText="1"/>
    </xf>
    <xf numFmtId="0" fontId="35" fillId="35" borderId="46" xfId="45" applyFont="1" applyFill="1" applyBorder="1" applyAlignment="1">
      <alignment horizontal="left" vertical="distributed"/>
    </xf>
    <xf numFmtId="0" fontId="35" fillId="35" borderId="37" xfId="45" applyFont="1" applyFill="1" applyBorder="1" applyAlignment="1">
      <alignment horizontal="left" vertical="distributed"/>
    </xf>
    <xf numFmtId="0" fontId="35" fillId="35" borderId="38" xfId="45" applyFont="1" applyFill="1" applyBorder="1" applyAlignment="1">
      <alignment horizontal="left" vertical="distributed" wrapText="1"/>
    </xf>
    <xf numFmtId="0" fontId="35" fillId="35" borderId="38" xfId="45" applyFont="1" applyFill="1" applyBorder="1" applyAlignment="1">
      <alignment horizontal="right" vertical="distributed" wrapText="1"/>
    </xf>
    <xf numFmtId="4" fontId="35" fillId="35" borderId="38" xfId="45" applyNumberFormat="1" applyFont="1" applyFill="1" applyBorder="1" applyAlignment="1">
      <alignment horizontal="left" vertical="distributed" wrapText="1"/>
    </xf>
    <xf numFmtId="10" fontId="35" fillId="35" borderId="38" xfId="45" applyNumberFormat="1" applyFont="1" applyFill="1" applyBorder="1" applyAlignment="1">
      <alignment horizontal="left" vertical="distributed" wrapText="1"/>
    </xf>
    <xf numFmtId="0" fontId="28" fillId="0" borderId="42" xfId="45" applyFont="1" applyFill="1" applyBorder="1" applyAlignment="1">
      <alignment horizontal="left" vertical="distributed" wrapText="1"/>
    </xf>
    <xf numFmtId="0" fontId="28" fillId="0" borderId="37" xfId="45" applyFont="1" applyFill="1" applyBorder="1" applyAlignment="1">
      <alignment horizontal="left" vertical="distributed" wrapText="1"/>
    </xf>
    <xf numFmtId="0" fontId="30" fillId="0" borderId="38" xfId="44" applyFont="1" applyBorder="1" applyAlignment="1">
      <alignment horizontal="left" vertical="top" wrapText="1"/>
    </xf>
    <xf numFmtId="0" fontId="35" fillId="0" borderId="38" xfId="45" applyFont="1" applyFill="1" applyBorder="1" applyAlignment="1">
      <alignment horizontal="left" vertical="top" wrapText="1"/>
    </xf>
    <xf numFmtId="0" fontId="28" fillId="0" borderId="38" xfId="45" applyFont="1" applyFill="1" applyBorder="1" applyAlignment="1">
      <alignment horizontal="left" vertical="distributed" wrapText="1"/>
    </xf>
    <xf numFmtId="0" fontId="28" fillId="0" borderId="46" xfId="45" applyFont="1" applyFill="1" applyBorder="1" applyAlignment="1">
      <alignment horizontal="left" vertical="distributed" wrapText="1"/>
    </xf>
    <xf numFmtId="0" fontId="28" fillId="0" borderId="37" xfId="45" applyFont="1" applyFill="1" applyBorder="1" applyAlignment="1">
      <alignment horizontal="left" vertical="distributed" wrapText="1"/>
    </xf>
    <xf numFmtId="3" fontId="30" fillId="0" borderId="38" xfId="0" applyNumberFormat="1" applyFont="1" applyFill="1" applyBorder="1" applyAlignment="1">
      <alignment horizontal="right" vertical="distributed" wrapText="1"/>
    </xf>
    <xf numFmtId="3" fontId="30" fillId="0" borderId="38" xfId="0" applyNumberFormat="1" applyFont="1" applyFill="1" applyBorder="1" applyAlignment="1">
      <alignment horizontal="left" vertical="distributed" wrapText="1"/>
    </xf>
    <xf numFmtId="0" fontId="30" fillId="0" borderId="38" xfId="0" applyFont="1" applyFill="1" applyBorder="1" applyAlignment="1">
      <alignment horizontal="left" vertical="distributed" wrapText="1"/>
    </xf>
    <xf numFmtId="0" fontId="28" fillId="0" borderId="39" xfId="45" applyFont="1" applyFill="1" applyBorder="1" applyAlignment="1">
      <alignment horizontal="left" vertical="distributed" wrapText="1"/>
    </xf>
    <xf numFmtId="0" fontId="28" fillId="0" borderId="43" xfId="45" applyFont="1" applyFill="1" applyBorder="1" applyAlignment="1">
      <alignment horizontal="left" vertical="distributed" wrapText="1"/>
    </xf>
    <xf numFmtId="0" fontId="28" fillId="0" borderId="45" xfId="45" applyFont="1" applyFill="1" applyBorder="1" applyAlignment="1">
      <alignment horizontal="left" vertical="distributed" wrapText="1"/>
    </xf>
    <xf numFmtId="0" fontId="28" fillId="0" borderId="40" xfId="45" applyFont="1" applyFill="1" applyBorder="1" applyAlignment="1">
      <alignment horizontal="left" vertical="top" wrapText="1"/>
    </xf>
    <xf numFmtId="0" fontId="28" fillId="0" borderId="40" xfId="45" applyFont="1" applyFill="1" applyBorder="1" applyAlignment="1">
      <alignment horizontal="left" vertical="distributed" wrapText="1"/>
    </xf>
    <xf numFmtId="0" fontId="28" fillId="0" borderId="47" xfId="45" applyFont="1" applyFill="1" applyBorder="1" applyAlignment="1">
      <alignment horizontal="left" vertical="distributed" wrapText="1"/>
    </xf>
    <xf numFmtId="0" fontId="28" fillId="0" borderId="45" xfId="45" applyFont="1" applyFill="1" applyBorder="1" applyAlignment="1">
      <alignment horizontal="left" vertical="distributed" wrapText="1"/>
    </xf>
    <xf numFmtId="3" fontId="30" fillId="0" borderId="40" xfId="0" applyNumberFormat="1" applyFont="1" applyFill="1" applyBorder="1" applyAlignment="1">
      <alignment horizontal="right" vertical="distributed" wrapText="1"/>
    </xf>
    <xf numFmtId="3" fontId="30" fillId="0" borderId="40" xfId="0" applyNumberFormat="1" applyFont="1" applyFill="1" applyBorder="1" applyAlignment="1">
      <alignment horizontal="left" vertical="distributed" wrapText="1"/>
    </xf>
    <xf numFmtId="0" fontId="30" fillId="0" borderId="40" xfId="0" applyFont="1" applyFill="1" applyBorder="1" applyAlignment="1">
      <alignment horizontal="left" vertical="distributed" wrapText="1"/>
    </xf>
    <xf numFmtId="0" fontId="28" fillId="0" borderId="41" xfId="45" applyFont="1" applyFill="1" applyBorder="1" applyAlignment="1">
      <alignment horizontal="left" vertical="distributed" wrapText="1"/>
    </xf>
    <xf numFmtId="0" fontId="30" fillId="24" borderId="38" xfId="45" applyFont="1" applyFill="1" applyBorder="1" applyAlignment="1">
      <alignment horizontal="left" vertical="distributed" wrapText="1"/>
    </xf>
    <xf numFmtId="14" fontId="28" fillId="24" borderId="38" xfId="0" applyNumberFormat="1" applyFont="1" applyFill="1" applyBorder="1" applyAlignment="1">
      <alignment horizontal="left" vertical="top" wrapText="1"/>
    </xf>
    <xf numFmtId="14" fontId="28" fillId="24" borderId="38" xfId="0" applyNumberFormat="1" applyFont="1" applyFill="1" applyBorder="1" applyAlignment="1">
      <alignment horizontal="left" vertical="distributed" wrapText="1"/>
    </xf>
    <xf numFmtId="164" fontId="28" fillId="24" borderId="38" xfId="55" applyFont="1" applyFill="1" applyBorder="1" applyAlignment="1">
      <alignment horizontal="left" vertical="top" wrapText="1"/>
    </xf>
    <xf numFmtId="0" fontId="28" fillId="24" borderId="38" xfId="45" applyFont="1" applyFill="1" applyBorder="1" applyAlignment="1">
      <alignment horizontal="left" vertical="distributed" wrapText="1"/>
    </xf>
    <xf numFmtId="10" fontId="28" fillId="24" borderId="38" xfId="45" applyNumberFormat="1" applyFont="1" applyFill="1" applyBorder="1" applyAlignment="1">
      <alignment horizontal="left" vertical="distributed" wrapText="1"/>
    </xf>
    <xf numFmtId="0" fontId="35" fillId="35" borderId="38" xfId="45" applyFont="1" applyFill="1" applyBorder="1" applyAlignment="1">
      <alignment horizontal="left" vertical="distributed"/>
    </xf>
    <xf numFmtId="0" fontId="30" fillId="24" borderId="38" xfId="44" applyFont="1" applyFill="1" applyBorder="1" applyAlignment="1">
      <alignment horizontal="left" vertical="top" wrapText="1"/>
    </xf>
    <xf numFmtId="0" fontId="30" fillId="24" borderId="38" xfId="0" applyFont="1" applyFill="1" applyBorder="1" applyAlignment="1">
      <alignment horizontal="left" vertical="top" wrapText="1"/>
    </xf>
    <xf numFmtId="10" fontId="35" fillId="35" borderId="38" xfId="45" applyNumberFormat="1" applyFont="1" applyFill="1" applyBorder="1" applyAlignment="1">
      <alignment horizontal="left" vertical="distributed" wrapText="1"/>
    </xf>
    <xf numFmtId="0" fontId="28" fillId="24" borderId="38" xfId="45" applyFont="1" applyFill="1" applyBorder="1" applyAlignment="1">
      <alignment horizontal="right" vertical="distributed" wrapText="1"/>
    </xf>
    <xf numFmtId="4" fontId="28" fillId="24" borderId="38" xfId="45" applyNumberFormat="1" applyFont="1" applyFill="1" applyBorder="1" applyAlignment="1">
      <alignment horizontal="left" vertical="distributed" wrapText="1"/>
    </xf>
    <xf numFmtId="0" fontId="30" fillId="24" borderId="38" xfId="0" applyFont="1" applyFill="1" applyBorder="1" applyAlignment="1">
      <alignment horizontal="left" vertical="distributed"/>
    </xf>
    <xf numFmtId="0" fontId="30" fillId="24" borderId="38" xfId="0" applyFont="1" applyFill="1" applyBorder="1" applyAlignment="1">
      <alignment horizontal="right" vertical="distributed"/>
    </xf>
    <xf numFmtId="4" fontId="30" fillId="24" borderId="38" xfId="0" applyNumberFormat="1" applyFont="1" applyFill="1" applyBorder="1" applyAlignment="1">
      <alignment horizontal="left" vertical="distributed"/>
    </xf>
    <xf numFmtId="10" fontId="30" fillId="24" borderId="38" xfId="0" applyNumberFormat="1" applyFont="1" applyFill="1" applyBorder="1" applyAlignment="1">
      <alignment horizontal="left" vertical="distributed"/>
    </xf>
    <xf numFmtId="0" fontId="30" fillId="24" borderId="37" xfId="0" applyFont="1" applyFill="1" applyBorder="1" applyAlignment="1">
      <alignment horizontal="left" vertical="distributed"/>
    </xf>
    <xf numFmtId="0" fontId="37" fillId="24" borderId="38" xfId="0" applyFont="1" applyFill="1" applyBorder="1" applyAlignment="1">
      <alignment horizontal="left" vertical="distributed"/>
    </xf>
    <xf numFmtId="0" fontId="37" fillId="24" borderId="38" xfId="0" applyFont="1" applyFill="1" applyBorder="1" applyAlignment="1">
      <alignment horizontal="left" vertical="top" wrapText="1"/>
    </xf>
    <xf numFmtId="165" fontId="37" fillId="24" borderId="38" xfId="0" applyNumberFormat="1" applyFont="1" applyFill="1" applyBorder="1" applyAlignment="1">
      <alignment horizontal="right" vertical="distributed"/>
    </xf>
    <xf numFmtId="165" fontId="37" fillId="24" borderId="38" xfId="0" applyNumberFormat="1" applyFont="1" applyFill="1" applyBorder="1" applyAlignment="1">
      <alignment horizontal="left" vertical="distributed"/>
    </xf>
    <xf numFmtId="3" fontId="37" fillId="24" borderId="38" xfId="0" applyNumberFormat="1" applyFont="1" applyFill="1" applyBorder="1" applyAlignment="1">
      <alignment horizontal="left" vertical="distributed"/>
    </xf>
    <xf numFmtId="0" fontId="35" fillId="41" borderId="38" xfId="45" applyFont="1" applyFill="1" applyBorder="1" applyAlignment="1">
      <alignment vertical="distributed" wrapText="1"/>
    </xf>
    <xf numFmtId="0" fontId="35" fillId="24" borderId="38" xfId="45" applyFont="1" applyFill="1" applyBorder="1" applyAlignment="1">
      <alignment horizontal="left" vertical="distributed" wrapText="1"/>
    </xf>
    <xf numFmtId="165" fontId="29" fillId="24" borderId="38" xfId="55" applyNumberFormat="1" applyFont="1" applyFill="1" applyBorder="1" applyAlignment="1">
      <alignment horizontal="right" vertical="distributed" wrapText="1"/>
    </xf>
    <xf numFmtId="10" fontId="35" fillId="24" borderId="38" xfId="45" applyNumberFormat="1" applyFont="1" applyFill="1" applyBorder="1" applyAlignment="1">
      <alignment horizontal="left" vertical="distributed" wrapText="1"/>
    </xf>
    <xf numFmtId="14" fontId="30" fillId="24" borderId="38" xfId="0" applyNumberFormat="1" applyFont="1" applyFill="1" applyBorder="1" applyAlignment="1">
      <alignment horizontal="left" vertical="distributed" wrapText="1"/>
    </xf>
    <xf numFmtId="3" fontId="29" fillId="24" borderId="38" xfId="45" applyNumberFormat="1" applyFont="1" applyFill="1" applyBorder="1" applyAlignment="1">
      <alignment horizontal="right" vertical="distributed" wrapText="1"/>
    </xf>
    <xf numFmtId="49" fontId="28" fillId="40" borderId="38" xfId="46" applyNumberFormat="1" applyFont="1" applyFill="1" applyBorder="1" applyAlignment="1">
      <alignment horizontal="left" vertical="distributed"/>
    </xf>
    <xf numFmtId="0" fontId="28" fillId="40" borderId="38" xfId="45" applyFont="1" applyFill="1" applyBorder="1" applyAlignment="1">
      <alignment horizontal="left" vertical="distributed" wrapText="1"/>
    </xf>
    <xf numFmtId="49" fontId="28" fillId="40" borderId="38" xfId="46" applyNumberFormat="1" applyFont="1" applyFill="1" applyBorder="1" applyAlignment="1">
      <alignment horizontal="left" vertical="top" wrapText="1"/>
    </xf>
    <xf numFmtId="3" fontId="28" fillId="40" borderId="38" xfId="45" applyNumberFormat="1" applyFont="1" applyFill="1" applyBorder="1" applyAlignment="1">
      <alignment horizontal="left" vertical="top" wrapText="1"/>
    </xf>
    <xf numFmtId="165" fontId="28" fillId="40" borderId="38" xfId="55" applyNumberFormat="1" applyFont="1" applyFill="1" applyBorder="1" applyAlignment="1">
      <alignment horizontal="right" vertical="distributed" wrapText="1"/>
    </xf>
    <xf numFmtId="3" fontId="30" fillId="40" borderId="38" xfId="0" applyNumberFormat="1" applyFont="1" applyFill="1" applyBorder="1" applyAlignment="1">
      <alignment horizontal="left" vertical="distributed" wrapText="1"/>
    </xf>
    <xf numFmtId="0" fontId="28" fillId="40" borderId="38" xfId="1" applyFont="1" applyFill="1" applyBorder="1" applyAlignment="1" applyProtection="1">
      <alignment horizontal="left" vertical="distributed" wrapText="1"/>
    </xf>
    <xf numFmtId="0" fontId="30" fillId="40" borderId="38" xfId="0" applyFont="1" applyFill="1" applyBorder="1" applyAlignment="1">
      <alignment horizontal="left" vertical="distributed" wrapText="1"/>
    </xf>
    <xf numFmtId="3" fontId="28" fillId="40" borderId="38" xfId="45" applyNumberFormat="1" applyFont="1" applyFill="1" applyBorder="1" applyAlignment="1">
      <alignment horizontal="right" vertical="distributed" wrapText="1"/>
    </xf>
    <xf numFmtId="49" fontId="29" fillId="24" borderId="38" xfId="46" applyNumberFormat="1" applyFont="1" applyFill="1" applyBorder="1" applyAlignment="1">
      <alignment horizontal="left" vertical="distributed"/>
    </xf>
    <xf numFmtId="0" fontId="29" fillId="24" borderId="38" xfId="45" applyFont="1" applyFill="1" applyBorder="1" applyAlignment="1">
      <alignment horizontal="left" vertical="distributed" wrapText="1"/>
    </xf>
    <xf numFmtId="0" fontId="29" fillId="24" borderId="38" xfId="45" applyFont="1" applyFill="1" applyBorder="1" applyAlignment="1">
      <alignment horizontal="left" vertical="top" wrapText="1"/>
    </xf>
    <xf numFmtId="3" fontId="37" fillId="24" borderId="38" xfId="0" applyNumberFormat="1" applyFont="1" applyFill="1" applyBorder="1" applyAlignment="1">
      <alignment horizontal="left" vertical="distributed" wrapText="1"/>
    </xf>
    <xf numFmtId="0" fontId="37" fillId="24" borderId="38" xfId="0" applyFont="1" applyFill="1" applyBorder="1" applyAlignment="1">
      <alignment horizontal="left" vertical="distributed" wrapText="1"/>
    </xf>
    <xf numFmtId="0" fontId="28" fillId="35" borderId="38" xfId="45" applyFont="1" applyFill="1" applyBorder="1" applyAlignment="1">
      <alignment horizontal="left" vertical="distributed" wrapText="1"/>
    </xf>
    <xf numFmtId="0" fontId="35" fillId="35" borderId="38" xfId="45" applyFont="1" applyFill="1" applyBorder="1" applyAlignment="1">
      <alignment horizontal="right" vertical="distributed" wrapText="1" indent="1"/>
    </xf>
    <xf numFmtId="0" fontId="35" fillId="35" borderId="38" xfId="45" applyFont="1" applyFill="1" applyBorder="1" applyAlignment="1">
      <alignment horizontal="right" vertical="distributed" indent="1"/>
    </xf>
    <xf numFmtId="4" fontId="35" fillId="35" borderId="38" xfId="45" applyNumberFormat="1" applyFont="1" applyFill="1" applyBorder="1" applyAlignment="1">
      <alignment horizontal="right" vertical="distributed" wrapText="1" indent="1"/>
    </xf>
    <xf numFmtId="10" fontId="35" fillId="35" borderId="38" xfId="45" applyNumberFormat="1" applyFont="1" applyFill="1" applyBorder="1" applyAlignment="1">
      <alignment horizontal="right" vertical="distributed" wrapText="1" indent="1"/>
    </xf>
    <xf numFmtId="3" fontId="28" fillId="24" borderId="38" xfId="45" applyNumberFormat="1" applyFont="1" applyFill="1" applyBorder="1" applyAlignment="1">
      <alignment horizontal="right" vertical="distributed" wrapText="1" indent="1"/>
    </xf>
    <xf numFmtId="0" fontId="35" fillId="35" borderId="42" xfId="45" applyFont="1" applyFill="1" applyBorder="1" applyAlignment="1">
      <alignment horizontal="left" vertical="distributed" wrapText="1"/>
    </xf>
    <xf numFmtId="0" fontId="35" fillId="35" borderId="46" xfId="45" applyFont="1" applyFill="1" applyBorder="1" applyAlignment="1">
      <alignment horizontal="left" vertical="distributed" wrapText="1"/>
    </xf>
    <xf numFmtId="3" fontId="30" fillId="24" borderId="38" xfId="0" applyNumberFormat="1" applyFont="1" applyFill="1" applyBorder="1" applyAlignment="1">
      <alignment horizontal="right" vertical="distributed" wrapText="1" indent="1"/>
    </xf>
    <xf numFmtId="0" fontId="28" fillId="35" borderId="24" xfId="45" applyFont="1" applyFill="1" applyBorder="1" applyAlignment="1">
      <alignment horizontal="left" vertical="distributed" wrapText="1"/>
    </xf>
    <xf numFmtId="0" fontId="35" fillId="35" borderId="24" xfId="45" applyFont="1" applyFill="1" applyBorder="1" applyAlignment="1">
      <alignment horizontal="right" vertical="distributed" wrapText="1" indent="1"/>
    </xf>
    <xf numFmtId="4" fontId="35" fillId="35" borderId="24" xfId="45" applyNumberFormat="1" applyFont="1" applyFill="1" applyBorder="1" applyAlignment="1">
      <alignment horizontal="right" vertical="distributed" wrapText="1" indent="1"/>
    </xf>
    <xf numFmtId="10" fontId="35" fillId="35" borderId="24" xfId="45" applyNumberFormat="1" applyFont="1" applyFill="1" applyBorder="1" applyAlignment="1">
      <alignment horizontal="right" vertical="distributed" wrapText="1" indent="1"/>
    </xf>
    <xf numFmtId="0" fontId="35" fillId="35" borderId="46" xfId="45" applyFont="1" applyFill="1" applyBorder="1" applyAlignment="1">
      <alignment horizontal="right" vertical="distributed" indent="1"/>
    </xf>
    <xf numFmtId="0" fontId="35" fillId="35" borderId="34" xfId="45" applyFont="1" applyFill="1" applyBorder="1" applyAlignment="1">
      <alignment horizontal="right" vertical="distributed" indent="1"/>
    </xf>
    <xf numFmtId="0" fontId="35" fillId="35" borderId="37" xfId="45" applyFont="1" applyFill="1" applyBorder="1" applyAlignment="1">
      <alignment horizontal="right" vertical="distributed" indent="1"/>
    </xf>
    <xf numFmtId="3" fontId="30" fillId="0" borderId="40" xfId="0" applyNumberFormat="1" applyFont="1" applyFill="1" applyBorder="1" applyAlignment="1">
      <alignment horizontal="right" vertical="distributed" wrapText="1" indent="1"/>
    </xf>
    <xf numFmtId="0" fontId="35" fillId="41" borderId="38" xfId="45" applyFont="1" applyFill="1" applyBorder="1" applyAlignment="1">
      <alignment horizontal="right" vertical="distributed" wrapText="1" indent="1"/>
    </xf>
    <xf numFmtId="0" fontId="35" fillId="41" borderId="38" xfId="45" applyFont="1" applyFill="1" applyBorder="1" applyAlignment="1">
      <alignment horizontal="right" vertical="distributed" indent="1"/>
    </xf>
    <xf numFmtId="4" fontId="35" fillId="41" borderId="38" xfId="45" applyNumberFormat="1" applyFont="1" applyFill="1" applyBorder="1" applyAlignment="1">
      <alignment horizontal="right" vertical="distributed" wrapText="1" indent="1"/>
    </xf>
    <xf numFmtId="10" fontId="35" fillId="41" borderId="38" xfId="45" applyNumberFormat="1" applyFont="1" applyFill="1" applyBorder="1" applyAlignment="1">
      <alignment horizontal="right" vertical="distributed" wrapText="1" indent="1"/>
    </xf>
    <xf numFmtId="49" fontId="28" fillId="24" borderId="38" xfId="46" applyNumberFormat="1" applyFont="1" applyFill="1" applyBorder="1" applyAlignment="1">
      <alignment horizontal="left" vertical="distributed" wrapText="1"/>
    </xf>
    <xf numFmtId="165" fontId="29" fillId="24" borderId="38" xfId="55" applyNumberFormat="1" applyFont="1" applyFill="1" applyBorder="1" applyAlignment="1">
      <alignment horizontal="right" vertical="distributed" wrapText="1" indent="1"/>
    </xf>
    <xf numFmtId="17" fontId="30" fillId="24" borderId="38" xfId="0" applyNumberFormat="1" applyFont="1" applyFill="1" applyBorder="1" applyAlignment="1">
      <alignment horizontal="left" vertical="distributed" wrapText="1"/>
    </xf>
    <xf numFmtId="165" fontId="28" fillId="24" borderId="38" xfId="55" applyNumberFormat="1" applyFont="1" applyFill="1" applyBorder="1" applyAlignment="1">
      <alignment horizontal="right" vertical="distributed" wrapText="1" indent="1"/>
    </xf>
    <xf numFmtId="49" fontId="28" fillId="42" borderId="38" xfId="46" applyNumberFormat="1" applyFont="1" applyFill="1" applyBorder="1" applyAlignment="1">
      <alignment horizontal="left" vertical="distributed"/>
    </xf>
    <xf numFmtId="0" fontId="28" fillId="42" borderId="38" xfId="45" applyFont="1" applyFill="1" applyBorder="1" applyAlignment="1">
      <alignment horizontal="left" vertical="distributed" wrapText="1"/>
    </xf>
    <xf numFmtId="49" fontId="28" fillId="42" borderId="38" xfId="46" applyNumberFormat="1" applyFont="1" applyFill="1" applyBorder="1" applyAlignment="1">
      <alignment horizontal="left" vertical="distributed" wrapText="1"/>
    </xf>
    <xf numFmtId="3" fontId="28" fillId="42" borderId="38" xfId="45" applyNumberFormat="1" applyFont="1" applyFill="1" applyBorder="1" applyAlignment="1">
      <alignment horizontal="left" vertical="distributed" wrapText="1"/>
    </xf>
    <xf numFmtId="0" fontId="35" fillId="42" borderId="38" xfId="45" applyFont="1" applyFill="1" applyBorder="1" applyAlignment="1">
      <alignment horizontal="left" vertical="distributed" wrapText="1"/>
    </xf>
    <xf numFmtId="3" fontId="30" fillId="42" borderId="38" xfId="0" applyNumberFormat="1" applyFont="1" applyFill="1" applyBorder="1" applyAlignment="1">
      <alignment horizontal="right" vertical="distributed" wrapText="1" indent="1"/>
    </xf>
    <xf numFmtId="3" fontId="28" fillId="42" borderId="38" xfId="45" applyNumberFormat="1" applyFont="1" applyFill="1" applyBorder="1" applyAlignment="1">
      <alignment horizontal="right" vertical="distributed" wrapText="1" indent="1"/>
    </xf>
    <xf numFmtId="0" fontId="28" fillId="42" borderId="38" xfId="1" applyFont="1" applyFill="1" applyBorder="1" applyAlignment="1" applyProtection="1">
      <alignment horizontal="left" vertical="distributed" wrapText="1"/>
    </xf>
    <xf numFmtId="17" fontId="30" fillId="42" borderId="38" xfId="0" applyNumberFormat="1" applyFont="1" applyFill="1" applyBorder="1" applyAlignment="1">
      <alignment horizontal="left" vertical="distributed" wrapText="1"/>
    </xf>
    <xf numFmtId="0" fontId="30" fillId="42" borderId="38" xfId="0" applyFont="1" applyFill="1" applyBorder="1" applyAlignment="1">
      <alignment horizontal="left" vertical="distributed" wrapText="1"/>
    </xf>
    <xf numFmtId="165" fontId="28" fillId="42" borderId="38" xfId="55" applyNumberFormat="1" applyFont="1" applyFill="1" applyBorder="1" applyAlignment="1">
      <alignment horizontal="right" vertical="distributed" wrapText="1" indent="1"/>
    </xf>
    <xf numFmtId="3" fontId="29" fillId="24" borderId="38" xfId="45" applyNumberFormat="1" applyFont="1" applyFill="1" applyBorder="1" applyAlignment="1">
      <alignment horizontal="right" vertical="distributed" wrapText="1" indent="1"/>
    </xf>
    <xf numFmtId="3" fontId="37" fillId="24" borderId="38" xfId="0" applyNumberFormat="1" applyFont="1" applyFill="1" applyBorder="1" applyAlignment="1">
      <alignment horizontal="right" vertical="distributed" wrapText="1" indent="1"/>
    </xf>
    <xf numFmtId="3" fontId="28" fillId="24" borderId="38" xfId="0" applyNumberFormat="1" applyFont="1" applyFill="1" applyBorder="1" applyAlignment="1">
      <alignment horizontal="right" vertical="distributed" wrapText="1" indent="1"/>
    </xf>
    <xf numFmtId="165" fontId="30" fillId="24" borderId="38" xfId="0" applyNumberFormat="1" applyFont="1" applyFill="1" applyBorder="1" applyAlignment="1">
      <alignment horizontal="right" vertical="distributed" indent="1"/>
    </xf>
    <xf numFmtId="0" fontId="28" fillId="24" borderId="38" xfId="45" applyFont="1" applyFill="1" applyBorder="1" applyAlignment="1">
      <alignment horizontal="right" vertical="distributed" wrapText="1" indent="1"/>
    </xf>
    <xf numFmtId="4" fontId="28" fillId="24" borderId="38" xfId="45" applyNumberFormat="1" applyFont="1" applyFill="1" applyBorder="1" applyAlignment="1">
      <alignment horizontal="right" vertical="distributed" wrapText="1" indent="1"/>
    </xf>
    <xf numFmtId="0" fontId="30" fillId="24" borderId="38" xfId="0" applyFont="1" applyFill="1" applyBorder="1" applyAlignment="1">
      <alignment horizontal="right" vertical="distributed" indent="1"/>
    </xf>
    <xf numFmtId="4" fontId="30" fillId="24" borderId="38" xfId="0" applyNumberFormat="1" applyFont="1" applyFill="1" applyBorder="1" applyAlignment="1">
      <alignment horizontal="right" vertical="distributed" indent="1"/>
    </xf>
    <xf numFmtId="10" fontId="30" fillId="24" borderId="38" xfId="0" applyNumberFormat="1" applyFont="1" applyFill="1" applyBorder="1" applyAlignment="1">
      <alignment horizontal="right" vertical="distributed" indent="1"/>
    </xf>
    <xf numFmtId="0" fontId="28" fillId="24" borderId="23" xfId="46" applyFont="1" applyFill="1" applyBorder="1" applyAlignment="1">
      <alignment horizontal="left" vertical="distributed" wrapText="1"/>
    </xf>
    <xf numFmtId="0" fontId="29" fillId="24" borderId="38" xfId="0" applyFont="1" applyFill="1" applyBorder="1" applyAlignment="1">
      <alignment horizontal="left" vertical="distributed"/>
    </xf>
    <xf numFmtId="165" fontId="37" fillId="24" borderId="38" xfId="0" applyNumberFormat="1" applyFont="1" applyFill="1" applyBorder="1" applyAlignment="1">
      <alignment horizontal="right" vertical="distributed" indent="1"/>
    </xf>
    <xf numFmtId="3" fontId="30" fillId="24" borderId="38" xfId="0" applyNumberFormat="1" applyFont="1" applyFill="1" applyBorder="1" applyAlignment="1">
      <alignment horizontal="right" vertical="distributed" indent="1"/>
    </xf>
    <xf numFmtId="0" fontId="35" fillId="35" borderId="38" xfId="45" applyFont="1" applyFill="1" applyBorder="1" applyAlignment="1">
      <alignment horizontal="center" vertical="top" wrapText="1"/>
    </xf>
    <xf numFmtId="0" fontId="35" fillId="35" borderId="38" xfId="45" applyFont="1" applyFill="1" applyBorder="1" applyAlignment="1">
      <alignment horizontal="distributed" vertical="top" wrapText="1"/>
    </xf>
    <xf numFmtId="0" fontId="35" fillId="35" borderId="38" xfId="45" applyFont="1" applyFill="1" applyBorder="1" applyAlignment="1">
      <alignment horizontal="distributed" vertical="top"/>
    </xf>
    <xf numFmtId="0" fontId="35" fillId="35" borderId="38" xfId="45" applyFont="1" applyFill="1" applyBorder="1" applyAlignment="1">
      <alignment horizontal="center" vertical="top" wrapText="1"/>
    </xf>
    <xf numFmtId="4" fontId="35" fillId="35" borderId="38" xfId="45" applyNumberFormat="1" applyFont="1" applyFill="1" applyBorder="1" applyAlignment="1">
      <alignment horizontal="distributed" vertical="top" wrapText="1"/>
    </xf>
    <xf numFmtId="10" fontId="35" fillId="35" borderId="38" xfId="45" applyNumberFormat="1" applyFont="1" applyFill="1" applyBorder="1" applyAlignment="1">
      <alignment horizontal="distributed" vertical="top" wrapText="1"/>
    </xf>
    <xf numFmtId="0" fontId="35" fillId="35" borderId="38" xfId="45" applyFont="1" applyFill="1" applyBorder="1" applyAlignment="1">
      <alignment horizontal="left" vertical="top" wrapText="1"/>
    </xf>
    <xf numFmtId="49" fontId="28" fillId="24" borderId="38" xfId="46" applyNumberFormat="1" applyFont="1" applyFill="1" applyBorder="1" applyAlignment="1">
      <alignment horizontal="center" vertical="top"/>
    </xf>
    <xf numFmtId="3" fontId="28" fillId="24" borderId="38" xfId="45" applyNumberFormat="1" applyFont="1" applyFill="1" applyBorder="1" applyAlignment="1">
      <alignment horizontal="distributed" vertical="top" wrapText="1"/>
    </xf>
    <xf numFmtId="0" fontId="35" fillId="41" borderId="38" xfId="45" applyFont="1" applyFill="1" applyBorder="1" applyAlignment="1">
      <alignment horizontal="center" vertical="top" wrapText="1"/>
    </xf>
    <xf numFmtId="0" fontId="35" fillId="41" borderId="42" xfId="45" applyFont="1" applyFill="1" applyBorder="1" applyAlignment="1">
      <alignment horizontal="left" vertical="top" wrapText="1"/>
    </xf>
    <xf numFmtId="0" fontId="35" fillId="41" borderId="38" xfId="45" applyFont="1" applyFill="1" applyBorder="1" applyAlignment="1">
      <alignment horizontal="distributed" vertical="top" wrapText="1"/>
    </xf>
    <xf numFmtId="0" fontId="35" fillId="41" borderId="38" xfId="45" applyFont="1" applyFill="1" applyBorder="1" applyAlignment="1">
      <alignment horizontal="distributed" vertical="top"/>
    </xf>
    <xf numFmtId="0" fontId="35" fillId="41" borderId="46" xfId="45" applyFont="1" applyFill="1" applyBorder="1" applyAlignment="1">
      <alignment horizontal="left" vertical="top" wrapText="1"/>
    </xf>
    <xf numFmtId="0" fontId="35" fillId="41" borderId="38" xfId="45" applyFont="1" applyFill="1" applyBorder="1" applyAlignment="1">
      <alignment horizontal="center" vertical="top" wrapText="1"/>
    </xf>
    <xf numFmtId="4" fontId="35" fillId="41" borderId="38" xfId="45" applyNumberFormat="1" applyFont="1" applyFill="1" applyBorder="1" applyAlignment="1">
      <alignment horizontal="distributed" vertical="top" wrapText="1"/>
    </xf>
    <xf numFmtId="10" fontId="35" fillId="41" borderId="38" xfId="45" applyNumberFormat="1" applyFont="1" applyFill="1" applyBorder="1" applyAlignment="1">
      <alignment horizontal="distributed" vertical="top" wrapText="1"/>
    </xf>
    <xf numFmtId="0" fontId="35" fillId="41" borderId="38" xfId="45" applyFont="1" applyFill="1" applyBorder="1" applyAlignment="1">
      <alignment horizontal="left" vertical="top" wrapText="1"/>
    </xf>
    <xf numFmtId="49" fontId="29" fillId="24" borderId="38" xfId="46" applyNumberFormat="1" applyFont="1" applyFill="1" applyBorder="1" applyAlignment="1">
      <alignment horizontal="center" vertical="top"/>
    </xf>
    <xf numFmtId="49" fontId="29" fillId="24" borderId="38" xfId="46" applyNumberFormat="1" applyFont="1" applyFill="1" applyBorder="1" applyAlignment="1">
      <alignment horizontal="left" vertical="top" wrapText="1"/>
    </xf>
    <xf numFmtId="3" fontId="29" fillId="24" borderId="38" xfId="45" applyNumberFormat="1" applyFont="1" applyFill="1" applyBorder="1" applyAlignment="1">
      <alignment horizontal="left" vertical="top" wrapText="1"/>
    </xf>
    <xf numFmtId="165" fontId="29" fillId="24" borderId="38" xfId="55" applyNumberFormat="1" applyFont="1" applyFill="1" applyBorder="1" applyAlignment="1">
      <alignment horizontal="distributed" vertical="top" wrapText="1"/>
    </xf>
    <xf numFmtId="3" fontId="37" fillId="24" borderId="38" xfId="0" applyNumberFormat="1" applyFont="1" applyFill="1" applyBorder="1" applyAlignment="1">
      <alignment horizontal="distributed" vertical="top" wrapText="1"/>
    </xf>
    <xf numFmtId="0" fontId="29" fillId="24" borderId="38" xfId="1" applyFont="1" applyFill="1" applyBorder="1" applyAlignment="1" applyProtection="1">
      <alignment horizontal="left" vertical="top" wrapText="1"/>
    </xf>
    <xf numFmtId="17" fontId="37" fillId="24" borderId="38" xfId="0" applyNumberFormat="1" applyFont="1" applyFill="1" applyBorder="1" applyAlignment="1">
      <alignment horizontal="left" vertical="top" wrapText="1"/>
    </xf>
    <xf numFmtId="165" fontId="28" fillId="24" borderId="38" xfId="55" applyNumberFormat="1" applyFont="1" applyFill="1" applyBorder="1" applyAlignment="1">
      <alignment horizontal="distributed" vertical="top" wrapText="1"/>
    </xf>
    <xf numFmtId="3" fontId="30" fillId="24" borderId="38" xfId="0" applyNumberFormat="1" applyFont="1" applyFill="1" applyBorder="1" applyAlignment="1">
      <alignment horizontal="distributed" vertical="top" wrapText="1"/>
    </xf>
    <xf numFmtId="0" fontId="28" fillId="24" borderId="38" xfId="1" applyFont="1" applyFill="1" applyBorder="1" applyAlignment="1" applyProtection="1">
      <alignment horizontal="left" vertical="top" wrapText="1"/>
    </xf>
    <xf numFmtId="17" fontId="30" fillId="24" borderId="38" xfId="0" applyNumberFormat="1" applyFont="1" applyFill="1" applyBorder="1" applyAlignment="1">
      <alignment horizontal="left" vertical="top" wrapText="1"/>
    </xf>
    <xf numFmtId="16" fontId="28" fillId="24" borderId="38" xfId="45" applyNumberFormat="1" applyFont="1" applyFill="1" applyBorder="1" applyAlignment="1">
      <alignment horizontal="left" vertical="top" wrapText="1"/>
    </xf>
    <xf numFmtId="0" fontId="35" fillId="41" borderId="24" xfId="45" applyFont="1" applyFill="1" applyBorder="1" applyAlignment="1">
      <alignment horizontal="center" vertical="center" wrapText="1"/>
    </xf>
    <xf numFmtId="0" fontId="35" fillId="41" borderId="38" xfId="45" applyFont="1" applyFill="1" applyBorder="1" applyAlignment="1">
      <alignment horizontal="left" vertical="top"/>
    </xf>
    <xf numFmtId="10" fontId="35" fillId="41" borderId="24" xfId="45" applyNumberFormat="1" applyFont="1" applyFill="1" applyBorder="1" applyAlignment="1">
      <alignment horizontal="left" vertical="top" wrapText="1"/>
    </xf>
    <xf numFmtId="0" fontId="35" fillId="41" borderId="24" xfId="45" applyFont="1" applyFill="1" applyBorder="1" applyAlignment="1">
      <alignment horizontal="distributed" vertical="top" wrapText="1"/>
    </xf>
    <xf numFmtId="4" fontId="35" fillId="41" borderId="24" xfId="45" applyNumberFormat="1" applyFont="1" applyFill="1" applyBorder="1" applyAlignment="1">
      <alignment horizontal="distributed" vertical="top" wrapText="1"/>
    </xf>
    <xf numFmtId="10" fontId="35" fillId="41" borderId="24" xfId="45" applyNumberFormat="1" applyFont="1" applyFill="1" applyBorder="1" applyAlignment="1">
      <alignment horizontal="distributed" vertical="top" wrapText="1"/>
    </xf>
    <xf numFmtId="0" fontId="35" fillId="41" borderId="24" xfId="45" applyFont="1" applyFill="1" applyBorder="1" applyAlignment="1">
      <alignment horizontal="left" vertical="top" wrapText="1"/>
    </xf>
    <xf numFmtId="0" fontId="31" fillId="35" borderId="46" xfId="45" applyFont="1" applyFill="1" applyBorder="1" applyAlignment="1">
      <alignment horizontal="center" vertical="center" wrapText="1"/>
    </xf>
    <xf numFmtId="0" fontId="31" fillId="35" borderId="34" xfId="45" applyFont="1" applyFill="1" applyBorder="1" applyAlignment="1">
      <alignment horizontal="center" vertical="center" wrapText="1"/>
    </xf>
    <xf numFmtId="0" fontId="31" fillId="35" borderId="37" xfId="45" applyFont="1" applyFill="1" applyBorder="1" applyAlignment="1">
      <alignment horizontal="center" vertical="center" wrapText="1"/>
    </xf>
    <xf numFmtId="0" fontId="35" fillId="35" borderId="24" xfId="45" applyFont="1" applyFill="1" applyBorder="1" applyAlignment="1">
      <alignment horizontal="center" vertical="center" wrapText="1"/>
    </xf>
    <xf numFmtId="0" fontId="35" fillId="35" borderId="38" xfId="45" applyFont="1" applyFill="1" applyBorder="1" applyAlignment="1">
      <alignment horizontal="center" vertical="center" wrapText="1"/>
    </xf>
    <xf numFmtId="0" fontId="31" fillId="35" borderId="38" xfId="45" applyFont="1" applyFill="1" applyBorder="1" applyAlignment="1">
      <alignment horizontal="left" vertical="center" wrapText="1"/>
    </xf>
    <xf numFmtId="0" fontId="35" fillId="35" borderId="46" xfId="45" applyFont="1" applyFill="1" applyBorder="1" applyAlignment="1">
      <alignment horizontal="center" vertical="center"/>
    </xf>
    <xf numFmtId="0" fontId="35" fillId="35" borderId="34" xfId="45" applyFont="1" applyFill="1" applyBorder="1" applyAlignment="1">
      <alignment horizontal="center" vertical="center"/>
    </xf>
    <xf numFmtId="0" fontId="35" fillId="35" borderId="37" xfId="45" applyFont="1" applyFill="1" applyBorder="1" applyAlignment="1">
      <alignment horizontal="center" vertical="center"/>
    </xf>
    <xf numFmtId="0" fontId="35" fillId="35" borderId="38" xfId="45" applyFont="1" applyFill="1" applyBorder="1" applyAlignment="1">
      <alignment horizontal="center" vertical="center" wrapText="1"/>
    </xf>
    <xf numFmtId="4" fontId="35" fillId="35" borderId="38" xfId="45" applyNumberFormat="1" applyFont="1" applyFill="1" applyBorder="1" applyAlignment="1">
      <alignment horizontal="center" vertical="center" wrapText="1"/>
    </xf>
    <xf numFmtId="10" fontId="35" fillId="35" borderId="38" xfId="45" applyNumberFormat="1" applyFont="1" applyFill="1" applyBorder="1" applyAlignment="1">
      <alignment horizontal="center" vertical="center" wrapText="1"/>
    </xf>
    <xf numFmtId="0" fontId="28" fillId="0" borderId="43" xfId="45" applyFont="1" applyFill="1" applyBorder="1" applyAlignment="1">
      <alignment horizontal="center" vertical="center" wrapText="1"/>
    </xf>
    <xf numFmtId="0" fontId="28" fillId="0" borderId="45" xfId="45" applyFont="1" applyFill="1" applyBorder="1" applyAlignment="1">
      <alignment horizontal="center" vertical="center" wrapText="1"/>
    </xf>
    <xf numFmtId="0" fontId="28" fillId="0" borderId="40" xfId="45" applyFont="1" applyFill="1" applyBorder="1" applyAlignment="1">
      <alignment vertical="center" wrapText="1"/>
    </xf>
    <xf numFmtId="0" fontId="28" fillId="0" borderId="47" xfId="45" applyFont="1" applyFill="1" applyBorder="1" applyAlignment="1">
      <alignment horizontal="center" vertical="center" wrapText="1"/>
    </xf>
    <xf numFmtId="0" fontId="28" fillId="0" borderId="45" xfId="45" applyFont="1" applyFill="1" applyBorder="1" applyAlignment="1">
      <alignment horizontal="center" vertical="center" wrapText="1"/>
    </xf>
    <xf numFmtId="3" fontId="30" fillId="0" borderId="40" xfId="0" applyNumberFormat="1" applyFont="1" applyFill="1" applyBorder="1" applyAlignment="1">
      <alignment horizontal="center" vertical="center" wrapText="1"/>
    </xf>
    <xf numFmtId="0" fontId="30" fillId="0" borderId="40" xfId="0" applyFont="1" applyFill="1" applyBorder="1" applyAlignment="1">
      <alignment vertical="center" wrapText="1"/>
    </xf>
    <xf numFmtId="0" fontId="28" fillId="0" borderId="41" xfId="45" applyFont="1" applyFill="1" applyBorder="1" applyAlignment="1">
      <alignment vertical="center" wrapText="1"/>
    </xf>
    <xf numFmtId="0" fontId="35" fillId="24" borderId="38" xfId="45" applyFont="1" applyFill="1" applyBorder="1" applyAlignment="1">
      <alignment horizontal="left" vertical="top" wrapText="1"/>
    </xf>
    <xf numFmtId="3" fontId="29" fillId="24" borderId="38" xfId="45" applyNumberFormat="1" applyFont="1" applyFill="1" applyBorder="1" applyAlignment="1">
      <alignment horizontal="distributed" vertical="top" wrapText="1"/>
    </xf>
    <xf numFmtId="3" fontId="28" fillId="24" borderId="38" xfId="0" applyNumberFormat="1" applyFont="1" applyFill="1" applyBorder="1" applyAlignment="1">
      <alignment horizontal="distributed" vertical="top" wrapText="1"/>
    </xf>
    <xf numFmtId="0" fontId="30" fillId="24" borderId="38" xfId="0" applyFont="1" applyFill="1" applyBorder="1" applyAlignment="1">
      <alignment horizontal="left" vertical="top"/>
    </xf>
    <xf numFmtId="0" fontId="28" fillId="24" borderId="38" xfId="45" applyFont="1" applyFill="1" applyBorder="1" applyAlignment="1">
      <alignment horizontal="left" vertical="top" wrapText="1"/>
    </xf>
    <xf numFmtId="10" fontId="28" fillId="24" borderId="38" xfId="45" applyNumberFormat="1" applyFont="1" applyFill="1" applyBorder="1" applyAlignment="1">
      <alignment horizontal="left" vertical="top" wrapText="1"/>
    </xf>
    <xf numFmtId="10" fontId="35" fillId="35" borderId="38" xfId="45" applyNumberFormat="1" applyFont="1" applyFill="1" applyBorder="1" applyAlignment="1">
      <alignment horizontal="left" vertical="top" wrapText="1"/>
    </xf>
    <xf numFmtId="0" fontId="28" fillId="24" borderId="38" xfId="45" applyFont="1" applyFill="1" applyBorder="1" applyAlignment="1">
      <alignment horizontal="distributed" vertical="top" wrapText="1"/>
    </xf>
    <xf numFmtId="4" fontId="28" fillId="24" borderId="38" xfId="45" applyNumberFormat="1" applyFont="1" applyFill="1" applyBorder="1" applyAlignment="1">
      <alignment horizontal="distributed" vertical="top" wrapText="1"/>
    </xf>
    <xf numFmtId="0" fontId="30" fillId="24" borderId="38" xfId="0" applyFont="1" applyFill="1" applyBorder="1" applyAlignment="1">
      <alignment horizontal="distributed" vertical="top"/>
    </xf>
    <xf numFmtId="4" fontId="30" fillId="24" borderId="38" xfId="0" applyNumberFormat="1" applyFont="1" applyFill="1" applyBorder="1" applyAlignment="1">
      <alignment horizontal="distributed" vertical="top"/>
    </xf>
    <xf numFmtId="10" fontId="30" fillId="24" borderId="38" xfId="0" applyNumberFormat="1" applyFont="1" applyFill="1" applyBorder="1" applyAlignment="1">
      <alignment horizontal="distributed" vertical="top"/>
    </xf>
    <xf numFmtId="0" fontId="30" fillId="24" borderId="37" xfId="0" applyFont="1" applyFill="1" applyBorder="1" applyAlignment="1">
      <alignment horizontal="left" vertical="top"/>
    </xf>
    <xf numFmtId="0" fontId="28" fillId="24" borderId="23" xfId="46" applyFont="1" applyFill="1" applyBorder="1" applyAlignment="1">
      <alignment horizontal="left" vertical="top" wrapText="1"/>
    </xf>
    <xf numFmtId="0" fontId="37" fillId="24" borderId="38" xfId="0" applyFont="1" applyFill="1" applyBorder="1" applyAlignment="1">
      <alignment horizontal="left" vertical="top"/>
    </xf>
    <xf numFmtId="165" fontId="37" fillId="24" borderId="38" xfId="0" applyNumberFormat="1" applyFont="1" applyFill="1" applyBorder="1" applyAlignment="1">
      <alignment horizontal="center" vertical="top"/>
    </xf>
    <xf numFmtId="0" fontId="28" fillId="35" borderId="38" xfId="45" applyFont="1" applyFill="1" applyBorder="1" applyAlignment="1">
      <alignment horizontal="left" vertical="distributed" wrapText="1"/>
    </xf>
    <xf numFmtId="0" fontId="28" fillId="35" borderId="38" xfId="45" applyFont="1" applyFill="1" applyBorder="1" applyAlignment="1">
      <alignment horizontal="left" vertical="distributed"/>
    </xf>
    <xf numFmtId="4" fontId="28" fillId="35" borderId="38" xfId="45" applyNumberFormat="1" applyFont="1" applyFill="1" applyBorder="1" applyAlignment="1">
      <alignment horizontal="left" vertical="distributed" wrapText="1"/>
    </xf>
    <xf numFmtId="10" fontId="28" fillId="35" borderId="38" xfId="45" applyNumberFormat="1" applyFont="1" applyFill="1" applyBorder="1" applyAlignment="1">
      <alignment horizontal="left" vertical="distributed" wrapText="1"/>
    </xf>
    <xf numFmtId="0" fontId="44" fillId="41" borderId="38" xfId="45" applyFont="1" applyFill="1" applyBorder="1" applyAlignment="1">
      <alignment horizontal="left" vertical="distributed" wrapText="1"/>
    </xf>
    <xf numFmtId="0" fontId="44" fillId="41" borderId="38" xfId="45" applyFont="1" applyFill="1" applyBorder="1" applyAlignment="1">
      <alignment horizontal="left" vertical="distributed" wrapText="1"/>
    </xf>
    <xf numFmtId="0" fontId="44" fillId="41" borderId="38" xfId="45" applyFont="1" applyFill="1" applyBorder="1" applyAlignment="1">
      <alignment horizontal="left" vertical="distributed"/>
    </xf>
    <xf numFmtId="4" fontId="44" fillId="41" borderId="38" xfId="45" applyNumberFormat="1" applyFont="1" applyFill="1" applyBorder="1" applyAlignment="1">
      <alignment horizontal="left" vertical="distributed" wrapText="1"/>
    </xf>
    <xf numFmtId="10" fontId="44" fillId="41" borderId="38" xfId="45" applyNumberFormat="1" applyFont="1" applyFill="1" applyBorder="1" applyAlignment="1">
      <alignment horizontal="left" vertical="distributed" wrapText="1"/>
    </xf>
    <xf numFmtId="165" fontId="28" fillId="24" borderId="38" xfId="55" applyNumberFormat="1" applyFont="1" applyFill="1" applyBorder="1" applyAlignment="1">
      <alignment horizontal="left" vertical="distributed" wrapText="1"/>
    </xf>
    <xf numFmtId="3" fontId="28" fillId="24" borderId="38" xfId="0" applyNumberFormat="1" applyFont="1" applyFill="1" applyBorder="1" applyAlignment="1">
      <alignment horizontal="left" vertical="distributed" wrapText="1"/>
    </xf>
    <xf numFmtId="17" fontId="28" fillId="24" borderId="38" xfId="0" applyNumberFormat="1" applyFont="1" applyFill="1" applyBorder="1" applyAlignment="1">
      <alignment horizontal="left" vertical="distributed" wrapText="1"/>
    </xf>
    <xf numFmtId="0" fontId="44" fillId="41" borderId="42" xfId="45" applyFont="1" applyFill="1" applyBorder="1" applyAlignment="1">
      <alignment horizontal="left" vertical="distributed" wrapText="1"/>
    </xf>
    <xf numFmtId="0" fontId="44" fillId="41" borderId="37" xfId="45" applyFont="1" applyFill="1" applyBorder="1" applyAlignment="1">
      <alignment horizontal="left" vertical="distributed" wrapText="1"/>
    </xf>
    <xf numFmtId="0" fontId="44" fillId="41" borderId="46" xfId="45" applyFont="1" applyFill="1" applyBorder="1" applyAlignment="1">
      <alignment horizontal="left" vertical="distributed" wrapText="1"/>
    </xf>
    <xf numFmtId="0" fontId="44" fillId="41" borderId="24" xfId="45" applyFont="1" applyFill="1" applyBorder="1" applyAlignment="1">
      <alignment horizontal="left" vertical="distributed" wrapText="1"/>
    </xf>
    <xf numFmtId="10" fontId="44" fillId="41" borderId="24" xfId="45" applyNumberFormat="1" applyFont="1" applyFill="1" applyBorder="1" applyAlignment="1">
      <alignment horizontal="left" vertical="distributed" wrapText="1"/>
    </xf>
    <xf numFmtId="4" fontId="44" fillId="41" borderId="24" xfId="45" applyNumberFormat="1" applyFont="1" applyFill="1" applyBorder="1" applyAlignment="1">
      <alignment horizontal="left" vertical="distributed" wrapText="1"/>
    </xf>
    <xf numFmtId="0" fontId="28" fillId="24" borderId="39" xfId="0" applyFont="1" applyFill="1" applyBorder="1" applyAlignment="1">
      <alignment horizontal="left" vertical="distributed" wrapText="1"/>
    </xf>
    <xf numFmtId="49" fontId="28" fillId="24" borderId="40" xfId="46" applyNumberFormat="1" applyFont="1" applyFill="1" applyBorder="1" applyAlignment="1">
      <alignment horizontal="left" vertical="distributed" wrapText="1"/>
    </xf>
    <xf numFmtId="3" fontId="28" fillId="24" borderId="40" xfId="45" applyNumberFormat="1" applyFont="1" applyFill="1" applyBorder="1" applyAlignment="1">
      <alignment horizontal="left" vertical="distributed" wrapText="1"/>
    </xf>
    <xf numFmtId="165" fontId="28" fillId="24" borderId="40" xfId="55" applyNumberFormat="1" applyFont="1" applyFill="1" applyBorder="1" applyAlignment="1">
      <alignment horizontal="left" vertical="distributed" wrapText="1"/>
    </xf>
    <xf numFmtId="3" fontId="28" fillId="24" borderId="40" xfId="0" applyNumberFormat="1" applyFont="1" applyFill="1" applyBorder="1" applyAlignment="1">
      <alignment horizontal="left" vertical="distributed" wrapText="1"/>
    </xf>
    <xf numFmtId="0" fontId="28" fillId="24" borderId="40" xfId="0" applyFont="1" applyFill="1" applyBorder="1" applyAlignment="1">
      <alignment horizontal="left" vertical="distributed" wrapText="1"/>
    </xf>
    <xf numFmtId="0" fontId="28" fillId="24" borderId="41" xfId="0" applyFont="1" applyFill="1" applyBorder="1" applyAlignment="1">
      <alignment horizontal="left" vertical="distributed" wrapText="1"/>
    </xf>
    <xf numFmtId="0" fontId="33" fillId="41" borderId="46" xfId="45" applyFont="1" applyFill="1" applyBorder="1" applyAlignment="1">
      <alignment horizontal="left" vertical="distributed" wrapText="1"/>
    </xf>
    <xf numFmtId="0" fontId="33" fillId="41" borderId="34" xfId="45" applyFont="1" applyFill="1" applyBorder="1" applyAlignment="1">
      <alignment horizontal="left" vertical="distributed" wrapText="1"/>
    </xf>
    <xf numFmtId="0" fontId="33" fillId="41" borderId="37" xfId="45" applyFont="1" applyFill="1" applyBorder="1" applyAlignment="1">
      <alignment horizontal="left" vertical="distributed" wrapText="1"/>
    </xf>
    <xf numFmtId="0" fontId="33" fillId="41" borderId="38" xfId="45" applyFont="1" applyFill="1" applyBorder="1" applyAlignment="1">
      <alignment horizontal="left" vertical="distributed" wrapText="1"/>
    </xf>
    <xf numFmtId="0" fontId="44" fillId="41" borderId="46" xfId="45" applyFont="1" applyFill="1" applyBorder="1" applyAlignment="1">
      <alignment horizontal="left" vertical="distributed"/>
    </xf>
    <xf numFmtId="0" fontId="44" fillId="41" borderId="34" xfId="45" applyFont="1" applyFill="1" applyBorder="1" applyAlignment="1">
      <alignment horizontal="left" vertical="distributed"/>
    </xf>
    <xf numFmtId="0" fontId="44" fillId="41" borderId="37" xfId="45" applyFont="1" applyFill="1" applyBorder="1" applyAlignment="1">
      <alignment horizontal="left" vertical="distributed"/>
    </xf>
    <xf numFmtId="165" fontId="28" fillId="0" borderId="40" xfId="45" applyNumberFormat="1" applyFont="1" applyFill="1" applyBorder="1" applyAlignment="1">
      <alignment horizontal="left" vertical="distributed" wrapText="1"/>
    </xf>
    <xf numFmtId="0" fontId="28" fillId="0" borderId="40" xfId="0" applyFont="1" applyFill="1" applyBorder="1" applyAlignment="1">
      <alignment horizontal="left" vertical="distributed" wrapText="1"/>
    </xf>
    <xf numFmtId="3" fontId="29" fillId="24" borderId="38" xfId="45" applyNumberFormat="1" applyFont="1" applyFill="1" applyBorder="1" applyAlignment="1">
      <alignment horizontal="left" vertical="distributed" wrapText="1"/>
    </xf>
    <xf numFmtId="3" fontId="29" fillId="24" borderId="38" xfId="0" applyNumberFormat="1" applyFont="1" applyFill="1" applyBorder="1" applyAlignment="1">
      <alignment horizontal="left" vertical="distributed" wrapText="1"/>
    </xf>
    <xf numFmtId="0" fontId="29" fillId="24" borderId="38" xfId="1" applyFont="1" applyFill="1" applyBorder="1" applyAlignment="1" applyProtection="1">
      <alignment horizontal="left" vertical="distributed" wrapText="1"/>
    </xf>
    <xf numFmtId="17" fontId="29" fillId="24" borderId="38" xfId="0" applyNumberFormat="1" applyFont="1" applyFill="1" applyBorder="1" applyAlignment="1">
      <alignment horizontal="left" vertical="distributed" wrapText="1"/>
    </xf>
    <xf numFmtId="0" fontId="54" fillId="0" borderId="39" xfId="0" applyFont="1" applyFill="1" applyBorder="1" applyAlignment="1">
      <alignment horizontal="left" vertical="center" wrapText="1"/>
    </xf>
    <xf numFmtId="0" fontId="53" fillId="0" borderId="38" xfId="45" applyFont="1" applyFill="1" applyBorder="1" applyAlignment="1">
      <alignment horizontal="left" vertical="center" wrapText="1"/>
    </xf>
    <xf numFmtId="0" fontId="55" fillId="0" borderId="38" xfId="45" applyFont="1" applyFill="1" applyBorder="1" applyAlignment="1">
      <alignment vertical="center" wrapText="1"/>
    </xf>
    <xf numFmtId="0" fontId="29" fillId="24" borderId="38" xfId="0" applyFont="1" applyFill="1" applyBorder="1" applyAlignment="1">
      <alignment horizontal="left" vertical="distributed" wrapText="1"/>
    </xf>
    <xf numFmtId="49" fontId="22" fillId="24" borderId="38" xfId="46" applyNumberFormat="1" applyFont="1" applyFill="1" applyBorder="1" applyAlignment="1">
      <alignment horizontal="left" vertical="distributed" wrapText="1"/>
    </xf>
    <xf numFmtId="0" fontId="28" fillId="24" borderId="46" xfId="45" applyFont="1" applyFill="1" applyBorder="1" applyAlignment="1">
      <alignment horizontal="left" vertical="distributed" wrapText="1"/>
    </xf>
    <xf numFmtId="0" fontId="28" fillId="24" borderId="37" xfId="45" applyFont="1" applyFill="1" applyBorder="1" applyAlignment="1">
      <alignment horizontal="left" vertical="distributed" wrapText="1"/>
    </xf>
    <xf numFmtId="0" fontId="28" fillId="24" borderId="38" xfId="44" applyFont="1" applyFill="1" applyBorder="1" applyAlignment="1">
      <alignment horizontal="left" vertical="distributed" wrapText="1"/>
    </xf>
    <xf numFmtId="165" fontId="29" fillId="24" borderId="38" xfId="55" applyNumberFormat="1" applyFont="1" applyFill="1" applyBorder="1" applyAlignment="1">
      <alignment horizontal="left" vertical="distributed" wrapText="1"/>
    </xf>
    <xf numFmtId="10" fontId="28" fillId="35" borderId="38" xfId="45" applyNumberFormat="1" applyFont="1" applyFill="1" applyBorder="1" applyAlignment="1">
      <alignment horizontal="left" vertical="distributed" wrapText="1"/>
    </xf>
    <xf numFmtId="3" fontId="29" fillId="24" borderId="38" xfId="0" applyNumberFormat="1" applyFont="1" applyFill="1" applyBorder="1" applyAlignment="1">
      <alignment horizontal="left" vertical="distributed"/>
    </xf>
    <xf numFmtId="49" fontId="28" fillId="24" borderId="38" xfId="46" applyNumberFormat="1" applyFont="1" applyFill="1" applyBorder="1" applyAlignment="1">
      <alignment horizontal="left" vertical="top"/>
    </xf>
    <xf numFmtId="0" fontId="35" fillId="35" borderId="38" xfId="45" applyFont="1" applyFill="1" applyBorder="1" applyAlignment="1">
      <alignment horizontal="left" vertical="top"/>
    </xf>
    <xf numFmtId="10" fontId="35" fillId="35" borderId="24" xfId="45" applyNumberFormat="1" applyFont="1" applyFill="1" applyBorder="1" applyAlignment="1">
      <alignment horizontal="left" vertical="top" wrapText="1"/>
    </xf>
    <xf numFmtId="0" fontId="35" fillId="35" borderId="24" xfId="45" applyFont="1" applyFill="1" applyBorder="1" applyAlignment="1">
      <alignment horizontal="distributed" vertical="top" wrapText="1"/>
    </xf>
    <xf numFmtId="4" fontId="35" fillId="35" borderId="24" xfId="45" applyNumberFormat="1" applyFont="1" applyFill="1" applyBorder="1" applyAlignment="1">
      <alignment horizontal="distributed" vertical="top" wrapText="1"/>
    </xf>
    <xf numFmtId="10" fontId="35" fillId="35" borderId="24" xfId="45" applyNumberFormat="1" applyFont="1" applyFill="1" applyBorder="1" applyAlignment="1">
      <alignment horizontal="distributed" vertical="top" wrapText="1"/>
    </xf>
    <xf numFmtId="0" fontId="28" fillId="0" borderId="43" xfId="45" applyFont="1" applyFill="1" applyBorder="1" applyAlignment="1">
      <alignment vertical="center" wrapText="1"/>
    </xf>
    <xf numFmtId="10" fontId="35" fillId="41" borderId="38" xfId="45" applyNumberFormat="1" applyFont="1" applyFill="1" applyBorder="1" applyAlignment="1">
      <alignment horizontal="left" vertical="top" wrapText="1"/>
    </xf>
    <xf numFmtId="3" fontId="30" fillId="24" borderId="38" xfId="0" applyNumberFormat="1" applyFont="1" applyFill="1" applyBorder="1" applyAlignment="1">
      <alignment horizontal="distributed" vertical="top"/>
    </xf>
  </cellXfs>
  <cellStyles count="57">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Comma" xfId="55" builtinId="3"/>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3 2 2" xfId="53" xr:uid="{00000000-0005-0000-0000-000020000000}"/>
    <cellStyle name="Heading 4 2" xfId="34" xr:uid="{00000000-0005-0000-0000-000021000000}"/>
    <cellStyle name="Input 2" xfId="35" xr:uid="{00000000-0005-0000-0000-000022000000}"/>
    <cellStyle name="Linked Cell 2" xfId="36" xr:uid="{00000000-0005-0000-0000-000023000000}"/>
    <cellStyle name="Millares [0] 2 2" xfId="51" xr:uid="{00000000-0005-0000-0000-000025000000}"/>
    <cellStyle name="Millares 2 2" xfId="48" xr:uid="{00000000-0005-0000-0000-000026000000}"/>
    <cellStyle name="Millares 3" xfId="56" xr:uid="{00000000-0005-0000-0000-000027000000}"/>
    <cellStyle name="Millares 4" xfId="49" xr:uid="{00000000-0005-0000-0000-000028000000}"/>
    <cellStyle name="Neutral 2" xfId="37" xr:uid="{00000000-0005-0000-0000-000029000000}"/>
    <cellStyle name="Normal" xfId="0" builtinId="0"/>
    <cellStyle name="Normal 14" xfId="46" xr:uid="{00000000-0005-0000-0000-00002B000000}"/>
    <cellStyle name="Normal 2" xfId="38" xr:uid="{00000000-0005-0000-0000-00002C000000}"/>
    <cellStyle name="Normal 2 2" xfId="45" xr:uid="{00000000-0005-0000-0000-00002D000000}"/>
    <cellStyle name="Normal 3" xfId="1" xr:uid="{00000000-0005-0000-0000-00002E000000}"/>
    <cellStyle name="Normal 4" xfId="44" xr:uid="{00000000-0005-0000-0000-00002F000000}"/>
    <cellStyle name="Normal 7" xfId="52" xr:uid="{00000000-0005-0000-0000-000030000000}"/>
    <cellStyle name="Normal 9 2" xfId="50" xr:uid="{00000000-0005-0000-0000-000031000000}"/>
    <cellStyle name="Note 2" xfId="39" xr:uid="{00000000-0005-0000-0000-000032000000}"/>
    <cellStyle name="Note 2 2" xfId="54" xr:uid="{00000000-0005-0000-0000-000033000000}"/>
    <cellStyle name="Output 2" xfId="40" xr:uid="{00000000-0005-0000-0000-000034000000}"/>
    <cellStyle name="Porcentaje 2" xfId="47" xr:uid="{00000000-0005-0000-0000-000035000000}"/>
    <cellStyle name="Title 2" xfId="41" xr:uid="{00000000-0005-0000-0000-000036000000}"/>
    <cellStyle name="Total 2" xfId="42" xr:uid="{00000000-0005-0000-0000-000037000000}"/>
    <cellStyle name="Warning Text 2" xfId="43" xr:uid="{00000000-0005-0000-0000-00003800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3"/>
  <sheetViews>
    <sheetView workbookViewId="0">
      <selection activeCell="B16" sqref="B16:E16"/>
    </sheetView>
  </sheetViews>
  <sheetFormatPr defaultColWidth="9.140625" defaultRowHeight="15"/>
  <cols>
    <col min="1" max="1" width="9.140625" style="50"/>
    <col min="2" max="2" width="55" style="50" customWidth="1"/>
    <col min="3" max="3" width="45.7109375" style="50" bestFit="1" customWidth="1"/>
    <col min="4" max="4" width="30.85546875" style="50" bestFit="1" customWidth="1"/>
    <col min="5" max="16384" width="9.140625" style="50"/>
  </cols>
  <sheetData>
    <row r="1" spans="2:5">
      <c r="B1" s="290" t="s">
        <v>0</v>
      </c>
      <c r="C1" s="290"/>
      <c r="D1" s="290"/>
    </row>
    <row r="2" spans="2:5">
      <c r="B2" s="291" t="s">
        <v>1</v>
      </c>
      <c r="C2" s="291"/>
      <c r="D2" s="291"/>
    </row>
    <row r="3" spans="2:5">
      <c r="B3" s="292" t="s">
        <v>2</v>
      </c>
      <c r="C3" s="292"/>
      <c r="D3" s="292"/>
    </row>
    <row r="4" spans="2:5" ht="15.75" thickBot="1">
      <c r="B4" s="273"/>
      <c r="C4" s="273"/>
      <c r="D4" s="273"/>
    </row>
    <row r="5" spans="2:5">
      <c r="B5" s="1" t="s">
        <v>3</v>
      </c>
      <c r="C5" s="2" t="s">
        <v>4</v>
      </c>
      <c r="D5" s="3" t="s">
        <v>5</v>
      </c>
    </row>
    <row r="6" spans="2:5">
      <c r="B6" s="293" t="s">
        <v>6</v>
      </c>
      <c r="C6" s="360" t="s">
        <v>7</v>
      </c>
      <c r="D6" s="361" t="s">
        <v>8</v>
      </c>
    </row>
    <row r="7" spans="2:5">
      <c r="B7" s="294"/>
      <c r="C7" s="362" t="s">
        <v>9</v>
      </c>
      <c r="D7" s="361" t="s">
        <v>10</v>
      </c>
    </row>
    <row r="8" spans="2:5">
      <c r="B8" s="294"/>
      <c r="C8" s="362" t="s">
        <v>11</v>
      </c>
      <c r="D8" s="361" t="s">
        <v>12</v>
      </c>
    </row>
    <row r="9" spans="2:5">
      <c r="B9" s="294"/>
      <c r="C9" s="362" t="s">
        <v>13</v>
      </c>
      <c r="D9" s="361" t="s">
        <v>14</v>
      </c>
    </row>
    <row r="10" spans="2:5">
      <c r="B10" s="294"/>
      <c r="C10" s="362" t="s">
        <v>15</v>
      </c>
      <c r="D10" s="363" t="s">
        <v>16</v>
      </c>
    </row>
    <row r="11" spans="2:5">
      <c r="B11" s="294"/>
      <c r="C11" s="364"/>
      <c r="D11" s="365" t="s">
        <v>17</v>
      </c>
    </row>
    <row r="12" spans="2:5" ht="15.75" thickBot="1">
      <c r="B12" s="295"/>
      <c r="C12" s="366"/>
      <c r="D12" s="367"/>
    </row>
    <row r="14" spans="2:5" ht="16.5" customHeight="1">
      <c r="B14" s="296"/>
      <c r="C14" s="296"/>
      <c r="D14" s="51"/>
    </row>
    <row r="15" spans="2:5" ht="15.75" thickBot="1">
      <c r="B15" s="51"/>
      <c r="C15" s="51"/>
      <c r="D15" s="51"/>
    </row>
    <row r="16" spans="2:5">
      <c r="B16" s="52" t="s">
        <v>18</v>
      </c>
      <c r="C16" s="288" t="s">
        <v>19</v>
      </c>
      <c r="D16" s="289"/>
      <c r="E16" s="289"/>
    </row>
    <row r="17" spans="2:5">
      <c r="B17" s="368" t="s">
        <v>20</v>
      </c>
      <c r="C17" s="369" t="s">
        <v>21</v>
      </c>
      <c r="D17" s="370"/>
      <c r="E17" s="370"/>
    </row>
    <row r="18" spans="2:5">
      <c r="B18" s="368"/>
      <c r="C18" s="369" t="s">
        <v>22</v>
      </c>
      <c r="D18" s="370"/>
      <c r="E18" s="370"/>
    </row>
    <row r="19" spans="2:5">
      <c r="B19" s="368"/>
      <c r="C19" s="369" t="s">
        <v>23</v>
      </c>
      <c r="D19" s="370"/>
      <c r="E19" s="370"/>
    </row>
    <row r="20" spans="2:5">
      <c r="B20" s="368"/>
      <c r="C20" s="371" t="s">
        <v>17</v>
      </c>
      <c r="D20" s="370"/>
      <c r="E20" s="370"/>
    </row>
    <row r="21" spans="2:5" ht="15.75" thickBot="1">
      <c r="B21" s="372"/>
      <c r="C21" s="369" t="s">
        <v>17</v>
      </c>
      <c r="D21" s="370"/>
      <c r="E21" s="370"/>
    </row>
    <row r="23" spans="2:5" ht="54" customHeight="1">
      <c r="B23" s="287"/>
      <c r="C23" s="287"/>
    </row>
  </sheetData>
  <mergeCells count="13">
    <mergeCell ref="C16:E16"/>
    <mergeCell ref="B1:D1"/>
    <mergeCell ref="B2:D2"/>
    <mergeCell ref="B3:D3"/>
    <mergeCell ref="B6:B12"/>
    <mergeCell ref="B14:C14"/>
    <mergeCell ref="B23:C23"/>
    <mergeCell ref="B17:B21"/>
    <mergeCell ref="C17:E17"/>
    <mergeCell ref="C18:E18"/>
    <mergeCell ref="C19:E19"/>
    <mergeCell ref="C20:E20"/>
    <mergeCell ref="C21:E21"/>
  </mergeCells>
  <pageMargins left="0.7" right="0.7" top="0.75" bottom="0.75" header="0.3" footer="0.3"/>
  <pageSetup paperSize="14" fitToHeight="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H152"/>
  <sheetViews>
    <sheetView zoomScale="50" zoomScaleNormal="50" workbookViewId="0">
      <selection activeCell="K59" sqref="K59"/>
    </sheetView>
  </sheetViews>
  <sheetFormatPr defaultColWidth="11.42578125" defaultRowHeight="15.75"/>
  <cols>
    <col min="1" max="1" width="18" style="121" customWidth="1"/>
    <col min="2" max="2" width="32" style="121" customWidth="1"/>
    <col min="3" max="3" width="26.5703125" style="121" customWidth="1"/>
    <col min="4" max="4" width="67.140625" style="122" customWidth="1"/>
    <col min="5" max="5" width="84.28515625" style="122" customWidth="1"/>
    <col min="6" max="6" width="47.7109375" style="122" customWidth="1"/>
    <col min="7" max="7" width="32.85546875" style="122" customWidth="1"/>
    <col min="8" max="8" width="27.28515625" style="122" hidden="1" customWidth="1"/>
    <col min="9" max="9" width="45" style="122" hidden="1" customWidth="1"/>
    <col min="10" max="10" width="27.140625" style="123" customWidth="1"/>
    <col min="11" max="11" width="24.42578125" style="123" customWidth="1"/>
    <col min="12" max="12" width="23.7109375" style="123" customWidth="1"/>
    <col min="13" max="13" width="22.42578125" style="123" customWidth="1"/>
    <col min="14" max="14" width="27.140625" style="122" customWidth="1"/>
    <col min="15" max="15" width="31.42578125" style="122" customWidth="1"/>
    <col min="16" max="18" width="43" style="122" customWidth="1"/>
    <col min="19" max="60" width="11.42578125" style="110"/>
    <col min="61" max="16384" width="11.42578125" style="121"/>
  </cols>
  <sheetData>
    <row r="1" spans="1:60" s="110" customFormat="1">
      <c r="B1" s="338" t="s">
        <v>55</v>
      </c>
      <c r="C1" s="338"/>
      <c r="D1" s="338"/>
      <c r="E1" s="338"/>
      <c r="F1" s="338"/>
      <c r="G1" s="338"/>
      <c r="H1" s="338"/>
      <c r="I1" s="338"/>
      <c r="J1" s="338"/>
      <c r="K1" s="338"/>
      <c r="L1" s="338"/>
      <c r="M1" s="338"/>
      <c r="N1" s="338"/>
      <c r="O1" s="338"/>
      <c r="P1" s="338"/>
      <c r="Q1" s="338"/>
      <c r="R1" s="338"/>
    </row>
    <row r="2" spans="1:60" s="113" customFormat="1">
      <c r="B2" s="339" t="s">
        <v>433</v>
      </c>
      <c r="C2" s="339"/>
      <c r="D2" s="339"/>
      <c r="E2" s="339"/>
      <c r="F2" s="339"/>
      <c r="G2" s="339"/>
      <c r="H2" s="339"/>
      <c r="I2" s="339"/>
      <c r="J2" s="339"/>
      <c r="K2" s="339"/>
      <c r="L2" s="339"/>
      <c r="M2" s="339"/>
      <c r="N2" s="339"/>
      <c r="O2" s="339"/>
      <c r="P2" s="339"/>
      <c r="Q2" s="339"/>
      <c r="R2" s="339"/>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row>
    <row r="3" spans="1:60" s="113" customFormat="1" ht="16.5" thickBot="1">
      <c r="B3" s="340" t="s">
        <v>434</v>
      </c>
      <c r="C3" s="340"/>
      <c r="D3" s="340"/>
      <c r="E3" s="340"/>
      <c r="F3" s="340"/>
      <c r="G3" s="340"/>
      <c r="H3" s="340"/>
      <c r="I3" s="340"/>
      <c r="J3" s="340"/>
      <c r="K3" s="340"/>
      <c r="L3" s="340"/>
      <c r="M3" s="340"/>
      <c r="N3" s="340"/>
      <c r="O3" s="340"/>
      <c r="P3" s="340"/>
      <c r="Q3" s="340"/>
      <c r="R3" s="340"/>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row>
    <row r="4" spans="1:60" s="114" customFormat="1" hidden="1">
      <c r="A4" s="644" t="s">
        <v>435</v>
      </c>
      <c r="B4" s="644" t="s">
        <v>436</v>
      </c>
      <c r="C4" s="644"/>
      <c r="D4" s="644"/>
      <c r="E4" s="644"/>
      <c r="F4" s="644"/>
      <c r="G4" s="644"/>
      <c r="H4" s="644"/>
      <c r="I4" s="644"/>
      <c r="J4" s="644"/>
      <c r="K4" s="644"/>
      <c r="L4" s="644"/>
      <c r="M4" s="644"/>
      <c r="N4" s="644"/>
      <c r="O4" s="644"/>
      <c r="P4" s="644"/>
      <c r="Q4" s="644"/>
      <c r="R4" s="644"/>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3"/>
      <c r="BB4" s="113"/>
      <c r="BC4" s="113"/>
      <c r="BD4" s="113"/>
      <c r="BE4" s="113"/>
      <c r="BF4" s="113"/>
      <c r="BG4" s="113"/>
      <c r="BH4" s="113"/>
    </row>
    <row r="5" spans="1:60" s="114" customFormat="1" hidden="1">
      <c r="A5" s="644"/>
      <c r="B5" s="644" t="s">
        <v>437</v>
      </c>
      <c r="C5" s="644" t="s">
        <v>439</v>
      </c>
      <c r="D5" s="644" t="s">
        <v>440</v>
      </c>
      <c r="E5" s="644" t="s">
        <v>441</v>
      </c>
      <c r="F5" s="644" t="s">
        <v>442</v>
      </c>
      <c r="G5" s="644" t="s">
        <v>443</v>
      </c>
      <c r="H5" s="644" t="s">
        <v>444</v>
      </c>
      <c r="I5" s="644" t="s">
        <v>445</v>
      </c>
      <c r="J5" s="765"/>
      <c r="K5" s="766" t="s">
        <v>446</v>
      </c>
      <c r="L5" s="766"/>
      <c r="M5" s="766"/>
      <c r="N5" s="644" t="s">
        <v>447</v>
      </c>
      <c r="O5" s="644" t="s">
        <v>448</v>
      </c>
      <c r="P5" s="644" t="s">
        <v>449</v>
      </c>
      <c r="Q5" s="644"/>
      <c r="R5" s="644" t="s">
        <v>450</v>
      </c>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3"/>
      <c r="BB5" s="113"/>
      <c r="BC5" s="113"/>
      <c r="BD5" s="113"/>
      <c r="BE5" s="113"/>
      <c r="BF5" s="113"/>
      <c r="BG5" s="113"/>
      <c r="BH5" s="113"/>
    </row>
    <row r="6" spans="1:60" s="114" customFormat="1" ht="31.5" hidden="1">
      <c r="A6" s="770"/>
      <c r="B6" s="644"/>
      <c r="C6" s="644" t="s">
        <v>439</v>
      </c>
      <c r="D6" s="644"/>
      <c r="E6" s="644"/>
      <c r="F6" s="644"/>
      <c r="G6" s="644"/>
      <c r="H6" s="644"/>
      <c r="I6" s="644"/>
      <c r="J6" s="768" t="s">
        <v>451</v>
      </c>
      <c r="K6" s="768" t="s">
        <v>452</v>
      </c>
      <c r="L6" s="769" t="s">
        <v>453</v>
      </c>
      <c r="M6" s="769" t="s">
        <v>454</v>
      </c>
      <c r="N6" s="644"/>
      <c r="O6" s="644"/>
      <c r="P6" s="770" t="s">
        <v>455</v>
      </c>
      <c r="Q6" s="770" t="s">
        <v>456</v>
      </c>
      <c r="R6" s="644"/>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3"/>
      <c r="BB6" s="113"/>
      <c r="BC6" s="113"/>
      <c r="BD6" s="113"/>
      <c r="BE6" s="113"/>
      <c r="BF6" s="113"/>
      <c r="BG6" s="113"/>
      <c r="BH6" s="113"/>
    </row>
    <row r="7" spans="1:60" s="113" customFormat="1" hidden="1">
      <c r="A7" s="886"/>
      <c r="B7" s="609" t="s">
        <v>457</v>
      </c>
      <c r="C7" s="609"/>
      <c r="D7" s="609"/>
      <c r="E7" s="609"/>
      <c r="F7" s="609"/>
      <c r="G7" s="609"/>
      <c r="H7" s="609"/>
      <c r="I7" s="609"/>
      <c r="J7" s="772"/>
      <c r="K7" s="772"/>
      <c r="L7" s="772"/>
      <c r="M7" s="772"/>
      <c r="N7" s="609"/>
      <c r="O7" s="609"/>
      <c r="P7" s="609"/>
      <c r="Q7" s="609"/>
      <c r="R7" s="609"/>
      <c r="S7" s="112"/>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row>
    <row r="8" spans="1:60" s="114" customFormat="1" hidden="1">
      <c r="J8" s="116"/>
      <c r="K8" s="117"/>
      <c r="L8" s="118"/>
      <c r="M8" s="118"/>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c r="AQ8" s="112"/>
      <c r="AR8" s="112"/>
      <c r="AS8" s="112"/>
      <c r="AT8" s="112"/>
      <c r="AU8" s="112"/>
      <c r="AV8" s="112"/>
      <c r="AW8" s="112"/>
      <c r="AX8" s="112"/>
      <c r="AY8" s="112"/>
      <c r="AZ8" s="112"/>
      <c r="BA8" s="113"/>
      <c r="BB8" s="113"/>
      <c r="BC8" s="113"/>
      <c r="BD8" s="113"/>
      <c r="BE8" s="113"/>
      <c r="BF8" s="113"/>
      <c r="BG8" s="113"/>
      <c r="BH8" s="113"/>
    </row>
    <row r="9" spans="1:60" s="114" customFormat="1" hidden="1">
      <c r="A9" s="644" t="s">
        <v>435</v>
      </c>
      <c r="B9" s="644" t="s">
        <v>458</v>
      </c>
      <c r="C9" s="644"/>
      <c r="D9" s="644"/>
      <c r="E9" s="644"/>
      <c r="F9" s="644"/>
      <c r="G9" s="644"/>
      <c r="H9" s="644"/>
      <c r="I9" s="644"/>
      <c r="J9" s="644"/>
      <c r="K9" s="644"/>
      <c r="L9" s="644"/>
      <c r="M9" s="644"/>
      <c r="N9" s="644"/>
      <c r="O9" s="644"/>
      <c r="P9" s="644"/>
      <c r="Q9" s="644"/>
      <c r="R9" s="644"/>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3"/>
      <c r="BB9" s="113"/>
      <c r="BC9" s="113"/>
      <c r="BD9" s="113"/>
      <c r="BE9" s="113"/>
      <c r="BF9" s="113"/>
      <c r="BG9" s="113"/>
      <c r="BH9" s="113"/>
    </row>
    <row r="10" spans="1:60" s="114" customFormat="1" hidden="1">
      <c r="A10" s="644"/>
      <c r="B10" s="644" t="s">
        <v>437</v>
      </c>
      <c r="C10" s="644" t="s">
        <v>439</v>
      </c>
      <c r="D10" s="644" t="s">
        <v>440</v>
      </c>
      <c r="E10" s="644" t="s">
        <v>441</v>
      </c>
      <c r="F10" s="644" t="s">
        <v>442</v>
      </c>
      <c r="G10" s="644" t="s">
        <v>459</v>
      </c>
      <c r="H10" s="644" t="s">
        <v>444</v>
      </c>
      <c r="I10" s="644" t="s">
        <v>445</v>
      </c>
      <c r="J10" s="765"/>
      <c r="K10" s="766" t="s">
        <v>446</v>
      </c>
      <c r="L10" s="766"/>
      <c r="M10" s="766"/>
      <c r="N10" s="644" t="s">
        <v>447</v>
      </c>
      <c r="O10" s="644" t="s">
        <v>448</v>
      </c>
      <c r="P10" s="644" t="s">
        <v>449</v>
      </c>
      <c r="Q10" s="644"/>
      <c r="R10" s="644" t="s">
        <v>450</v>
      </c>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3"/>
      <c r="BB10" s="113"/>
      <c r="BC10" s="113"/>
      <c r="BD10" s="113"/>
      <c r="BE10" s="113"/>
      <c r="BF10" s="113"/>
      <c r="BG10" s="113"/>
      <c r="BH10" s="113"/>
    </row>
    <row r="11" spans="1:60" s="114" customFormat="1" ht="31.5" hidden="1">
      <c r="A11" s="770"/>
      <c r="B11" s="644"/>
      <c r="C11" s="644" t="s">
        <v>439</v>
      </c>
      <c r="D11" s="644"/>
      <c r="E11" s="644"/>
      <c r="F11" s="644"/>
      <c r="G11" s="644"/>
      <c r="H11" s="644"/>
      <c r="I11" s="644"/>
      <c r="J11" s="768" t="s">
        <v>451</v>
      </c>
      <c r="K11" s="768" t="s">
        <v>452</v>
      </c>
      <c r="L11" s="769" t="s">
        <v>453</v>
      </c>
      <c r="M11" s="769" t="s">
        <v>454</v>
      </c>
      <c r="N11" s="644"/>
      <c r="O11" s="644"/>
      <c r="P11" s="770" t="s">
        <v>455</v>
      </c>
      <c r="Q11" s="770" t="s">
        <v>456</v>
      </c>
      <c r="R11" s="644"/>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3"/>
      <c r="BB11" s="113"/>
      <c r="BC11" s="113"/>
      <c r="BD11" s="113"/>
      <c r="BE11" s="113"/>
      <c r="BF11" s="113"/>
      <c r="BG11" s="113"/>
      <c r="BH11" s="113"/>
    </row>
    <row r="12" spans="1:60" s="113" customFormat="1" hidden="1">
      <c r="A12" s="886"/>
      <c r="B12" s="609" t="s">
        <v>457</v>
      </c>
      <c r="C12" s="609"/>
      <c r="D12" s="609"/>
      <c r="E12" s="609"/>
      <c r="F12" s="609"/>
      <c r="G12" s="609"/>
      <c r="H12" s="609"/>
      <c r="I12" s="609"/>
      <c r="J12" s="772"/>
      <c r="K12" s="772"/>
      <c r="L12" s="772"/>
      <c r="M12" s="772"/>
      <c r="N12" s="609"/>
      <c r="O12" s="609"/>
      <c r="P12" s="609"/>
      <c r="Q12" s="609"/>
      <c r="R12" s="609"/>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row>
    <row r="13" spans="1:60" s="114" customFormat="1" hidden="1">
      <c r="J13" s="116"/>
      <c r="K13" s="117"/>
      <c r="L13" s="118"/>
      <c r="M13" s="119"/>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3"/>
      <c r="BB13" s="113"/>
      <c r="BC13" s="113"/>
      <c r="BD13" s="113"/>
      <c r="BE13" s="113"/>
      <c r="BF13" s="113"/>
      <c r="BG13" s="113"/>
      <c r="BH13" s="113"/>
    </row>
    <row r="14" spans="1:60" s="114" customFormat="1" hidden="1">
      <c r="A14" s="644" t="s">
        <v>435</v>
      </c>
      <c r="B14" s="644" t="s">
        <v>460</v>
      </c>
      <c r="C14" s="644"/>
      <c r="D14" s="644"/>
      <c r="E14" s="644"/>
      <c r="F14" s="644"/>
      <c r="G14" s="644"/>
      <c r="H14" s="644"/>
      <c r="I14" s="644"/>
      <c r="J14" s="644"/>
      <c r="K14" s="644"/>
      <c r="L14" s="644"/>
      <c r="M14" s="644"/>
      <c r="N14" s="644"/>
      <c r="O14" s="644"/>
      <c r="P14" s="644"/>
      <c r="Q14" s="644"/>
      <c r="R14" s="644"/>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3"/>
      <c r="BB14" s="113"/>
      <c r="BC14" s="113"/>
      <c r="BD14" s="113"/>
      <c r="BE14" s="113"/>
      <c r="BF14" s="113"/>
      <c r="BG14" s="113"/>
      <c r="BH14" s="113"/>
    </row>
    <row r="15" spans="1:60" s="114" customFormat="1" hidden="1">
      <c r="A15" s="644"/>
      <c r="B15" s="644" t="s">
        <v>437</v>
      </c>
      <c r="C15" s="644" t="s">
        <v>439</v>
      </c>
      <c r="D15" s="644" t="s">
        <v>440</v>
      </c>
      <c r="E15" s="644" t="s">
        <v>441</v>
      </c>
      <c r="F15" s="644" t="s">
        <v>442</v>
      </c>
      <c r="G15" s="644" t="s">
        <v>459</v>
      </c>
      <c r="H15" s="644" t="s">
        <v>444</v>
      </c>
      <c r="I15" s="644" t="s">
        <v>445</v>
      </c>
      <c r="J15" s="765"/>
      <c r="K15" s="766" t="s">
        <v>446</v>
      </c>
      <c r="L15" s="766"/>
      <c r="M15" s="766"/>
      <c r="N15" s="644" t="s">
        <v>447</v>
      </c>
      <c r="O15" s="644" t="s">
        <v>448</v>
      </c>
      <c r="P15" s="644" t="s">
        <v>449</v>
      </c>
      <c r="Q15" s="644"/>
      <c r="R15" s="644" t="s">
        <v>450</v>
      </c>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3"/>
      <c r="BB15" s="113"/>
      <c r="BC15" s="113"/>
      <c r="BD15" s="113"/>
      <c r="BE15" s="113"/>
      <c r="BF15" s="113"/>
      <c r="BG15" s="113"/>
      <c r="BH15" s="113"/>
    </row>
    <row r="16" spans="1:60" s="114" customFormat="1" ht="31.5" hidden="1">
      <c r="A16" s="770"/>
      <c r="B16" s="644"/>
      <c r="C16" s="644" t="s">
        <v>439</v>
      </c>
      <c r="D16" s="644"/>
      <c r="E16" s="644"/>
      <c r="F16" s="644"/>
      <c r="G16" s="644"/>
      <c r="H16" s="644"/>
      <c r="I16" s="644"/>
      <c r="J16" s="768" t="s">
        <v>451</v>
      </c>
      <c r="K16" s="768" t="s">
        <v>452</v>
      </c>
      <c r="L16" s="769" t="s">
        <v>453</v>
      </c>
      <c r="M16" s="769" t="s">
        <v>454</v>
      </c>
      <c r="N16" s="644"/>
      <c r="O16" s="644"/>
      <c r="P16" s="770" t="s">
        <v>461</v>
      </c>
      <c r="Q16" s="770" t="s">
        <v>456</v>
      </c>
      <c r="R16" s="644"/>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3"/>
      <c r="BB16" s="113"/>
      <c r="BC16" s="113"/>
      <c r="BD16" s="113"/>
      <c r="BE16" s="113"/>
      <c r="BF16" s="113"/>
      <c r="BG16" s="113"/>
      <c r="BH16" s="113"/>
    </row>
    <row r="17" spans="1:60" s="113" customFormat="1" hidden="1">
      <c r="A17" s="886"/>
      <c r="B17" s="609" t="s">
        <v>508</v>
      </c>
      <c r="C17" s="609"/>
      <c r="D17" s="609"/>
      <c r="E17" s="609"/>
      <c r="F17" s="609"/>
      <c r="G17" s="609"/>
      <c r="H17" s="609"/>
      <c r="I17" s="609"/>
      <c r="J17" s="772"/>
      <c r="K17" s="772"/>
      <c r="L17" s="772"/>
      <c r="M17" s="772"/>
      <c r="N17" s="609"/>
      <c r="O17" s="609"/>
      <c r="P17" s="609"/>
      <c r="Q17" s="609"/>
      <c r="R17" s="609"/>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row>
    <row r="18" spans="1:60" s="114" customFormat="1" ht="16.5" hidden="1" thickBot="1">
      <c r="J18" s="116"/>
      <c r="K18" s="117"/>
      <c r="L18" s="118"/>
      <c r="M18" s="118"/>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3"/>
      <c r="BB18" s="113"/>
      <c r="BC18" s="113"/>
      <c r="BD18" s="113"/>
      <c r="BE18" s="113"/>
      <c r="BF18" s="113"/>
      <c r="BG18" s="113"/>
      <c r="BH18" s="113"/>
    </row>
    <row r="19" spans="1:60" s="114" customFormat="1">
      <c r="A19" s="600" t="s">
        <v>435</v>
      </c>
      <c r="B19" s="341" t="s">
        <v>509</v>
      </c>
      <c r="C19" s="342"/>
      <c r="D19" s="342"/>
      <c r="E19" s="342"/>
      <c r="F19" s="342"/>
      <c r="G19" s="342"/>
      <c r="H19" s="342"/>
      <c r="I19" s="342"/>
      <c r="J19" s="342"/>
      <c r="K19" s="342"/>
      <c r="L19" s="342"/>
      <c r="M19" s="342"/>
      <c r="N19" s="342"/>
      <c r="O19" s="342"/>
      <c r="P19" s="342"/>
      <c r="Q19" s="342"/>
      <c r="R19" s="343"/>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3"/>
      <c r="BB19" s="113"/>
      <c r="BC19" s="113"/>
      <c r="BD19" s="113"/>
      <c r="BE19" s="113"/>
      <c r="BF19" s="113"/>
      <c r="BG19" s="113"/>
      <c r="BH19" s="113"/>
    </row>
    <row r="20" spans="1:60" s="114" customFormat="1">
      <c r="A20" s="600"/>
      <c r="B20" s="774" t="s">
        <v>437</v>
      </c>
      <c r="C20" s="600" t="s">
        <v>439</v>
      </c>
      <c r="D20" s="600" t="s">
        <v>440</v>
      </c>
      <c r="E20" s="600" t="s">
        <v>441</v>
      </c>
      <c r="F20" s="600" t="s">
        <v>442</v>
      </c>
      <c r="G20" s="600" t="s">
        <v>459</v>
      </c>
      <c r="H20" s="600"/>
      <c r="I20" s="600"/>
      <c r="J20" s="775"/>
      <c r="K20" s="776" t="s">
        <v>446</v>
      </c>
      <c r="L20" s="776"/>
      <c r="M20" s="776"/>
      <c r="N20" s="600" t="s">
        <v>447</v>
      </c>
      <c r="O20" s="600" t="s">
        <v>448</v>
      </c>
      <c r="P20" s="600" t="s">
        <v>449</v>
      </c>
      <c r="Q20" s="600"/>
      <c r="R20" s="777" t="s">
        <v>450</v>
      </c>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3"/>
      <c r="BB20" s="113"/>
      <c r="BC20" s="113"/>
      <c r="BD20" s="113"/>
      <c r="BE20" s="113"/>
      <c r="BF20" s="113"/>
      <c r="BG20" s="113"/>
      <c r="BH20" s="113"/>
    </row>
    <row r="21" spans="1:60" s="114" customFormat="1" ht="31.5">
      <c r="A21" s="781"/>
      <c r="B21" s="774"/>
      <c r="C21" s="600" t="s">
        <v>439</v>
      </c>
      <c r="D21" s="600"/>
      <c r="E21" s="600"/>
      <c r="F21" s="600"/>
      <c r="G21" s="600"/>
      <c r="H21" s="600" t="s">
        <v>445</v>
      </c>
      <c r="I21" s="600"/>
      <c r="J21" s="775" t="s">
        <v>451</v>
      </c>
      <c r="K21" s="775" t="s">
        <v>452</v>
      </c>
      <c r="L21" s="779" t="s">
        <v>453</v>
      </c>
      <c r="M21" s="780" t="s">
        <v>454</v>
      </c>
      <c r="N21" s="600"/>
      <c r="O21" s="600"/>
      <c r="P21" s="781" t="s">
        <v>510</v>
      </c>
      <c r="Q21" s="781" t="s">
        <v>456</v>
      </c>
      <c r="R21" s="777"/>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c r="AX21" s="112"/>
      <c r="AY21" s="112"/>
      <c r="AZ21" s="112"/>
      <c r="BA21" s="113"/>
      <c r="BB21" s="113"/>
      <c r="BC21" s="113"/>
      <c r="BD21" s="113"/>
      <c r="BE21" s="113"/>
      <c r="BF21" s="113"/>
      <c r="BG21" s="113"/>
      <c r="BH21" s="113"/>
    </row>
    <row r="22" spans="1:60" s="137" customFormat="1">
      <c r="A22" s="886" t="s">
        <v>408</v>
      </c>
      <c r="B22" s="609" t="s">
        <v>421</v>
      </c>
      <c r="C22" s="609"/>
      <c r="D22" s="609" t="s">
        <v>942</v>
      </c>
      <c r="E22" s="609" t="s">
        <v>943</v>
      </c>
      <c r="F22" s="609"/>
      <c r="G22" s="609" t="s">
        <v>465</v>
      </c>
      <c r="H22" s="609"/>
      <c r="I22" s="609"/>
      <c r="J22" s="789">
        <v>0</v>
      </c>
      <c r="K22" s="772">
        <f>+J22/$C$56</f>
        <v>0</v>
      </c>
      <c r="L22" s="823">
        <v>100</v>
      </c>
      <c r="M22" s="823">
        <v>0</v>
      </c>
      <c r="N22" s="609" t="s">
        <v>668</v>
      </c>
      <c r="O22" s="609" t="s">
        <v>465</v>
      </c>
      <c r="P22" s="619"/>
      <c r="Q22" s="619"/>
      <c r="R22" s="609" t="s">
        <v>904</v>
      </c>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row>
    <row r="23" spans="1:60" s="137" customFormat="1">
      <c r="A23" s="886" t="s">
        <v>408</v>
      </c>
      <c r="B23" s="609" t="s">
        <v>421</v>
      </c>
      <c r="C23" s="609"/>
      <c r="D23" s="609" t="s">
        <v>944</v>
      </c>
      <c r="E23" s="609" t="s">
        <v>943</v>
      </c>
      <c r="F23" s="609"/>
      <c r="G23" s="609" t="s">
        <v>465</v>
      </c>
      <c r="H23" s="609"/>
      <c r="I23" s="609"/>
      <c r="J23" s="789">
        <f>+K23*$C$56</f>
        <v>959064300</v>
      </c>
      <c r="K23" s="823">
        <f>PEP!E74-K22</f>
        <v>1503000</v>
      </c>
      <c r="L23" s="823">
        <v>100</v>
      </c>
      <c r="M23" s="823">
        <v>0</v>
      </c>
      <c r="N23" s="609" t="s">
        <v>668</v>
      </c>
      <c r="O23" s="609" t="s">
        <v>465</v>
      </c>
      <c r="P23" s="619"/>
      <c r="Q23" s="619"/>
      <c r="R23" s="609" t="s">
        <v>904</v>
      </c>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row>
    <row r="24" spans="1:60" s="113" customFormat="1">
      <c r="A24" s="886"/>
      <c r="B24" s="609" t="s">
        <v>508</v>
      </c>
      <c r="C24" s="609"/>
      <c r="D24" s="609"/>
      <c r="E24" s="609"/>
      <c r="F24" s="609"/>
      <c r="G24" s="609"/>
      <c r="H24" s="609"/>
      <c r="I24" s="609"/>
      <c r="J24" s="790">
        <f>+J22+J23</f>
        <v>959064300</v>
      </c>
      <c r="K24" s="790">
        <f>+K22+K23</f>
        <v>1503000</v>
      </c>
      <c r="L24" s="790"/>
      <c r="M24" s="790"/>
      <c r="N24" s="681"/>
      <c r="O24" s="609"/>
      <c r="P24" s="609"/>
      <c r="Q24" s="609"/>
      <c r="R24" s="609"/>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row>
    <row r="25" spans="1:60" s="114" customFormat="1">
      <c r="G25" s="126"/>
      <c r="J25" s="116"/>
      <c r="K25" s="127"/>
      <c r="L25" s="127"/>
      <c r="M25" s="127"/>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3"/>
      <c r="BB25" s="113"/>
      <c r="BC25" s="113"/>
      <c r="BD25" s="113"/>
      <c r="BE25" s="113"/>
      <c r="BF25" s="113"/>
      <c r="BG25" s="113"/>
      <c r="BH25" s="113"/>
    </row>
    <row r="26" spans="1:60" s="114" customFormat="1" hidden="1">
      <c r="A26" s="644" t="s">
        <v>435</v>
      </c>
      <c r="B26" s="644" t="s">
        <v>511</v>
      </c>
      <c r="C26" s="644"/>
      <c r="D26" s="644"/>
      <c r="E26" s="644"/>
      <c r="F26" s="644"/>
      <c r="G26" s="644"/>
      <c r="H26" s="644"/>
      <c r="I26" s="644"/>
      <c r="J26" s="644"/>
      <c r="K26" s="644"/>
      <c r="L26" s="644"/>
      <c r="M26" s="644"/>
      <c r="N26" s="644"/>
      <c r="O26" s="644"/>
      <c r="P26" s="644"/>
      <c r="Q26" s="644"/>
      <c r="R26" s="644"/>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3"/>
      <c r="BB26" s="113"/>
      <c r="BC26" s="113"/>
      <c r="BD26" s="113"/>
      <c r="BE26" s="113"/>
      <c r="BF26" s="113"/>
      <c r="BG26" s="113"/>
      <c r="BH26" s="113"/>
    </row>
    <row r="27" spans="1:60" s="114" customFormat="1" hidden="1">
      <c r="A27" s="644"/>
      <c r="B27" s="644" t="s">
        <v>437</v>
      </c>
      <c r="C27" s="644" t="s">
        <v>439</v>
      </c>
      <c r="D27" s="644" t="s">
        <v>440</v>
      </c>
      <c r="E27" s="644" t="s">
        <v>441</v>
      </c>
      <c r="F27" s="644" t="s">
        <v>442</v>
      </c>
      <c r="G27" s="644" t="s">
        <v>459</v>
      </c>
      <c r="H27" s="644" t="s">
        <v>445</v>
      </c>
      <c r="I27" s="887" t="s">
        <v>446</v>
      </c>
      <c r="J27" s="887"/>
      <c r="K27" s="887"/>
      <c r="L27" s="887"/>
      <c r="M27" s="769"/>
      <c r="N27" s="644" t="s">
        <v>447</v>
      </c>
      <c r="O27" s="644" t="s">
        <v>448</v>
      </c>
      <c r="P27" s="644" t="s">
        <v>449</v>
      </c>
      <c r="Q27" s="644"/>
      <c r="R27" s="644" t="s">
        <v>450</v>
      </c>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3"/>
      <c r="BB27" s="113"/>
      <c r="BC27" s="113"/>
      <c r="BD27" s="113"/>
      <c r="BE27" s="113"/>
      <c r="BF27" s="113"/>
      <c r="BG27" s="113"/>
      <c r="BH27" s="113"/>
    </row>
    <row r="28" spans="1:60" s="114" customFormat="1" ht="31.5" hidden="1">
      <c r="A28" s="283"/>
      <c r="B28" s="329"/>
      <c r="C28" s="329" t="s">
        <v>439</v>
      </c>
      <c r="D28" s="329"/>
      <c r="E28" s="329"/>
      <c r="F28" s="329"/>
      <c r="G28" s="329"/>
      <c r="H28" s="329"/>
      <c r="I28" s="888" t="s">
        <v>512</v>
      </c>
      <c r="J28" s="889" t="s">
        <v>451</v>
      </c>
      <c r="K28" s="889" t="s">
        <v>452</v>
      </c>
      <c r="L28" s="890" t="s">
        <v>453</v>
      </c>
      <c r="M28" s="891" t="s">
        <v>454</v>
      </c>
      <c r="N28" s="329"/>
      <c r="O28" s="329"/>
      <c r="P28" s="283" t="s">
        <v>513</v>
      </c>
      <c r="Q28" s="283" t="s">
        <v>514</v>
      </c>
      <c r="R28" s="329"/>
      <c r="S28" s="112"/>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3"/>
      <c r="BB28" s="113"/>
      <c r="BC28" s="113"/>
      <c r="BD28" s="113"/>
      <c r="BE28" s="113"/>
      <c r="BF28" s="113"/>
      <c r="BG28" s="113"/>
      <c r="BH28" s="113"/>
    </row>
    <row r="29" spans="1:60" s="113" customFormat="1" hidden="1">
      <c r="A29" s="186"/>
      <c r="B29" s="129" t="s">
        <v>508</v>
      </c>
      <c r="C29" s="129"/>
      <c r="D29" s="129"/>
      <c r="E29" s="129"/>
      <c r="F29" s="129"/>
      <c r="G29" s="129"/>
      <c r="H29" s="129"/>
      <c r="I29" s="130" t="e">
        <f>SUM(#REF!)</f>
        <v>#REF!</v>
      </c>
      <c r="J29" s="131"/>
      <c r="K29" s="131"/>
      <c r="L29" s="131"/>
      <c r="M29" s="132"/>
      <c r="N29" s="129"/>
      <c r="O29" s="129"/>
      <c r="P29" s="129"/>
      <c r="Q29" s="129"/>
      <c r="R29" s="129"/>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row>
    <row r="30" spans="1:60" s="113" customFormat="1" hidden="1">
      <c r="J30" s="133"/>
      <c r="K30" s="127"/>
      <c r="L30" s="134"/>
      <c r="M30" s="134"/>
      <c r="S30" s="112"/>
      <c r="T30" s="112"/>
      <c r="U30" s="112"/>
      <c r="V30" s="112"/>
      <c r="W30" s="112"/>
      <c r="X30" s="112"/>
      <c r="Y30" s="112"/>
      <c r="Z30" s="112"/>
      <c r="AA30" s="112"/>
      <c r="AB30" s="112"/>
      <c r="AC30" s="112"/>
      <c r="AD30" s="112"/>
      <c r="AE30" s="112"/>
      <c r="AF30" s="112"/>
      <c r="AG30" s="112"/>
      <c r="AH30" s="112"/>
      <c r="AI30" s="112"/>
      <c r="AJ30" s="112"/>
      <c r="AK30" s="112"/>
      <c r="AL30" s="112"/>
      <c r="AM30" s="112"/>
      <c r="AN30" s="112"/>
      <c r="AO30" s="112"/>
      <c r="AP30" s="112"/>
      <c r="AQ30" s="112"/>
      <c r="AR30" s="112"/>
      <c r="AS30" s="112"/>
      <c r="AT30" s="112"/>
      <c r="AU30" s="112"/>
      <c r="AV30" s="112"/>
      <c r="AW30" s="112"/>
      <c r="AX30" s="112"/>
      <c r="AY30" s="112"/>
      <c r="AZ30" s="112"/>
    </row>
    <row r="31" spans="1:60" s="113" customFormat="1" hidden="1">
      <c r="A31" s="344" t="s">
        <v>435</v>
      </c>
      <c r="B31" s="801" t="s">
        <v>522</v>
      </c>
      <c r="C31" s="802"/>
      <c r="D31" s="802"/>
      <c r="E31" s="802"/>
      <c r="F31" s="802"/>
      <c r="G31" s="802"/>
      <c r="H31" s="802"/>
      <c r="I31" s="802"/>
      <c r="J31" s="802"/>
      <c r="K31" s="802"/>
      <c r="L31" s="802"/>
      <c r="M31" s="802"/>
      <c r="N31" s="802"/>
      <c r="O31" s="802"/>
      <c r="P31" s="802"/>
      <c r="Q31" s="802"/>
      <c r="R31" s="803"/>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row>
    <row r="32" spans="1:60" s="113" customFormat="1" ht="47.25" hidden="1">
      <c r="A32" s="345"/>
      <c r="B32" s="804" t="s">
        <v>437</v>
      </c>
      <c r="C32" s="644" t="s">
        <v>439</v>
      </c>
      <c r="D32" s="805" t="s">
        <v>440</v>
      </c>
      <c r="E32" s="805" t="s">
        <v>441</v>
      </c>
      <c r="F32" s="804" t="s">
        <v>523</v>
      </c>
      <c r="G32" s="805" t="s">
        <v>945</v>
      </c>
      <c r="H32" s="806"/>
      <c r="I32" s="806"/>
      <c r="J32" s="807" t="s">
        <v>446</v>
      </c>
      <c r="K32" s="808"/>
      <c r="L32" s="808"/>
      <c r="M32" s="809"/>
      <c r="N32" s="804" t="s">
        <v>447</v>
      </c>
      <c r="O32" s="810" t="s">
        <v>946</v>
      </c>
      <c r="P32" s="644" t="s">
        <v>449</v>
      </c>
      <c r="Q32" s="644"/>
      <c r="R32" s="804" t="s">
        <v>450</v>
      </c>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row>
    <row r="33" spans="1:60" s="113" customFormat="1" ht="31.5" hidden="1">
      <c r="A33" s="346"/>
      <c r="B33" s="347"/>
      <c r="C33" s="644" t="s">
        <v>439</v>
      </c>
      <c r="D33" s="805"/>
      <c r="E33" s="805"/>
      <c r="F33" s="347"/>
      <c r="G33" s="805"/>
      <c r="H33" s="805" t="s">
        <v>445</v>
      </c>
      <c r="I33" s="805"/>
      <c r="J33" s="810" t="s">
        <v>451</v>
      </c>
      <c r="K33" s="135" t="s">
        <v>452</v>
      </c>
      <c r="L33" s="811" t="s">
        <v>453</v>
      </c>
      <c r="M33" s="812" t="s">
        <v>454</v>
      </c>
      <c r="N33" s="347"/>
      <c r="O33" s="810" t="s">
        <v>510</v>
      </c>
      <c r="P33" s="770" t="s">
        <v>510</v>
      </c>
      <c r="Q33" s="770" t="s">
        <v>456</v>
      </c>
      <c r="R33" s="347"/>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row>
    <row r="34" spans="1:60" s="113" customFormat="1" ht="16.5" hidden="1" thickBot="1">
      <c r="A34" s="892"/>
      <c r="B34" s="814"/>
      <c r="C34" s="814"/>
      <c r="D34" s="815"/>
      <c r="E34" s="815"/>
      <c r="F34" s="815"/>
      <c r="G34" s="815"/>
      <c r="H34" s="816"/>
      <c r="I34" s="817"/>
      <c r="J34" s="818"/>
      <c r="K34" s="818"/>
      <c r="L34" s="818"/>
      <c r="M34" s="818"/>
      <c r="N34" s="819"/>
      <c r="O34" s="815"/>
      <c r="P34" s="815"/>
      <c r="Q34" s="815"/>
      <c r="R34" s="820"/>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row>
    <row r="35" spans="1:60" s="113" customFormat="1" hidden="1">
      <c r="J35" s="133"/>
      <c r="K35" s="127"/>
      <c r="L35" s="134"/>
      <c r="M35" s="134"/>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row>
    <row r="36" spans="1:60" s="114" customFormat="1" hidden="1">
      <c r="A36" s="644" t="s">
        <v>435</v>
      </c>
      <c r="B36" s="644" t="s">
        <v>524</v>
      </c>
      <c r="C36" s="644"/>
      <c r="D36" s="644"/>
      <c r="E36" s="644"/>
      <c r="F36" s="644"/>
      <c r="G36" s="644"/>
      <c r="H36" s="644"/>
      <c r="I36" s="644"/>
      <c r="J36" s="644"/>
      <c r="K36" s="644"/>
      <c r="L36" s="644"/>
      <c r="M36" s="644"/>
      <c r="N36" s="644"/>
      <c r="O36" s="644"/>
      <c r="P36" s="644"/>
      <c r="Q36" s="644"/>
      <c r="R36" s="644"/>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3"/>
      <c r="BB36" s="113"/>
      <c r="BC36" s="113"/>
      <c r="BD36" s="113"/>
      <c r="BE36" s="113"/>
      <c r="BF36" s="113"/>
      <c r="BG36" s="113"/>
      <c r="BH36" s="113"/>
    </row>
    <row r="37" spans="1:60" s="114" customFormat="1" hidden="1">
      <c r="A37" s="644"/>
      <c r="B37" s="644" t="s">
        <v>437</v>
      </c>
      <c r="C37" s="644" t="s">
        <v>439</v>
      </c>
      <c r="D37" s="644" t="s">
        <v>440</v>
      </c>
      <c r="E37" s="644" t="s">
        <v>441</v>
      </c>
      <c r="F37" s="644" t="s">
        <v>442</v>
      </c>
      <c r="G37" s="644" t="s">
        <v>459</v>
      </c>
      <c r="H37" s="644"/>
      <c r="I37" s="644"/>
      <c r="J37" s="765"/>
      <c r="K37" s="766" t="s">
        <v>446</v>
      </c>
      <c r="L37" s="766"/>
      <c r="M37" s="766"/>
      <c r="N37" s="644" t="s">
        <v>447</v>
      </c>
      <c r="O37" s="644" t="s">
        <v>448</v>
      </c>
      <c r="P37" s="644" t="s">
        <v>449</v>
      </c>
      <c r="Q37" s="644"/>
      <c r="R37" s="644" t="s">
        <v>450</v>
      </c>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3"/>
      <c r="BB37" s="113"/>
      <c r="BC37" s="113"/>
      <c r="BD37" s="113"/>
      <c r="BE37" s="113"/>
      <c r="BF37" s="113"/>
      <c r="BG37" s="113"/>
      <c r="BH37" s="113"/>
    </row>
    <row r="38" spans="1:60" s="114" customFormat="1" ht="31.5" hidden="1">
      <c r="A38" s="770"/>
      <c r="B38" s="644"/>
      <c r="C38" s="644" t="s">
        <v>439</v>
      </c>
      <c r="D38" s="644"/>
      <c r="E38" s="644"/>
      <c r="F38" s="644"/>
      <c r="G38" s="644"/>
      <c r="H38" s="644" t="s">
        <v>445</v>
      </c>
      <c r="I38" s="644"/>
      <c r="J38" s="765" t="s">
        <v>451</v>
      </c>
      <c r="K38" s="765" t="s">
        <v>452</v>
      </c>
      <c r="L38" s="768" t="s">
        <v>453</v>
      </c>
      <c r="M38" s="769" t="s">
        <v>454</v>
      </c>
      <c r="N38" s="644"/>
      <c r="O38" s="644"/>
      <c r="P38" s="770" t="s">
        <v>510</v>
      </c>
      <c r="Q38" s="770" t="s">
        <v>456</v>
      </c>
      <c r="R38" s="644"/>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3"/>
      <c r="BB38" s="113"/>
      <c r="BC38" s="113"/>
      <c r="BD38" s="113"/>
      <c r="BE38" s="113"/>
      <c r="BF38" s="113"/>
      <c r="BG38" s="113"/>
      <c r="BH38" s="113"/>
    </row>
    <row r="39" spans="1:60" s="113" customFormat="1" hidden="1">
      <c r="A39" s="886"/>
      <c r="B39" s="609" t="s">
        <v>508</v>
      </c>
      <c r="C39" s="609"/>
      <c r="D39" s="609"/>
      <c r="E39" s="609"/>
      <c r="F39" s="609"/>
      <c r="G39" s="609"/>
      <c r="H39" s="825"/>
      <c r="I39" s="825"/>
      <c r="J39" s="772"/>
      <c r="K39" s="772"/>
      <c r="L39" s="772"/>
      <c r="M39" s="772"/>
      <c r="N39" s="826"/>
      <c r="O39" s="609"/>
      <c r="P39" s="609"/>
      <c r="Q39" s="609"/>
      <c r="R39" s="609"/>
      <c r="S39" s="112"/>
      <c r="T39" s="112"/>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c r="AQ39" s="112"/>
      <c r="AR39" s="112"/>
      <c r="AS39" s="112"/>
      <c r="AT39" s="112"/>
      <c r="AU39" s="112"/>
      <c r="AV39" s="112"/>
      <c r="AW39" s="112"/>
      <c r="AX39" s="112"/>
      <c r="AY39" s="112"/>
      <c r="AZ39" s="112"/>
    </row>
    <row r="40" spans="1:60" s="114" customFormat="1" hidden="1">
      <c r="B40" s="138"/>
      <c r="C40" s="138"/>
      <c r="D40" s="138"/>
      <c r="E40" s="138"/>
      <c r="F40" s="138"/>
      <c r="G40" s="138"/>
      <c r="H40" s="138"/>
      <c r="I40" s="138"/>
      <c r="J40" s="139"/>
      <c r="K40" s="140"/>
      <c r="L40" s="140"/>
      <c r="M40" s="140"/>
      <c r="N40" s="141"/>
      <c r="O40" s="138"/>
      <c r="P40" s="138"/>
      <c r="Q40" s="138"/>
      <c r="R40" s="138"/>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c r="AR40" s="112"/>
      <c r="AS40" s="112"/>
      <c r="AT40" s="112"/>
      <c r="AU40" s="112"/>
      <c r="AV40" s="112"/>
      <c r="AW40" s="112"/>
      <c r="AX40" s="112"/>
      <c r="AY40" s="112"/>
      <c r="AZ40" s="112"/>
      <c r="BA40" s="113"/>
      <c r="BB40" s="113"/>
      <c r="BC40" s="113"/>
      <c r="BD40" s="113"/>
      <c r="BE40" s="113"/>
      <c r="BF40" s="113"/>
      <c r="BG40" s="113"/>
      <c r="BH40" s="113"/>
    </row>
    <row r="41" spans="1:60" s="114" customFormat="1" hidden="1">
      <c r="A41" s="644" t="s">
        <v>435</v>
      </c>
      <c r="B41" s="644" t="s">
        <v>592</v>
      </c>
      <c r="C41" s="644"/>
      <c r="D41" s="644"/>
      <c r="E41" s="644"/>
      <c r="F41" s="644"/>
      <c r="G41" s="644"/>
      <c r="H41" s="644"/>
      <c r="I41" s="644"/>
      <c r="J41" s="644"/>
      <c r="K41" s="644"/>
      <c r="L41" s="644"/>
      <c r="M41" s="644"/>
      <c r="N41" s="644"/>
      <c r="O41" s="644"/>
      <c r="P41" s="644"/>
      <c r="Q41" s="644"/>
      <c r="R41" s="644"/>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3"/>
      <c r="BB41" s="113"/>
      <c r="BC41" s="113"/>
      <c r="BD41" s="113"/>
      <c r="BE41" s="113"/>
      <c r="BF41" s="113"/>
      <c r="BG41" s="113"/>
      <c r="BH41" s="113"/>
    </row>
    <row r="42" spans="1:60" s="114" customFormat="1" hidden="1">
      <c r="A42" s="644"/>
      <c r="B42" s="644" t="s">
        <v>437</v>
      </c>
      <c r="C42" s="644" t="s">
        <v>439</v>
      </c>
      <c r="D42" s="644" t="s">
        <v>440</v>
      </c>
      <c r="E42" s="644" t="s">
        <v>441</v>
      </c>
      <c r="F42" s="644" t="s">
        <v>442</v>
      </c>
      <c r="G42" s="644" t="s">
        <v>459</v>
      </c>
      <c r="H42" s="644"/>
      <c r="I42" s="644"/>
      <c r="J42" s="765"/>
      <c r="K42" s="766" t="s">
        <v>446</v>
      </c>
      <c r="L42" s="766"/>
      <c r="M42" s="766"/>
      <c r="N42" s="644" t="s">
        <v>447</v>
      </c>
      <c r="O42" s="644" t="s">
        <v>448</v>
      </c>
      <c r="P42" s="644" t="s">
        <v>449</v>
      </c>
      <c r="Q42" s="644"/>
      <c r="R42" s="644" t="s">
        <v>450</v>
      </c>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3"/>
      <c r="BB42" s="113"/>
      <c r="BC42" s="113"/>
      <c r="BD42" s="113"/>
      <c r="BE42" s="113"/>
      <c r="BF42" s="113"/>
      <c r="BG42" s="113"/>
      <c r="BH42" s="113"/>
    </row>
    <row r="43" spans="1:60" s="114" customFormat="1" ht="31.5" hidden="1">
      <c r="A43" s="770"/>
      <c r="B43" s="644"/>
      <c r="C43" s="644" t="s">
        <v>439</v>
      </c>
      <c r="D43" s="644"/>
      <c r="E43" s="644"/>
      <c r="F43" s="644"/>
      <c r="G43" s="644"/>
      <c r="H43" s="644" t="s">
        <v>445</v>
      </c>
      <c r="I43" s="644"/>
      <c r="J43" s="765" t="s">
        <v>451</v>
      </c>
      <c r="K43" s="765" t="s">
        <v>452</v>
      </c>
      <c r="L43" s="768" t="s">
        <v>453</v>
      </c>
      <c r="M43" s="769" t="s">
        <v>454</v>
      </c>
      <c r="N43" s="644"/>
      <c r="O43" s="644"/>
      <c r="P43" s="770" t="s">
        <v>510</v>
      </c>
      <c r="Q43" s="770" t="s">
        <v>456</v>
      </c>
      <c r="R43" s="644"/>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3"/>
      <c r="BB43" s="113"/>
      <c r="BC43" s="113"/>
      <c r="BD43" s="113"/>
      <c r="BE43" s="113"/>
      <c r="BF43" s="113"/>
      <c r="BG43" s="113"/>
      <c r="BH43" s="113"/>
    </row>
    <row r="44" spans="1:60" s="113" customFormat="1" hidden="1">
      <c r="A44" s="886"/>
      <c r="B44" s="609"/>
      <c r="C44" s="609"/>
      <c r="D44" s="680"/>
      <c r="E44" s="681"/>
      <c r="F44" s="681"/>
      <c r="G44" s="609"/>
      <c r="H44" s="825"/>
      <c r="I44" s="825"/>
      <c r="J44" s="772"/>
      <c r="K44" s="772"/>
      <c r="L44" s="772"/>
      <c r="M44" s="772"/>
      <c r="N44" s="826"/>
      <c r="O44" s="609"/>
      <c r="P44" s="609"/>
      <c r="Q44" s="609"/>
      <c r="R44" s="609"/>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row>
    <row r="45" spans="1:60" s="114" customFormat="1" hidden="1">
      <c r="B45" s="138"/>
      <c r="C45" s="138"/>
      <c r="D45" s="138"/>
      <c r="E45" s="138"/>
      <c r="F45" s="138"/>
      <c r="G45" s="138"/>
      <c r="H45" s="138"/>
      <c r="I45" s="138"/>
      <c r="J45" s="139"/>
      <c r="K45" s="139"/>
      <c r="L45" s="142"/>
      <c r="M45" s="143"/>
      <c r="N45" s="141"/>
      <c r="O45" s="138"/>
      <c r="P45" s="138"/>
      <c r="Q45" s="138"/>
      <c r="R45" s="138"/>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3"/>
      <c r="BB45" s="113"/>
      <c r="BC45" s="113"/>
      <c r="BD45" s="113"/>
      <c r="BE45" s="113"/>
      <c r="BF45" s="113"/>
      <c r="BG45" s="113"/>
      <c r="BH45" s="113"/>
    </row>
    <row r="46" spans="1:60" s="114" customFormat="1">
      <c r="A46" s="600" t="s">
        <v>435</v>
      </c>
      <c r="B46" s="600" t="s">
        <v>593</v>
      </c>
      <c r="C46" s="600"/>
      <c r="D46" s="600"/>
      <c r="E46" s="600"/>
      <c r="F46" s="600"/>
      <c r="G46" s="600"/>
      <c r="H46" s="600"/>
      <c r="I46" s="600"/>
      <c r="J46" s="600"/>
      <c r="K46" s="600"/>
      <c r="L46" s="600"/>
      <c r="M46" s="600"/>
      <c r="N46" s="600"/>
      <c r="O46" s="600"/>
      <c r="P46" s="600"/>
      <c r="Q46" s="600"/>
      <c r="R46" s="600"/>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3"/>
      <c r="BB46" s="113"/>
      <c r="BC46" s="113"/>
      <c r="BD46" s="113"/>
      <c r="BE46" s="113"/>
      <c r="BF46" s="113"/>
      <c r="BG46" s="113"/>
      <c r="BH46" s="113"/>
    </row>
    <row r="47" spans="1:60" s="114" customFormat="1">
      <c r="A47" s="600"/>
      <c r="B47" s="600" t="s">
        <v>437</v>
      </c>
      <c r="C47" s="600" t="s">
        <v>439</v>
      </c>
      <c r="D47" s="600" t="s">
        <v>594</v>
      </c>
      <c r="E47" s="600" t="s">
        <v>441</v>
      </c>
      <c r="F47" s="600"/>
      <c r="G47" s="600"/>
      <c r="H47" s="600" t="s">
        <v>445</v>
      </c>
      <c r="I47" s="600"/>
      <c r="J47" s="775"/>
      <c r="K47" s="776" t="s">
        <v>446</v>
      </c>
      <c r="L47" s="776"/>
      <c r="M47" s="776"/>
      <c r="N47" s="600" t="s">
        <v>447</v>
      </c>
      <c r="O47" s="893" t="s">
        <v>595</v>
      </c>
      <c r="P47" s="600" t="s">
        <v>449</v>
      </c>
      <c r="Q47" s="600"/>
      <c r="R47" s="600" t="s">
        <v>596</v>
      </c>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3"/>
      <c r="BB47" s="113"/>
      <c r="BC47" s="113"/>
      <c r="BD47" s="113"/>
      <c r="BE47" s="113"/>
      <c r="BF47" s="113"/>
      <c r="BG47" s="113"/>
      <c r="BH47" s="113"/>
    </row>
    <row r="48" spans="1:60" s="114" customFormat="1" ht="31.5">
      <c r="A48" s="781"/>
      <c r="B48" s="600"/>
      <c r="C48" s="600" t="s">
        <v>439</v>
      </c>
      <c r="D48" s="600"/>
      <c r="E48" s="600"/>
      <c r="F48" s="600"/>
      <c r="G48" s="600"/>
      <c r="H48" s="600"/>
      <c r="I48" s="600"/>
      <c r="J48" s="775" t="s">
        <v>451</v>
      </c>
      <c r="K48" s="775" t="s">
        <v>452</v>
      </c>
      <c r="L48" s="775" t="s">
        <v>453</v>
      </c>
      <c r="M48" s="779" t="s">
        <v>454</v>
      </c>
      <c r="N48" s="600"/>
      <c r="O48" s="893"/>
      <c r="P48" s="781" t="s">
        <v>597</v>
      </c>
      <c r="Q48" s="781" t="s">
        <v>598</v>
      </c>
      <c r="R48" s="600"/>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3"/>
      <c r="BB48" s="113"/>
      <c r="BC48" s="113"/>
      <c r="BD48" s="113"/>
      <c r="BE48" s="113"/>
      <c r="BF48" s="113"/>
      <c r="BG48" s="113"/>
      <c r="BH48" s="113"/>
    </row>
    <row r="49" spans="1:53" s="113" customFormat="1">
      <c r="A49" s="886"/>
      <c r="B49" s="609" t="s">
        <v>508</v>
      </c>
      <c r="C49" s="609"/>
      <c r="D49" s="609"/>
      <c r="E49" s="825"/>
      <c r="F49" s="825"/>
      <c r="G49" s="825"/>
      <c r="H49" s="825"/>
      <c r="I49" s="825"/>
      <c r="J49" s="828"/>
      <c r="K49" s="828"/>
      <c r="L49" s="828"/>
      <c r="M49" s="829"/>
      <c r="N49" s="826"/>
      <c r="O49" s="826"/>
      <c r="P49" s="609"/>
      <c r="Q49" s="609"/>
      <c r="R49" s="609"/>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row>
    <row r="50" spans="1:53" s="113" customFormat="1">
      <c r="A50" s="886"/>
      <c r="B50" s="824" t="s">
        <v>947</v>
      </c>
      <c r="C50" s="609"/>
      <c r="D50" s="609">
        <v>2020</v>
      </c>
      <c r="E50" s="609"/>
      <c r="F50" s="609"/>
      <c r="G50" s="609"/>
      <c r="H50" s="609"/>
      <c r="I50" s="609"/>
      <c r="J50" s="828"/>
      <c r="K50" s="772">
        <f>+PEP!H77</f>
        <v>1316137.9331117701</v>
      </c>
      <c r="L50" s="828"/>
      <c r="M50" s="829"/>
      <c r="N50" s="826"/>
      <c r="O50" s="826"/>
      <c r="P50" s="609"/>
      <c r="Q50" s="609"/>
      <c r="R50" s="609"/>
      <c r="S50" s="112"/>
      <c r="T50" s="112"/>
      <c r="U50" s="112"/>
      <c r="V50" s="112"/>
      <c r="W50" s="112"/>
      <c r="X50" s="112"/>
      <c r="Y50" s="112"/>
      <c r="Z50" s="112"/>
      <c r="AA50" s="112"/>
      <c r="AB50" s="112"/>
      <c r="AC50" s="112"/>
      <c r="AD50" s="112"/>
      <c r="AE50" s="112"/>
      <c r="AF50" s="112"/>
      <c r="AG50" s="112"/>
      <c r="AH50" s="112"/>
      <c r="AI50" s="112"/>
      <c r="AJ50" s="112"/>
      <c r="AK50" s="112"/>
      <c r="AL50" s="112"/>
      <c r="AM50" s="112"/>
      <c r="AN50" s="112"/>
      <c r="AO50" s="112"/>
      <c r="AP50" s="112"/>
      <c r="AQ50" s="112"/>
      <c r="AR50" s="112"/>
      <c r="AS50" s="112"/>
      <c r="AT50" s="112"/>
      <c r="AU50" s="112"/>
      <c r="AV50" s="112"/>
      <c r="AW50" s="112"/>
      <c r="AX50" s="112"/>
      <c r="AY50" s="112"/>
      <c r="AZ50" s="112"/>
    </row>
    <row r="51" spans="1:53" s="144" customFormat="1">
      <c r="A51" s="886"/>
      <c r="B51" s="824" t="s">
        <v>947</v>
      </c>
      <c r="C51" s="824"/>
      <c r="D51" s="824">
        <v>2021</v>
      </c>
      <c r="E51" s="824"/>
      <c r="F51" s="824"/>
      <c r="G51" s="824"/>
      <c r="H51" s="824"/>
      <c r="I51" s="824"/>
      <c r="J51" s="830"/>
      <c r="K51" s="831">
        <v>702800</v>
      </c>
      <c r="L51" s="832"/>
      <c r="M51" s="832"/>
      <c r="N51" s="824"/>
      <c r="O51" s="824"/>
      <c r="P51" s="824"/>
      <c r="Q51" s="824"/>
      <c r="R51" s="824"/>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833"/>
    </row>
    <row r="52" spans="1:53" s="113" customFormat="1">
      <c r="A52" s="886"/>
      <c r="B52" s="824" t="s">
        <v>428</v>
      </c>
      <c r="C52" s="824"/>
      <c r="D52" s="824"/>
      <c r="E52" s="824"/>
      <c r="F52" s="824"/>
      <c r="G52" s="824"/>
      <c r="H52" s="824"/>
      <c r="I52" s="824"/>
      <c r="J52" s="830"/>
      <c r="K52" s="894">
        <f>+K39+K24+K44+K17+K12+K7+K29+K34+K50+K51</f>
        <v>3521937.9331117701</v>
      </c>
      <c r="L52" s="894">
        <v>100</v>
      </c>
      <c r="M52" s="894">
        <f>+M39+M24+M44+M49+M17+M12+M7+M29+M51</f>
        <v>0</v>
      </c>
      <c r="N52" s="824"/>
      <c r="O52" s="824"/>
      <c r="P52" s="824"/>
      <c r="Q52" s="824"/>
      <c r="R52" s="824"/>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row>
    <row r="53" spans="1:53" s="113" customFormat="1">
      <c r="J53" s="133"/>
      <c r="K53" s="187"/>
      <c r="L53" s="187"/>
      <c r="M53" s="187"/>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row>
    <row r="54" spans="1:53" s="113" customFormat="1">
      <c r="J54" s="133"/>
      <c r="K54" s="127"/>
      <c r="L54" s="134"/>
      <c r="M54" s="134"/>
      <c r="O54" s="834"/>
      <c r="P54" s="834"/>
      <c r="Q54" s="834"/>
      <c r="R54" s="834"/>
      <c r="S54" s="112"/>
      <c r="T54" s="112"/>
      <c r="U54" s="112"/>
      <c r="V54" s="112"/>
      <c r="W54" s="112"/>
      <c r="X54" s="112"/>
      <c r="Y54" s="112"/>
      <c r="Z54" s="112"/>
      <c r="AA54" s="112"/>
      <c r="AB54" s="112"/>
      <c r="AC54" s="112"/>
      <c r="AD54" s="112"/>
      <c r="AE54" s="112"/>
      <c r="AF54" s="112"/>
      <c r="AG54" s="112"/>
      <c r="AH54" s="112"/>
      <c r="AI54" s="112"/>
      <c r="AJ54" s="112"/>
      <c r="AK54" s="112"/>
      <c r="AL54" s="112"/>
      <c r="AM54" s="112"/>
      <c r="AN54" s="112"/>
      <c r="AO54" s="112"/>
      <c r="AP54" s="112"/>
      <c r="AQ54" s="112"/>
      <c r="AR54" s="112"/>
      <c r="AS54" s="112"/>
      <c r="AT54" s="112"/>
      <c r="AU54" s="112"/>
      <c r="AV54" s="112"/>
      <c r="AW54" s="112"/>
      <c r="AX54" s="112"/>
      <c r="AY54" s="112"/>
      <c r="AZ54" s="112"/>
    </row>
    <row r="55" spans="1:53" s="110" customFormat="1">
      <c r="B55" s="110" t="s">
        <v>599</v>
      </c>
      <c r="C55" s="110">
        <v>603.39</v>
      </c>
      <c r="J55" s="146"/>
      <c r="K55" s="146"/>
      <c r="L55" s="146"/>
      <c r="M55" s="146"/>
    </row>
    <row r="56" spans="1:53" s="110" customFormat="1">
      <c r="B56" s="110" t="s">
        <v>600</v>
      </c>
      <c r="C56" s="110">
        <v>638.1</v>
      </c>
      <c r="J56" s="146"/>
      <c r="K56" s="146"/>
      <c r="L56" s="146"/>
      <c r="M56" s="146"/>
    </row>
    <row r="57" spans="1:53" s="110" customFormat="1">
      <c r="B57" s="110" t="s">
        <v>601</v>
      </c>
      <c r="C57" s="110">
        <v>638.1</v>
      </c>
      <c r="J57" s="146"/>
      <c r="K57" s="146"/>
      <c r="L57" s="146"/>
      <c r="M57" s="146"/>
    </row>
    <row r="58" spans="1:53" s="110" customFormat="1">
      <c r="B58" s="110" t="s">
        <v>602</v>
      </c>
      <c r="C58" s="110">
        <v>638.1</v>
      </c>
      <c r="J58" s="146"/>
      <c r="K58" s="146"/>
      <c r="L58" s="146"/>
      <c r="M58" s="146"/>
    </row>
    <row r="59" spans="1:53" s="110" customFormat="1">
      <c r="J59" s="146"/>
      <c r="K59" s="146"/>
      <c r="L59" s="146"/>
      <c r="M59" s="146"/>
    </row>
    <row r="60" spans="1:53" s="110" customFormat="1">
      <c r="J60" s="146"/>
      <c r="K60" s="146"/>
      <c r="L60" s="146"/>
      <c r="M60" s="146"/>
    </row>
    <row r="61" spans="1:53" s="110" customFormat="1">
      <c r="J61" s="146"/>
      <c r="K61" s="146"/>
      <c r="L61" s="146"/>
      <c r="M61" s="146"/>
    </row>
    <row r="62" spans="1:53" s="110" customFormat="1">
      <c r="J62" s="146"/>
      <c r="K62" s="146"/>
      <c r="L62" s="146"/>
      <c r="M62" s="146"/>
    </row>
    <row r="63" spans="1:53" hidden="1"/>
    <row r="64" spans="1:53" hidden="1"/>
    <row r="65" spans="1:12" hidden="1">
      <c r="B65" s="121" t="s">
        <v>948</v>
      </c>
      <c r="C65" s="121">
        <v>2018</v>
      </c>
      <c r="D65" s="121">
        <v>2019</v>
      </c>
      <c r="E65" s="121">
        <v>2020</v>
      </c>
      <c r="F65" s="121">
        <v>2021</v>
      </c>
      <c r="G65" s="121" t="s">
        <v>949</v>
      </c>
      <c r="H65" s="122" t="s">
        <v>950</v>
      </c>
      <c r="I65" s="122" t="s">
        <v>951</v>
      </c>
      <c r="J65" s="123" t="s">
        <v>428</v>
      </c>
    </row>
    <row r="66" spans="1:12" hidden="1">
      <c r="B66" s="121" t="s">
        <v>8</v>
      </c>
      <c r="C66" s="188" t="e">
        <f>+#REF!+#REF!+#REF!</f>
        <v>#REF!</v>
      </c>
      <c r="D66" s="121"/>
      <c r="E66" s="121"/>
      <c r="F66" s="121"/>
      <c r="G66" s="189" t="e">
        <f>+#REF!+#REF!+#REF!+#REF!+#REF!+#REF!+#REF!+#REF!+#REF!</f>
        <v>#REF!</v>
      </c>
      <c r="H66" s="190" t="e">
        <f>C66+G66</f>
        <v>#REF!</v>
      </c>
      <c r="I66" s="189" t="e">
        <f>+H66-G76</f>
        <v>#REF!</v>
      </c>
      <c r="J66" s="191" t="e">
        <f>+G66+C66</f>
        <v>#REF!</v>
      </c>
    </row>
    <row r="67" spans="1:12" hidden="1">
      <c r="B67" s="121" t="s">
        <v>418</v>
      </c>
      <c r="C67" s="188" t="e">
        <f>+#REF!+#REF!+#REF!+#REF!+#REF!+#REF!</f>
        <v>#REF!</v>
      </c>
      <c r="D67" s="121"/>
      <c r="E67" s="121"/>
      <c r="F67" s="121"/>
      <c r="G67" s="192" t="e">
        <f>#REF!+#REF!+#REF!+#REF!+#REF!+#REF!+#REF!+#REF!+#REF!+#REF!+#REF!+#REF!+#REF!+#REF!+#REF!</f>
        <v>#REF!</v>
      </c>
      <c r="H67" s="190" t="e">
        <f>C67+G67</f>
        <v>#REF!</v>
      </c>
      <c r="I67" s="189" t="e">
        <f>+H67-G77</f>
        <v>#REF!</v>
      </c>
      <c r="J67" s="191" t="e">
        <f>+G67+C67</f>
        <v>#REF!</v>
      </c>
    </row>
    <row r="68" spans="1:12" hidden="1">
      <c r="B68" s="121" t="s">
        <v>219</v>
      </c>
      <c r="C68" s="193" t="e">
        <f>+#REF!+#REF!+#REF!+#REF!+#REF!+#REF!+#REF!</f>
        <v>#REF!</v>
      </c>
      <c r="D68" s="193" t="e">
        <f>+#REF!+#REF!+#REF!</f>
        <v>#REF!</v>
      </c>
      <c r="E68" s="193" t="e">
        <f>+#REF!+#REF!+#REF!</f>
        <v>#REF!</v>
      </c>
      <c r="F68" s="193" t="e">
        <f>+#REF!+#REF!+#REF!</f>
        <v>#REF!</v>
      </c>
      <c r="G68" s="194"/>
      <c r="H68" s="195" t="e">
        <f>+C68+D68+E68+F68</f>
        <v>#REF!</v>
      </c>
      <c r="I68" s="196" t="e">
        <f>+H68-G78</f>
        <v>#REF!</v>
      </c>
      <c r="J68" s="191" t="e">
        <f>SUM(C68:F68)</f>
        <v>#REF!</v>
      </c>
      <c r="K68" s="197" t="e">
        <f>+#REF!+#REF!+#REF!+#REF!+#REF!+#REF!+#REF!+#REF!+#REF!+#REF!</f>
        <v>#REF!</v>
      </c>
      <c r="L68" s="197" t="e">
        <f>+#REF!+#REF!+#REF!+#REF!+#REF!+#REF!+#REF!+#REF!+#REF!+#REF!</f>
        <v>#REF!</v>
      </c>
    </row>
    <row r="69" spans="1:12" hidden="1">
      <c r="B69" s="198" t="s">
        <v>952</v>
      </c>
      <c r="C69" s="193" t="e">
        <f>+#REF!+#REF!+#REF!+#REF!</f>
        <v>#REF!</v>
      </c>
      <c r="D69" s="193" t="e">
        <f>+#REF!+#REF!+#REF!+#REF!+#REF!+#REF!</f>
        <v>#REF!</v>
      </c>
      <c r="E69" s="193" t="e">
        <f>+#REF!</f>
        <v>#REF!</v>
      </c>
      <c r="F69" s="193" t="e">
        <f>+#REF!</f>
        <v>#REF!</v>
      </c>
      <c r="G69" s="194"/>
      <c r="H69" s="196" t="e">
        <f>SUM(C69:F69)</f>
        <v>#REF!</v>
      </c>
      <c r="I69" s="196" t="e">
        <f>+H69-G79</f>
        <v>#REF!</v>
      </c>
      <c r="J69" s="191" t="e">
        <f>SUM(C69:F69)</f>
        <v>#REF!</v>
      </c>
    </row>
    <row r="70" spans="1:12" hidden="1">
      <c r="B70" s="121" t="s">
        <v>291</v>
      </c>
      <c r="C70" s="199" t="e">
        <f>+#REF!+#REF!+#REF!+#REF!+#REF!+#REF!</f>
        <v>#REF!</v>
      </c>
      <c r="E70" s="121"/>
      <c r="F70" s="121"/>
      <c r="G70" s="188" t="e">
        <f>+#REF!+#REF!+#REF!+#REF!+#REF!+#REF!+#REF!+#REF!+#REF!+#REF!+#REF!+#REF!+#REF!+#REF!+#REF!+#REF!+#REF!+#REF!</f>
        <v>#REF!</v>
      </c>
      <c r="H70" s="189" t="e">
        <f>C70+#REF!</f>
        <v>#REF!</v>
      </c>
      <c r="I70" s="189" t="e">
        <f>+H70-G80</f>
        <v>#REF!</v>
      </c>
      <c r="J70" s="200" t="e">
        <f>+G70+C70</f>
        <v>#REF!</v>
      </c>
    </row>
    <row r="71" spans="1:12" hidden="1">
      <c r="B71" s="121" t="s">
        <v>421</v>
      </c>
      <c r="C71" s="121">
        <v>0</v>
      </c>
      <c r="H71" s="189">
        <v>1503000</v>
      </c>
    </row>
    <row r="72" spans="1:12" hidden="1">
      <c r="B72" s="121" t="s">
        <v>53</v>
      </c>
      <c r="C72" s="121">
        <v>0</v>
      </c>
      <c r="H72" s="189">
        <v>702800</v>
      </c>
    </row>
    <row r="73" spans="1:12" hidden="1">
      <c r="H73" s="189" t="e">
        <f>SUM(H66:H72)</f>
        <v>#REF!</v>
      </c>
    </row>
    <row r="74" spans="1:12" hidden="1"/>
    <row r="75" spans="1:12" hidden="1">
      <c r="C75" s="122">
        <v>2018</v>
      </c>
      <c r="D75" s="122">
        <v>2019</v>
      </c>
      <c r="E75" s="122">
        <v>2020</v>
      </c>
      <c r="F75" s="122">
        <v>2021</v>
      </c>
      <c r="G75" s="122" t="s">
        <v>45</v>
      </c>
    </row>
    <row r="76" spans="1:12" hidden="1">
      <c r="B76" s="121" t="s">
        <v>8</v>
      </c>
      <c r="C76" s="201">
        <v>1402615.7133860355</v>
      </c>
      <c r="D76" s="201">
        <v>1257000</v>
      </c>
      <c r="E76" s="201">
        <v>1283000</v>
      </c>
      <c r="F76" s="201">
        <v>1138384.2866139647</v>
      </c>
      <c r="G76" s="202">
        <v>5081000</v>
      </c>
      <c r="K76" s="203">
        <f>6400000+12800000+12800000+13000000+19500000+32500000+45000000+5000000+100000000+75322820+171860000+304200000+132000000+43000000</f>
        <v>973382820</v>
      </c>
    </row>
    <row r="77" spans="1:12" hidden="1">
      <c r="B77" s="121" t="s">
        <v>418</v>
      </c>
      <c r="C77" s="201">
        <v>2521808.4489302114</v>
      </c>
      <c r="D77" s="201">
        <v>1764000</v>
      </c>
      <c r="E77" s="201">
        <v>1867000</v>
      </c>
      <c r="F77" s="201">
        <v>1601191.6554798717</v>
      </c>
      <c r="G77" s="202">
        <v>7754000.104410083</v>
      </c>
    </row>
    <row r="78" spans="1:12" hidden="1">
      <c r="A78" s="188" t="e">
        <f>+C78-C68</f>
        <v>#REF!</v>
      </c>
      <c r="B78" s="121" t="s">
        <v>219</v>
      </c>
      <c r="C78" s="201">
        <v>1928793.9758583999</v>
      </c>
      <c r="D78" s="201">
        <v>1665550</v>
      </c>
      <c r="E78" s="201">
        <v>1495550</v>
      </c>
      <c r="F78" s="201">
        <v>1212306.0241416001</v>
      </c>
      <c r="G78" s="202">
        <v>6302200</v>
      </c>
    </row>
    <row r="79" spans="1:12" hidden="1">
      <c r="B79" s="121" t="s">
        <v>952</v>
      </c>
      <c r="C79" s="201">
        <v>263630.48774424504</v>
      </c>
      <c r="D79" s="201">
        <v>570000</v>
      </c>
      <c r="E79" s="201">
        <v>964000</v>
      </c>
      <c r="F79" s="201">
        <v>199369.51225575502</v>
      </c>
      <c r="G79" s="202">
        <v>1997000</v>
      </c>
    </row>
    <row r="80" spans="1:12" hidden="1">
      <c r="B80" s="121" t="s">
        <v>291</v>
      </c>
      <c r="C80" s="201">
        <v>1032988.8712109914</v>
      </c>
      <c r="D80" s="201">
        <v>915000</v>
      </c>
      <c r="E80" s="201">
        <v>915000</v>
      </c>
      <c r="F80" s="201">
        <v>797011.1287890086</v>
      </c>
      <c r="G80" s="202">
        <v>3660000</v>
      </c>
    </row>
    <row r="81" spans="2:13" hidden="1">
      <c r="B81" s="121" t="s">
        <v>421</v>
      </c>
      <c r="C81" s="201">
        <v>0</v>
      </c>
      <c r="D81" s="201">
        <v>375750</v>
      </c>
      <c r="E81" s="201">
        <v>375750</v>
      </c>
      <c r="F81" s="201">
        <v>751500</v>
      </c>
      <c r="G81" s="201">
        <v>1503000</v>
      </c>
    </row>
    <row r="82" spans="2:13" hidden="1">
      <c r="B82" s="121" t="s">
        <v>53</v>
      </c>
      <c r="C82" s="201">
        <v>0</v>
      </c>
      <c r="D82" s="201">
        <v>0</v>
      </c>
      <c r="E82" s="201">
        <v>0</v>
      </c>
      <c r="F82" s="201">
        <v>702800</v>
      </c>
      <c r="G82" s="201">
        <v>702800</v>
      </c>
    </row>
    <row r="83" spans="2:13" hidden="1">
      <c r="C83" s="122"/>
    </row>
    <row r="84" spans="2:13" hidden="1"/>
    <row r="85" spans="2:13" hidden="1"/>
    <row r="86" spans="2:13" s="110" customFormat="1">
      <c r="J86" s="146"/>
      <c r="K86" s="146"/>
      <c r="L86" s="146"/>
      <c r="M86" s="146"/>
    </row>
    <row r="87" spans="2:13" s="110" customFormat="1">
      <c r="J87" s="146"/>
      <c r="K87" s="146"/>
      <c r="L87" s="146"/>
      <c r="M87" s="146"/>
    </row>
    <row r="88" spans="2:13" s="110" customFormat="1">
      <c r="J88" s="146"/>
      <c r="K88" s="146"/>
      <c r="L88" s="146"/>
      <c r="M88" s="146"/>
    </row>
    <row r="89" spans="2:13" s="110" customFormat="1">
      <c r="J89" s="146"/>
      <c r="K89" s="146"/>
      <c r="L89" s="146"/>
      <c r="M89" s="146"/>
    </row>
    <row r="90" spans="2:13" s="110" customFormat="1">
      <c r="J90" s="146"/>
      <c r="K90" s="146"/>
      <c r="L90" s="146"/>
      <c r="M90" s="146"/>
    </row>
    <row r="91" spans="2:13" s="110" customFormat="1">
      <c r="J91" s="146"/>
      <c r="K91" s="146"/>
      <c r="L91" s="146"/>
      <c r="M91" s="146"/>
    </row>
    <row r="92" spans="2:13" s="110" customFormat="1">
      <c r="J92" s="146"/>
      <c r="K92" s="146"/>
      <c r="L92" s="146"/>
      <c r="M92" s="146"/>
    </row>
    <row r="93" spans="2:13" s="110" customFormat="1">
      <c r="J93" s="146"/>
      <c r="K93" s="146"/>
      <c r="L93" s="146"/>
      <c r="M93" s="146"/>
    </row>
    <row r="94" spans="2:13" s="110" customFormat="1">
      <c r="J94" s="146"/>
      <c r="K94" s="146"/>
      <c r="L94" s="146"/>
      <c r="M94" s="146"/>
    </row>
    <row r="95" spans="2:13" s="110" customFormat="1">
      <c r="J95" s="146"/>
      <c r="K95" s="146"/>
      <c r="L95" s="146"/>
      <c r="M95" s="146"/>
    </row>
    <row r="96" spans="2:13" s="110" customFormat="1">
      <c r="J96" s="146"/>
      <c r="K96" s="146"/>
      <c r="L96" s="146"/>
      <c r="M96" s="146"/>
    </row>
    <row r="97" spans="10:13" s="110" customFormat="1">
      <c r="J97" s="146"/>
      <c r="K97" s="146"/>
      <c r="L97" s="146"/>
      <c r="M97" s="146"/>
    </row>
    <row r="98" spans="10:13" s="110" customFormat="1">
      <c r="J98" s="146"/>
      <c r="K98" s="146"/>
      <c r="L98" s="146"/>
      <c r="M98" s="146"/>
    </row>
    <row r="99" spans="10:13" s="110" customFormat="1">
      <c r="J99" s="146"/>
      <c r="K99" s="146"/>
      <c r="L99" s="146"/>
      <c r="M99" s="146"/>
    </row>
    <row r="100" spans="10:13" s="110" customFormat="1">
      <c r="J100" s="146"/>
      <c r="K100" s="146"/>
      <c r="L100" s="146"/>
      <c r="M100" s="146"/>
    </row>
    <row r="101" spans="10:13" s="110" customFormat="1">
      <c r="J101" s="146"/>
      <c r="K101" s="146"/>
      <c r="L101" s="146"/>
      <c r="M101" s="146"/>
    </row>
    <row r="102" spans="10:13" s="110" customFormat="1">
      <c r="J102" s="146"/>
      <c r="K102" s="146"/>
      <c r="L102" s="146"/>
      <c r="M102" s="146"/>
    </row>
    <row r="103" spans="10:13" s="110" customFormat="1">
      <c r="J103" s="146"/>
      <c r="K103" s="146"/>
      <c r="L103" s="146"/>
      <c r="M103" s="146"/>
    </row>
    <row r="104" spans="10:13" s="110" customFormat="1">
      <c r="J104" s="146"/>
      <c r="K104" s="146"/>
      <c r="L104" s="146"/>
      <c r="M104" s="146"/>
    </row>
    <row r="105" spans="10:13" s="110" customFormat="1">
      <c r="J105" s="146"/>
      <c r="K105" s="146"/>
      <c r="L105" s="146"/>
      <c r="M105" s="146"/>
    </row>
    <row r="106" spans="10:13" s="110" customFormat="1">
      <c r="J106" s="146"/>
      <c r="K106" s="146"/>
      <c r="L106" s="146"/>
      <c r="M106" s="146"/>
    </row>
    <row r="107" spans="10:13" s="110" customFormat="1">
      <c r="J107" s="146"/>
      <c r="K107" s="146"/>
      <c r="L107" s="146"/>
      <c r="M107" s="146"/>
    </row>
    <row r="108" spans="10:13" s="110" customFormat="1">
      <c r="J108" s="146"/>
      <c r="K108" s="146"/>
      <c r="L108" s="146"/>
      <c r="M108" s="146"/>
    </row>
    <row r="109" spans="10:13" s="110" customFormat="1">
      <c r="J109" s="146"/>
      <c r="K109" s="146"/>
      <c r="L109" s="146"/>
      <c r="M109" s="146"/>
    </row>
    <row r="110" spans="10:13" s="110" customFormat="1">
      <c r="J110" s="146"/>
      <c r="K110" s="146"/>
      <c r="L110" s="146"/>
      <c r="M110" s="146"/>
    </row>
    <row r="111" spans="10:13" s="110" customFormat="1">
      <c r="J111" s="146"/>
      <c r="K111" s="146"/>
      <c r="L111" s="146"/>
      <c r="M111" s="146"/>
    </row>
    <row r="112" spans="10:13" s="110" customFormat="1">
      <c r="J112" s="146"/>
      <c r="K112" s="146"/>
      <c r="L112" s="146"/>
      <c r="M112" s="146"/>
    </row>
    <row r="113" spans="10:13" s="110" customFormat="1">
      <c r="J113" s="146"/>
      <c r="K113" s="146"/>
      <c r="L113" s="146"/>
      <c r="M113" s="146"/>
    </row>
    <row r="114" spans="10:13" s="110" customFormat="1">
      <c r="J114" s="146"/>
      <c r="K114" s="146"/>
      <c r="L114" s="146"/>
      <c r="M114" s="146"/>
    </row>
    <row r="115" spans="10:13" s="110" customFormat="1">
      <c r="J115" s="146"/>
      <c r="K115" s="146"/>
      <c r="L115" s="146"/>
      <c r="M115" s="146"/>
    </row>
    <row r="116" spans="10:13" s="110" customFormat="1">
      <c r="J116" s="146"/>
      <c r="K116" s="146"/>
      <c r="L116" s="146"/>
      <c r="M116" s="146"/>
    </row>
    <row r="117" spans="10:13" s="110" customFormat="1">
      <c r="J117" s="146"/>
      <c r="K117" s="146"/>
      <c r="L117" s="146"/>
      <c r="M117" s="146"/>
    </row>
    <row r="118" spans="10:13" s="110" customFormat="1">
      <c r="J118" s="146"/>
      <c r="K118" s="146"/>
      <c r="L118" s="146"/>
      <c r="M118" s="146"/>
    </row>
    <row r="119" spans="10:13" s="110" customFormat="1">
      <c r="J119" s="146"/>
      <c r="K119" s="146"/>
      <c r="L119" s="146"/>
      <c r="M119" s="146"/>
    </row>
    <row r="120" spans="10:13" s="110" customFormat="1">
      <c r="J120" s="146"/>
      <c r="K120" s="146"/>
      <c r="L120" s="146"/>
      <c r="M120" s="146"/>
    </row>
    <row r="121" spans="10:13" s="110" customFormat="1">
      <c r="J121" s="146"/>
      <c r="K121" s="146"/>
      <c r="L121" s="146"/>
      <c r="M121" s="146"/>
    </row>
    <row r="122" spans="10:13" s="110" customFormat="1">
      <c r="J122" s="146"/>
      <c r="K122" s="146"/>
      <c r="L122" s="146"/>
      <c r="M122" s="146"/>
    </row>
    <row r="123" spans="10:13" s="110" customFormat="1">
      <c r="J123" s="146"/>
      <c r="K123" s="146"/>
      <c r="L123" s="146"/>
      <c r="M123" s="146"/>
    </row>
    <row r="124" spans="10:13" s="110" customFormat="1">
      <c r="J124" s="146"/>
      <c r="K124" s="146"/>
      <c r="L124" s="146"/>
      <c r="M124" s="146"/>
    </row>
    <row r="125" spans="10:13" s="110" customFormat="1">
      <c r="J125" s="146"/>
      <c r="K125" s="146"/>
      <c r="L125" s="146"/>
      <c r="M125" s="146"/>
    </row>
    <row r="126" spans="10:13" s="110" customFormat="1">
      <c r="J126" s="146"/>
      <c r="K126" s="146"/>
      <c r="L126" s="146"/>
      <c r="M126" s="146"/>
    </row>
    <row r="127" spans="10:13" s="110" customFormat="1">
      <c r="J127" s="146"/>
      <c r="K127" s="146"/>
      <c r="L127" s="146"/>
      <c r="M127" s="146"/>
    </row>
    <row r="128" spans="10:13" s="110" customFormat="1">
      <c r="J128" s="146"/>
      <c r="K128" s="146"/>
      <c r="L128" s="146"/>
      <c r="M128" s="146"/>
    </row>
    <row r="129" spans="10:13" s="110" customFormat="1">
      <c r="J129" s="146"/>
      <c r="K129" s="146"/>
      <c r="L129" s="146"/>
      <c r="M129" s="146"/>
    </row>
    <row r="130" spans="10:13" s="110" customFormat="1">
      <c r="J130" s="146"/>
      <c r="K130" s="146"/>
      <c r="L130" s="146"/>
      <c r="M130" s="146"/>
    </row>
    <row r="131" spans="10:13" s="110" customFormat="1">
      <c r="J131" s="146"/>
      <c r="K131" s="146"/>
      <c r="L131" s="146"/>
      <c r="M131" s="146"/>
    </row>
    <row r="132" spans="10:13" s="110" customFormat="1">
      <c r="J132" s="146"/>
      <c r="K132" s="146"/>
      <c r="L132" s="146"/>
      <c r="M132" s="146"/>
    </row>
    <row r="133" spans="10:13" s="110" customFormat="1">
      <c r="J133" s="146"/>
      <c r="K133" s="146"/>
      <c r="L133" s="146"/>
      <c r="M133" s="146"/>
    </row>
    <row r="134" spans="10:13" s="110" customFormat="1">
      <c r="J134" s="146"/>
      <c r="K134" s="146"/>
      <c r="L134" s="146"/>
      <c r="M134" s="146"/>
    </row>
    <row r="135" spans="10:13" s="110" customFormat="1">
      <c r="J135" s="146"/>
      <c r="K135" s="146"/>
      <c r="L135" s="146"/>
      <c r="M135" s="146"/>
    </row>
    <row r="136" spans="10:13" s="110" customFormat="1">
      <c r="J136" s="146"/>
      <c r="K136" s="146"/>
      <c r="L136" s="146"/>
      <c r="M136" s="146"/>
    </row>
    <row r="137" spans="10:13" s="110" customFormat="1">
      <c r="J137" s="146"/>
      <c r="K137" s="146"/>
      <c r="L137" s="146"/>
      <c r="M137" s="146"/>
    </row>
    <row r="138" spans="10:13" s="110" customFormat="1">
      <c r="J138" s="146"/>
      <c r="K138" s="146"/>
      <c r="L138" s="146"/>
      <c r="M138" s="146"/>
    </row>
    <row r="139" spans="10:13" s="110" customFormat="1">
      <c r="J139" s="146"/>
      <c r="K139" s="146"/>
      <c r="L139" s="146"/>
      <c r="M139" s="146"/>
    </row>
    <row r="140" spans="10:13" s="110" customFormat="1">
      <c r="J140" s="146"/>
      <c r="K140" s="146"/>
      <c r="L140" s="146"/>
      <c r="M140" s="146"/>
    </row>
    <row r="141" spans="10:13" s="110" customFormat="1">
      <c r="J141" s="146"/>
      <c r="K141" s="146"/>
      <c r="L141" s="146"/>
      <c r="M141" s="146"/>
    </row>
    <row r="142" spans="10:13" s="110" customFormat="1">
      <c r="J142" s="146"/>
      <c r="K142" s="146"/>
      <c r="L142" s="146"/>
      <c r="M142" s="146"/>
    </row>
    <row r="143" spans="10:13" s="110" customFormat="1">
      <c r="J143" s="146"/>
      <c r="K143" s="146"/>
      <c r="L143" s="146"/>
      <c r="M143" s="146"/>
    </row>
    <row r="144" spans="10:13" s="110" customFormat="1">
      <c r="J144" s="146"/>
      <c r="K144" s="146"/>
      <c r="L144" s="146"/>
      <c r="M144" s="146"/>
    </row>
    <row r="145" spans="10:13" s="110" customFormat="1">
      <c r="J145" s="146"/>
      <c r="K145" s="146"/>
      <c r="L145" s="146"/>
      <c r="M145" s="146"/>
    </row>
    <row r="146" spans="10:13" s="110" customFormat="1">
      <c r="J146" s="146"/>
      <c r="K146" s="146"/>
      <c r="L146" s="146"/>
      <c r="M146" s="146"/>
    </row>
    <row r="147" spans="10:13" s="110" customFormat="1">
      <c r="J147" s="146"/>
      <c r="K147" s="146"/>
      <c r="L147" s="146"/>
      <c r="M147" s="146"/>
    </row>
    <row r="148" spans="10:13" s="110" customFormat="1">
      <c r="J148" s="146"/>
      <c r="K148" s="146"/>
      <c r="L148" s="146"/>
      <c r="M148" s="146"/>
    </row>
    <row r="149" spans="10:13" s="110" customFormat="1">
      <c r="J149" s="146"/>
      <c r="K149" s="146"/>
      <c r="L149" s="146"/>
      <c r="M149" s="146"/>
    </row>
    <row r="150" spans="10:13" s="110" customFormat="1">
      <c r="J150" s="146"/>
      <c r="K150" s="146"/>
      <c r="L150" s="146"/>
      <c r="M150" s="146"/>
    </row>
    <row r="151" spans="10:13" s="110" customFormat="1">
      <c r="J151" s="146"/>
      <c r="K151" s="146"/>
      <c r="L151" s="146"/>
      <c r="M151" s="146"/>
    </row>
    <row r="152" spans="10:13" s="110" customFormat="1">
      <c r="J152" s="146"/>
      <c r="K152" s="146"/>
      <c r="L152" s="146"/>
      <c r="M152" s="146"/>
    </row>
  </sheetData>
  <mergeCells count="139">
    <mergeCell ref="O54:R54"/>
    <mergeCell ref="K47:M47"/>
    <mergeCell ref="N47:N48"/>
    <mergeCell ref="O47:O48"/>
    <mergeCell ref="P47:Q47"/>
    <mergeCell ref="R47:R48"/>
    <mergeCell ref="E49:G49"/>
    <mergeCell ref="H49:I49"/>
    <mergeCell ref="H44:I44"/>
    <mergeCell ref="A46:A47"/>
    <mergeCell ref="B46:R46"/>
    <mergeCell ref="B47:B48"/>
    <mergeCell ref="C47:C48"/>
    <mergeCell ref="D47:D48"/>
    <mergeCell ref="E47:G48"/>
    <mergeCell ref="H47:I48"/>
    <mergeCell ref="K42:M42"/>
    <mergeCell ref="N42:N43"/>
    <mergeCell ref="O42:O43"/>
    <mergeCell ref="P42:Q42"/>
    <mergeCell ref="R42:R43"/>
    <mergeCell ref="H43:I43"/>
    <mergeCell ref="H39:I39"/>
    <mergeCell ref="A41:A42"/>
    <mergeCell ref="B41:R41"/>
    <mergeCell ref="B42:B43"/>
    <mergeCell ref="C42:C43"/>
    <mergeCell ref="D42:D43"/>
    <mergeCell ref="E42:E43"/>
    <mergeCell ref="F42:F43"/>
    <mergeCell ref="G42:G43"/>
    <mergeCell ref="H42:I42"/>
    <mergeCell ref="H37:I37"/>
    <mergeCell ref="K37:M37"/>
    <mergeCell ref="N37:N38"/>
    <mergeCell ref="O37:O38"/>
    <mergeCell ref="P37:Q37"/>
    <mergeCell ref="R37:R38"/>
    <mergeCell ref="H38:I38"/>
    <mergeCell ref="H34:I34"/>
    <mergeCell ref="A36:A37"/>
    <mergeCell ref="B36:R36"/>
    <mergeCell ref="B37:B38"/>
    <mergeCell ref="C37:C38"/>
    <mergeCell ref="D37:D38"/>
    <mergeCell ref="E37:E38"/>
    <mergeCell ref="F37:F38"/>
    <mergeCell ref="G37:G38"/>
    <mergeCell ref="A31:A33"/>
    <mergeCell ref="B31:R31"/>
    <mergeCell ref="B32:B33"/>
    <mergeCell ref="C32:C33"/>
    <mergeCell ref="D32:D33"/>
    <mergeCell ref="E32:E33"/>
    <mergeCell ref="F32:F33"/>
    <mergeCell ref="E27:E28"/>
    <mergeCell ref="F27:F28"/>
    <mergeCell ref="G27:G28"/>
    <mergeCell ref="H27:H28"/>
    <mergeCell ref="I27:L27"/>
    <mergeCell ref="N27:N28"/>
    <mergeCell ref="G32:G33"/>
    <mergeCell ref="H32:I32"/>
    <mergeCell ref="J32:M32"/>
    <mergeCell ref="N32:N33"/>
    <mergeCell ref="P32:Q32"/>
    <mergeCell ref="R32:R33"/>
    <mergeCell ref="H33:I33"/>
    <mergeCell ref="O27:O28"/>
    <mergeCell ref="P27:Q27"/>
    <mergeCell ref="R27:R28"/>
    <mergeCell ref="N20:N21"/>
    <mergeCell ref="O20:O21"/>
    <mergeCell ref="P20:Q20"/>
    <mergeCell ref="R20:R21"/>
    <mergeCell ref="H21:I21"/>
    <mergeCell ref="A26:A27"/>
    <mergeCell ref="B26:R26"/>
    <mergeCell ref="B27:B28"/>
    <mergeCell ref="C27:C28"/>
    <mergeCell ref="D27:D28"/>
    <mergeCell ref="A19:A20"/>
    <mergeCell ref="B19:R19"/>
    <mergeCell ref="B20:B21"/>
    <mergeCell ref="C20:C21"/>
    <mergeCell ref="D20:D21"/>
    <mergeCell ref="E20:E21"/>
    <mergeCell ref="F20:F21"/>
    <mergeCell ref="G20:G21"/>
    <mergeCell ref="H20:I20"/>
    <mergeCell ref="K20:M20"/>
    <mergeCell ref="I15:I16"/>
    <mergeCell ref="K15:M15"/>
    <mergeCell ref="N15:N16"/>
    <mergeCell ref="O15:O16"/>
    <mergeCell ref="P15:Q15"/>
    <mergeCell ref="R15:R16"/>
    <mergeCell ref="R10:R11"/>
    <mergeCell ref="A14:A15"/>
    <mergeCell ref="B14:R14"/>
    <mergeCell ref="B15:B16"/>
    <mergeCell ref="C15:C16"/>
    <mergeCell ref="D15:D16"/>
    <mergeCell ref="E15:E16"/>
    <mergeCell ref="F15:F16"/>
    <mergeCell ref="G15:G16"/>
    <mergeCell ref="H15:H16"/>
    <mergeCell ref="H10:H11"/>
    <mergeCell ref="I10:I11"/>
    <mergeCell ref="K10:M10"/>
    <mergeCell ref="N10:N11"/>
    <mergeCell ref="O10:O11"/>
    <mergeCell ref="P10:Q10"/>
    <mergeCell ref="A9:A10"/>
    <mergeCell ref="B9:R9"/>
    <mergeCell ref="B10:B11"/>
    <mergeCell ref="C10:C11"/>
    <mergeCell ref="D10:D11"/>
    <mergeCell ref="E10:E11"/>
    <mergeCell ref="F10:F11"/>
    <mergeCell ref="G10:G11"/>
    <mergeCell ref="G5:G6"/>
    <mergeCell ref="H5:H6"/>
    <mergeCell ref="I5:I6"/>
    <mergeCell ref="K5:M5"/>
    <mergeCell ref="N5:N6"/>
    <mergeCell ref="O5:O6"/>
    <mergeCell ref="B1:R1"/>
    <mergeCell ref="B2:R2"/>
    <mergeCell ref="B3:R3"/>
    <mergeCell ref="A4:A5"/>
    <mergeCell ref="B4:R4"/>
    <mergeCell ref="B5:B6"/>
    <mergeCell ref="C5:C6"/>
    <mergeCell ref="D5:D6"/>
    <mergeCell ref="E5:E6"/>
    <mergeCell ref="F5:F6"/>
    <mergeCell ref="P5:Q5"/>
    <mergeCell ref="R5:R6"/>
  </mergeCells>
  <dataValidations count="3">
    <dataValidation type="list" allowBlank="1" showInputMessage="1" showErrorMessage="1" sqref="G34" xr:uid="{00000000-0002-0000-0900-000000000000}">
      <formula1>$V$12:$V$13</formula1>
    </dataValidation>
    <dataValidation type="list" allowBlank="1" showInputMessage="1" showErrorMessage="1" sqref="G17 O17 G7 G44:G45 O7 O12 G12 O22:O24 G22:G24 O29 G29 G39:G40 O39:O40 O44:O45" xr:uid="{00000000-0002-0000-0900-000001000000}">
      <formula1>#REF!</formula1>
    </dataValidation>
    <dataValidation type="list" allowBlank="1" showInputMessage="1" showErrorMessage="1" sqref="O34" xr:uid="{00000000-0002-0000-0900-000002000000}">
      <formula1>$V$2:$V$4</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7"/>
  <sheetViews>
    <sheetView zoomScale="70" zoomScaleNormal="70" workbookViewId="0">
      <selection activeCell="C13" sqref="C13"/>
    </sheetView>
  </sheetViews>
  <sheetFormatPr defaultColWidth="11.42578125" defaultRowHeight="15.75"/>
  <cols>
    <col min="1" max="1" width="108.7109375" style="16" customWidth="1"/>
    <col min="2" max="2" width="15.85546875" style="11" customWidth="1"/>
    <col min="3" max="3" width="32.28515625" style="17" bestFit="1" customWidth="1"/>
    <col min="4" max="4" width="30.5703125" style="17" customWidth="1"/>
    <col min="5" max="5" width="20" style="10" hidden="1" customWidth="1"/>
    <col min="6" max="6" width="22" style="8" hidden="1" customWidth="1"/>
    <col min="7" max="7" width="21.28515625" style="8" customWidth="1"/>
    <col min="8" max="8" width="20.5703125" style="9" customWidth="1"/>
    <col min="9" max="9" width="19.5703125" style="9" customWidth="1"/>
    <col min="10" max="10" width="16.5703125" style="8" customWidth="1"/>
    <col min="11" max="11" width="16.85546875" style="10" customWidth="1"/>
    <col min="12" max="12" width="22.5703125" style="8" customWidth="1"/>
    <col min="13" max="13" width="19.7109375" style="11" customWidth="1"/>
    <col min="14" max="14" width="15.7109375" style="11" customWidth="1"/>
    <col min="15" max="15" width="53.85546875" style="11" customWidth="1"/>
    <col min="16" max="16" width="11.42578125" style="12"/>
    <col min="17" max="17" width="14.85546875" style="12" hidden="1" customWidth="1"/>
    <col min="18" max="18" width="22.42578125" style="12" customWidth="1"/>
    <col min="19" max="19" width="16.85546875" style="12" customWidth="1"/>
    <col min="20" max="20" width="21" style="12" customWidth="1"/>
    <col min="21" max="21" width="33.140625" style="12" customWidth="1"/>
    <col min="22" max="22" width="17.85546875" style="12" customWidth="1"/>
    <col min="23" max="23" width="23.140625" style="12" customWidth="1"/>
    <col min="24" max="16384" width="11.42578125" style="12"/>
  </cols>
  <sheetData>
    <row r="1" spans="1:5" ht="16.5" thickBot="1">
      <c r="A1" s="301" t="s">
        <v>24</v>
      </c>
      <c r="B1" s="301"/>
      <c r="C1" s="301"/>
      <c r="D1" s="301"/>
      <c r="E1" s="7"/>
    </row>
    <row r="2" spans="1:5">
      <c r="A2" s="297" t="s">
        <v>25</v>
      </c>
      <c r="B2" s="298"/>
      <c r="C2" s="299"/>
      <c r="D2" s="300"/>
      <c r="E2" s="7"/>
    </row>
    <row r="3" spans="1:5">
      <c r="A3" s="373" t="s">
        <v>26</v>
      </c>
      <c r="B3" s="374"/>
      <c r="C3" s="375" t="s">
        <v>27</v>
      </c>
      <c r="D3" s="376" t="s">
        <v>28</v>
      </c>
      <c r="E3" s="7"/>
    </row>
    <row r="4" spans="1:5" ht="16.5" thickBot="1">
      <c r="A4" s="377" t="s">
        <v>29</v>
      </c>
      <c r="B4" s="378"/>
      <c r="C4" s="379">
        <v>2018</v>
      </c>
      <c r="D4" s="380">
        <v>2021</v>
      </c>
      <c r="E4" s="7"/>
    </row>
    <row r="5" spans="1:5" ht="16.5" thickBot="1">
      <c r="A5" s="302"/>
      <c r="B5" s="302"/>
      <c r="C5" s="302"/>
      <c r="D5" s="302"/>
      <c r="E5" s="7"/>
    </row>
    <row r="6" spans="1:5">
      <c r="A6" s="297" t="s">
        <v>30</v>
      </c>
      <c r="B6" s="298"/>
      <c r="C6" s="299"/>
      <c r="D6" s="300"/>
      <c r="E6" s="7"/>
    </row>
    <row r="7" spans="1:5" ht="16.5" thickBot="1">
      <c r="A7" s="377" t="s">
        <v>31</v>
      </c>
      <c r="B7" s="378"/>
      <c r="C7" s="381"/>
      <c r="D7" s="382"/>
      <c r="E7" s="7"/>
    </row>
    <row r="8" spans="1:5" ht="16.5" thickBot="1">
      <c r="A8" s="302"/>
      <c r="B8" s="302"/>
      <c r="C8" s="302"/>
      <c r="D8" s="302"/>
      <c r="E8" s="7"/>
    </row>
    <row r="9" spans="1:5">
      <c r="A9" s="297" t="s">
        <v>32</v>
      </c>
      <c r="B9" s="298"/>
      <c r="C9" s="299"/>
      <c r="D9" s="300"/>
      <c r="E9" s="7"/>
    </row>
    <row r="10" spans="1:5" ht="31.5">
      <c r="A10" s="373" t="s">
        <v>33</v>
      </c>
      <c r="B10" s="374"/>
      <c r="C10" s="375" t="s">
        <v>34</v>
      </c>
      <c r="D10" s="376" t="s">
        <v>35</v>
      </c>
      <c r="E10" s="7"/>
    </row>
    <row r="11" spans="1:5">
      <c r="A11" s="383" t="s">
        <v>36</v>
      </c>
      <c r="B11" s="384"/>
      <c r="C11" s="385">
        <f>+'PA Invest'!L7+'PA Prochile'!L7+'PA CORFO'!N7+'PA SENCE'!L7+'PA CULTURA'!L7</f>
        <v>0</v>
      </c>
      <c r="D11" s="386">
        <f>C11</f>
        <v>0</v>
      </c>
      <c r="E11" s="7"/>
    </row>
    <row r="12" spans="1:5">
      <c r="A12" s="383" t="s">
        <v>37</v>
      </c>
      <c r="B12" s="384"/>
      <c r="C12" s="385">
        <f>'PA Invest'!L24+'PA Prochile'!L12+'PA CORFO'!N12+'PA SENCE'!L12+'PA CULTURA'!L12</f>
        <v>400000</v>
      </c>
      <c r="D12" s="386">
        <f t="shared" ref="D12:D19" si="0">C12</f>
        <v>400000</v>
      </c>
      <c r="E12" s="13"/>
    </row>
    <row r="13" spans="1:5">
      <c r="A13" s="383" t="s">
        <v>38</v>
      </c>
      <c r="B13" s="384"/>
      <c r="C13" s="385">
        <f>'PA Invest'!L42+'PA Prochile'!L47+'PA CORFO'!N17+'PA SENCE'!L17+'PA CULTURA'!L24</f>
        <v>3109819.5901291226</v>
      </c>
      <c r="D13" s="386">
        <f t="shared" si="0"/>
        <v>3109819.5901291226</v>
      </c>
      <c r="E13" s="13"/>
    </row>
    <row r="14" spans="1:5">
      <c r="A14" s="383" t="s">
        <v>39</v>
      </c>
      <c r="B14" s="384"/>
      <c r="C14" s="385">
        <f>+'PA Invest'!L72+'PA Prochile'!L74+'PA CORFO'!N32+'PA SENCE'!L40+'PA CULTURA'!L45</f>
        <v>0</v>
      </c>
      <c r="D14" s="386">
        <f t="shared" si="0"/>
        <v>0</v>
      </c>
      <c r="E14" s="13"/>
    </row>
    <row r="15" spans="1:5">
      <c r="A15" s="387" t="s">
        <v>40</v>
      </c>
      <c r="B15" s="388"/>
      <c r="C15" s="389">
        <f>'PA Invest'!L94+'PA Prochile'!L144+'PA CORFO'!N141+'PA SENCE'!L82+'PA CULTURA'!L68</f>
        <v>12502.865476723182</v>
      </c>
      <c r="D15" s="386">
        <f t="shared" si="0"/>
        <v>12502.865476723182</v>
      </c>
      <c r="E15" s="13"/>
    </row>
    <row r="16" spans="1:5">
      <c r="A16" s="387" t="s">
        <v>41</v>
      </c>
      <c r="B16" s="390"/>
      <c r="C16" s="389">
        <f>+'PA Invest'!L60+'PA Invest'!L65+'PA Prochile'!L52+'PA Prochile'!L69+'PA CORFO'!N22+'PA CORFO'!N27+'PA SENCE'!L30+'PA SENCE'!L35+'PA CULTURA'!L30+'PA CULTURA'!L39</f>
        <v>1957796.7152256418</v>
      </c>
      <c r="D16" s="386">
        <f t="shared" si="0"/>
        <v>1957796.7152256418</v>
      </c>
      <c r="E16" s="13"/>
    </row>
    <row r="17" spans="1:6">
      <c r="A17" s="391" t="s">
        <v>42</v>
      </c>
      <c r="B17" s="390"/>
      <c r="C17" s="389">
        <f>+'PA Invest'!L81+'PA Prochile'!L139+'PA CORFO'!N136+'PA SENCE'!L77+'PA CULTURA'!L50+'PA CULTURA'!L53+'PA CULTURA'!L54+'PA CULTURA'!L55+'PA CULTURA'!L56</f>
        <v>17997942.896056745</v>
      </c>
      <c r="D17" s="386">
        <f t="shared" si="0"/>
        <v>17997942.896056745</v>
      </c>
      <c r="E17" s="13"/>
    </row>
    <row r="18" spans="1:6">
      <c r="A18" s="387" t="s">
        <v>43</v>
      </c>
      <c r="B18" s="388"/>
      <c r="C18" s="389"/>
      <c r="D18" s="386">
        <f t="shared" si="0"/>
        <v>0</v>
      </c>
      <c r="E18" s="7"/>
    </row>
    <row r="19" spans="1:6">
      <c r="A19" s="392" t="s">
        <v>44</v>
      </c>
      <c r="B19" s="393"/>
      <c r="C19" s="394">
        <f>+'PA OE e Imprevistos'!K52</f>
        <v>3521937.9331117701</v>
      </c>
      <c r="D19" s="386">
        <f t="shared" si="0"/>
        <v>3521937.9331117701</v>
      </c>
      <c r="E19" s="14" t="s">
        <v>17</v>
      </c>
    </row>
    <row r="20" spans="1:6" ht="16.5" thickBot="1">
      <c r="A20" s="395" t="s">
        <v>45</v>
      </c>
      <c r="B20" s="396"/>
      <c r="C20" s="397">
        <f>SUM(C11:C19)</f>
        <v>27000000</v>
      </c>
      <c r="D20" s="398">
        <f>SUM(D11:D19)</f>
        <v>27000000</v>
      </c>
      <c r="E20" s="399"/>
    </row>
    <row r="21" spans="1:6" ht="16.5" thickBot="1">
      <c r="A21" s="4"/>
      <c r="B21" s="4"/>
      <c r="C21" s="5">
        <f>27000000-C20</f>
        <v>0</v>
      </c>
      <c r="D21" s="4"/>
      <c r="E21" s="7"/>
    </row>
    <row r="22" spans="1:6">
      <c r="A22" s="297" t="s">
        <v>46</v>
      </c>
      <c r="B22" s="298"/>
      <c r="C22" s="299"/>
      <c r="D22" s="300"/>
      <c r="E22" s="7"/>
    </row>
    <row r="23" spans="1:6" ht="31.5">
      <c r="A23" s="373" t="s">
        <v>47</v>
      </c>
      <c r="B23" s="374"/>
      <c r="C23" s="375" t="s">
        <v>34</v>
      </c>
      <c r="D23" s="400" t="s">
        <v>35</v>
      </c>
      <c r="E23" s="401" t="s">
        <v>48</v>
      </c>
      <c r="F23" s="8" t="s">
        <v>49</v>
      </c>
    </row>
    <row r="24" spans="1:6">
      <c r="A24" s="402" t="s">
        <v>50</v>
      </c>
      <c r="B24" s="403"/>
      <c r="C24" s="404">
        <f>+PEP!J6</f>
        <v>13895512.556042312</v>
      </c>
      <c r="D24" s="404">
        <f>+C24</f>
        <v>13895512.556042312</v>
      </c>
      <c r="E24" s="404">
        <v>13364000</v>
      </c>
      <c r="F24" s="15">
        <f>+C24-E24</f>
        <v>531512.55604231171</v>
      </c>
    </row>
    <row r="25" spans="1:6">
      <c r="A25" s="402" t="s">
        <v>51</v>
      </c>
      <c r="B25" s="403"/>
      <c r="C25" s="405">
        <f>+PEP!J46</f>
        <v>9222549.5108459182</v>
      </c>
      <c r="D25" s="404">
        <f t="shared" ref="D25:D27" si="1">+C25</f>
        <v>9222549.5108459182</v>
      </c>
      <c r="E25" s="405">
        <v>11070200</v>
      </c>
      <c r="F25" s="15">
        <f t="shared" ref="F25:F27" si="2">+C25-E25</f>
        <v>-1847650.4891540818</v>
      </c>
    </row>
    <row r="26" spans="1:6">
      <c r="A26" s="402" t="s">
        <v>52</v>
      </c>
      <c r="B26" s="403"/>
      <c r="C26" s="405">
        <f>+PEP!J68</f>
        <v>1863000</v>
      </c>
      <c r="D26" s="404">
        <f t="shared" si="1"/>
        <v>1863000</v>
      </c>
      <c r="E26" s="405">
        <v>1863000</v>
      </c>
      <c r="F26" s="15">
        <f t="shared" si="2"/>
        <v>0</v>
      </c>
    </row>
    <row r="27" spans="1:6">
      <c r="A27" s="392" t="s">
        <v>53</v>
      </c>
      <c r="B27" s="393"/>
      <c r="C27" s="385">
        <f>+PEP!J76</f>
        <v>2018937.9331117701</v>
      </c>
      <c r="D27" s="404">
        <f t="shared" si="1"/>
        <v>2018937.9331117701</v>
      </c>
      <c r="E27" s="405">
        <v>702800</v>
      </c>
      <c r="F27" s="15">
        <f t="shared" si="2"/>
        <v>1316137.9331117701</v>
      </c>
    </row>
    <row r="28" spans="1:6">
      <c r="A28" s="392"/>
      <c r="B28" s="393"/>
      <c r="C28" s="385"/>
      <c r="D28" s="405"/>
      <c r="E28" s="405"/>
    </row>
    <row r="29" spans="1:6">
      <c r="A29" s="392"/>
      <c r="B29" s="393"/>
      <c r="C29" s="385"/>
      <c r="D29" s="405"/>
      <c r="E29" s="405"/>
    </row>
    <row r="30" spans="1:6" ht="16.5" thickBot="1">
      <c r="A30" s="395" t="s">
        <v>45</v>
      </c>
      <c r="B30" s="396"/>
      <c r="C30" s="397">
        <f>SUM(C24:C29)</f>
        <v>27000000</v>
      </c>
      <c r="D30" s="398">
        <f>SUM(D24:D29)</f>
        <v>27000000</v>
      </c>
      <c r="E30" s="399"/>
    </row>
    <row r="31" spans="1:6">
      <c r="A31" s="4"/>
      <c r="B31" s="4"/>
      <c r="C31" s="5"/>
      <c r="D31" s="5"/>
      <c r="E31" s="7"/>
    </row>
    <row r="32" spans="1:6">
      <c r="A32" s="6"/>
      <c r="B32" s="6"/>
      <c r="C32" s="5"/>
      <c r="D32" s="5"/>
      <c r="E32" s="7"/>
    </row>
    <row r="33" spans="1:4">
      <c r="A33" s="4"/>
      <c r="B33" s="4"/>
      <c r="C33" s="5"/>
      <c r="D33" s="5"/>
    </row>
    <row r="34" spans="1:4">
      <c r="A34" s="406" t="s">
        <v>54</v>
      </c>
      <c r="B34" s="406"/>
      <c r="C34" s="407">
        <f>+C32+C30</f>
        <v>27000000</v>
      </c>
      <c r="D34" s="407">
        <f>+D32+D30</f>
        <v>27000000</v>
      </c>
    </row>
    <row r="35" spans="1:4">
      <c r="A35" s="4"/>
      <c r="B35" s="4"/>
      <c r="C35" s="4"/>
      <c r="D35" s="4"/>
    </row>
    <row r="36" spans="1:4">
      <c r="A36" s="4"/>
      <c r="B36" s="4"/>
      <c r="C36" s="4"/>
      <c r="D36" s="4"/>
    </row>
    <row r="37" spans="1:4">
      <c r="A37" s="4"/>
      <c r="B37" s="4"/>
      <c r="C37" s="4"/>
      <c r="D37" s="4"/>
    </row>
  </sheetData>
  <mergeCells count="8">
    <mergeCell ref="A9:D9"/>
    <mergeCell ref="A22:D22"/>
    <mergeCell ref="A1:D1"/>
    <mergeCell ref="A2:D2"/>
    <mergeCell ref="A5:D5"/>
    <mergeCell ref="A6:D6"/>
    <mergeCell ref="C7:D7"/>
    <mergeCell ref="A8:D8"/>
  </mergeCells>
  <printOptions horizontalCentered="1"/>
  <pageMargins left="0.82677165354330717" right="3.937007874015748E-2" top="0.19685039370078741" bottom="0.15748031496062992" header="0.31496062992125984" footer="0.31496062992125984"/>
  <pageSetup paperSize="14" scale="32" fitToHeight="0" orientation="landscape" r:id="rId1"/>
  <colBreaks count="2" manualBreakCount="2">
    <brk id="1" max="1048575" man="1"/>
    <brk id="4"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140"/>
  <sheetViews>
    <sheetView showGridLines="0" zoomScale="60" zoomScaleNormal="60" workbookViewId="0">
      <selection activeCell="C20" sqref="C20"/>
    </sheetView>
  </sheetViews>
  <sheetFormatPr defaultColWidth="11.42578125" defaultRowHeight="15.75"/>
  <cols>
    <col min="1" max="1" width="17.85546875" style="57" customWidth="1"/>
    <col min="2" max="2" width="15.140625" style="58" customWidth="1"/>
    <col min="3" max="3" width="132.28515625" style="56" customWidth="1"/>
    <col min="4" max="4" width="191" style="56" hidden="1" customWidth="1"/>
    <col min="5" max="5" width="201.5703125" style="56" hidden="1" customWidth="1"/>
    <col min="6" max="6" width="141.85546875" style="56" hidden="1" customWidth="1"/>
    <col min="7" max="7" width="37.28515625" style="56" hidden="1" customWidth="1"/>
    <col min="8" max="8" width="25.5703125" style="55" customWidth="1"/>
    <col min="9" max="9" width="7.5703125" style="55" hidden="1" customWidth="1"/>
    <col min="10" max="10" width="22.7109375" style="55" customWidth="1"/>
    <col min="11" max="13" width="8" style="55" customWidth="1"/>
    <col min="14" max="20" width="8" style="56" customWidth="1"/>
    <col min="21" max="21" width="25" style="209" customWidth="1"/>
    <col min="22" max="16384" width="11.42578125" style="53"/>
  </cols>
  <sheetData>
    <row r="1" spans="1:33">
      <c r="A1" s="304" t="s">
        <v>55</v>
      </c>
      <c r="B1" s="304"/>
      <c r="C1" s="304"/>
      <c r="D1" s="304"/>
      <c r="E1" s="304"/>
      <c r="F1" s="304"/>
      <c r="G1" s="304"/>
      <c r="H1" s="304"/>
      <c r="I1" s="304"/>
      <c r="J1" s="304"/>
      <c r="K1" s="304"/>
      <c r="L1" s="304"/>
      <c r="M1" s="304"/>
      <c r="N1" s="304"/>
      <c r="O1" s="304"/>
      <c r="P1" s="304"/>
      <c r="Q1" s="304"/>
      <c r="R1" s="304"/>
      <c r="S1" s="304"/>
      <c r="T1" s="304"/>
      <c r="U1" s="274"/>
    </row>
    <row r="2" spans="1:33">
      <c r="A2" s="305" t="s">
        <v>56</v>
      </c>
      <c r="B2" s="305"/>
      <c r="C2" s="305"/>
      <c r="D2" s="305"/>
      <c r="E2" s="305"/>
      <c r="F2" s="305"/>
      <c r="G2" s="305"/>
      <c r="H2" s="305"/>
      <c r="I2" s="305"/>
      <c r="J2" s="305"/>
      <c r="K2" s="305"/>
      <c r="L2" s="305"/>
      <c r="M2" s="305"/>
      <c r="N2" s="305"/>
      <c r="O2" s="305"/>
      <c r="P2" s="305"/>
      <c r="Q2" s="305"/>
      <c r="R2" s="305"/>
      <c r="S2" s="305"/>
      <c r="T2" s="305"/>
      <c r="U2" s="275"/>
    </row>
    <row r="3" spans="1:33">
      <c r="A3" s="305" t="s">
        <v>57</v>
      </c>
      <c r="B3" s="305"/>
      <c r="C3" s="305"/>
      <c r="D3" s="305"/>
      <c r="E3" s="305"/>
      <c r="F3" s="305"/>
      <c r="G3" s="305"/>
      <c r="H3" s="305"/>
      <c r="I3" s="305"/>
      <c r="J3" s="305"/>
      <c r="K3" s="305"/>
      <c r="L3" s="305"/>
      <c r="M3" s="305"/>
      <c r="N3" s="305"/>
      <c r="O3" s="305"/>
      <c r="P3" s="305"/>
      <c r="Q3" s="305"/>
      <c r="R3" s="305"/>
      <c r="S3" s="305"/>
      <c r="T3" s="305"/>
      <c r="U3" s="275"/>
    </row>
    <row r="4" spans="1:33">
      <c r="H4" s="408" t="s">
        <v>58</v>
      </c>
      <c r="I4" s="408"/>
      <c r="J4" s="408" t="s">
        <v>59</v>
      </c>
      <c r="K4" s="59"/>
      <c r="L4" s="59"/>
      <c r="M4" s="59"/>
      <c r="N4" s="55"/>
      <c r="O4" s="55"/>
      <c r="P4" s="55"/>
      <c r="Q4" s="55"/>
      <c r="R4" s="55"/>
      <c r="S4" s="55"/>
      <c r="T4" s="55"/>
      <c r="U4" s="208"/>
    </row>
    <row r="5" spans="1:33" s="60" customFormat="1">
      <c r="A5" s="409" t="s">
        <v>60</v>
      </c>
      <c r="B5" s="409"/>
      <c r="C5" s="410" t="s">
        <v>61</v>
      </c>
      <c r="D5" s="410"/>
      <c r="E5" s="410"/>
      <c r="F5" s="410"/>
      <c r="G5" s="410"/>
      <c r="H5" s="411" t="s">
        <v>62</v>
      </c>
      <c r="I5" s="411"/>
      <c r="J5" s="412" t="s">
        <v>63</v>
      </c>
      <c r="K5" s="412"/>
      <c r="L5" s="412"/>
      <c r="M5" s="412"/>
      <c r="N5" s="410"/>
      <c r="O5" s="410"/>
      <c r="P5" s="410"/>
      <c r="Q5" s="410"/>
      <c r="R5" s="410"/>
      <c r="S5" s="410"/>
      <c r="T5" s="410"/>
      <c r="U5" s="412" t="s">
        <v>64</v>
      </c>
      <c r="V5" s="410"/>
      <c r="W5" s="410"/>
      <c r="X5" s="410"/>
      <c r="Y5" s="410"/>
      <c r="Z5" s="410"/>
      <c r="AA5" s="410"/>
      <c r="AB5" s="410"/>
      <c r="AC5" s="410"/>
      <c r="AD5" s="410"/>
      <c r="AE5" s="410"/>
      <c r="AF5" s="410"/>
      <c r="AG5" s="410"/>
    </row>
    <row r="6" spans="1:33" s="60" customFormat="1">
      <c r="A6" s="413" t="s">
        <v>65</v>
      </c>
      <c r="B6" s="414" t="s">
        <v>66</v>
      </c>
      <c r="C6" s="414"/>
      <c r="D6" s="415"/>
      <c r="E6" s="415"/>
      <c r="F6" s="415"/>
      <c r="G6" s="415"/>
      <c r="H6" s="416">
        <f>+H7+H36+H55</f>
        <v>13895512.556042314</v>
      </c>
      <c r="I6" s="416"/>
      <c r="J6" s="416">
        <f>+J7+J36+J55</f>
        <v>3682769.0225227466</v>
      </c>
      <c r="K6" s="416"/>
      <c r="L6" s="416"/>
      <c r="M6" s="416"/>
      <c r="N6" s="417" t="s">
        <v>67</v>
      </c>
      <c r="O6" s="417"/>
      <c r="P6" s="417"/>
      <c r="Q6" s="417"/>
      <c r="R6" s="417"/>
      <c r="S6" s="417"/>
      <c r="T6" s="417"/>
      <c r="U6" s="59"/>
      <c r="V6" s="303" t="s">
        <v>68</v>
      </c>
      <c r="W6" s="303"/>
      <c r="X6" s="303"/>
      <c r="Y6" s="303"/>
      <c r="Z6" s="303"/>
      <c r="AA6" s="303"/>
      <c r="AB6" s="303"/>
      <c r="AC6" s="303"/>
      <c r="AD6" s="303"/>
      <c r="AE6" s="303"/>
      <c r="AF6" s="303"/>
      <c r="AG6" s="303"/>
    </row>
    <row r="7" spans="1:33" s="61" customFormat="1" ht="31.5">
      <c r="B7" s="418" t="s">
        <v>69</v>
      </c>
      <c r="C7" s="419" t="s">
        <v>70</v>
      </c>
      <c r="D7" s="419"/>
      <c r="E7" s="420" t="s">
        <v>71</v>
      </c>
      <c r="F7" s="420" t="s">
        <v>72</v>
      </c>
      <c r="G7" s="420" t="s">
        <v>73</v>
      </c>
      <c r="H7" s="421">
        <f>+H8+H15</f>
        <v>9514000</v>
      </c>
      <c r="I7" s="421"/>
      <c r="J7" s="421">
        <f>+J8+J15</f>
        <v>2310219.9544241698</v>
      </c>
      <c r="K7" s="420" t="s">
        <v>74</v>
      </c>
      <c r="L7" s="420" t="s">
        <v>75</v>
      </c>
      <c r="M7" s="420" t="s">
        <v>76</v>
      </c>
      <c r="N7" s="420" t="s">
        <v>77</v>
      </c>
      <c r="O7" s="420" t="s">
        <v>78</v>
      </c>
      <c r="P7" s="420" t="s">
        <v>79</v>
      </c>
      <c r="Q7" s="422" t="s">
        <v>80</v>
      </c>
      <c r="R7" s="422" t="s">
        <v>81</v>
      </c>
      <c r="S7" s="422" t="s">
        <v>82</v>
      </c>
      <c r="T7" s="422" t="s">
        <v>83</v>
      </c>
      <c r="U7" s="422"/>
      <c r="V7" s="422" t="s">
        <v>84</v>
      </c>
      <c r="W7" s="422" t="s">
        <v>85</v>
      </c>
      <c r="X7" s="420" t="s">
        <v>86</v>
      </c>
      <c r="Y7" s="423">
        <v>43556</v>
      </c>
      <c r="Z7" s="423">
        <v>43586</v>
      </c>
      <c r="AA7" s="423">
        <v>43617</v>
      </c>
      <c r="AB7" s="423">
        <v>43647</v>
      </c>
      <c r="AC7" s="423">
        <v>43678</v>
      </c>
      <c r="AD7" s="424">
        <v>43709</v>
      </c>
      <c r="AE7" s="424">
        <v>43739</v>
      </c>
      <c r="AF7" s="424">
        <v>43770</v>
      </c>
      <c r="AG7" s="424">
        <v>43800</v>
      </c>
    </row>
    <row r="8" spans="1:33" s="62" customFormat="1">
      <c r="A8" s="425" t="s">
        <v>17</v>
      </c>
      <c r="B8" s="418" t="s">
        <v>87</v>
      </c>
      <c r="C8" s="426" t="s">
        <v>88</v>
      </c>
      <c r="D8" s="426"/>
      <c r="E8" s="426"/>
      <c r="F8" s="426"/>
      <c r="G8" s="426"/>
      <c r="H8" s="421">
        <f>SUM(H9:H10)</f>
        <v>2700000</v>
      </c>
      <c r="I8" s="421"/>
      <c r="J8" s="421">
        <f>SUM(J9:J10)</f>
        <v>706951.75259782234</v>
      </c>
      <c r="K8" s="427"/>
      <c r="L8" s="427"/>
      <c r="M8" s="427"/>
      <c r="N8" s="426"/>
      <c r="O8" s="426"/>
      <c r="P8" s="426"/>
      <c r="Q8" s="426"/>
      <c r="R8" s="426"/>
      <c r="S8" s="426"/>
      <c r="T8" s="426"/>
      <c r="U8" s="426"/>
      <c r="V8" s="428"/>
      <c r="W8" s="428"/>
      <c r="X8" s="428"/>
      <c r="Y8" s="428"/>
      <c r="Z8" s="428"/>
      <c r="AA8" s="428"/>
      <c r="AB8" s="428"/>
      <c r="AC8" s="428"/>
      <c r="AD8" s="428"/>
      <c r="AE8" s="428"/>
      <c r="AF8" s="428"/>
      <c r="AG8" s="428"/>
    </row>
    <row r="9" spans="1:33" s="63" customFormat="1">
      <c r="A9" s="429" t="s">
        <v>89</v>
      </c>
      <c r="B9" s="430" t="str">
        <f>PEP!C9</f>
        <v>1.1.1.1</v>
      </c>
      <c r="C9" s="431" t="s">
        <v>90</v>
      </c>
      <c r="D9" s="432" t="s">
        <v>91</v>
      </c>
      <c r="E9" s="432" t="s">
        <v>92</v>
      </c>
      <c r="F9" s="432" t="s">
        <v>93</v>
      </c>
      <c r="G9" s="432"/>
      <c r="H9" s="221">
        <f>PEP!E9</f>
        <v>2000000</v>
      </c>
      <c r="I9" s="221"/>
      <c r="J9" s="221">
        <f>PEP!F9</f>
        <v>538623.44420689775</v>
      </c>
      <c r="K9" s="433"/>
      <c r="L9" s="434"/>
      <c r="M9" s="434"/>
      <c r="N9" s="433"/>
      <c r="O9" s="435"/>
      <c r="P9" s="435"/>
      <c r="Q9" s="433"/>
      <c r="R9" s="435"/>
      <c r="S9" s="435"/>
      <c r="T9" s="435"/>
      <c r="U9" s="436"/>
      <c r="V9" s="437"/>
      <c r="W9" s="437"/>
      <c r="X9" s="437"/>
      <c r="Y9" s="437"/>
      <c r="Z9" s="437"/>
      <c r="AA9" s="437"/>
      <c r="AB9" s="437"/>
      <c r="AC9" s="437"/>
      <c r="AD9" s="437"/>
      <c r="AE9" s="437"/>
      <c r="AF9" s="437"/>
      <c r="AG9" s="437"/>
    </row>
    <row r="10" spans="1:33" s="63" customFormat="1" ht="31.5">
      <c r="A10" s="429" t="s">
        <v>89</v>
      </c>
      <c r="B10" s="430" t="str">
        <f>PEP!C10</f>
        <v>1.1.1.2</v>
      </c>
      <c r="C10" s="432" t="s">
        <v>94</v>
      </c>
      <c r="D10" s="432"/>
      <c r="E10" s="432"/>
      <c r="F10" s="432"/>
      <c r="G10" s="432"/>
      <c r="H10" s="221">
        <f>PEP!E10</f>
        <v>700000</v>
      </c>
      <c r="I10" s="221"/>
      <c r="J10" s="221">
        <f>PEP!F10</f>
        <v>168328.30839092462</v>
      </c>
      <c r="K10" s="434"/>
      <c r="L10" s="434"/>
      <c r="M10" s="433"/>
      <c r="N10" s="433"/>
      <c r="O10" s="433"/>
      <c r="P10" s="433"/>
      <c r="Q10" s="433"/>
      <c r="R10" s="433"/>
      <c r="S10" s="433"/>
      <c r="T10" s="433"/>
      <c r="U10" s="438"/>
      <c r="V10" s="437"/>
      <c r="W10" s="437"/>
      <c r="X10" s="437"/>
      <c r="Y10" s="437"/>
      <c r="Z10" s="437"/>
      <c r="AA10" s="437"/>
      <c r="AB10" s="437"/>
      <c r="AC10" s="437"/>
      <c r="AD10" s="437"/>
      <c r="AE10" s="437"/>
      <c r="AF10" s="437"/>
      <c r="AG10" s="437"/>
    </row>
    <row r="11" spans="1:33" s="63" customFormat="1">
      <c r="A11" s="429" t="s">
        <v>89</v>
      </c>
      <c r="B11" s="439" t="s">
        <v>95</v>
      </c>
      <c r="C11" s="440" t="s">
        <v>96</v>
      </c>
      <c r="D11" s="432" t="s">
        <v>91</v>
      </c>
      <c r="E11" s="432" t="s">
        <v>97</v>
      </c>
      <c r="F11" s="432" t="s">
        <v>98</v>
      </c>
      <c r="G11" s="432"/>
      <c r="H11" s="221"/>
      <c r="I11" s="221"/>
      <c r="J11" s="221"/>
      <c r="K11" s="434"/>
      <c r="L11" s="434"/>
      <c r="M11" s="434"/>
      <c r="N11" s="434"/>
      <c r="O11" s="434"/>
      <c r="P11" s="433"/>
      <c r="Q11" s="433"/>
      <c r="R11" s="441"/>
      <c r="S11" s="433"/>
      <c r="T11" s="433"/>
      <c r="U11" s="436"/>
      <c r="V11" s="437"/>
      <c r="W11" s="437"/>
      <c r="X11" s="437"/>
      <c r="Y11" s="437"/>
      <c r="Z11" s="437"/>
      <c r="AA11" s="437"/>
      <c r="AB11" s="437"/>
      <c r="AC11" s="437"/>
      <c r="AD11" s="437"/>
      <c r="AE11" s="437"/>
      <c r="AF11" s="437"/>
      <c r="AG11" s="437"/>
    </row>
    <row r="12" spans="1:33" s="63" customFormat="1">
      <c r="A12" s="429" t="s">
        <v>89</v>
      </c>
      <c r="B12" s="439" t="s">
        <v>99</v>
      </c>
      <c r="C12" s="440" t="s">
        <v>100</v>
      </c>
      <c r="D12" s="432" t="s">
        <v>101</v>
      </c>
      <c r="E12" s="432" t="s">
        <v>92</v>
      </c>
      <c r="F12" s="432" t="s">
        <v>102</v>
      </c>
      <c r="G12" s="432"/>
      <c r="H12" s="221"/>
      <c r="I12" s="221"/>
      <c r="J12" s="221"/>
      <c r="K12" s="434"/>
      <c r="L12" s="434"/>
      <c r="M12" s="433"/>
      <c r="N12" s="434"/>
      <c r="O12" s="434"/>
      <c r="P12" s="434"/>
      <c r="Q12" s="434"/>
      <c r="R12" s="433"/>
      <c r="S12" s="433"/>
      <c r="T12" s="435"/>
      <c r="U12" s="436"/>
      <c r="V12" s="437"/>
      <c r="W12" s="437"/>
      <c r="X12" s="437"/>
      <c r="Y12" s="437"/>
      <c r="Z12" s="437"/>
      <c r="AA12" s="437"/>
      <c r="AB12" s="437"/>
      <c r="AC12" s="437"/>
      <c r="AD12" s="437"/>
      <c r="AE12" s="437"/>
      <c r="AF12" s="437"/>
      <c r="AG12" s="437"/>
    </row>
    <row r="13" spans="1:33" s="63" customFormat="1">
      <c r="A13" s="429" t="s">
        <v>89</v>
      </c>
      <c r="B13" s="439" t="s">
        <v>103</v>
      </c>
      <c r="C13" s="440" t="s">
        <v>104</v>
      </c>
      <c r="D13" s="432" t="s">
        <v>105</v>
      </c>
      <c r="E13" s="432" t="s">
        <v>106</v>
      </c>
      <c r="F13" s="432" t="s">
        <v>102</v>
      </c>
      <c r="G13" s="432" t="s">
        <v>107</v>
      </c>
      <c r="H13" s="221"/>
      <c r="I13" s="221"/>
      <c r="J13" s="221"/>
      <c r="K13" s="434"/>
      <c r="L13" s="434"/>
      <c r="M13" s="434"/>
      <c r="N13" s="433"/>
      <c r="O13" s="433"/>
      <c r="P13" s="434"/>
      <c r="Q13" s="433"/>
      <c r="R13" s="435"/>
      <c r="S13" s="433"/>
      <c r="T13" s="435"/>
      <c r="U13" s="436"/>
      <c r="V13" s="437"/>
      <c r="W13" s="437"/>
      <c r="X13" s="437"/>
      <c r="Y13" s="437"/>
      <c r="Z13" s="437"/>
      <c r="AA13" s="437"/>
      <c r="AB13" s="437"/>
      <c r="AC13" s="437"/>
      <c r="AD13" s="437"/>
      <c r="AE13" s="437"/>
      <c r="AF13" s="437"/>
      <c r="AG13" s="437"/>
    </row>
    <row r="14" spans="1:33" s="63" customFormat="1">
      <c r="A14" s="429" t="s">
        <v>89</v>
      </c>
      <c r="B14" s="439" t="s">
        <v>108</v>
      </c>
      <c r="C14" s="440" t="s">
        <v>109</v>
      </c>
      <c r="D14" s="432"/>
      <c r="E14" s="432"/>
      <c r="F14" s="432"/>
      <c r="G14" s="432"/>
      <c r="H14" s="221"/>
      <c r="I14" s="221"/>
      <c r="J14" s="221"/>
      <c r="K14" s="434"/>
      <c r="L14" s="434"/>
      <c r="M14" s="434"/>
      <c r="N14" s="434"/>
      <c r="O14" s="434"/>
      <c r="P14" s="434"/>
      <c r="Q14" s="433"/>
      <c r="R14" s="435"/>
      <c r="S14" s="435"/>
      <c r="T14" s="435"/>
      <c r="U14" s="436"/>
      <c r="V14" s="437"/>
      <c r="W14" s="437"/>
      <c r="X14" s="437"/>
      <c r="Y14" s="437"/>
      <c r="Z14" s="437"/>
      <c r="AA14" s="437"/>
      <c r="AB14" s="437"/>
      <c r="AC14" s="437"/>
      <c r="AD14" s="437"/>
      <c r="AE14" s="437"/>
      <c r="AF14" s="437"/>
      <c r="AG14" s="437"/>
    </row>
    <row r="15" spans="1:33" s="62" customFormat="1">
      <c r="A15" s="442"/>
      <c r="B15" s="443" t="s">
        <v>110</v>
      </c>
      <c r="C15" s="426" t="s">
        <v>111</v>
      </c>
      <c r="D15" s="444"/>
      <c r="E15" s="444"/>
      <c r="F15" s="444"/>
      <c r="G15" s="444"/>
      <c r="H15" s="421">
        <f>SUM(H16:H25)</f>
        <v>6814000</v>
      </c>
      <c r="I15" s="421"/>
      <c r="J15" s="421">
        <f>SUM(J16:J25)</f>
        <v>1603268.2018263477</v>
      </c>
      <c r="K15" s="427"/>
      <c r="L15" s="427"/>
      <c r="M15" s="427"/>
      <c r="N15" s="426"/>
      <c r="O15" s="426"/>
      <c r="P15" s="426"/>
      <c r="Q15" s="426"/>
      <c r="R15" s="426"/>
      <c r="S15" s="426"/>
      <c r="T15" s="426"/>
      <c r="U15" s="426"/>
      <c r="V15" s="428"/>
      <c r="W15" s="428"/>
      <c r="X15" s="428"/>
      <c r="Y15" s="428"/>
      <c r="Z15" s="428"/>
      <c r="AA15" s="428"/>
      <c r="AB15" s="428"/>
      <c r="AC15" s="428"/>
      <c r="AD15" s="428"/>
      <c r="AE15" s="428"/>
      <c r="AF15" s="428"/>
      <c r="AG15" s="428"/>
    </row>
    <row r="16" spans="1:33" s="63" customFormat="1">
      <c r="A16" s="429" t="s">
        <v>112</v>
      </c>
      <c r="B16" s="429" t="str">
        <f>PEP!C12</f>
        <v>1.1.2.1.</v>
      </c>
      <c r="C16" s="445" t="s">
        <v>113</v>
      </c>
      <c r="D16" s="432" t="s">
        <v>114</v>
      </c>
      <c r="E16" s="432" t="s">
        <v>114</v>
      </c>
      <c r="F16" s="432" t="s">
        <v>115</v>
      </c>
      <c r="G16" s="432" t="s">
        <v>116</v>
      </c>
      <c r="H16" s="221">
        <f>PEP!E12</f>
        <v>3531000</v>
      </c>
      <c r="I16" s="221"/>
      <c r="J16" s="221">
        <f>PEP!F12</f>
        <v>1020066.6240739819</v>
      </c>
      <c r="K16" s="434"/>
      <c r="L16" s="434"/>
      <c r="M16" s="434"/>
      <c r="N16" s="446"/>
      <c r="O16" s="446"/>
      <c r="P16" s="446"/>
      <c r="Q16" s="446"/>
      <c r="R16" s="446"/>
      <c r="S16" s="446"/>
      <c r="T16" s="446"/>
      <c r="U16" s="447"/>
      <c r="V16" s="437"/>
      <c r="W16" s="437"/>
      <c r="X16" s="437"/>
      <c r="Y16" s="437"/>
      <c r="Z16" s="437"/>
      <c r="AA16" s="437"/>
      <c r="AB16" s="437"/>
      <c r="AC16" s="437"/>
      <c r="AD16" s="437"/>
      <c r="AE16" s="437"/>
      <c r="AF16" s="437"/>
      <c r="AG16" s="437"/>
    </row>
    <row r="17" spans="1:33" s="63" customFormat="1">
      <c r="A17" s="429" t="s">
        <v>112</v>
      </c>
      <c r="B17" s="429" t="str">
        <f>PEP!C13</f>
        <v>1.1.2.2.</v>
      </c>
      <c r="C17" s="445" t="s">
        <v>117</v>
      </c>
      <c r="D17" s="432" t="s">
        <v>114</v>
      </c>
      <c r="E17" s="432" t="s">
        <v>116</v>
      </c>
      <c r="F17" s="432" t="s">
        <v>118</v>
      </c>
      <c r="G17" s="432"/>
      <c r="H17" s="221">
        <f>PEP!E13</f>
        <v>1286000</v>
      </c>
      <c r="I17" s="221"/>
      <c r="J17" s="221">
        <f>PEP!F13</f>
        <v>319571.09000812081</v>
      </c>
      <c r="K17" s="434"/>
      <c r="L17" s="434"/>
      <c r="M17" s="434"/>
      <c r="N17" s="434"/>
      <c r="O17" s="434"/>
      <c r="P17" s="434"/>
      <c r="Q17" s="434"/>
      <c r="R17" s="446"/>
      <c r="S17" s="446"/>
      <c r="T17" s="446"/>
      <c r="U17" s="447"/>
      <c r="V17" s="437"/>
      <c r="W17" s="437"/>
      <c r="X17" s="437"/>
      <c r="Y17" s="437"/>
      <c r="Z17" s="437"/>
      <c r="AA17" s="437"/>
      <c r="AB17" s="437"/>
      <c r="AC17" s="437"/>
      <c r="AD17" s="437"/>
      <c r="AE17" s="437"/>
      <c r="AF17" s="437"/>
      <c r="AG17" s="437"/>
    </row>
    <row r="18" spans="1:33" s="63" customFormat="1">
      <c r="A18" s="429" t="s">
        <v>119</v>
      </c>
      <c r="B18" s="429" t="str">
        <f>PEP!C14</f>
        <v>1.2.2.3</v>
      </c>
      <c r="C18" s="445" t="s">
        <v>120</v>
      </c>
      <c r="D18" s="432"/>
      <c r="E18" s="432"/>
      <c r="F18" s="432"/>
      <c r="G18" s="432"/>
      <c r="H18" s="221">
        <f>PEP!E14</f>
        <v>1997000</v>
      </c>
      <c r="I18" s="221"/>
      <c r="J18" s="221">
        <f>PEP!F14</f>
        <v>263630.48774424498</v>
      </c>
      <c r="K18" s="434"/>
      <c r="L18" s="434"/>
      <c r="M18" s="434"/>
      <c r="N18" s="434"/>
      <c r="O18" s="434"/>
      <c r="P18" s="448"/>
      <c r="Q18" s="448"/>
      <c r="R18" s="448"/>
      <c r="S18" s="448"/>
      <c r="T18" s="445"/>
      <c r="U18" s="449"/>
      <c r="V18" s="437"/>
      <c r="W18" s="437"/>
      <c r="X18" s="437"/>
      <c r="Y18" s="437"/>
      <c r="Z18" s="437"/>
      <c r="AA18" s="437"/>
      <c r="AB18" s="437"/>
      <c r="AC18" s="437"/>
      <c r="AD18" s="437"/>
      <c r="AE18" s="437"/>
      <c r="AF18" s="437"/>
      <c r="AG18" s="437"/>
    </row>
    <row r="19" spans="1:33" s="63" customFormat="1">
      <c r="A19" s="429" t="s">
        <v>119</v>
      </c>
      <c r="B19" s="439" t="str">
        <f>PEP!C15</f>
        <v>1.2.2.3.1</v>
      </c>
      <c r="C19" s="439" t="str">
        <f>PEP!D15</f>
        <v xml:space="preserve">Encuentros del mercado nacional de industrias creativas </v>
      </c>
      <c r="D19" s="432"/>
      <c r="E19" s="432"/>
      <c r="F19" s="432"/>
      <c r="G19" s="432"/>
      <c r="H19" s="221"/>
      <c r="I19" s="221"/>
      <c r="J19" s="221"/>
      <c r="K19" s="434"/>
      <c r="L19" s="434"/>
      <c r="M19" s="434"/>
      <c r="N19" s="434"/>
      <c r="O19" s="450"/>
      <c r="P19" s="450"/>
      <c r="Q19" s="450"/>
      <c r="R19" s="445"/>
      <c r="S19" s="451"/>
      <c r="T19" s="445"/>
      <c r="U19" s="449"/>
      <c r="V19" s="437"/>
      <c r="W19" s="437"/>
      <c r="X19" s="437"/>
      <c r="Y19" s="437"/>
      <c r="Z19" s="437"/>
      <c r="AA19" s="437"/>
      <c r="AB19" s="437"/>
      <c r="AC19" s="437"/>
      <c r="AD19" s="437"/>
      <c r="AE19" s="437"/>
      <c r="AF19" s="437"/>
      <c r="AG19" s="437"/>
    </row>
    <row r="20" spans="1:33" s="63" customFormat="1">
      <c r="A20" s="429" t="s">
        <v>119</v>
      </c>
      <c r="B20" s="439" t="s">
        <v>121</v>
      </c>
      <c r="C20" s="452" t="s">
        <v>122</v>
      </c>
      <c r="D20" s="432" t="s">
        <v>123</v>
      </c>
      <c r="E20" s="432" t="s">
        <v>124</v>
      </c>
      <c r="F20" s="432" t="s">
        <v>125</v>
      </c>
      <c r="G20" s="432"/>
      <c r="H20" s="221"/>
      <c r="I20" s="221"/>
      <c r="J20" s="221"/>
      <c r="K20" s="434"/>
      <c r="L20" s="434"/>
      <c r="M20" s="434"/>
      <c r="N20" s="434"/>
      <c r="O20" s="445"/>
      <c r="P20" s="445"/>
      <c r="Q20" s="445"/>
      <c r="R20" s="445"/>
      <c r="S20" s="445"/>
      <c r="T20" s="445"/>
      <c r="U20" s="449"/>
      <c r="V20" s="437"/>
      <c r="W20" s="437"/>
      <c r="X20" s="437"/>
      <c r="Y20" s="437"/>
      <c r="Z20" s="437"/>
      <c r="AA20" s="437"/>
      <c r="AB20" s="437"/>
      <c r="AC20" s="437"/>
      <c r="AD20" s="437"/>
      <c r="AE20" s="437"/>
      <c r="AF20" s="437"/>
      <c r="AG20" s="437"/>
    </row>
    <row r="21" spans="1:33" s="63" customFormat="1">
      <c r="A21" s="429" t="s">
        <v>119</v>
      </c>
      <c r="B21" s="439" t="s">
        <v>126</v>
      </c>
      <c r="C21" s="452" t="s">
        <v>127</v>
      </c>
      <c r="D21" s="432" t="s">
        <v>123</v>
      </c>
      <c r="E21" s="432" t="s">
        <v>128</v>
      </c>
      <c r="F21" s="432" t="s">
        <v>129</v>
      </c>
      <c r="G21" s="432" t="s">
        <v>130</v>
      </c>
      <c r="H21" s="453"/>
      <c r="I21" s="453"/>
      <c r="J21" s="454"/>
      <c r="K21" s="454"/>
      <c r="L21" s="454"/>
      <c r="M21" s="454"/>
      <c r="N21" s="454"/>
      <c r="O21" s="450"/>
      <c r="P21" s="450"/>
      <c r="Q21" s="445"/>
      <c r="R21" s="445"/>
      <c r="S21" s="445"/>
      <c r="T21" s="445"/>
      <c r="U21" s="449"/>
      <c r="V21" s="437"/>
      <c r="W21" s="437"/>
      <c r="X21" s="437"/>
      <c r="Y21" s="437"/>
      <c r="Z21" s="437"/>
      <c r="AA21" s="437"/>
      <c r="AB21" s="437"/>
      <c r="AC21" s="437"/>
      <c r="AD21" s="437"/>
      <c r="AE21" s="437"/>
      <c r="AF21" s="437"/>
      <c r="AG21" s="437"/>
    </row>
    <row r="22" spans="1:33" s="63" customFormat="1">
      <c r="A22" s="429" t="s">
        <v>119</v>
      </c>
      <c r="B22" s="439" t="s">
        <v>131</v>
      </c>
      <c r="C22" s="452" t="s">
        <v>132</v>
      </c>
      <c r="D22" s="432" t="s">
        <v>133</v>
      </c>
      <c r="E22" s="432" t="s">
        <v>134</v>
      </c>
      <c r="F22" s="432" t="s">
        <v>135</v>
      </c>
      <c r="G22" s="432"/>
      <c r="H22" s="453"/>
      <c r="I22" s="453"/>
      <c r="J22" s="454"/>
      <c r="K22" s="454"/>
      <c r="L22" s="454"/>
      <c r="M22" s="454"/>
      <c r="N22" s="454"/>
      <c r="O22" s="450"/>
      <c r="P22" s="445"/>
      <c r="Q22" s="445"/>
      <c r="R22" s="445"/>
      <c r="S22" s="445"/>
      <c r="T22" s="445"/>
      <c r="U22" s="449"/>
      <c r="V22" s="437"/>
      <c r="W22" s="437"/>
      <c r="X22" s="437"/>
      <c r="Y22" s="437"/>
      <c r="Z22" s="437"/>
      <c r="AA22" s="437"/>
      <c r="AB22" s="437"/>
      <c r="AC22" s="437"/>
      <c r="AD22" s="437"/>
      <c r="AE22" s="437"/>
      <c r="AF22" s="437"/>
      <c r="AG22" s="437"/>
    </row>
    <row r="23" spans="1:33" s="63" customFormat="1">
      <c r="A23" s="429" t="s">
        <v>119</v>
      </c>
      <c r="B23" s="455" t="str">
        <f>PEP!C19</f>
        <v>1.2.2.3.2</v>
      </c>
      <c r="C23" s="455" t="str">
        <f>PEP!D19</f>
        <v>Participación de delegaciones nacionales en mercados internacionales de economía creativas</v>
      </c>
      <c r="D23" s="432"/>
      <c r="E23" s="432"/>
      <c r="F23" s="432"/>
      <c r="G23" s="432"/>
      <c r="H23" s="453"/>
      <c r="I23" s="453"/>
      <c r="J23" s="454"/>
      <c r="K23" s="454"/>
      <c r="L23" s="454"/>
      <c r="M23" s="454"/>
      <c r="N23" s="454"/>
      <c r="O23" s="450"/>
      <c r="P23" s="450"/>
      <c r="Q23" s="450"/>
      <c r="R23" s="450"/>
      <c r="S23" s="450"/>
      <c r="T23" s="445"/>
      <c r="U23" s="449"/>
      <c r="V23" s="437"/>
      <c r="W23" s="437"/>
      <c r="X23" s="437"/>
      <c r="Y23" s="437"/>
      <c r="Z23" s="437"/>
      <c r="AA23" s="437"/>
      <c r="AB23" s="437"/>
      <c r="AC23" s="437"/>
      <c r="AD23" s="437"/>
      <c r="AE23" s="437"/>
      <c r="AF23" s="437"/>
      <c r="AG23" s="437"/>
    </row>
    <row r="24" spans="1:33" s="63" customFormat="1">
      <c r="A24" s="429" t="s">
        <v>119</v>
      </c>
      <c r="B24" s="439" t="s">
        <v>136</v>
      </c>
      <c r="C24" s="452" t="s">
        <v>127</v>
      </c>
      <c r="D24" s="432" t="s">
        <v>123</v>
      </c>
      <c r="E24" s="432" t="s">
        <v>134</v>
      </c>
      <c r="F24" s="432" t="s">
        <v>129</v>
      </c>
      <c r="G24" s="432" t="s">
        <v>130</v>
      </c>
      <c r="H24" s="453"/>
      <c r="I24" s="453"/>
      <c r="J24" s="454"/>
      <c r="K24" s="454"/>
      <c r="L24" s="454"/>
      <c r="M24" s="454"/>
      <c r="N24" s="454"/>
      <c r="O24" s="450"/>
      <c r="P24" s="450"/>
      <c r="Q24" s="445"/>
      <c r="R24" s="445"/>
      <c r="S24" s="445"/>
      <c r="T24" s="445"/>
      <c r="U24" s="449"/>
      <c r="V24" s="437"/>
      <c r="W24" s="437"/>
      <c r="X24" s="437"/>
      <c r="Y24" s="437"/>
      <c r="Z24" s="437"/>
      <c r="AA24" s="437"/>
      <c r="AB24" s="437"/>
      <c r="AC24" s="437"/>
      <c r="AD24" s="437"/>
      <c r="AE24" s="437"/>
      <c r="AF24" s="437"/>
      <c r="AG24" s="437"/>
    </row>
    <row r="25" spans="1:33" s="63" customFormat="1">
      <c r="A25" s="429" t="s">
        <v>119</v>
      </c>
      <c r="B25" s="439" t="s">
        <v>137</v>
      </c>
      <c r="C25" s="452" t="s">
        <v>132</v>
      </c>
      <c r="D25" s="432" t="s">
        <v>123</v>
      </c>
      <c r="E25" s="432" t="s">
        <v>134</v>
      </c>
      <c r="F25" s="432" t="s">
        <v>129</v>
      </c>
      <c r="G25" s="432"/>
      <c r="H25" s="453"/>
      <c r="I25" s="453"/>
      <c r="J25" s="454"/>
      <c r="K25" s="454"/>
      <c r="L25" s="454"/>
      <c r="M25" s="454"/>
      <c r="N25" s="454"/>
      <c r="O25" s="450"/>
      <c r="P25" s="450"/>
      <c r="Q25" s="445"/>
      <c r="R25" s="445"/>
      <c r="S25" s="445"/>
      <c r="T25" s="445"/>
      <c r="U25" s="456"/>
      <c r="V25" s="437"/>
      <c r="W25" s="437"/>
      <c r="X25" s="437"/>
      <c r="Y25" s="437"/>
      <c r="Z25" s="437"/>
      <c r="AA25" s="437"/>
      <c r="AB25" s="437"/>
      <c r="AC25" s="437"/>
      <c r="AD25" s="437"/>
      <c r="AE25" s="437"/>
      <c r="AF25" s="437"/>
      <c r="AG25" s="437"/>
    </row>
    <row r="26" spans="1:33" s="63" customFormat="1">
      <c r="A26" s="429" t="s">
        <v>119</v>
      </c>
      <c r="B26" s="439" t="s">
        <v>138</v>
      </c>
      <c r="C26" s="457" t="s">
        <v>139</v>
      </c>
      <c r="D26" s="432"/>
      <c r="E26" s="432"/>
      <c r="F26" s="432"/>
      <c r="G26" s="432"/>
      <c r="H26" s="453"/>
      <c r="I26" s="453"/>
      <c r="J26" s="453"/>
      <c r="K26" s="454"/>
      <c r="L26" s="454"/>
      <c r="M26" s="454"/>
      <c r="N26" s="454"/>
      <c r="O26" s="445"/>
      <c r="P26" s="445"/>
      <c r="Q26" s="445"/>
      <c r="R26" s="445"/>
      <c r="S26" s="445"/>
      <c r="T26" s="445"/>
      <c r="U26" s="456">
        <f>'PA CULTURA'!L53</f>
        <v>203729.8229117693</v>
      </c>
      <c r="V26" s="437"/>
      <c r="W26" s="437"/>
      <c r="X26" s="437"/>
      <c r="Y26" s="437"/>
      <c r="Z26" s="437"/>
      <c r="AA26" s="437"/>
      <c r="AB26" s="437"/>
      <c r="AC26" s="437"/>
      <c r="AD26" s="437"/>
      <c r="AE26" s="437"/>
      <c r="AF26" s="437"/>
      <c r="AG26" s="437"/>
    </row>
    <row r="27" spans="1:33" s="63" customFormat="1" ht="19.5" customHeight="1">
      <c r="A27" s="429" t="s">
        <v>119</v>
      </c>
      <c r="B27" s="439"/>
      <c r="C27" s="262" t="s">
        <v>140</v>
      </c>
      <c r="D27" s="432"/>
      <c r="E27" s="432"/>
      <c r="F27" s="432"/>
      <c r="G27" s="432"/>
      <c r="H27" s="453"/>
      <c r="I27" s="453"/>
      <c r="J27" s="453"/>
      <c r="K27" s="454"/>
      <c r="L27" s="454"/>
      <c r="M27" s="454"/>
      <c r="N27" s="454"/>
      <c r="O27" s="445"/>
      <c r="P27" s="445"/>
      <c r="Q27" s="445"/>
      <c r="R27" s="445"/>
      <c r="S27" s="445"/>
      <c r="T27" s="445"/>
      <c r="U27" s="456">
        <v>172386.92307692306</v>
      </c>
      <c r="V27" s="445"/>
      <c r="W27" s="458"/>
      <c r="X27" s="459" t="s">
        <v>141</v>
      </c>
      <c r="Y27" s="459" t="s">
        <v>141</v>
      </c>
      <c r="Z27" s="459" t="s">
        <v>141</v>
      </c>
      <c r="AA27" s="459" t="s">
        <v>141</v>
      </c>
      <c r="AB27" s="459" t="s">
        <v>141</v>
      </c>
      <c r="AC27" s="459" t="s">
        <v>141</v>
      </c>
      <c r="AD27" s="459" t="s">
        <v>141</v>
      </c>
      <c r="AE27" s="458"/>
      <c r="AF27" s="458"/>
      <c r="AG27" s="458"/>
    </row>
    <row r="28" spans="1:33" s="63" customFormat="1">
      <c r="A28" s="429" t="s">
        <v>119</v>
      </c>
      <c r="B28" s="439"/>
      <c r="C28" s="263" t="s">
        <v>142</v>
      </c>
      <c r="D28" s="432"/>
      <c r="E28" s="432"/>
      <c r="F28" s="432"/>
      <c r="G28" s="432"/>
      <c r="H28" s="453"/>
      <c r="I28" s="453"/>
      <c r="J28" s="453"/>
      <c r="K28" s="454"/>
      <c r="L28" s="454"/>
      <c r="M28" s="454"/>
      <c r="N28" s="454"/>
      <c r="O28" s="445"/>
      <c r="P28" s="445"/>
      <c r="Q28" s="445"/>
      <c r="R28" s="445"/>
      <c r="S28" s="445"/>
      <c r="T28" s="445"/>
      <c r="U28" s="456">
        <v>31343.076923076926</v>
      </c>
      <c r="V28" s="437"/>
      <c r="W28" s="458"/>
      <c r="X28" s="458"/>
      <c r="Y28" s="458"/>
      <c r="Z28" s="458"/>
      <c r="AA28" s="458"/>
      <c r="AB28" s="459" t="s">
        <v>141</v>
      </c>
      <c r="AC28" s="459" t="s">
        <v>141</v>
      </c>
      <c r="AD28" s="459" t="s">
        <v>141</v>
      </c>
      <c r="AE28" s="459" t="s">
        <v>141</v>
      </c>
      <c r="AF28" s="459" t="s">
        <v>141</v>
      </c>
      <c r="AG28" s="458"/>
    </row>
    <row r="29" spans="1:33" s="63" customFormat="1">
      <c r="A29" s="429" t="s">
        <v>119</v>
      </c>
      <c r="B29" s="439" t="s">
        <v>143</v>
      </c>
      <c r="C29" s="445" t="s">
        <v>144</v>
      </c>
      <c r="D29" s="432"/>
      <c r="E29" s="432"/>
      <c r="F29" s="432"/>
      <c r="G29" s="432"/>
      <c r="H29" s="453"/>
      <c r="I29" s="453"/>
      <c r="J29" s="453"/>
      <c r="K29" s="454"/>
      <c r="L29" s="454"/>
      <c r="M29" s="454"/>
      <c r="N29" s="454"/>
      <c r="O29" s="445"/>
      <c r="P29" s="445"/>
      <c r="Q29" s="445"/>
      <c r="R29" s="445"/>
      <c r="S29" s="445"/>
      <c r="T29" s="445"/>
      <c r="U29" s="456">
        <f>'PA CULTURA'!L54</f>
        <v>236640.02507443973</v>
      </c>
      <c r="V29" s="437"/>
      <c r="W29" s="458"/>
      <c r="X29" s="458"/>
      <c r="Y29" s="458"/>
      <c r="Z29" s="458"/>
      <c r="AA29" s="458"/>
      <c r="AB29" s="458"/>
      <c r="AC29" s="458"/>
      <c r="AD29" s="458"/>
      <c r="AE29" s="458"/>
      <c r="AF29" s="458"/>
      <c r="AG29" s="458"/>
    </row>
    <row r="30" spans="1:33" s="63" customFormat="1">
      <c r="A30" s="429" t="s">
        <v>119</v>
      </c>
      <c r="B30" s="439"/>
      <c r="C30" s="460" t="s">
        <v>145</v>
      </c>
      <c r="D30" s="432"/>
      <c r="E30" s="432"/>
      <c r="F30" s="432"/>
      <c r="G30" s="432"/>
      <c r="H30" s="453"/>
      <c r="I30" s="453"/>
      <c r="J30" s="453"/>
      <c r="K30" s="454"/>
      <c r="L30" s="454"/>
      <c r="M30" s="454"/>
      <c r="N30" s="454"/>
      <c r="O30" s="445"/>
      <c r="P30" s="445"/>
      <c r="Q30" s="445"/>
      <c r="R30" s="445"/>
      <c r="S30" s="445"/>
      <c r="T30" s="445"/>
      <c r="U30" s="456">
        <v>43880.264900662252</v>
      </c>
      <c r="V30" s="437"/>
      <c r="W30" s="459" t="s">
        <v>141</v>
      </c>
      <c r="X30" s="459" t="s">
        <v>141</v>
      </c>
      <c r="Y30" s="459" t="s">
        <v>141</v>
      </c>
      <c r="Z30" s="458"/>
      <c r="AA30" s="458"/>
      <c r="AB30" s="458"/>
      <c r="AC30" s="458"/>
      <c r="AD30" s="458"/>
      <c r="AE30" s="458"/>
      <c r="AF30" s="458"/>
      <c r="AG30" s="458"/>
    </row>
    <row r="31" spans="1:33" s="63" customFormat="1">
      <c r="A31" s="429" t="s">
        <v>119</v>
      </c>
      <c r="B31" s="439"/>
      <c r="C31" s="460" t="s">
        <v>146</v>
      </c>
      <c r="D31" s="432"/>
      <c r="E31" s="432"/>
      <c r="F31" s="432"/>
      <c r="G31" s="432"/>
      <c r="H31" s="453"/>
      <c r="I31" s="453"/>
      <c r="J31" s="453"/>
      <c r="K31" s="454"/>
      <c r="L31" s="454"/>
      <c r="M31" s="454"/>
      <c r="N31" s="454"/>
      <c r="O31" s="445"/>
      <c r="P31" s="445"/>
      <c r="Q31" s="445"/>
      <c r="R31" s="445"/>
      <c r="S31" s="445"/>
      <c r="T31" s="445"/>
      <c r="U31" s="456">
        <v>192759.73509933776</v>
      </c>
      <c r="V31" s="437"/>
      <c r="W31" s="458"/>
      <c r="X31" s="458"/>
      <c r="Y31" s="458"/>
      <c r="Z31" s="459" t="s">
        <v>141</v>
      </c>
      <c r="AA31" s="459" t="s">
        <v>141</v>
      </c>
      <c r="AB31" s="458"/>
      <c r="AC31" s="458"/>
      <c r="AD31" s="458"/>
      <c r="AE31" s="458"/>
      <c r="AF31" s="458"/>
      <c r="AG31" s="458"/>
    </row>
    <row r="32" spans="1:33" s="63" customFormat="1">
      <c r="A32" s="429" t="s">
        <v>119</v>
      </c>
      <c r="B32" s="439" t="s">
        <v>147</v>
      </c>
      <c r="C32" s="445" t="s">
        <v>148</v>
      </c>
      <c r="D32" s="432"/>
      <c r="E32" s="432"/>
      <c r="F32" s="432"/>
      <c r="G32" s="432"/>
      <c r="H32" s="453"/>
      <c r="I32" s="453"/>
      <c r="J32" s="453"/>
      <c r="K32" s="454"/>
      <c r="L32" s="454"/>
      <c r="M32" s="454"/>
      <c r="N32" s="454"/>
      <c r="O32" s="445"/>
      <c r="P32" s="445"/>
      <c r="Q32" s="445"/>
      <c r="R32" s="445"/>
      <c r="S32" s="445"/>
      <c r="T32" s="445"/>
      <c r="U32" s="456">
        <f>'PA CULTURA'!L55</f>
        <v>156715.24839366871</v>
      </c>
      <c r="V32" s="437"/>
      <c r="W32" s="458"/>
      <c r="X32" s="458"/>
      <c r="Y32" s="458"/>
      <c r="Z32" s="458"/>
      <c r="AA32" s="458"/>
      <c r="AB32" s="458"/>
      <c r="AC32" s="458"/>
      <c r="AD32" s="458"/>
      <c r="AE32" s="458"/>
      <c r="AF32" s="458"/>
      <c r="AG32" s="458"/>
    </row>
    <row r="33" spans="1:33" s="63" customFormat="1">
      <c r="A33" s="429" t="s">
        <v>119</v>
      </c>
      <c r="B33" s="439"/>
      <c r="C33" s="445" t="s">
        <v>149</v>
      </c>
      <c r="D33" s="432"/>
      <c r="E33" s="432"/>
      <c r="F33" s="432"/>
      <c r="G33" s="432"/>
      <c r="H33" s="453"/>
      <c r="I33" s="453"/>
      <c r="J33" s="453"/>
      <c r="K33" s="454"/>
      <c r="L33" s="454"/>
      <c r="M33" s="454"/>
      <c r="N33" s="454"/>
      <c r="O33" s="445"/>
      <c r="P33" s="445"/>
      <c r="Q33" s="445"/>
      <c r="R33" s="445"/>
      <c r="S33" s="445"/>
      <c r="T33" s="445"/>
      <c r="U33" s="456">
        <f>U32*0.3</f>
        <v>47014.574518100613</v>
      </c>
      <c r="V33" s="437"/>
      <c r="W33" s="459" t="s">
        <v>141</v>
      </c>
      <c r="X33" s="459" t="s">
        <v>141</v>
      </c>
      <c r="Y33" s="459" t="s">
        <v>141</v>
      </c>
      <c r="Z33" s="459" t="s">
        <v>141</v>
      </c>
      <c r="AA33" s="461"/>
      <c r="AB33" s="461"/>
      <c r="AC33" s="461"/>
      <c r="AD33" s="461"/>
      <c r="AE33" s="461"/>
      <c r="AF33" s="461"/>
      <c r="AG33" s="461"/>
    </row>
    <row r="34" spans="1:33" s="63" customFormat="1">
      <c r="A34" s="429" t="s">
        <v>119</v>
      </c>
      <c r="B34" s="439"/>
      <c r="C34" s="460" t="s">
        <v>150</v>
      </c>
      <c r="D34" s="432"/>
      <c r="E34" s="432"/>
      <c r="F34" s="432"/>
      <c r="G34" s="432"/>
      <c r="H34" s="453"/>
      <c r="I34" s="453"/>
      <c r="J34" s="453"/>
      <c r="K34" s="454"/>
      <c r="L34" s="454"/>
      <c r="M34" s="454"/>
      <c r="N34" s="454"/>
      <c r="O34" s="445"/>
      <c r="P34" s="445"/>
      <c r="Q34" s="445"/>
      <c r="R34" s="445"/>
      <c r="S34" s="445"/>
      <c r="T34" s="445"/>
      <c r="U34" s="456">
        <f>U32*0.2</f>
        <v>31343.049678733743</v>
      </c>
      <c r="V34" s="437"/>
      <c r="W34" s="458"/>
      <c r="X34" s="458"/>
      <c r="Y34" s="458"/>
      <c r="Z34" s="458"/>
      <c r="AA34" s="459" t="s">
        <v>141</v>
      </c>
      <c r="AB34" s="459" t="s">
        <v>141</v>
      </c>
      <c r="AC34" s="459" t="s">
        <v>141</v>
      </c>
      <c r="AD34" s="459" t="s">
        <v>141</v>
      </c>
      <c r="AE34" s="459" t="s">
        <v>141</v>
      </c>
      <c r="AF34" s="458"/>
      <c r="AG34" s="458"/>
    </row>
    <row r="35" spans="1:33" s="63" customFormat="1" ht="16.5" thickBot="1">
      <c r="A35" s="462" t="s">
        <v>119</v>
      </c>
      <c r="B35" s="463"/>
      <c r="C35" s="464" t="s">
        <v>151</v>
      </c>
      <c r="D35" s="432"/>
      <c r="E35" s="432"/>
      <c r="F35" s="432"/>
      <c r="G35" s="432"/>
      <c r="H35" s="453"/>
      <c r="I35" s="453"/>
      <c r="J35" s="453"/>
      <c r="K35" s="454"/>
      <c r="L35" s="454"/>
      <c r="M35" s="454"/>
      <c r="N35" s="454"/>
      <c r="O35" s="445"/>
      <c r="P35" s="445"/>
      <c r="Q35" s="445"/>
      <c r="R35" s="445"/>
      <c r="S35" s="445"/>
      <c r="T35" s="445"/>
      <c r="U35" s="456">
        <f>U32*0.5</f>
        <v>78357.624196834353</v>
      </c>
      <c r="V35" s="437"/>
      <c r="W35" s="465"/>
      <c r="X35" s="466" t="s">
        <v>141</v>
      </c>
      <c r="Y35" s="466" t="s">
        <v>141</v>
      </c>
      <c r="Z35" s="466" t="s">
        <v>141</v>
      </c>
      <c r="AA35" s="466" t="s">
        <v>141</v>
      </c>
      <c r="AB35" s="466" t="s">
        <v>141</v>
      </c>
      <c r="AC35" s="466" t="s">
        <v>141</v>
      </c>
      <c r="AD35" s="466" t="s">
        <v>141</v>
      </c>
      <c r="AE35" s="466" t="s">
        <v>141</v>
      </c>
      <c r="AF35" s="466" t="s">
        <v>141</v>
      </c>
      <c r="AG35" s="466" t="s">
        <v>141</v>
      </c>
    </row>
    <row r="36" spans="1:33" s="61" customFormat="1">
      <c r="B36" s="418" t="s">
        <v>152</v>
      </c>
      <c r="C36" s="419" t="s">
        <v>153</v>
      </c>
      <c r="D36" s="444"/>
      <c r="E36" s="444"/>
      <c r="F36" s="444"/>
      <c r="G36" s="444"/>
      <c r="H36" s="421">
        <f>+H37</f>
        <v>3781512.5560423131</v>
      </c>
      <c r="I36" s="421"/>
      <c r="J36" s="421">
        <f t="shared" ref="J36" si="0">+J37</f>
        <v>1242851.2242496563</v>
      </c>
      <c r="K36" s="427"/>
      <c r="L36" s="427"/>
      <c r="M36" s="427"/>
      <c r="N36" s="467"/>
      <c r="O36" s="467"/>
      <c r="P36" s="467"/>
      <c r="Q36" s="467"/>
      <c r="R36" s="467"/>
      <c r="S36" s="467"/>
      <c r="T36" s="467"/>
      <c r="U36" s="456"/>
      <c r="V36" s="468"/>
      <c r="W36" s="468"/>
      <c r="X36" s="468"/>
      <c r="Y36" s="468"/>
      <c r="Z36" s="468"/>
      <c r="AA36" s="468"/>
      <c r="AB36" s="468"/>
      <c r="AC36" s="468"/>
      <c r="AD36" s="468"/>
      <c r="AE36" s="468"/>
      <c r="AF36" s="468"/>
      <c r="AG36" s="468"/>
    </row>
    <row r="37" spans="1:33" s="62" customFormat="1">
      <c r="A37" s="425" t="s">
        <v>17</v>
      </c>
      <c r="B37" s="418" t="s">
        <v>154</v>
      </c>
      <c r="C37" s="426" t="s">
        <v>155</v>
      </c>
      <c r="D37" s="444"/>
      <c r="E37" s="444"/>
      <c r="F37" s="444"/>
      <c r="G37" s="444"/>
      <c r="H37" s="421">
        <f>H38+H50+H51+H52+H53+H54</f>
        <v>3781512.5560423131</v>
      </c>
      <c r="I37" s="421"/>
      <c r="J37" s="421">
        <f>J38+J50+J51+J52+J53+J54</f>
        <v>1242851.2242496563</v>
      </c>
      <c r="K37" s="427"/>
      <c r="L37" s="427"/>
      <c r="M37" s="427"/>
      <c r="N37" s="469"/>
      <c r="O37" s="469"/>
      <c r="P37" s="469"/>
      <c r="Q37" s="469"/>
      <c r="R37" s="469"/>
      <c r="S37" s="469"/>
      <c r="T37" s="469"/>
      <c r="U37" s="469"/>
      <c r="V37" s="428"/>
      <c r="W37" s="428"/>
      <c r="X37" s="428"/>
      <c r="Y37" s="428"/>
      <c r="Z37" s="428"/>
      <c r="AA37" s="428"/>
      <c r="AB37" s="428"/>
      <c r="AC37" s="428"/>
      <c r="AD37" s="428"/>
      <c r="AE37" s="428"/>
      <c r="AF37" s="428"/>
      <c r="AG37" s="428"/>
    </row>
    <row r="38" spans="1:33" s="63" customFormat="1">
      <c r="A38" s="429" t="s">
        <v>112</v>
      </c>
      <c r="B38" s="429" t="str">
        <f>PEP!C35</f>
        <v>1.2.1.1.</v>
      </c>
      <c r="C38" s="429" t="str">
        <f>PEP!D35</f>
        <v>Programa de Formación Exportadora (coaching exportador y talleres de mercado y de temáticas especifícas)</v>
      </c>
      <c r="D38" s="432"/>
      <c r="E38" s="432"/>
      <c r="F38" s="432"/>
      <c r="G38" s="432"/>
      <c r="H38" s="221">
        <f>PEP!E35</f>
        <v>264000</v>
      </c>
      <c r="I38" s="221"/>
      <c r="J38" s="221">
        <f>PEP!F35</f>
        <v>42758.414955501416</v>
      </c>
      <c r="K38" s="434"/>
      <c r="L38" s="434"/>
      <c r="M38" s="434"/>
      <c r="N38" s="470"/>
      <c r="O38" s="470"/>
      <c r="P38" s="470"/>
      <c r="Q38" s="470"/>
      <c r="R38" s="470"/>
      <c r="S38" s="470"/>
      <c r="T38" s="470"/>
      <c r="U38" s="471"/>
      <c r="V38" s="437"/>
      <c r="W38" s="437"/>
      <c r="X38" s="437"/>
      <c r="Y38" s="437"/>
      <c r="Z38" s="437"/>
      <c r="AA38" s="437"/>
      <c r="AB38" s="437"/>
      <c r="AC38" s="437"/>
      <c r="AD38" s="437"/>
      <c r="AE38" s="437"/>
      <c r="AF38" s="437"/>
      <c r="AG38" s="437"/>
    </row>
    <row r="39" spans="1:33" s="63" customFormat="1">
      <c r="A39" s="429" t="s">
        <v>112</v>
      </c>
      <c r="B39" s="439" t="s">
        <v>156</v>
      </c>
      <c r="C39" s="472" t="s">
        <v>157</v>
      </c>
      <c r="D39" s="432"/>
      <c r="E39" s="432"/>
      <c r="F39" s="432"/>
      <c r="G39" s="432"/>
      <c r="H39" s="221"/>
      <c r="I39" s="221"/>
      <c r="J39" s="221"/>
      <c r="K39" s="434"/>
      <c r="L39" s="434"/>
      <c r="M39" s="434"/>
      <c r="N39" s="473"/>
      <c r="O39" s="473"/>
      <c r="P39" s="473"/>
      <c r="Q39" s="473"/>
      <c r="R39" s="473"/>
      <c r="S39" s="473"/>
      <c r="T39" s="470"/>
      <c r="U39" s="471"/>
      <c r="V39" s="437"/>
      <c r="W39" s="437"/>
      <c r="X39" s="437"/>
      <c r="Y39" s="437"/>
      <c r="Z39" s="437"/>
      <c r="AA39" s="437"/>
      <c r="AB39" s="437"/>
      <c r="AC39" s="437"/>
      <c r="AD39" s="437"/>
      <c r="AE39" s="437"/>
      <c r="AF39" s="437"/>
      <c r="AG39" s="437"/>
    </row>
    <row r="40" spans="1:33" s="63" customFormat="1">
      <c r="A40" s="429" t="s">
        <v>112</v>
      </c>
      <c r="B40" s="439" t="s">
        <v>158</v>
      </c>
      <c r="C40" s="474" t="s">
        <v>159</v>
      </c>
      <c r="D40" s="432" t="s">
        <v>160</v>
      </c>
      <c r="E40" s="432" t="s">
        <v>114</v>
      </c>
      <c r="F40" s="432"/>
      <c r="G40" s="432"/>
      <c r="H40" s="221"/>
      <c r="I40" s="221"/>
      <c r="J40" s="221"/>
      <c r="K40" s="434"/>
      <c r="L40" s="434"/>
      <c r="M40" s="434"/>
      <c r="N40" s="473"/>
      <c r="O40" s="473"/>
      <c r="P40" s="473"/>
      <c r="Q40" s="475"/>
      <c r="R40" s="475"/>
      <c r="S40" s="475"/>
      <c r="T40" s="470"/>
      <c r="U40" s="471"/>
      <c r="V40" s="437"/>
      <c r="W40" s="437"/>
      <c r="X40" s="437"/>
      <c r="Y40" s="437"/>
      <c r="Z40" s="437"/>
      <c r="AA40" s="437"/>
      <c r="AB40" s="437"/>
      <c r="AC40" s="437"/>
      <c r="AD40" s="437"/>
      <c r="AE40" s="437"/>
      <c r="AF40" s="437"/>
      <c r="AG40" s="437"/>
    </row>
    <row r="41" spans="1:33" s="63" customFormat="1">
      <c r="A41" s="429" t="s">
        <v>112</v>
      </c>
      <c r="B41" s="439" t="s">
        <v>161</v>
      </c>
      <c r="C41" s="474" t="s">
        <v>162</v>
      </c>
      <c r="D41" s="432" t="s">
        <v>160</v>
      </c>
      <c r="E41" s="432" t="s">
        <v>163</v>
      </c>
      <c r="F41" s="432"/>
      <c r="G41" s="432"/>
      <c r="H41" s="221"/>
      <c r="I41" s="221"/>
      <c r="J41" s="221"/>
      <c r="K41" s="434"/>
      <c r="L41" s="434"/>
      <c r="M41" s="434"/>
      <c r="N41" s="473"/>
      <c r="O41" s="473"/>
      <c r="P41" s="475"/>
      <c r="Q41" s="475"/>
      <c r="R41" s="475"/>
      <c r="S41" s="475"/>
      <c r="T41" s="470"/>
      <c r="U41" s="471"/>
      <c r="V41" s="437"/>
      <c r="W41" s="437"/>
      <c r="X41" s="437"/>
      <c r="Y41" s="437"/>
      <c r="Z41" s="437"/>
      <c r="AA41" s="437"/>
      <c r="AB41" s="437"/>
      <c r="AC41" s="437"/>
      <c r="AD41" s="437"/>
      <c r="AE41" s="437"/>
      <c r="AF41" s="437"/>
      <c r="AG41" s="437"/>
    </row>
    <row r="42" spans="1:33" s="63" customFormat="1">
      <c r="A42" s="429" t="s">
        <v>112</v>
      </c>
      <c r="B42" s="439" t="s">
        <v>164</v>
      </c>
      <c r="C42" s="64" t="s">
        <v>127</v>
      </c>
      <c r="D42" s="432" t="s">
        <v>165</v>
      </c>
      <c r="E42" s="432" t="s">
        <v>166</v>
      </c>
      <c r="F42" s="432"/>
      <c r="G42" s="432"/>
      <c r="H42" s="221"/>
      <c r="I42" s="221"/>
      <c r="J42" s="221"/>
      <c r="K42" s="434"/>
      <c r="L42" s="434"/>
      <c r="M42" s="434"/>
      <c r="N42" s="473"/>
      <c r="O42" s="473"/>
      <c r="P42" s="473"/>
      <c r="Q42" s="475"/>
      <c r="R42" s="475"/>
      <c r="S42" s="475"/>
      <c r="T42" s="470"/>
      <c r="U42" s="471"/>
      <c r="V42" s="437"/>
      <c r="W42" s="437"/>
      <c r="X42" s="437"/>
      <c r="Y42" s="437"/>
      <c r="Z42" s="437"/>
      <c r="AA42" s="437"/>
      <c r="AB42" s="437"/>
      <c r="AC42" s="437"/>
      <c r="AD42" s="437"/>
      <c r="AE42" s="437"/>
      <c r="AF42" s="437"/>
      <c r="AG42" s="437"/>
    </row>
    <row r="43" spans="1:33" s="63" customFormat="1">
      <c r="A43" s="429" t="s">
        <v>112</v>
      </c>
      <c r="B43" s="439" t="s">
        <v>167</v>
      </c>
      <c r="C43" s="476" t="s">
        <v>168</v>
      </c>
      <c r="D43" s="432" t="s">
        <v>169</v>
      </c>
      <c r="E43" s="432" t="s">
        <v>170</v>
      </c>
      <c r="F43" s="432"/>
      <c r="G43" s="432"/>
      <c r="H43" s="221"/>
      <c r="I43" s="221"/>
      <c r="J43" s="221"/>
      <c r="K43" s="434"/>
      <c r="L43" s="434"/>
      <c r="M43" s="434"/>
      <c r="N43" s="477"/>
      <c r="O43" s="477"/>
      <c r="P43" s="477"/>
      <c r="Q43" s="477"/>
      <c r="R43" s="477"/>
      <c r="S43" s="477"/>
      <c r="T43" s="470"/>
      <c r="U43" s="471"/>
      <c r="V43" s="437"/>
      <c r="W43" s="437"/>
      <c r="X43" s="437"/>
      <c r="Y43" s="437"/>
      <c r="Z43" s="437"/>
      <c r="AA43" s="437"/>
      <c r="AB43" s="437"/>
      <c r="AC43" s="437"/>
      <c r="AD43" s="437"/>
      <c r="AE43" s="437"/>
      <c r="AF43" s="437"/>
      <c r="AG43" s="437"/>
    </row>
    <row r="44" spans="1:33" s="63" customFormat="1">
      <c r="A44" s="429" t="s">
        <v>112</v>
      </c>
      <c r="B44" s="439" t="s">
        <v>171</v>
      </c>
      <c r="C44" s="472" t="s">
        <v>172</v>
      </c>
      <c r="D44" s="432"/>
      <c r="E44" s="432"/>
      <c r="F44" s="432"/>
      <c r="G44" s="432"/>
      <c r="H44" s="221"/>
      <c r="I44" s="221"/>
      <c r="J44" s="221"/>
      <c r="K44" s="434"/>
      <c r="L44" s="434"/>
      <c r="M44" s="434"/>
      <c r="N44" s="473"/>
      <c r="O44" s="473"/>
      <c r="P44" s="473"/>
      <c r="Q44" s="473"/>
      <c r="R44" s="473"/>
      <c r="S44" s="473"/>
      <c r="T44" s="470"/>
      <c r="U44" s="471"/>
      <c r="V44" s="437"/>
      <c r="W44" s="437"/>
      <c r="X44" s="437"/>
      <c r="Y44" s="437"/>
      <c r="Z44" s="437"/>
      <c r="AA44" s="437"/>
      <c r="AB44" s="437"/>
      <c r="AC44" s="437"/>
      <c r="AD44" s="437"/>
      <c r="AE44" s="437"/>
      <c r="AF44" s="437"/>
      <c r="AG44" s="437"/>
    </row>
    <row r="45" spans="1:33" s="63" customFormat="1">
      <c r="A45" s="429" t="s">
        <v>112</v>
      </c>
      <c r="B45" s="439" t="s">
        <v>173</v>
      </c>
      <c r="C45" s="474" t="s">
        <v>162</v>
      </c>
      <c r="D45" s="432" t="s">
        <v>160</v>
      </c>
      <c r="E45" s="432" t="s">
        <v>163</v>
      </c>
      <c r="F45" s="432"/>
      <c r="G45" s="432"/>
      <c r="H45" s="221"/>
      <c r="I45" s="221"/>
      <c r="J45" s="221"/>
      <c r="K45" s="434"/>
      <c r="L45" s="434"/>
      <c r="M45" s="434"/>
      <c r="N45" s="475"/>
      <c r="O45" s="475"/>
      <c r="P45" s="475"/>
      <c r="Q45" s="473"/>
      <c r="R45" s="475"/>
      <c r="S45" s="475"/>
      <c r="T45" s="470"/>
      <c r="U45" s="471"/>
      <c r="V45" s="437"/>
      <c r="W45" s="437"/>
      <c r="X45" s="437"/>
      <c r="Y45" s="437"/>
      <c r="Z45" s="437"/>
      <c r="AA45" s="437"/>
      <c r="AB45" s="437"/>
      <c r="AC45" s="437"/>
      <c r="AD45" s="437"/>
      <c r="AE45" s="437"/>
      <c r="AF45" s="437"/>
      <c r="AG45" s="437"/>
    </row>
    <row r="46" spans="1:33" s="63" customFormat="1">
      <c r="A46" s="429" t="s">
        <v>112</v>
      </c>
      <c r="B46" s="439" t="s">
        <v>174</v>
      </c>
      <c r="C46" s="474" t="s">
        <v>175</v>
      </c>
      <c r="D46" s="432" t="s">
        <v>160</v>
      </c>
      <c r="E46" s="432" t="s">
        <v>163</v>
      </c>
      <c r="F46" s="432"/>
      <c r="G46" s="432"/>
      <c r="H46" s="221"/>
      <c r="I46" s="221"/>
      <c r="J46" s="221"/>
      <c r="K46" s="434"/>
      <c r="L46" s="434"/>
      <c r="M46" s="434"/>
      <c r="N46" s="473"/>
      <c r="O46" s="473"/>
      <c r="P46" s="473"/>
      <c r="Q46" s="475"/>
      <c r="R46" s="475"/>
      <c r="S46" s="475"/>
      <c r="T46" s="470"/>
      <c r="U46" s="471"/>
      <c r="V46" s="437"/>
      <c r="W46" s="437"/>
      <c r="X46" s="437"/>
      <c r="Y46" s="437"/>
      <c r="Z46" s="437"/>
      <c r="AA46" s="437"/>
      <c r="AB46" s="437"/>
      <c r="AC46" s="437"/>
      <c r="AD46" s="437"/>
      <c r="AE46" s="437"/>
      <c r="AF46" s="437"/>
      <c r="AG46" s="437"/>
    </row>
    <row r="47" spans="1:33" s="63" customFormat="1">
      <c r="A47" s="429" t="s">
        <v>112</v>
      </c>
      <c r="B47" s="439" t="s">
        <v>176</v>
      </c>
      <c r="C47" s="474" t="s">
        <v>159</v>
      </c>
      <c r="D47" s="432" t="s">
        <v>160</v>
      </c>
      <c r="E47" s="432" t="s">
        <v>114</v>
      </c>
      <c r="F47" s="432"/>
      <c r="G47" s="432"/>
      <c r="H47" s="221"/>
      <c r="I47" s="221"/>
      <c r="J47" s="221"/>
      <c r="K47" s="434"/>
      <c r="L47" s="434"/>
      <c r="M47" s="434"/>
      <c r="N47" s="475"/>
      <c r="O47" s="475"/>
      <c r="P47" s="475"/>
      <c r="Q47" s="473"/>
      <c r="R47" s="475"/>
      <c r="S47" s="475"/>
      <c r="T47" s="470"/>
      <c r="U47" s="471"/>
      <c r="V47" s="437"/>
      <c r="W47" s="437"/>
      <c r="X47" s="437"/>
      <c r="Y47" s="437"/>
      <c r="Z47" s="437"/>
      <c r="AA47" s="437"/>
      <c r="AB47" s="437"/>
      <c r="AC47" s="437"/>
      <c r="AD47" s="437"/>
      <c r="AE47" s="437"/>
      <c r="AF47" s="437"/>
      <c r="AG47" s="437"/>
    </row>
    <row r="48" spans="1:33" s="63" customFormat="1">
      <c r="A48" s="429" t="s">
        <v>112</v>
      </c>
      <c r="B48" s="439" t="s">
        <v>177</v>
      </c>
      <c r="C48" s="474" t="s">
        <v>127</v>
      </c>
      <c r="D48" s="432" t="s">
        <v>165</v>
      </c>
      <c r="E48" s="432" t="s">
        <v>166</v>
      </c>
      <c r="F48" s="432"/>
      <c r="G48" s="432"/>
      <c r="H48" s="221"/>
      <c r="I48" s="221"/>
      <c r="J48" s="221"/>
      <c r="K48" s="434"/>
      <c r="L48" s="434"/>
      <c r="M48" s="434"/>
      <c r="N48" s="473"/>
      <c r="O48" s="473"/>
      <c r="P48" s="473"/>
      <c r="Q48" s="473"/>
      <c r="R48" s="475"/>
      <c r="S48" s="475"/>
      <c r="T48" s="470"/>
      <c r="U48" s="471"/>
      <c r="V48" s="437"/>
      <c r="W48" s="437"/>
      <c r="X48" s="437"/>
      <c r="Y48" s="437"/>
      <c r="Z48" s="437"/>
      <c r="AA48" s="437"/>
      <c r="AB48" s="437"/>
      <c r="AC48" s="437"/>
      <c r="AD48" s="437"/>
      <c r="AE48" s="437"/>
      <c r="AF48" s="437"/>
      <c r="AG48" s="437"/>
    </row>
    <row r="49" spans="1:33" s="63" customFormat="1">
      <c r="A49" s="429" t="s">
        <v>112</v>
      </c>
      <c r="B49" s="439" t="s">
        <v>178</v>
      </c>
      <c r="C49" s="476" t="s">
        <v>168</v>
      </c>
      <c r="D49" s="432" t="s">
        <v>169</v>
      </c>
      <c r="E49" s="432" t="s">
        <v>170</v>
      </c>
      <c r="F49" s="432"/>
      <c r="G49" s="432"/>
      <c r="H49" s="221"/>
      <c r="I49" s="221"/>
      <c r="J49" s="221"/>
      <c r="K49" s="434"/>
      <c r="L49" s="434"/>
      <c r="M49" s="434"/>
      <c r="N49" s="475"/>
      <c r="O49" s="475"/>
      <c r="P49" s="475"/>
      <c r="Q49" s="475"/>
      <c r="R49" s="475"/>
      <c r="S49" s="475"/>
      <c r="T49" s="470"/>
      <c r="U49" s="471"/>
      <c r="V49" s="437"/>
      <c r="W49" s="437"/>
      <c r="X49" s="437"/>
      <c r="Y49" s="437"/>
      <c r="Z49" s="437"/>
      <c r="AA49" s="437"/>
      <c r="AB49" s="437"/>
      <c r="AC49" s="437"/>
      <c r="AD49" s="437"/>
      <c r="AE49" s="437"/>
      <c r="AF49" s="437"/>
      <c r="AG49" s="437"/>
    </row>
    <row r="50" spans="1:33" s="63" customFormat="1">
      <c r="A50" s="429" t="s">
        <v>179</v>
      </c>
      <c r="B50" s="429" t="str">
        <f>PEP!C36</f>
        <v>1.2.1.2.</v>
      </c>
      <c r="C50" s="429" t="str">
        <f>PEP!D36</f>
        <v>FOCAL, Programa de fomento a la calidad (apoyo a empresas para la implementación de sistemas de gestión de calidad)</v>
      </c>
      <c r="D50" s="432"/>
      <c r="E50" s="432"/>
      <c r="F50" s="432"/>
      <c r="G50" s="432"/>
      <c r="H50" s="221">
        <f>PEP!J36</f>
        <v>143190.17196703225</v>
      </c>
      <c r="I50" s="221"/>
      <c r="J50" s="221">
        <f>PEP!F36</f>
        <v>29226.843335156369</v>
      </c>
      <c r="K50" s="434"/>
      <c r="L50" s="434"/>
      <c r="M50" s="434"/>
      <c r="N50" s="478"/>
      <c r="O50" s="478"/>
      <c r="P50" s="478"/>
      <c r="Q50" s="478"/>
      <c r="R50" s="470"/>
      <c r="S50" s="470"/>
      <c r="T50" s="470"/>
      <c r="U50" s="471"/>
      <c r="V50" s="437"/>
      <c r="W50" s="478">
        <v>12262.463563704749</v>
      </c>
      <c r="X50" s="437"/>
      <c r="Y50" s="437"/>
      <c r="Z50" s="479">
        <v>7798.1507600689547</v>
      </c>
      <c r="AA50" s="479">
        <v>9716.3454004074592</v>
      </c>
      <c r="AB50" s="437"/>
      <c r="AC50" s="437"/>
      <c r="AD50" s="437"/>
      <c r="AE50" s="437"/>
      <c r="AF50" s="437"/>
      <c r="AG50" s="437"/>
    </row>
    <row r="51" spans="1:33" s="63" customFormat="1">
      <c r="A51" s="429" t="s">
        <v>179</v>
      </c>
      <c r="B51" s="429" t="str">
        <f>PEP!C37</f>
        <v>1.2.1.3.</v>
      </c>
      <c r="C51" s="429" t="str">
        <f>PEP!D37</f>
        <v>NODO parar la competitividad (apoyo a un grupos de empresas pyme parar la generación de capacidades y conocimientos útiles para acceder a mercados de exportación)</v>
      </c>
      <c r="D51" s="432"/>
      <c r="E51" s="432"/>
      <c r="F51" s="432"/>
      <c r="G51" s="432"/>
      <c r="H51" s="221">
        <f>PEP!J37</f>
        <v>1145667.9768709706</v>
      </c>
      <c r="I51" s="221"/>
      <c r="J51" s="221">
        <f>PEP!F37</f>
        <v>295757.30456255493</v>
      </c>
      <c r="K51" s="434"/>
      <c r="L51" s="434"/>
      <c r="M51" s="434"/>
      <c r="N51" s="478"/>
      <c r="O51" s="478"/>
      <c r="P51" s="478"/>
      <c r="Q51" s="478"/>
      <c r="R51" s="478"/>
      <c r="S51" s="470"/>
      <c r="T51" s="470"/>
      <c r="U51" s="471"/>
      <c r="V51" s="437"/>
      <c r="W51" s="437"/>
      <c r="X51" s="479">
        <v>76906.440996708974</v>
      </c>
      <c r="Y51" s="437"/>
      <c r="Z51" s="437"/>
      <c r="AA51" s="479">
        <v>25858.015984955335</v>
      </c>
      <c r="AB51" s="479">
        <v>25858.015984955335</v>
      </c>
      <c r="AC51" s="437"/>
      <c r="AD51" s="479">
        <v>132213.60288356055</v>
      </c>
      <c r="AE51" s="479">
        <v>132213.60288356055</v>
      </c>
      <c r="AF51" s="437"/>
      <c r="AG51" s="437"/>
    </row>
    <row r="52" spans="1:33" s="63" customFormat="1">
      <c r="A52" s="429" t="s">
        <v>179</v>
      </c>
      <c r="B52" s="429" t="str">
        <f>PEP!C38</f>
        <v>1.2.1.4.</v>
      </c>
      <c r="C52" s="429" t="str">
        <f>PEP!D38</f>
        <v>PROFO, Programa Asociativos de Fomento (apoyo a un grupo de al menos 3 empresas para que materialicen un negocio o aprovechen una oportunidad de mercado de forma asociativa)</v>
      </c>
      <c r="D52" s="432"/>
      <c r="E52" s="432"/>
      <c r="F52" s="432"/>
      <c r="G52" s="432"/>
      <c r="H52" s="221">
        <f>PEP!J38</f>
        <v>769222.02799590561</v>
      </c>
      <c r="I52" s="221"/>
      <c r="J52" s="221">
        <f>PEP!F38</f>
        <v>31878.221382522086</v>
      </c>
      <c r="K52" s="434"/>
      <c r="L52" s="434"/>
      <c r="M52" s="434"/>
      <c r="N52" s="478"/>
      <c r="O52" s="478"/>
      <c r="P52" s="470"/>
      <c r="Q52" s="478"/>
      <c r="R52" s="470"/>
      <c r="S52" s="478"/>
      <c r="T52" s="470"/>
      <c r="U52" s="471"/>
      <c r="V52" s="437"/>
      <c r="W52" s="437"/>
      <c r="X52" s="479">
        <v>271567.15248393669</v>
      </c>
      <c r="Y52" s="437"/>
      <c r="Z52" s="437"/>
      <c r="AA52" s="437"/>
      <c r="AB52" s="437"/>
      <c r="AC52" s="437"/>
      <c r="AD52" s="437"/>
      <c r="AE52" s="479">
        <v>114696.75599435825</v>
      </c>
      <c r="AF52" s="437"/>
      <c r="AG52" s="437"/>
    </row>
    <row r="53" spans="1:33" s="63" customFormat="1">
      <c r="A53" s="429" t="s">
        <v>179</v>
      </c>
      <c r="B53" s="429" t="str">
        <f>PEP!C39</f>
        <v>1.2.1.5.</v>
      </c>
      <c r="C53" s="429" t="str">
        <f>PEP!D39</f>
        <v>Programa de Fomento al Cine y la Industria Audiovisual (apoyo a productoras o distribuidoras audiovisuales en el proceso de comercialización y distribución de producciones audiovisuales Chilenas o co-producciones chilenas)</v>
      </c>
      <c r="D53" s="432"/>
      <c r="E53" s="432"/>
      <c r="F53" s="432"/>
      <c r="G53" s="432"/>
      <c r="H53" s="221">
        <f>PEP!J39</f>
        <v>871330.15676520893</v>
      </c>
      <c r="I53" s="221"/>
      <c r="J53" s="221">
        <f>PEP!F39</f>
        <v>255128.21757072539</v>
      </c>
      <c r="K53" s="434"/>
      <c r="L53" s="434"/>
      <c r="M53" s="434"/>
      <c r="N53" s="437"/>
      <c r="O53" s="478"/>
      <c r="P53" s="478"/>
      <c r="Q53" s="470"/>
      <c r="R53" s="470"/>
      <c r="S53" s="470"/>
      <c r="T53" s="470"/>
      <c r="U53" s="471"/>
      <c r="V53" s="437"/>
      <c r="W53" s="437"/>
      <c r="X53" s="437"/>
      <c r="Y53" s="437"/>
      <c r="Z53" s="479">
        <v>110000</v>
      </c>
      <c r="AA53" s="437"/>
      <c r="AB53" s="479">
        <v>64412</v>
      </c>
      <c r="AC53" s="479">
        <v>107675</v>
      </c>
      <c r="AD53" s="437"/>
      <c r="AE53" s="437"/>
      <c r="AF53" s="437"/>
      <c r="AG53" s="437"/>
    </row>
    <row r="54" spans="1:33" s="63" customFormat="1">
      <c r="A54" s="429" t="s">
        <v>179</v>
      </c>
      <c r="B54" s="429" t="str">
        <f>PEP!C40</f>
        <v>1.2.1.6.</v>
      </c>
      <c r="C54" s="429" t="str">
        <f>PEP!D40</f>
        <v>IFI Atracción de inversiones; Componente Desarrollo de Proveedores</v>
      </c>
      <c r="D54" s="432"/>
      <c r="E54" s="432"/>
      <c r="F54" s="432"/>
      <c r="G54" s="432"/>
      <c r="H54" s="221">
        <f>PEP!J40</f>
        <v>588102.22244319599</v>
      </c>
      <c r="I54" s="221"/>
      <c r="J54" s="221">
        <f>PEP!F40</f>
        <v>588102.22244319599</v>
      </c>
      <c r="K54" s="434"/>
      <c r="L54" s="434"/>
      <c r="M54" s="434"/>
      <c r="N54" s="478"/>
      <c r="O54" s="480"/>
      <c r="P54" s="478"/>
      <c r="Q54" s="470"/>
      <c r="R54" s="470"/>
      <c r="S54" s="470"/>
      <c r="T54" s="470"/>
      <c r="U54" s="471"/>
      <c r="V54" s="437"/>
      <c r="W54" s="437"/>
      <c r="X54" s="437"/>
      <c r="Y54" s="437"/>
      <c r="Z54" s="437"/>
      <c r="AA54" s="437"/>
      <c r="AB54" s="437"/>
      <c r="AC54" s="437"/>
      <c r="AD54" s="437"/>
      <c r="AE54" s="437"/>
      <c r="AF54" s="437"/>
      <c r="AG54" s="437"/>
    </row>
    <row r="55" spans="1:33" s="61" customFormat="1">
      <c r="A55" s="481"/>
      <c r="B55" s="482" t="s">
        <v>180</v>
      </c>
      <c r="C55" s="481" t="s">
        <v>181</v>
      </c>
      <c r="D55" s="444"/>
      <c r="E55" s="444"/>
      <c r="F55" s="444"/>
      <c r="G55" s="444"/>
      <c r="H55" s="421">
        <f>SUM(H56:H56)</f>
        <v>600000</v>
      </c>
      <c r="I55" s="421"/>
      <c r="J55" s="421">
        <f t="shared" ref="J55" si="1">SUM(J56:J56)</f>
        <v>129697.84384892028</v>
      </c>
      <c r="K55" s="427"/>
      <c r="L55" s="427"/>
      <c r="M55" s="427"/>
      <c r="N55" s="467"/>
      <c r="O55" s="467"/>
      <c r="P55" s="467"/>
      <c r="Q55" s="467"/>
      <c r="R55" s="467"/>
      <c r="S55" s="467"/>
      <c r="T55" s="467"/>
      <c r="U55" s="467"/>
      <c r="V55" s="468"/>
      <c r="W55" s="468"/>
      <c r="X55" s="468"/>
      <c r="Y55" s="468"/>
      <c r="Z55" s="468"/>
      <c r="AA55" s="468"/>
      <c r="AB55" s="468"/>
      <c r="AC55" s="468"/>
      <c r="AD55" s="468"/>
      <c r="AE55" s="468"/>
      <c r="AF55" s="468"/>
      <c r="AG55" s="468"/>
    </row>
    <row r="56" spans="1:33" s="62" customFormat="1">
      <c r="A56" s="442"/>
      <c r="B56" s="443" t="s">
        <v>182</v>
      </c>
      <c r="C56" s="426" t="s">
        <v>183</v>
      </c>
      <c r="D56" s="444"/>
      <c r="E56" s="444"/>
      <c r="F56" s="444"/>
      <c r="G56" s="444"/>
      <c r="H56" s="421">
        <f>+H57+H58</f>
        <v>600000</v>
      </c>
      <c r="I56" s="421"/>
      <c r="J56" s="421">
        <f>+J57+J58</f>
        <v>129697.84384892028</v>
      </c>
      <c r="K56" s="427"/>
      <c r="L56" s="427"/>
      <c r="M56" s="427"/>
      <c r="N56" s="426"/>
      <c r="O56" s="426"/>
      <c r="P56" s="426"/>
      <c r="Q56" s="426"/>
      <c r="R56" s="426"/>
      <c r="S56" s="426"/>
      <c r="T56" s="426"/>
      <c r="U56" s="426"/>
      <c r="V56" s="428"/>
      <c r="W56" s="428"/>
      <c r="X56" s="428"/>
      <c r="Y56" s="428"/>
      <c r="Z56" s="428"/>
      <c r="AA56" s="428"/>
      <c r="AB56" s="428"/>
      <c r="AC56" s="428"/>
      <c r="AD56" s="428"/>
      <c r="AE56" s="428"/>
      <c r="AF56" s="428"/>
      <c r="AG56" s="428"/>
    </row>
    <row r="57" spans="1:33" s="63" customFormat="1">
      <c r="A57" s="429" t="s">
        <v>89</v>
      </c>
      <c r="B57" s="429" t="str">
        <f>PEP!C44</f>
        <v>1.3.1.1.</v>
      </c>
      <c r="C57" s="429" t="str">
        <f>PEP!D44</f>
        <v>Sistema de capacidades para la inteligencia de negocios en atracción de inversiones</v>
      </c>
      <c r="D57" s="432" t="s">
        <v>184</v>
      </c>
      <c r="E57" s="432" t="s">
        <v>91</v>
      </c>
      <c r="F57" s="432"/>
      <c r="G57" s="432"/>
      <c r="H57" s="221">
        <f>PEP!E44</f>
        <v>400000</v>
      </c>
      <c r="I57" s="221"/>
      <c r="J57" s="221">
        <f>PEP!F44</f>
        <v>129697.84384892028</v>
      </c>
      <c r="K57" s="434"/>
      <c r="L57" s="434"/>
      <c r="M57" s="483"/>
      <c r="N57" s="483"/>
      <c r="O57" s="445"/>
      <c r="P57" s="445"/>
      <c r="Q57" s="483"/>
      <c r="R57" s="483"/>
      <c r="S57" s="445"/>
      <c r="T57" s="483"/>
      <c r="U57" s="449"/>
      <c r="V57" s="437"/>
      <c r="W57" s="437"/>
      <c r="X57" s="437"/>
      <c r="Y57" s="437"/>
      <c r="Z57" s="437"/>
      <c r="AA57" s="437"/>
      <c r="AB57" s="437"/>
      <c r="AC57" s="437"/>
      <c r="AD57" s="437"/>
      <c r="AE57" s="437"/>
      <c r="AF57" s="437"/>
      <c r="AG57" s="437"/>
    </row>
    <row r="58" spans="1:33" s="63" customFormat="1">
      <c r="A58" s="429" t="s">
        <v>89</v>
      </c>
      <c r="B58" s="429" t="str">
        <f>PEP!C45</f>
        <v>1.3.1.2</v>
      </c>
      <c r="C58" s="429" t="str">
        <f>PEP!D45</f>
        <v>Operación y ampliación del modelo de operación regional</v>
      </c>
      <c r="D58" s="432"/>
      <c r="E58" s="432"/>
      <c r="F58" s="432"/>
      <c r="G58" s="432"/>
      <c r="H58" s="221">
        <f>PEP!E45</f>
        <v>200000</v>
      </c>
      <c r="I58" s="221"/>
      <c r="J58" s="221">
        <f>PEP!F45</f>
        <v>0</v>
      </c>
      <c r="K58" s="434"/>
      <c r="L58" s="434"/>
      <c r="M58" s="434"/>
      <c r="N58" s="445"/>
      <c r="O58" s="445"/>
      <c r="P58" s="445"/>
      <c r="Q58" s="445"/>
      <c r="R58" s="445"/>
      <c r="S58" s="445"/>
      <c r="T58" s="445"/>
      <c r="U58" s="449"/>
      <c r="V58" s="437"/>
      <c r="W58" s="437"/>
      <c r="X58" s="437"/>
      <c r="Y58" s="437"/>
      <c r="Z58" s="437"/>
      <c r="AA58" s="437"/>
      <c r="AB58" s="437"/>
      <c r="AC58" s="437"/>
      <c r="AD58" s="437"/>
      <c r="AE58" s="437"/>
      <c r="AF58" s="437"/>
      <c r="AG58" s="437"/>
    </row>
    <row r="59" spans="1:33" s="63" customFormat="1">
      <c r="A59" s="429" t="s">
        <v>89</v>
      </c>
      <c r="B59" s="439" t="s">
        <v>185</v>
      </c>
      <c r="C59" s="484" t="s">
        <v>186</v>
      </c>
      <c r="D59" s="432" t="s">
        <v>187</v>
      </c>
      <c r="E59" s="432" t="s">
        <v>188</v>
      </c>
      <c r="F59" s="432" t="s">
        <v>189</v>
      </c>
      <c r="G59" s="432"/>
      <c r="H59" s="221"/>
      <c r="I59" s="221"/>
      <c r="J59" s="221"/>
      <c r="K59" s="434"/>
      <c r="L59" s="434"/>
      <c r="M59" s="434"/>
      <c r="N59" s="434"/>
      <c r="O59" s="434"/>
      <c r="P59" s="434"/>
      <c r="Q59" s="434"/>
      <c r="R59" s="434"/>
      <c r="S59" s="434"/>
      <c r="T59" s="434"/>
      <c r="U59" s="434"/>
      <c r="V59" s="437"/>
      <c r="W59" s="437"/>
      <c r="X59" s="437"/>
      <c r="Y59" s="437"/>
      <c r="Z59" s="437"/>
      <c r="AA59" s="437"/>
      <c r="AB59" s="437"/>
      <c r="AC59" s="437"/>
      <c r="AD59" s="437"/>
      <c r="AE59" s="437"/>
      <c r="AF59" s="437"/>
      <c r="AG59" s="437"/>
    </row>
    <row r="60" spans="1:33" s="65" customFormat="1">
      <c r="A60" s="413" t="s">
        <v>190</v>
      </c>
      <c r="B60" s="414" t="s">
        <v>191</v>
      </c>
      <c r="C60" s="414"/>
      <c r="D60" s="485"/>
      <c r="E60" s="485"/>
      <c r="F60" s="485"/>
      <c r="G60" s="485"/>
      <c r="H60" s="416">
        <f>+H61+H107</f>
        <v>10186946.501183841</v>
      </c>
      <c r="I60" s="416"/>
      <c r="J60" s="416">
        <f>+J61+J107</f>
        <v>1777253.8325129687</v>
      </c>
      <c r="K60" s="486"/>
      <c r="L60" s="486"/>
      <c r="M60" s="486"/>
      <c r="N60" s="487"/>
      <c r="O60" s="487"/>
      <c r="P60" s="487"/>
      <c r="Q60" s="487"/>
      <c r="R60" s="487"/>
      <c r="S60" s="487"/>
      <c r="T60" s="487"/>
      <c r="U60" s="487"/>
      <c r="V60" s="488"/>
      <c r="W60" s="488"/>
      <c r="X60" s="488"/>
      <c r="Y60" s="488"/>
      <c r="Z60" s="488"/>
      <c r="AA60" s="488"/>
      <c r="AB60" s="488"/>
      <c r="AC60" s="488"/>
      <c r="AD60" s="488"/>
      <c r="AE60" s="488"/>
      <c r="AF60" s="488"/>
      <c r="AG60" s="488"/>
    </row>
    <row r="61" spans="1:33" s="66" customFormat="1">
      <c r="B61" s="489" t="s">
        <v>192</v>
      </c>
      <c r="C61" s="490" t="s">
        <v>193</v>
      </c>
      <c r="D61" s="444"/>
      <c r="E61" s="444"/>
      <c r="F61" s="444"/>
      <c r="G61" s="444"/>
      <c r="H61" s="421">
        <f>+H62+H75+H84</f>
        <v>9766946.5011838414</v>
      </c>
      <c r="I61" s="421"/>
      <c r="J61" s="421">
        <f>+J62+J75+J84</f>
        <v>1646824.0938696368</v>
      </c>
      <c r="K61" s="427"/>
      <c r="L61" s="427"/>
      <c r="M61" s="427"/>
      <c r="N61" s="467"/>
      <c r="O61" s="467"/>
      <c r="P61" s="467"/>
      <c r="Q61" s="467"/>
      <c r="R61" s="467"/>
      <c r="S61" s="467"/>
      <c r="T61" s="467"/>
      <c r="U61" s="467"/>
      <c r="V61" s="491"/>
      <c r="W61" s="491"/>
      <c r="X61" s="491"/>
      <c r="Y61" s="491"/>
      <c r="Z61" s="491"/>
      <c r="AA61" s="491"/>
      <c r="AB61" s="491"/>
      <c r="AC61" s="491"/>
      <c r="AD61" s="491"/>
      <c r="AE61" s="491"/>
      <c r="AF61" s="491"/>
      <c r="AG61" s="491"/>
    </row>
    <row r="62" spans="1:33" s="61" customFormat="1">
      <c r="A62" s="442"/>
      <c r="B62" s="492" t="s">
        <v>194</v>
      </c>
      <c r="C62" s="493" t="s">
        <v>195</v>
      </c>
      <c r="D62" s="444"/>
      <c r="E62" s="444"/>
      <c r="F62" s="444"/>
      <c r="G62" s="444"/>
      <c r="H62" s="421">
        <f>+H63</f>
        <v>3884746.5011838414</v>
      </c>
      <c r="I62" s="421"/>
      <c r="J62" s="421">
        <f>+J63</f>
        <v>778932.36546843674</v>
      </c>
      <c r="K62" s="427"/>
      <c r="L62" s="427"/>
      <c r="M62" s="427"/>
      <c r="N62" s="469"/>
      <c r="O62" s="469"/>
      <c r="P62" s="469"/>
      <c r="Q62" s="469"/>
      <c r="R62" s="469"/>
      <c r="S62" s="469"/>
      <c r="T62" s="469"/>
      <c r="U62" s="469"/>
      <c r="V62" s="468"/>
      <c r="W62" s="468"/>
      <c r="X62" s="468"/>
      <c r="Y62" s="468"/>
      <c r="Z62" s="468"/>
      <c r="AA62" s="468"/>
      <c r="AB62" s="468"/>
      <c r="AC62" s="468"/>
      <c r="AD62" s="468"/>
      <c r="AE62" s="468"/>
      <c r="AF62" s="468"/>
      <c r="AG62" s="468"/>
    </row>
    <row r="63" spans="1:33" s="67" customFormat="1">
      <c r="A63" s="429" t="s">
        <v>179</v>
      </c>
      <c r="B63" s="429" t="str">
        <f>PEP!C49</f>
        <v>2.1.1.1</v>
      </c>
      <c r="C63" s="429" t="str">
        <f>PEP!D49</f>
        <v>Programa de Formación para la Competitividad</v>
      </c>
      <c r="D63" s="432"/>
      <c r="E63" s="432"/>
      <c r="F63" s="432"/>
      <c r="G63" s="432"/>
      <c r="H63" s="221">
        <f>+PEP!J49</f>
        <v>3884746.5011838414</v>
      </c>
      <c r="I63" s="221"/>
      <c r="J63" s="221">
        <f>+PEP!F49</f>
        <v>778932.36546843674</v>
      </c>
      <c r="K63" s="434"/>
      <c r="L63" s="434"/>
      <c r="M63" s="434"/>
      <c r="N63" s="478"/>
      <c r="O63" s="494"/>
      <c r="P63" s="470"/>
      <c r="Q63" s="478"/>
      <c r="R63" s="470"/>
      <c r="S63" s="478"/>
      <c r="T63" s="475"/>
      <c r="U63" s="493"/>
      <c r="V63" s="495"/>
      <c r="W63" s="495"/>
      <c r="X63" s="495"/>
      <c r="Y63" s="496">
        <v>305857.88215013314</v>
      </c>
      <c r="Z63" s="495"/>
      <c r="AA63" s="495"/>
      <c r="AB63" s="496">
        <v>280000</v>
      </c>
      <c r="AC63" s="495"/>
      <c r="AD63" s="495"/>
      <c r="AE63" s="496">
        <v>301934</v>
      </c>
      <c r="AF63" s="495"/>
      <c r="AG63" s="495"/>
    </row>
    <row r="64" spans="1:33" s="67" customFormat="1">
      <c r="A64" s="429" t="s">
        <v>179</v>
      </c>
      <c r="B64" s="439" t="s">
        <v>196</v>
      </c>
      <c r="C64" s="484" t="s">
        <v>197</v>
      </c>
      <c r="D64" s="432"/>
      <c r="E64" s="432"/>
      <c r="F64" s="432"/>
      <c r="G64" s="432"/>
      <c r="H64" s="221"/>
      <c r="I64" s="221"/>
      <c r="J64" s="221"/>
      <c r="K64" s="434"/>
      <c r="L64" s="434"/>
      <c r="M64" s="434"/>
      <c r="N64" s="497"/>
      <c r="O64" s="498"/>
      <c r="P64" s="498"/>
      <c r="Q64" s="498"/>
      <c r="R64" s="498"/>
      <c r="S64" s="498"/>
      <c r="T64" s="498"/>
      <c r="U64" s="499"/>
      <c r="V64" s="495"/>
      <c r="W64" s="495"/>
      <c r="X64" s="495"/>
      <c r="Y64" s="495"/>
      <c r="Z64" s="495"/>
      <c r="AA64" s="495"/>
      <c r="AB64" s="495"/>
      <c r="AC64" s="495"/>
      <c r="AD64" s="495"/>
      <c r="AE64" s="495"/>
      <c r="AF64" s="495"/>
      <c r="AG64" s="495"/>
    </row>
    <row r="65" spans="1:33" s="67" customFormat="1">
      <c r="A65" s="429" t="s">
        <v>179</v>
      </c>
      <c r="B65" s="439" t="s">
        <v>198</v>
      </c>
      <c r="C65" s="484" t="s">
        <v>199</v>
      </c>
      <c r="D65" s="432"/>
      <c r="E65" s="432"/>
      <c r="F65" s="432"/>
      <c r="G65" s="432"/>
      <c r="H65" s="221"/>
      <c r="I65" s="221"/>
      <c r="J65" s="221"/>
      <c r="K65" s="434"/>
      <c r="L65" s="434"/>
      <c r="M65" s="434"/>
      <c r="N65" s="498"/>
      <c r="O65" s="497"/>
      <c r="P65" s="498"/>
      <c r="Q65" s="498"/>
      <c r="R65" s="498"/>
      <c r="S65" s="498"/>
      <c r="T65" s="498"/>
      <c r="U65" s="499"/>
      <c r="V65" s="495"/>
      <c r="W65" s="495"/>
      <c r="X65" s="495"/>
      <c r="Y65" s="495"/>
      <c r="Z65" s="495"/>
      <c r="AA65" s="495"/>
      <c r="AB65" s="495"/>
      <c r="AC65" s="495"/>
      <c r="AD65" s="495"/>
      <c r="AE65" s="495"/>
      <c r="AF65" s="495"/>
      <c r="AG65" s="495"/>
    </row>
    <row r="66" spans="1:33" s="67" customFormat="1">
      <c r="A66" s="429" t="s">
        <v>179</v>
      </c>
      <c r="B66" s="439" t="s">
        <v>200</v>
      </c>
      <c r="C66" s="484" t="s">
        <v>201</v>
      </c>
      <c r="D66" s="432"/>
      <c r="E66" s="432"/>
      <c r="F66" s="432"/>
      <c r="G66" s="432"/>
      <c r="H66" s="221"/>
      <c r="I66" s="221"/>
      <c r="J66" s="221"/>
      <c r="K66" s="434"/>
      <c r="L66" s="434"/>
      <c r="M66" s="434"/>
      <c r="N66" s="498"/>
      <c r="O66" s="497"/>
      <c r="P66" s="497"/>
      <c r="Q66" s="497"/>
      <c r="R66" s="498"/>
      <c r="S66" s="498"/>
      <c r="T66" s="498"/>
      <c r="U66" s="499"/>
      <c r="V66" s="495"/>
      <c r="W66" s="495"/>
      <c r="X66" s="495"/>
      <c r="Y66" s="495"/>
      <c r="Z66" s="495"/>
      <c r="AA66" s="495"/>
      <c r="AB66" s="495"/>
      <c r="AC66" s="495"/>
      <c r="AD66" s="495"/>
      <c r="AE66" s="495"/>
      <c r="AF66" s="495"/>
      <c r="AG66" s="495"/>
    </row>
    <row r="67" spans="1:33" s="67" customFormat="1">
      <c r="A67" s="429" t="s">
        <v>179</v>
      </c>
      <c r="B67" s="439" t="s">
        <v>202</v>
      </c>
      <c r="C67" s="484" t="s">
        <v>203</v>
      </c>
      <c r="D67" s="432"/>
      <c r="E67" s="432"/>
      <c r="F67" s="432"/>
      <c r="G67" s="432"/>
      <c r="H67" s="221"/>
      <c r="I67" s="221"/>
      <c r="J67" s="221"/>
      <c r="K67" s="434"/>
      <c r="L67" s="434"/>
      <c r="M67" s="434"/>
      <c r="N67" s="498"/>
      <c r="O67" s="498"/>
      <c r="P67" s="498"/>
      <c r="Q67" s="497"/>
      <c r="R67" s="498"/>
      <c r="S67" s="498"/>
      <c r="T67" s="498"/>
      <c r="U67" s="499"/>
      <c r="V67" s="495"/>
      <c r="W67" s="495"/>
      <c r="X67" s="495"/>
      <c r="Y67" s="495"/>
      <c r="Z67" s="495"/>
      <c r="AA67" s="495"/>
      <c r="AB67" s="495"/>
      <c r="AC67" s="495"/>
      <c r="AD67" s="495"/>
      <c r="AE67" s="495"/>
      <c r="AF67" s="495"/>
      <c r="AG67" s="495"/>
    </row>
    <row r="68" spans="1:33" s="67" customFormat="1">
      <c r="A68" s="429" t="s">
        <v>179</v>
      </c>
      <c r="B68" s="439" t="s">
        <v>204</v>
      </c>
      <c r="C68" s="484" t="s">
        <v>205</v>
      </c>
      <c r="D68" s="432"/>
      <c r="E68" s="432"/>
      <c r="F68" s="432"/>
      <c r="G68" s="432"/>
      <c r="H68" s="221"/>
      <c r="I68" s="221"/>
      <c r="J68" s="221"/>
      <c r="K68" s="434"/>
      <c r="L68" s="434"/>
      <c r="M68" s="434"/>
      <c r="N68" s="498"/>
      <c r="O68" s="498"/>
      <c r="P68" s="498"/>
      <c r="Q68" s="498"/>
      <c r="R68" s="497"/>
      <c r="S68" s="497"/>
      <c r="T68" s="497"/>
      <c r="U68" s="500"/>
      <c r="V68" s="495"/>
      <c r="W68" s="495"/>
      <c r="X68" s="495"/>
      <c r="Y68" s="495"/>
      <c r="Z68" s="495"/>
      <c r="AA68" s="495"/>
      <c r="AB68" s="495"/>
      <c r="AC68" s="495"/>
      <c r="AD68" s="495"/>
      <c r="AE68" s="495"/>
      <c r="AF68" s="495"/>
      <c r="AG68" s="495"/>
    </row>
    <row r="69" spans="1:33" s="67" customFormat="1">
      <c r="A69" s="429" t="s">
        <v>179</v>
      </c>
      <c r="B69" s="439" t="s">
        <v>206</v>
      </c>
      <c r="C69" s="484" t="s">
        <v>207</v>
      </c>
      <c r="D69" s="432" t="s">
        <v>208</v>
      </c>
      <c r="E69" s="432"/>
      <c r="F69" s="432" t="s">
        <v>209</v>
      </c>
      <c r="G69" s="432"/>
      <c r="H69" s="221"/>
      <c r="I69" s="221"/>
      <c r="J69" s="221"/>
      <c r="K69" s="434"/>
      <c r="L69" s="434"/>
      <c r="M69" s="434"/>
      <c r="N69" s="498"/>
      <c r="O69" s="498"/>
      <c r="P69" s="498"/>
      <c r="Q69" s="497"/>
      <c r="R69" s="498"/>
      <c r="S69" s="498"/>
      <c r="T69" s="498"/>
      <c r="U69" s="499"/>
      <c r="V69" s="495"/>
      <c r="W69" s="495"/>
      <c r="X69" s="495"/>
      <c r="Y69" s="495"/>
      <c r="Z69" s="495"/>
      <c r="AA69" s="495"/>
      <c r="AB69" s="495"/>
      <c r="AC69" s="495"/>
      <c r="AD69" s="495"/>
      <c r="AE69" s="495"/>
      <c r="AF69" s="495"/>
      <c r="AG69" s="495"/>
    </row>
    <row r="70" spans="1:33" s="67" customFormat="1">
      <c r="A70" s="429" t="s">
        <v>179</v>
      </c>
      <c r="B70" s="439" t="s">
        <v>210</v>
      </c>
      <c r="C70" s="484" t="s">
        <v>211</v>
      </c>
      <c r="D70" s="432"/>
      <c r="E70" s="432"/>
      <c r="F70" s="432"/>
      <c r="G70" s="432"/>
      <c r="H70" s="221"/>
      <c r="I70" s="221"/>
      <c r="J70" s="221"/>
      <c r="K70" s="434"/>
      <c r="L70" s="434"/>
      <c r="M70" s="434"/>
      <c r="N70" s="498"/>
      <c r="O70" s="498"/>
      <c r="P70" s="498"/>
      <c r="Q70" s="498"/>
      <c r="R70" s="498"/>
      <c r="S70" s="497"/>
      <c r="T70" s="498"/>
      <c r="U70" s="499"/>
      <c r="V70" s="495"/>
      <c r="W70" s="495"/>
      <c r="X70" s="495"/>
      <c r="Y70" s="495"/>
      <c r="Z70" s="495"/>
      <c r="AA70" s="495"/>
      <c r="AB70" s="495"/>
      <c r="AC70" s="495"/>
      <c r="AD70" s="495"/>
      <c r="AE70" s="495"/>
      <c r="AF70" s="495"/>
      <c r="AG70" s="495"/>
    </row>
    <row r="71" spans="1:33" s="67" customFormat="1">
      <c r="A71" s="429" t="s">
        <v>179</v>
      </c>
      <c r="B71" s="439" t="s">
        <v>212</v>
      </c>
      <c r="C71" s="484" t="s">
        <v>199</v>
      </c>
      <c r="D71" s="432"/>
      <c r="E71" s="432"/>
      <c r="F71" s="432"/>
      <c r="G71" s="432"/>
      <c r="H71" s="221"/>
      <c r="I71" s="221"/>
      <c r="J71" s="221"/>
      <c r="K71" s="434"/>
      <c r="L71" s="434"/>
      <c r="M71" s="434"/>
      <c r="N71" s="498"/>
      <c r="O71" s="494"/>
      <c r="P71" s="494"/>
      <c r="Q71" s="494"/>
      <c r="R71" s="494"/>
      <c r="S71" s="494"/>
      <c r="T71" s="497"/>
      <c r="U71" s="500"/>
      <c r="V71" s="495"/>
      <c r="W71" s="495"/>
      <c r="X71" s="495"/>
      <c r="Y71" s="495"/>
      <c r="Z71" s="495"/>
      <c r="AA71" s="495"/>
      <c r="AB71" s="495"/>
      <c r="AC71" s="495"/>
      <c r="AD71" s="495"/>
      <c r="AE71" s="495"/>
      <c r="AF71" s="495"/>
      <c r="AG71" s="495"/>
    </row>
    <row r="72" spans="1:33" s="67" customFormat="1">
      <c r="A72" s="429" t="s">
        <v>179</v>
      </c>
      <c r="B72" s="439" t="s">
        <v>213</v>
      </c>
      <c r="C72" s="484" t="s">
        <v>201</v>
      </c>
      <c r="D72" s="432"/>
      <c r="E72" s="432"/>
      <c r="F72" s="432"/>
      <c r="G72" s="432"/>
      <c r="H72" s="221"/>
      <c r="I72" s="221"/>
      <c r="J72" s="221"/>
      <c r="K72" s="434"/>
      <c r="L72" s="434"/>
      <c r="M72" s="434"/>
      <c r="N72" s="498"/>
      <c r="O72" s="494"/>
      <c r="P72" s="494"/>
      <c r="Q72" s="494"/>
      <c r="R72" s="494"/>
      <c r="S72" s="494"/>
      <c r="T72" s="497"/>
      <c r="U72" s="500"/>
      <c r="V72" s="495"/>
      <c r="W72" s="495"/>
      <c r="X72" s="495"/>
      <c r="Y72" s="495"/>
      <c r="Z72" s="495"/>
      <c r="AA72" s="495"/>
      <c r="AB72" s="495"/>
      <c r="AC72" s="495"/>
      <c r="AD72" s="495"/>
      <c r="AE72" s="495"/>
      <c r="AF72" s="495"/>
      <c r="AG72" s="495"/>
    </row>
    <row r="73" spans="1:33" s="67" customFormat="1">
      <c r="A73" s="429" t="s">
        <v>179</v>
      </c>
      <c r="B73" s="439" t="s">
        <v>214</v>
      </c>
      <c r="C73" s="484" t="s">
        <v>203</v>
      </c>
      <c r="D73" s="432"/>
      <c r="E73" s="432"/>
      <c r="F73" s="432"/>
      <c r="G73" s="432"/>
      <c r="H73" s="221"/>
      <c r="I73" s="221"/>
      <c r="J73" s="221"/>
      <c r="K73" s="434"/>
      <c r="L73" s="434"/>
      <c r="M73" s="434"/>
      <c r="N73" s="498"/>
      <c r="O73" s="494"/>
      <c r="P73" s="494"/>
      <c r="Q73" s="494"/>
      <c r="R73" s="494"/>
      <c r="S73" s="494"/>
      <c r="T73" s="498"/>
      <c r="U73" s="499"/>
      <c r="V73" s="495"/>
      <c r="W73" s="495"/>
      <c r="X73" s="495"/>
      <c r="Y73" s="495"/>
      <c r="Z73" s="495"/>
      <c r="AA73" s="495"/>
      <c r="AB73" s="495"/>
      <c r="AC73" s="495"/>
      <c r="AD73" s="495"/>
      <c r="AE73" s="495"/>
      <c r="AF73" s="495"/>
      <c r="AG73" s="495"/>
    </row>
    <row r="74" spans="1:33" s="67" customFormat="1">
      <c r="A74" s="429" t="s">
        <v>179</v>
      </c>
      <c r="B74" s="439" t="s">
        <v>215</v>
      </c>
      <c r="C74" s="484" t="s">
        <v>216</v>
      </c>
      <c r="D74" s="432"/>
      <c r="E74" s="432"/>
      <c r="F74" s="432"/>
      <c r="G74" s="432"/>
      <c r="H74" s="221"/>
      <c r="I74" s="221"/>
      <c r="J74" s="221"/>
      <c r="K74" s="434"/>
      <c r="L74" s="434"/>
      <c r="M74" s="434"/>
      <c r="N74" s="498"/>
      <c r="O74" s="494"/>
      <c r="P74" s="494"/>
      <c r="Q74" s="494"/>
      <c r="R74" s="494"/>
      <c r="S74" s="494"/>
      <c r="T74" s="498"/>
      <c r="U74" s="499"/>
      <c r="V74" s="495"/>
      <c r="W74" s="495"/>
      <c r="X74" s="495"/>
      <c r="Y74" s="495"/>
      <c r="Z74" s="495"/>
      <c r="AA74" s="495"/>
      <c r="AB74" s="495"/>
      <c r="AC74" s="495"/>
      <c r="AD74" s="495"/>
      <c r="AE74" s="495"/>
      <c r="AF74" s="495"/>
      <c r="AG74" s="495"/>
    </row>
    <row r="75" spans="1:33" s="66" customFormat="1">
      <c r="A75" s="442"/>
      <c r="B75" s="443" t="s">
        <v>217</v>
      </c>
      <c r="C75" s="469" t="s">
        <v>218</v>
      </c>
      <c r="D75" s="444"/>
      <c r="E75" s="444"/>
      <c r="F75" s="444"/>
      <c r="G75" s="444"/>
      <c r="H75" s="421">
        <f>+PEP!E50</f>
        <v>4982200</v>
      </c>
      <c r="I75" s="421"/>
      <c r="J75" s="421">
        <f>+PEP!F50</f>
        <v>810671.44135633681</v>
      </c>
      <c r="K75" s="427"/>
      <c r="L75" s="427"/>
      <c r="M75" s="427"/>
      <c r="N75" s="469"/>
      <c r="O75" s="469"/>
      <c r="P75" s="469"/>
      <c r="Q75" s="469"/>
      <c r="R75" s="469"/>
      <c r="S75" s="469"/>
      <c r="T75" s="469"/>
      <c r="U75" s="469"/>
      <c r="V75" s="491"/>
      <c r="W75" s="491"/>
      <c r="X75" s="491"/>
      <c r="Y75" s="491"/>
      <c r="Z75" s="491"/>
      <c r="AA75" s="491"/>
      <c r="AB75" s="491"/>
      <c r="AC75" s="491"/>
      <c r="AD75" s="491"/>
      <c r="AE75" s="491"/>
      <c r="AF75" s="491"/>
      <c r="AG75" s="491"/>
    </row>
    <row r="76" spans="1:33" s="68" customFormat="1">
      <c r="A76" s="429" t="s">
        <v>219</v>
      </c>
      <c r="B76" s="429" t="str">
        <f>PEP!C51</f>
        <v>2.1.2.1</v>
      </c>
      <c r="C76" s="429" t="str">
        <f>PEP!D51</f>
        <v>Curso de programadores 2018 realizado extra presupuestario</v>
      </c>
      <c r="D76" s="432"/>
      <c r="E76" s="432"/>
      <c r="F76" s="432"/>
      <c r="G76" s="432"/>
      <c r="H76" s="221"/>
      <c r="I76" s="221"/>
      <c r="J76" s="221">
        <v>0</v>
      </c>
      <c r="K76" s="434"/>
      <c r="L76" s="434"/>
      <c r="M76" s="434"/>
      <c r="N76" s="497" t="s">
        <v>220</v>
      </c>
      <c r="O76" s="497" t="s">
        <v>220</v>
      </c>
      <c r="P76" s="497" t="s">
        <v>220</v>
      </c>
      <c r="Q76" s="497" t="s">
        <v>220</v>
      </c>
      <c r="R76" s="497" t="s">
        <v>220</v>
      </c>
      <c r="S76" s="497" t="s">
        <v>220</v>
      </c>
      <c r="T76" s="497" t="s">
        <v>220</v>
      </c>
      <c r="U76" s="497" t="s">
        <v>220</v>
      </c>
      <c r="V76" s="497" t="s">
        <v>220</v>
      </c>
      <c r="W76" s="497" t="s">
        <v>220</v>
      </c>
      <c r="X76" s="497" t="s">
        <v>220</v>
      </c>
      <c r="Y76" s="501"/>
      <c r="Z76" s="501"/>
      <c r="AA76" s="501"/>
      <c r="AB76" s="501"/>
      <c r="AC76" s="501"/>
      <c r="AD76" s="501"/>
      <c r="AE76" s="501"/>
      <c r="AF76" s="501"/>
      <c r="AG76" s="501"/>
    </row>
    <row r="77" spans="1:33" s="68" customFormat="1">
      <c r="A77" s="429" t="s">
        <v>219</v>
      </c>
      <c r="B77" s="439" t="s">
        <v>221</v>
      </c>
      <c r="C77" s="484" t="s">
        <v>222</v>
      </c>
      <c r="D77" s="432" t="s">
        <v>223</v>
      </c>
      <c r="E77" s="432" t="s">
        <v>224</v>
      </c>
      <c r="F77" s="432"/>
      <c r="G77" s="432"/>
      <c r="H77" s="221"/>
      <c r="I77" s="221"/>
      <c r="J77" s="221"/>
      <c r="K77" s="434"/>
      <c r="L77" s="434"/>
      <c r="M77" s="434"/>
      <c r="N77" s="497" t="s">
        <v>220</v>
      </c>
      <c r="O77" s="475"/>
      <c r="P77" s="475"/>
      <c r="Q77" s="475"/>
      <c r="R77" s="475"/>
      <c r="S77" s="475"/>
      <c r="T77" s="475"/>
      <c r="U77" s="493"/>
      <c r="V77" s="501"/>
      <c r="W77" s="501"/>
      <c r="X77" s="501"/>
      <c r="Y77" s="501"/>
      <c r="Z77" s="501"/>
      <c r="AA77" s="501"/>
      <c r="AB77" s="501"/>
      <c r="AC77" s="501"/>
      <c r="AD77" s="501"/>
      <c r="AE77" s="501"/>
      <c r="AF77" s="501"/>
      <c r="AG77" s="501"/>
    </row>
    <row r="78" spans="1:33" s="68" customFormat="1">
      <c r="A78" s="429" t="s">
        <v>219</v>
      </c>
      <c r="B78" s="439" t="s">
        <v>225</v>
      </c>
      <c r="C78" s="484" t="s">
        <v>226</v>
      </c>
      <c r="D78" s="432" t="s">
        <v>227</v>
      </c>
      <c r="E78" s="432" t="s">
        <v>227</v>
      </c>
      <c r="F78" s="432" t="s">
        <v>228</v>
      </c>
      <c r="G78" s="432"/>
      <c r="H78" s="221"/>
      <c r="I78" s="221"/>
      <c r="J78" s="221"/>
      <c r="K78" s="434"/>
      <c r="L78" s="434"/>
      <c r="M78" s="434"/>
      <c r="N78" s="475"/>
      <c r="O78" s="497" t="s">
        <v>220</v>
      </c>
      <c r="P78" s="475"/>
      <c r="Q78" s="475"/>
      <c r="R78" s="475"/>
      <c r="S78" s="475"/>
      <c r="T78" s="475"/>
      <c r="U78" s="493"/>
      <c r="V78" s="501"/>
      <c r="W78" s="501"/>
      <c r="X78" s="501"/>
      <c r="Y78" s="501"/>
      <c r="Z78" s="501"/>
      <c r="AA78" s="501"/>
      <c r="AB78" s="501"/>
      <c r="AC78" s="501"/>
      <c r="AD78" s="501"/>
      <c r="AE78" s="501"/>
      <c r="AF78" s="501"/>
      <c r="AG78" s="501"/>
    </row>
    <row r="79" spans="1:33" s="68" customFormat="1">
      <c r="A79" s="429" t="s">
        <v>219</v>
      </c>
      <c r="B79" s="439" t="s">
        <v>229</v>
      </c>
      <c r="C79" s="484" t="s">
        <v>230</v>
      </c>
      <c r="D79" s="432" t="s">
        <v>223</v>
      </c>
      <c r="E79" s="432" t="s">
        <v>224</v>
      </c>
      <c r="F79" s="432" t="s">
        <v>231</v>
      </c>
      <c r="G79" s="432"/>
      <c r="H79" s="221"/>
      <c r="I79" s="221"/>
      <c r="J79" s="221"/>
      <c r="K79" s="434"/>
      <c r="L79" s="434"/>
      <c r="M79" s="434"/>
      <c r="N79" s="475"/>
      <c r="O79" s="475"/>
      <c r="P79" s="497"/>
      <c r="Q79" s="497"/>
      <c r="R79" s="497"/>
      <c r="S79" s="497"/>
      <c r="T79" s="497"/>
      <c r="U79" s="493"/>
      <c r="V79" s="493"/>
      <c r="W79" s="493"/>
      <c r="X79" s="493"/>
      <c r="Y79" s="501"/>
      <c r="Z79" s="501"/>
      <c r="AA79" s="501"/>
      <c r="AB79" s="501"/>
      <c r="AC79" s="501"/>
      <c r="AD79" s="501"/>
      <c r="AE79" s="501"/>
      <c r="AF79" s="501"/>
      <c r="AG79" s="501"/>
    </row>
    <row r="80" spans="1:33" s="68" customFormat="1">
      <c r="A80" s="429" t="s">
        <v>219</v>
      </c>
      <c r="B80" s="429" t="str">
        <f>PEP!C52</f>
        <v>2.1.2.2</v>
      </c>
      <c r="C80" s="445" t="str">
        <f>PEP!D52</f>
        <v>Cursos de Formación o Capacitación en Oficios</v>
      </c>
      <c r="D80" s="432" t="s">
        <v>232</v>
      </c>
      <c r="E80" s="432" t="s">
        <v>224</v>
      </c>
      <c r="F80" s="432"/>
      <c r="G80" s="432"/>
      <c r="H80" s="221"/>
      <c r="I80" s="221"/>
      <c r="J80" s="221">
        <f>+PEP!F52</f>
        <v>593465.50324002723</v>
      </c>
      <c r="K80" s="434"/>
      <c r="L80" s="434"/>
      <c r="M80" s="497"/>
      <c r="N80" s="497"/>
      <c r="O80" s="497"/>
      <c r="P80" s="497"/>
      <c r="Q80" s="497"/>
      <c r="R80" s="475"/>
      <c r="S80" s="475"/>
      <c r="T80" s="497"/>
      <c r="U80" s="497"/>
      <c r="V80" s="493"/>
      <c r="W80" s="497"/>
      <c r="X80" s="497"/>
      <c r="Y80" s="497"/>
      <c r="Z80" s="497"/>
      <c r="AA80" s="501"/>
      <c r="AB80" s="501"/>
      <c r="AC80" s="501"/>
      <c r="AD80" s="501"/>
      <c r="AE80" s="501"/>
      <c r="AF80" s="501"/>
      <c r="AG80" s="501"/>
    </row>
    <row r="81" spans="1:33" s="68" customFormat="1" ht="31.5">
      <c r="A81" s="429" t="s">
        <v>219</v>
      </c>
      <c r="B81" s="429" t="str">
        <f>PEP!C53</f>
        <v>2.1.2.3</v>
      </c>
      <c r="C81" s="445" t="str">
        <f>PEP!D53</f>
        <v>Formación Laboral con Continuidad de Estudios en Educación Técnica Profesional en Centros de Formación Técnica o Institutos Profesionales</v>
      </c>
      <c r="D81" s="432" t="s">
        <v>233</v>
      </c>
      <c r="E81" s="432" t="s">
        <v>224</v>
      </c>
      <c r="F81" s="432"/>
      <c r="G81" s="432"/>
      <c r="H81" s="221"/>
      <c r="I81" s="221"/>
      <c r="J81" s="221">
        <f>+PEP!F53</f>
        <v>196531.26501930758</v>
      </c>
      <c r="K81" s="434"/>
      <c r="L81" s="497"/>
      <c r="M81" s="497"/>
      <c r="N81" s="497"/>
      <c r="O81" s="434"/>
      <c r="P81" s="434"/>
      <c r="Q81" s="434"/>
      <c r="R81" s="434"/>
      <c r="S81" s="434"/>
      <c r="T81" s="497"/>
      <c r="U81" s="501"/>
      <c r="V81" s="501"/>
      <c r="W81" s="501"/>
      <c r="X81" s="501"/>
      <c r="Y81" s="501"/>
      <c r="Z81" s="501"/>
      <c r="AA81" s="501"/>
      <c r="AB81" s="501"/>
      <c r="AC81" s="501"/>
      <c r="AD81" s="501"/>
      <c r="AE81" s="501"/>
      <c r="AF81" s="501"/>
      <c r="AG81" s="501"/>
    </row>
    <row r="82" spans="1:33" s="68" customFormat="1" ht="31.5">
      <c r="A82" s="429" t="s">
        <v>219</v>
      </c>
      <c r="B82" s="429" t="str">
        <f>PEP!C54</f>
        <v>2.1.2.4</v>
      </c>
      <c r="C82" s="445" t="str">
        <f>PEP!D54</f>
        <v xml:space="preserve">Formación de capital humano en sectores emergentes. Cursos orientados al cierre de brechas del sector de economías creativas “Exportación de Servicios Creativos” </v>
      </c>
      <c r="D82" s="432"/>
      <c r="E82" s="432"/>
      <c r="F82" s="432"/>
      <c r="G82" s="432"/>
      <c r="H82" s="221"/>
      <c r="I82" s="221"/>
      <c r="J82" s="221">
        <f>+PEP!F54</f>
        <v>20674.673097001938</v>
      </c>
      <c r="K82" s="434"/>
      <c r="L82" s="434"/>
      <c r="M82" s="434"/>
      <c r="N82" s="434"/>
      <c r="O82" s="434"/>
      <c r="P82" s="475"/>
      <c r="Q82" s="475"/>
      <c r="R82" s="475"/>
      <c r="S82" s="497"/>
      <c r="T82" s="497"/>
      <c r="U82" s="493"/>
      <c r="V82" s="501"/>
      <c r="W82" s="501"/>
      <c r="X82" s="501"/>
      <c r="Y82" s="501"/>
      <c r="Z82" s="501"/>
      <c r="AA82" s="501"/>
      <c r="AB82" s="501"/>
      <c r="AC82" s="501"/>
      <c r="AD82" s="501"/>
      <c r="AE82" s="501"/>
      <c r="AF82" s="501"/>
      <c r="AG82" s="501"/>
    </row>
    <row r="83" spans="1:33" s="68" customFormat="1">
      <c r="A83" s="429" t="s">
        <v>219</v>
      </c>
      <c r="B83" s="429" t="str">
        <f>PEP!C55</f>
        <v>2.1.2.5</v>
      </c>
      <c r="C83" s="502" t="s">
        <v>234</v>
      </c>
      <c r="D83" s="432"/>
      <c r="E83" s="432"/>
      <c r="F83" s="432"/>
      <c r="G83" s="432"/>
      <c r="H83" s="221"/>
      <c r="I83" s="221"/>
      <c r="J83" s="221"/>
      <c r="K83" s="434"/>
      <c r="L83" s="434"/>
      <c r="M83" s="434"/>
      <c r="N83" s="434"/>
      <c r="O83" s="434"/>
      <c r="P83" s="475"/>
      <c r="Q83" s="475"/>
      <c r="R83" s="475"/>
      <c r="S83" s="497"/>
      <c r="T83" s="497"/>
      <c r="U83" s="493"/>
      <c r="V83" s="501"/>
      <c r="W83" s="501"/>
      <c r="X83" s="503" t="s">
        <v>141</v>
      </c>
      <c r="Y83" s="503" t="s">
        <v>141</v>
      </c>
      <c r="Z83" s="503" t="s">
        <v>141</v>
      </c>
      <c r="AA83" s="503" t="s">
        <v>141</v>
      </c>
      <c r="AB83" s="503" t="s">
        <v>141</v>
      </c>
      <c r="AC83" s="503" t="s">
        <v>141</v>
      </c>
      <c r="AD83" s="503" t="s">
        <v>141</v>
      </c>
      <c r="AE83" s="503" t="s">
        <v>141</v>
      </c>
      <c r="AF83" s="501"/>
      <c r="AG83" s="501"/>
    </row>
    <row r="84" spans="1:33" s="66" customFormat="1" ht="31.5">
      <c r="A84" s="442"/>
      <c r="B84" s="504" t="str">
        <f>PEP!C56</f>
        <v>2.1.3.</v>
      </c>
      <c r="C84" s="505" t="str">
        <f>PEP!D56</f>
        <v xml:space="preserve">Programa de Articulación de Oferta y Atracción de Demanda para el desarrollo de talento humano para el sector de servicios globales. </v>
      </c>
      <c r="D84" s="444"/>
      <c r="E84" s="444" t="s">
        <v>224</v>
      </c>
      <c r="F84" s="444"/>
      <c r="G84" s="444"/>
      <c r="H84" s="421">
        <f>+PEP!E56</f>
        <v>900000</v>
      </c>
      <c r="I84" s="421"/>
      <c r="J84" s="421">
        <f>+PEP!F56</f>
        <v>57220.287044863187</v>
      </c>
      <c r="K84" s="427"/>
      <c r="L84" s="427"/>
      <c r="M84" s="427"/>
      <c r="N84" s="469"/>
      <c r="O84" s="469"/>
      <c r="P84" s="469"/>
      <c r="Q84" s="469"/>
      <c r="R84" s="469"/>
      <c r="S84" s="469"/>
      <c r="T84" s="469"/>
      <c r="U84" s="469"/>
      <c r="V84" s="491"/>
      <c r="W84" s="491"/>
      <c r="X84" s="491"/>
      <c r="Y84" s="491"/>
      <c r="Z84" s="491"/>
      <c r="AA84" s="491"/>
      <c r="AB84" s="491"/>
      <c r="AC84" s="491"/>
      <c r="AD84" s="491"/>
      <c r="AE84" s="491"/>
      <c r="AF84" s="491"/>
      <c r="AG84" s="491"/>
    </row>
    <row r="85" spans="1:33" s="56" customFormat="1">
      <c r="A85" s="429" t="s">
        <v>14</v>
      </c>
      <c r="B85" s="430" t="s">
        <v>235</v>
      </c>
      <c r="C85" s="498" t="s">
        <v>236</v>
      </c>
      <c r="D85" s="432"/>
      <c r="E85" s="432"/>
      <c r="F85" s="432"/>
      <c r="G85" s="432"/>
      <c r="H85" s="220"/>
      <c r="I85" s="221"/>
      <c r="J85" s="220">
        <v>69562.528984387085</v>
      </c>
      <c r="K85" s="506"/>
      <c r="L85" s="506"/>
      <c r="M85" s="506"/>
      <c r="N85" s="507"/>
      <c r="O85" s="507"/>
      <c r="P85" s="507"/>
      <c r="Q85" s="507"/>
      <c r="R85" s="498"/>
      <c r="S85" s="498"/>
      <c r="T85" s="498"/>
      <c r="U85" s="499"/>
      <c r="V85" s="508"/>
      <c r="W85" s="508"/>
      <c r="X85" s="508"/>
      <c r="Y85" s="508"/>
      <c r="Z85" s="508"/>
      <c r="AA85" s="508"/>
      <c r="AB85" s="508"/>
      <c r="AC85" s="508"/>
      <c r="AD85" s="508"/>
      <c r="AE85" s="508"/>
      <c r="AF85" s="508"/>
      <c r="AG85" s="508"/>
    </row>
    <row r="86" spans="1:33" s="56" customFormat="1">
      <c r="A86" s="429" t="s">
        <v>14</v>
      </c>
      <c r="B86" s="439" t="s">
        <v>237</v>
      </c>
      <c r="C86" s="484" t="s">
        <v>238</v>
      </c>
      <c r="D86" s="432" t="s">
        <v>224</v>
      </c>
      <c r="E86" s="432" t="s">
        <v>239</v>
      </c>
      <c r="F86" s="432"/>
      <c r="G86" s="432"/>
      <c r="H86" s="220"/>
      <c r="I86" s="221"/>
      <c r="J86" s="220"/>
      <c r="K86" s="506"/>
      <c r="L86" s="506"/>
      <c r="M86" s="506"/>
      <c r="N86" s="497" t="s">
        <v>220</v>
      </c>
      <c r="O86" s="497"/>
      <c r="P86" s="497"/>
      <c r="Q86" s="497"/>
      <c r="R86" s="498"/>
      <c r="S86" s="498"/>
      <c r="T86" s="498"/>
      <c r="U86" s="499"/>
      <c r="V86" s="508"/>
      <c r="W86" s="508"/>
      <c r="X86" s="508"/>
      <c r="Y86" s="508"/>
      <c r="Z86" s="508"/>
      <c r="AA86" s="508"/>
      <c r="AB86" s="508"/>
      <c r="AC86" s="508"/>
      <c r="AD86" s="508"/>
      <c r="AE86" s="508"/>
      <c r="AF86" s="508"/>
      <c r="AG86" s="508"/>
    </row>
    <row r="87" spans="1:33" s="56" customFormat="1">
      <c r="A87" s="429" t="s">
        <v>14</v>
      </c>
      <c r="B87" s="439" t="s">
        <v>240</v>
      </c>
      <c r="C87" s="484" t="s">
        <v>241</v>
      </c>
      <c r="D87" s="432" t="s">
        <v>239</v>
      </c>
      <c r="E87" s="432"/>
      <c r="F87" s="432"/>
      <c r="G87" s="432"/>
      <c r="H87" s="220"/>
      <c r="I87" s="221"/>
      <c r="J87" s="220"/>
      <c r="K87" s="506"/>
      <c r="L87" s="506"/>
      <c r="M87" s="506"/>
      <c r="N87" s="498"/>
      <c r="O87" s="497" t="s">
        <v>220</v>
      </c>
      <c r="P87" s="497" t="s">
        <v>220</v>
      </c>
      <c r="Q87" s="498"/>
      <c r="R87" s="498"/>
      <c r="S87" s="498"/>
      <c r="T87" s="498"/>
      <c r="U87" s="499"/>
      <c r="V87" s="508"/>
      <c r="W87" s="508"/>
      <c r="X87" s="508"/>
      <c r="Y87" s="508"/>
      <c r="Z87" s="508"/>
      <c r="AA87" s="508"/>
      <c r="AB87" s="508"/>
      <c r="AC87" s="508"/>
      <c r="AD87" s="508"/>
      <c r="AE87" s="508"/>
      <c r="AF87" s="508"/>
      <c r="AG87" s="508"/>
    </row>
    <row r="88" spans="1:33" s="56" customFormat="1">
      <c r="A88" s="429" t="s">
        <v>14</v>
      </c>
      <c r="B88" s="439" t="s">
        <v>242</v>
      </c>
      <c r="C88" s="498" t="s">
        <v>243</v>
      </c>
      <c r="D88" s="432"/>
      <c r="E88" s="432"/>
      <c r="F88" s="432"/>
      <c r="G88" s="432"/>
      <c r="H88" s="220"/>
      <c r="I88" s="221"/>
      <c r="J88" s="220">
        <v>0</v>
      </c>
      <c r="K88" s="506"/>
      <c r="L88" s="506"/>
      <c r="M88" s="506"/>
      <c r="N88" s="498"/>
      <c r="O88" s="497"/>
      <c r="P88" s="498"/>
      <c r="Q88" s="498"/>
      <c r="R88" s="498"/>
      <c r="S88" s="498"/>
      <c r="T88" s="498"/>
      <c r="U88" s="499"/>
      <c r="V88" s="508"/>
      <c r="W88" s="508"/>
      <c r="X88" s="508"/>
      <c r="Y88" s="508"/>
      <c r="Z88" s="508"/>
      <c r="AA88" s="508"/>
      <c r="AB88" s="508"/>
      <c r="AC88" s="508"/>
      <c r="AD88" s="508"/>
      <c r="AE88" s="508"/>
      <c r="AF88" s="508"/>
      <c r="AG88" s="508"/>
    </row>
    <row r="89" spans="1:33" s="56" customFormat="1">
      <c r="A89" s="429" t="s">
        <v>14</v>
      </c>
      <c r="B89" s="439" t="s">
        <v>244</v>
      </c>
      <c r="C89" s="484" t="s">
        <v>245</v>
      </c>
      <c r="D89" s="432" t="s">
        <v>246</v>
      </c>
      <c r="E89" s="432" t="s">
        <v>247</v>
      </c>
      <c r="F89" s="432" t="s">
        <v>224</v>
      </c>
      <c r="G89" s="432"/>
      <c r="H89" s="220"/>
      <c r="I89" s="221"/>
      <c r="J89" s="220"/>
      <c r="K89" s="506"/>
      <c r="L89" s="506"/>
      <c r="M89" s="506"/>
      <c r="N89" s="498"/>
      <c r="O89" s="497"/>
      <c r="P89" s="498"/>
      <c r="Q89" s="498"/>
      <c r="R89" s="498"/>
      <c r="S89" s="498"/>
      <c r="T89" s="498"/>
      <c r="U89" s="499"/>
      <c r="V89" s="508"/>
      <c r="W89" s="508"/>
      <c r="X89" s="508"/>
      <c r="Y89" s="508"/>
      <c r="Z89" s="508"/>
      <c r="AA89" s="508"/>
      <c r="AB89" s="508"/>
      <c r="AC89" s="508"/>
      <c r="AD89" s="508"/>
      <c r="AE89" s="508"/>
      <c r="AF89" s="508"/>
      <c r="AG89" s="508"/>
    </row>
    <row r="90" spans="1:33" s="56" customFormat="1">
      <c r="A90" s="429" t="s">
        <v>14</v>
      </c>
      <c r="B90" s="439" t="s">
        <v>248</v>
      </c>
      <c r="C90" s="484" t="s">
        <v>249</v>
      </c>
      <c r="D90" s="432" t="s">
        <v>247</v>
      </c>
      <c r="E90" s="432" t="s">
        <v>246</v>
      </c>
      <c r="F90" s="432"/>
      <c r="G90" s="432"/>
      <c r="H90" s="220"/>
      <c r="I90" s="221"/>
      <c r="J90" s="220"/>
      <c r="K90" s="506"/>
      <c r="L90" s="506"/>
      <c r="M90" s="506"/>
      <c r="N90" s="498"/>
      <c r="O90" s="497" t="s">
        <v>220</v>
      </c>
      <c r="P90" s="498"/>
      <c r="Q90" s="498"/>
      <c r="R90" s="498"/>
      <c r="S90" s="498"/>
      <c r="T90" s="498"/>
      <c r="U90" s="499"/>
      <c r="V90" s="508"/>
      <c r="W90" s="508"/>
      <c r="X90" s="508"/>
      <c r="Y90" s="508"/>
      <c r="Z90" s="508"/>
      <c r="AA90" s="508"/>
      <c r="AB90" s="508"/>
      <c r="AC90" s="508"/>
      <c r="AD90" s="508"/>
      <c r="AE90" s="508"/>
      <c r="AF90" s="508"/>
      <c r="AG90" s="508"/>
    </row>
    <row r="91" spans="1:33" s="56" customFormat="1">
      <c r="A91" s="429" t="s">
        <v>14</v>
      </c>
      <c r="B91" s="439" t="s">
        <v>250</v>
      </c>
      <c r="C91" s="508" t="s">
        <v>203</v>
      </c>
      <c r="D91" s="432"/>
      <c r="E91" s="432"/>
      <c r="F91" s="432"/>
      <c r="G91" s="432"/>
      <c r="H91" s="220"/>
      <c r="I91" s="221"/>
      <c r="J91" s="220">
        <v>0</v>
      </c>
      <c r="K91" s="506"/>
      <c r="L91" s="506"/>
      <c r="M91" s="506"/>
      <c r="N91" s="497" t="s">
        <v>220</v>
      </c>
      <c r="O91" s="497" t="s">
        <v>220</v>
      </c>
      <c r="P91" s="497"/>
      <c r="Q91" s="497"/>
      <c r="R91" s="498"/>
      <c r="S91" s="498"/>
      <c r="T91" s="498"/>
      <c r="U91" s="499"/>
      <c r="V91" s="508"/>
      <c r="W91" s="508"/>
      <c r="X91" s="508"/>
      <c r="Y91" s="508"/>
      <c r="Z91" s="508"/>
      <c r="AA91" s="508"/>
      <c r="AB91" s="508"/>
      <c r="AC91" s="508"/>
      <c r="AD91" s="508"/>
      <c r="AE91" s="508"/>
      <c r="AF91" s="508"/>
      <c r="AG91" s="508"/>
    </row>
    <row r="92" spans="1:33" s="56" customFormat="1">
      <c r="A92" s="429" t="s">
        <v>14</v>
      </c>
      <c r="B92" s="439" t="s">
        <v>251</v>
      </c>
      <c r="C92" s="484" t="s">
        <v>252</v>
      </c>
      <c r="D92" s="432" t="s">
        <v>224</v>
      </c>
      <c r="E92" s="432" t="s">
        <v>253</v>
      </c>
      <c r="F92" s="432"/>
      <c r="G92" s="432"/>
      <c r="H92" s="220"/>
      <c r="I92" s="221"/>
      <c r="J92" s="220"/>
      <c r="K92" s="506"/>
      <c r="L92" s="506"/>
      <c r="M92" s="506"/>
      <c r="N92" s="497" t="s">
        <v>220</v>
      </c>
      <c r="O92" s="497"/>
      <c r="P92" s="497"/>
      <c r="Q92" s="498"/>
      <c r="R92" s="498"/>
      <c r="S92" s="498"/>
      <c r="T92" s="498"/>
      <c r="U92" s="499"/>
      <c r="V92" s="508"/>
      <c r="W92" s="508"/>
      <c r="X92" s="508"/>
      <c r="Y92" s="508"/>
      <c r="Z92" s="508"/>
      <c r="AA92" s="508"/>
      <c r="AB92" s="508"/>
      <c r="AC92" s="508"/>
      <c r="AD92" s="508"/>
      <c r="AE92" s="508"/>
      <c r="AF92" s="508"/>
      <c r="AG92" s="508"/>
    </row>
    <row r="93" spans="1:33" s="56" customFormat="1">
      <c r="A93" s="429" t="s">
        <v>14</v>
      </c>
      <c r="B93" s="439" t="s">
        <v>254</v>
      </c>
      <c r="C93" s="484" t="s">
        <v>255</v>
      </c>
      <c r="D93" s="432"/>
      <c r="E93" s="432"/>
      <c r="F93" s="432"/>
      <c r="G93" s="432"/>
      <c r="H93" s="220"/>
      <c r="I93" s="221"/>
      <c r="J93" s="220"/>
      <c r="K93" s="506"/>
      <c r="L93" s="506"/>
      <c r="M93" s="506"/>
      <c r="N93" s="498"/>
      <c r="O93" s="498"/>
      <c r="P93" s="497"/>
      <c r="Q93" s="498"/>
      <c r="R93" s="498"/>
      <c r="S93" s="498"/>
      <c r="T93" s="498"/>
      <c r="U93" s="499"/>
      <c r="V93" s="508"/>
      <c r="W93" s="508"/>
      <c r="X93" s="508"/>
      <c r="Y93" s="508"/>
      <c r="Z93" s="508"/>
      <c r="AA93" s="508"/>
      <c r="AB93" s="508"/>
      <c r="AC93" s="508"/>
      <c r="AD93" s="508"/>
      <c r="AE93" s="508"/>
      <c r="AF93" s="508"/>
      <c r="AG93" s="508"/>
    </row>
    <row r="94" spans="1:33" s="56" customFormat="1">
      <c r="A94" s="429" t="s">
        <v>14</v>
      </c>
      <c r="B94" s="439" t="s">
        <v>256</v>
      </c>
      <c r="C94" s="484" t="s">
        <v>257</v>
      </c>
      <c r="D94" s="432" t="s">
        <v>258</v>
      </c>
      <c r="E94" s="432" t="s">
        <v>224</v>
      </c>
      <c r="F94" s="432"/>
      <c r="G94" s="432"/>
      <c r="H94" s="220"/>
      <c r="I94" s="221"/>
      <c r="J94" s="220"/>
      <c r="K94" s="506"/>
      <c r="L94" s="506"/>
      <c r="M94" s="506"/>
      <c r="N94" s="498"/>
      <c r="O94" s="498"/>
      <c r="P94" s="497" t="s">
        <v>220</v>
      </c>
      <c r="Q94" s="497"/>
      <c r="R94" s="498"/>
      <c r="S94" s="498"/>
      <c r="T94" s="498"/>
      <c r="U94" s="499"/>
      <c r="V94" s="508"/>
      <c r="W94" s="508"/>
      <c r="X94" s="508"/>
      <c r="Y94" s="508"/>
      <c r="Z94" s="508"/>
      <c r="AA94" s="508"/>
      <c r="AB94" s="508"/>
      <c r="AC94" s="508"/>
      <c r="AD94" s="508"/>
      <c r="AE94" s="508"/>
      <c r="AF94" s="508"/>
      <c r="AG94" s="508"/>
    </row>
    <row r="95" spans="1:33" s="56" customFormat="1">
      <c r="A95" s="429" t="s">
        <v>14</v>
      </c>
      <c r="B95" s="439" t="s">
        <v>259</v>
      </c>
      <c r="C95" s="498" t="s">
        <v>260</v>
      </c>
      <c r="D95" s="432"/>
      <c r="E95" s="432"/>
      <c r="F95" s="432"/>
      <c r="G95" s="432"/>
      <c r="H95" s="220"/>
      <c r="I95" s="221"/>
      <c r="J95" s="220">
        <v>92751</v>
      </c>
      <c r="K95" s="506"/>
      <c r="L95" s="506"/>
      <c r="M95" s="506"/>
      <c r="N95" s="497"/>
      <c r="O95" s="497"/>
      <c r="P95" s="497"/>
      <c r="Q95" s="497"/>
      <c r="R95" s="509">
        <v>18550</v>
      </c>
      <c r="S95" s="497"/>
      <c r="T95" s="510">
        <v>32463</v>
      </c>
      <c r="U95" s="499"/>
      <c r="V95" s="508"/>
      <c r="W95" s="508"/>
      <c r="X95" s="508"/>
      <c r="Y95" s="508"/>
      <c r="Z95" s="508"/>
      <c r="AA95" s="508"/>
      <c r="AB95" s="508"/>
      <c r="AC95" s="508"/>
      <c r="AD95" s="508"/>
      <c r="AE95" s="508"/>
      <c r="AF95" s="508"/>
      <c r="AG95" s="508"/>
    </row>
    <row r="96" spans="1:33" s="56" customFormat="1">
      <c r="A96" s="429" t="s">
        <v>14</v>
      </c>
      <c r="B96" s="439" t="s">
        <v>261</v>
      </c>
      <c r="C96" s="484" t="s">
        <v>262</v>
      </c>
      <c r="D96" s="432" t="s">
        <v>224</v>
      </c>
      <c r="E96" s="432" t="s">
        <v>253</v>
      </c>
      <c r="F96" s="432"/>
      <c r="G96" s="432"/>
      <c r="H96" s="220"/>
      <c r="I96" s="221"/>
      <c r="J96" s="220"/>
      <c r="K96" s="506"/>
      <c r="L96" s="506"/>
      <c r="M96" s="506"/>
      <c r="N96" s="497" t="s">
        <v>220</v>
      </c>
      <c r="O96" s="497" t="s">
        <v>220</v>
      </c>
      <c r="P96" s="498"/>
      <c r="Q96" s="498"/>
      <c r="R96" s="498"/>
      <c r="S96" s="498"/>
      <c r="T96" s="498"/>
      <c r="U96" s="499"/>
      <c r="V96" s="508"/>
      <c r="W96" s="508"/>
      <c r="X96" s="508"/>
      <c r="Y96" s="508"/>
      <c r="Z96" s="508"/>
      <c r="AA96" s="508"/>
      <c r="AB96" s="508"/>
      <c r="AC96" s="508"/>
      <c r="AD96" s="508"/>
      <c r="AE96" s="508"/>
      <c r="AF96" s="508"/>
      <c r="AG96" s="508"/>
    </row>
    <row r="97" spans="1:33" s="56" customFormat="1">
      <c r="A97" s="429" t="s">
        <v>14</v>
      </c>
      <c r="B97" s="439" t="s">
        <v>263</v>
      </c>
      <c r="C97" s="484" t="s">
        <v>264</v>
      </c>
      <c r="D97" s="432" t="s">
        <v>227</v>
      </c>
      <c r="E97" s="432" t="s">
        <v>224</v>
      </c>
      <c r="F97" s="432"/>
      <c r="G97" s="432"/>
      <c r="H97" s="220"/>
      <c r="I97" s="221"/>
      <c r="J97" s="220"/>
      <c r="K97" s="506"/>
      <c r="L97" s="506"/>
      <c r="M97" s="506"/>
      <c r="N97" s="498"/>
      <c r="O97" s="498"/>
      <c r="P97" s="497"/>
      <c r="Q97" s="497"/>
      <c r="R97" s="509"/>
      <c r="S97" s="497"/>
      <c r="T97" s="510"/>
      <c r="U97" s="499"/>
      <c r="V97" s="508"/>
      <c r="W97" s="508"/>
      <c r="X97" s="508"/>
      <c r="Y97" s="508"/>
      <c r="Z97" s="508"/>
      <c r="AA97" s="508"/>
      <c r="AB97" s="508"/>
      <c r="AC97" s="508"/>
      <c r="AD97" s="508"/>
      <c r="AE97" s="508"/>
      <c r="AF97" s="508"/>
      <c r="AG97" s="508"/>
    </row>
    <row r="98" spans="1:33" s="56" customFormat="1">
      <c r="A98" s="429" t="s">
        <v>14</v>
      </c>
      <c r="B98" s="439" t="s">
        <v>265</v>
      </c>
      <c r="C98" s="445" t="s">
        <v>266</v>
      </c>
      <c r="D98" s="432"/>
      <c r="E98" s="432"/>
      <c r="F98" s="432"/>
      <c r="G98" s="432"/>
      <c r="H98" s="220"/>
      <c r="I98" s="221"/>
      <c r="J98" s="220">
        <v>30916</v>
      </c>
      <c r="K98" s="506"/>
      <c r="L98" s="506"/>
      <c r="M98" s="506"/>
      <c r="N98" s="498"/>
      <c r="O98" s="498"/>
      <c r="P98" s="497"/>
      <c r="Q98" s="497"/>
      <c r="R98" s="497"/>
      <c r="S98" s="497"/>
      <c r="T98" s="510"/>
      <c r="U98" s="499"/>
      <c r="V98" s="508"/>
      <c r="W98" s="508"/>
      <c r="X98" s="508"/>
      <c r="Y98" s="508"/>
      <c r="Z98" s="508"/>
      <c r="AA98" s="508"/>
      <c r="AB98" s="508"/>
      <c r="AC98" s="508"/>
      <c r="AD98" s="508"/>
      <c r="AE98" s="508"/>
      <c r="AF98" s="508"/>
      <c r="AG98" s="508"/>
    </row>
    <row r="99" spans="1:33" s="56" customFormat="1">
      <c r="A99" s="429" t="s">
        <v>14</v>
      </c>
      <c r="B99" s="439" t="s">
        <v>267</v>
      </c>
      <c r="C99" s="484" t="s">
        <v>268</v>
      </c>
      <c r="D99" s="432" t="s">
        <v>224</v>
      </c>
      <c r="E99" s="432" t="s">
        <v>239</v>
      </c>
      <c r="F99" s="432"/>
      <c r="G99" s="432"/>
      <c r="H99" s="220"/>
      <c r="I99" s="221"/>
      <c r="J99" s="220"/>
      <c r="K99" s="506"/>
      <c r="L99" s="506"/>
      <c r="M99" s="506"/>
      <c r="N99" s="498"/>
      <c r="O99" s="498"/>
      <c r="P99" s="497"/>
      <c r="Q99" s="497"/>
      <c r="R99" s="497"/>
      <c r="S99" s="497"/>
      <c r="T99" s="497"/>
      <c r="U99" s="499"/>
      <c r="V99" s="508"/>
      <c r="W99" s="508"/>
      <c r="X99" s="508"/>
      <c r="Y99" s="508"/>
      <c r="Z99" s="508"/>
      <c r="AA99" s="508"/>
      <c r="AB99" s="508"/>
      <c r="AC99" s="508"/>
      <c r="AD99" s="508"/>
      <c r="AE99" s="508"/>
      <c r="AF99" s="508"/>
      <c r="AG99" s="508"/>
    </row>
    <row r="100" spans="1:33" s="56" customFormat="1">
      <c r="A100" s="429" t="s">
        <v>14</v>
      </c>
      <c r="B100" s="439" t="s">
        <v>269</v>
      </c>
      <c r="C100" s="484" t="s">
        <v>270</v>
      </c>
      <c r="D100" s="432" t="s">
        <v>224</v>
      </c>
      <c r="E100" s="432"/>
      <c r="F100" s="432" t="s">
        <v>271</v>
      </c>
      <c r="G100" s="432"/>
      <c r="H100" s="220"/>
      <c r="I100" s="221"/>
      <c r="J100" s="220"/>
      <c r="K100" s="220"/>
      <c r="L100" s="220"/>
      <c r="M100" s="220"/>
      <c r="N100" s="498"/>
      <c r="O100" s="498"/>
      <c r="P100" s="497"/>
      <c r="Q100" s="497"/>
      <c r="R100" s="497"/>
      <c r="S100" s="497"/>
      <c r="T100" s="497"/>
      <c r="U100" s="499"/>
      <c r="V100" s="508"/>
      <c r="W100" s="508"/>
      <c r="X100" s="508"/>
      <c r="Y100" s="508"/>
      <c r="Z100" s="508"/>
      <c r="AA100" s="508"/>
      <c r="AB100" s="508"/>
      <c r="AC100" s="508"/>
      <c r="AD100" s="508"/>
      <c r="AE100" s="508"/>
      <c r="AF100" s="508"/>
      <c r="AG100" s="508"/>
    </row>
    <row r="101" spans="1:33" s="56" customFormat="1">
      <c r="A101" s="429" t="s">
        <v>14</v>
      </c>
      <c r="B101" s="439" t="s">
        <v>272</v>
      </c>
      <c r="C101" s="445" t="s">
        <v>273</v>
      </c>
      <c r="D101" s="432"/>
      <c r="E101" s="432"/>
      <c r="F101" s="432"/>
      <c r="G101" s="432"/>
      <c r="H101" s="220"/>
      <c r="I101" s="221"/>
      <c r="J101" s="220">
        <v>5410</v>
      </c>
      <c r="K101" s="220"/>
      <c r="L101" s="220"/>
      <c r="M101" s="220"/>
      <c r="N101" s="498"/>
      <c r="O101" s="498"/>
      <c r="P101" s="498"/>
      <c r="Q101" s="498"/>
      <c r="R101" s="498"/>
      <c r="S101" s="498"/>
      <c r="T101" s="497"/>
      <c r="U101" s="499"/>
      <c r="V101" s="508"/>
      <c r="W101" s="508"/>
      <c r="X101" s="508"/>
      <c r="Y101" s="508"/>
      <c r="Z101" s="508"/>
      <c r="AA101" s="508"/>
      <c r="AB101" s="508"/>
      <c r="AC101" s="508"/>
      <c r="AD101" s="508"/>
      <c r="AE101" s="508"/>
      <c r="AF101" s="508"/>
      <c r="AG101" s="508"/>
    </row>
    <row r="102" spans="1:33" s="56" customFormat="1">
      <c r="A102" s="429" t="s">
        <v>14</v>
      </c>
      <c r="B102" s="439" t="s">
        <v>274</v>
      </c>
      <c r="C102" s="445" t="s">
        <v>275</v>
      </c>
      <c r="D102" s="432"/>
      <c r="E102" s="432"/>
      <c r="F102" s="432"/>
      <c r="G102" s="432"/>
      <c r="H102" s="220"/>
      <c r="I102" s="221"/>
      <c r="J102" s="220">
        <v>2319</v>
      </c>
      <c r="K102" s="220"/>
      <c r="L102" s="220"/>
      <c r="M102" s="220"/>
      <c r="N102" s="498"/>
      <c r="O102" s="498"/>
      <c r="P102" s="498"/>
      <c r="Q102" s="498"/>
      <c r="R102" s="498"/>
      <c r="S102" s="507"/>
      <c r="T102" s="497"/>
      <c r="U102" s="499"/>
      <c r="V102" s="508"/>
      <c r="W102" s="508"/>
      <c r="X102" s="508"/>
      <c r="Y102" s="508"/>
      <c r="Z102" s="508"/>
      <c r="AA102" s="508"/>
      <c r="AB102" s="508"/>
      <c r="AC102" s="508"/>
      <c r="AD102" s="508"/>
      <c r="AE102" s="508"/>
      <c r="AF102" s="508"/>
      <c r="AG102" s="508"/>
    </row>
    <row r="103" spans="1:33" s="56" customFormat="1">
      <c r="A103" s="429" t="s">
        <v>14</v>
      </c>
      <c r="B103" s="439" t="s">
        <v>276</v>
      </c>
      <c r="C103" s="445" t="s">
        <v>277</v>
      </c>
      <c r="D103" s="432"/>
      <c r="E103" s="432"/>
      <c r="F103" s="432"/>
      <c r="G103" s="432"/>
      <c r="H103" s="220"/>
      <c r="I103" s="221"/>
      <c r="J103" s="220"/>
      <c r="K103" s="220"/>
      <c r="L103" s="220"/>
      <c r="M103" s="220"/>
      <c r="N103" s="498"/>
      <c r="O103" s="498"/>
      <c r="P103" s="498"/>
      <c r="Q103" s="498"/>
      <c r="R103" s="498"/>
      <c r="S103" s="507"/>
      <c r="T103" s="497"/>
      <c r="U103" s="499"/>
      <c r="V103" s="508"/>
      <c r="W103" s="508"/>
      <c r="X103" s="503" t="s">
        <v>141</v>
      </c>
      <c r="Y103" s="503" t="s">
        <v>141</v>
      </c>
      <c r="Z103" s="503" t="s">
        <v>141</v>
      </c>
      <c r="AA103" s="503" t="s">
        <v>141</v>
      </c>
      <c r="AB103" s="503" t="s">
        <v>141</v>
      </c>
      <c r="AC103" s="503" t="s">
        <v>141</v>
      </c>
      <c r="AD103" s="503" t="s">
        <v>141</v>
      </c>
      <c r="AE103" s="503" t="s">
        <v>141</v>
      </c>
      <c r="AF103" s="503" t="s">
        <v>141</v>
      </c>
      <c r="AG103" s="503" t="s">
        <v>141</v>
      </c>
    </row>
    <row r="104" spans="1:33" s="56" customFormat="1">
      <c r="A104" s="429" t="s">
        <v>14</v>
      </c>
      <c r="B104" s="439" t="s">
        <v>278</v>
      </c>
      <c r="C104" s="445" t="s">
        <v>279</v>
      </c>
      <c r="D104" s="432"/>
      <c r="E104" s="432"/>
      <c r="F104" s="432"/>
      <c r="G104" s="432"/>
      <c r="H104" s="220"/>
      <c r="I104" s="221"/>
      <c r="J104" s="220"/>
      <c r="K104" s="220"/>
      <c r="L104" s="220"/>
      <c r="M104" s="220"/>
      <c r="N104" s="498"/>
      <c r="O104" s="498"/>
      <c r="P104" s="498"/>
      <c r="Q104" s="498"/>
      <c r="R104" s="498"/>
      <c r="S104" s="507"/>
      <c r="T104" s="497"/>
      <c r="U104" s="499"/>
      <c r="V104" s="508"/>
      <c r="W104" s="508"/>
      <c r="X104" s="508"/>
      <c r="Y104" s="503" t="s">
        <v>141</v>
      </c>
      <c r="Z104" s="503" t="s">
        <v>141</v>
      </c>
      <c r="AA104" s="503" t="s">
        <v>141</v>
      </c>
      <c r="AB104" s="503" t="s">
        <v>141</v>
      </c>
      <c r="AC104" s="503" t="s">
        <v>141</v>
      </c>
      <c r="AD104" s="503" t="s">
        <v>141</v>
      </c>
      <c r="AE104" s="503" t="s">
        <v>141</v>
      </c>
      <c r="AF104" s="508"/>
      <c r="AG104" s="508"/>
    </row>
    <row r="105" spans="1:33" s="56" customFormat="1">
      <c r="A105" s="429" t="s">
        <v>14</v>
      </c>
      <c r="B105" s="439" t="s">
        <v>280</v>
      </c>
      <c r="C105" s="445" t="s">
        <v>281</v>
      </c>
      <c r="D105" s="432"/>
      <c r="E105" s="432"/>
      <c r="F105" s="432"/>
      <c r="G105" s="432"/>
      <c r="H105" s="220"/>
      <c r="I105" s="221"/>
      <c r="J105" s="220"/>
      <c r="K105" s="220"/>
      <c r="L105" s="220"/>
      <c r="M105" s="220"/>
      <c r="N105" s="498"/>
      <c r="O105" s="498"/>
      <c r="P105" s="498"/>
      <c r="Q105" s="498"/>
      <c r="R105" s="498"/>
      <c r="S105" s="507"/>
      <c r="T105" s="497"/>
      <c r="U105" s="499"/>
      <c r="V105" s="508"/>
      <c r="W105" s="508"/>
      <c r="X105" s="508"/>
      <c r="Y105" s="503" t="s">
        <v>141</v>
      </c>
      <c r="Z105" s="503" t="s">
        <v>141</v>
      </c>
      <c r="AA105" s="503" t="s">
        <v>141</v>
      </c>
      <c r="AB105" s="503" t="s">
        <v>141</v>
      </c>
      <c r="AC105" s="503" t="s">
        <v>141</v>
      </c>
      <c r="AD105" s="503" t="s">
        <v>141</v>
      </c>
      <c r="AE105" s="503" t="s">
        <v>141</v>
      </c>
      <c r="AF105" s="503" t="s">
        <v>141</v>
      </c>
      <c r="AG105" s="503" t="s">
        <v>141</v>
      </c>
    </row>
    <row r="106" spans="1:33" s="56" customFormat="1">
      <c r="A106" s="429"/>
      <c r="B106" s="439"/>
      <c r="C106" s="445"/>
      <c r="D106" s="432"/>
      <c r="E106" s="432"/>
      <c r="F106" s="432"/>
      <c r="G106" s="432"/>
      <c r="H106" s="220"/>
      <c r="I106" s="221"/>
      <c r="J106" s="220"/>
      <c r="K106" s="220"/>
      <c r="L106" s="220"/>
      <c r="M106" s="220"/>
      <c r="N106" s="498"/>
      <c r="O106" s="498"/>
      <c r="P106" s="498"/>
      <c r="Q106" s="498"/>
      <c r="R106" s="498"/>
      <c r="S106" s="507"/>
      <c r="T106" s="497"/>
      <c r="U106" s="499"/>
      <c r="V106" s="508"/>
      <c r="W106" s="508"/>
      <c r="X106" s="508"/>
      <c r="Y106" s="508"/>
      <c r="Z106" s="508"/>
      <c r="AA106" s="508"/>
      <c r="AB106" s="508"/>
      <c r="AC106" s="508"/>
      <c r="AD106" s="508"/>
      <c r="AE106" s="508"/>
      <c r="AF106" s="508"/>
      <c r="AG106" s="508"/>
    </row>
    <row r="107" spans="1:33" s="66" customFormat="1">
      <c r="A107" s="481"/>
      <c r="B107" s="511" t="str">
        <f>PEP!C62</f>
        <v>2.2</v>
      </c>
      <c r="C107" s="511" t="str">
        <f>PEP!D62</f>
        <v>Producto 2: Mecanismos de aseguramiento de calidad y pertinencia</v>
      </c>
      <c r="D107" s="444"/>
      <c r="E107" s="444"/>
      <c r="F107" s="444"/>
      <c r="G107" s="444"/>
      <c r="H107" s="421">
        <f>+H108</f>
        <v>420000</v>
      </c>
      <c r="I107" s="421"/>
      <c r="J107" s="421">
        <f>+J108</f>
        <v>130429.73864333183</v>
      </c>
      <c r="K107" s="421"/>
      <c r="L107" s="421"/>
      <c r="M107" s="421"/>
      <c r="N107" s="467"/>
      <c r="O107" s="467"/>
      <c r="P107" s="467"/>
      <c r="Q107" s="467"/>
      <c r="R107" s="467"/>
      <c r="S107" s="467"/>
      <c r="T107" s="467"/>
      <c r="U107" s="467"/>
      <c r="V107" s="491"/>
      <c r="W107" s="491"/>
      <c r="X107" s="491"/>
      <c r="Y107" s="491"/>
      <c r="Z107" s="491"/>
      <c r="AA107" s="491"/>
      <c r="AB107" s="491"/>
      <c r="AC107" s="491"/>
      <c r="AD107" s="491"/>
      <c r="AE107" s="491"/>
      <c r="AF107" s="491"/>
      <c r="AG107" s="491"/>
    </row>
    <row r="108" spans="1:33" s="62" customFormat="1">
      <c r="A108" s="442"/>
      <c r="B108" s="511" t="str">
        <f>PEP!C63</f>
        <v>2.2.1.</v>
      </c>
      <c r="C108" s="511" t="str">
        <f>PEP!D63</f>
        <v>Estudios estratégicos para asegurar la calidad y pertinencia de los cursos de capacitación</v>
      </c>
      <c r="D108" s="444"/>
      <c r="E108" s="444"/>
      <c r="F108" s="444"/>
      <c r="G108" s="444"/>
      <c r="H108" s="421">
        <f>+PEP!E63</f>
        <v>420000</v>
      </c>
      <c r="I108" s="421"/>
      <c r="J108" s="421">
        <f>+PEP!F63</f>
        <v>130429.73864333183</v>
      </c>
      <c r="K108" s="421"/>
      <c r="L108" s="421"/>
      <c r="M108" s="421"/>
      <c r="N108" s="426"/>
      <c r="O108" s="426"/>
      <c r="P108" s="426"/>
      <c r="Q108" s="426"/>
      <c r="R108" s="426"/>
      <c r="S108" s="426"/>
      <c r="T108" s="426"/>
      <c r="U108" s="426"/>
      <c r="V108" s="428"/>
      <c r="W108" s="428"/>
      <c r="X108" s="428"/>
      <c r="Y108" s="428"/>
      <c r="Z108" s="428"/>
      <c r="AA108" s="428"/>
      <c r="AB108" s="428"/>
      <c r="AC108" s="428"/>
      <c r="AD108" s="428"/>
      <c r="AE108" s="428"/>
      <c r="AF108" s="428"/>
      <c r="AG108" s="428"/>
    </row>
    <row r="109" spans="1:33" s="63" customFormat="1">
      <c r="A109" s="429" t="s">
        <v>14</v>
      </c>
      <c r="B109" s="455" t="str">
        <f>PEP!C64</f>
        <v>2.2.1.1</v>
      </c>
      <c r="C109" s="455" t="str">
        <f>PEP!D64</f>
        <v>Estudio de identificación de demanda y necesidades de capacitación en el sector de servicios globales</v>
      </c>
      <c r="D109" s="432"/>
      <c r="E109" s="432"/>
      <c r="F109" s="432"/>
      <c r="G109" s="432"/>
      <c r="H109" s="221"/>
      <c r="I109" s="221"/>
      <c r="J109" s="512">
        <f>+PEP!F64</f>
        <v>78224.697127894062</v>
      </c>
      <c r="K109" s="512"/>
      <c r="L109" s="512"/>
      <c r="M109" s="512"/>
      <c r="N109" s="513"/>
      <c r="O109" s="513"/>
      <c r="P109" s="513"/>
      <c r="Q109" s="513"/>
      <c r="R109" s="513"/>
      <c r="S109" s="513"/>
      <c r="T109" s="513"/>
      <c r="U109" s="514"/>
      <c r="V109" s="437"/>
      <c r="W109" s="437"/>
      <c r="X109" s="437"/>
      <c r="Y109" s="437"/>
      <c r="Z109" s="437"/>
      <c r="AA109" s="437"/>
      <c r="AB109" s="437"/>
      <c r="AC109" s="437"/>
      <c r="AD109" s="437"/>
      <c r="AE109" s="437"/>
      <c r="AF109" s="437"/>
      <c r="AG109" s="437"/>
    </row>
    <row r="110" spans="1:33" s="69" customFormat="1">
      <c r="A110" s="429" t="s">
        <v>14</v>
      </c>
      <c r="B110" s="439" t="s">
        <v>282</v>
      </c>
      <c r="C110" s="484" t="s">
        <v>283</v>
      </c>
      <c r="D110" s="432" t="s">
        <v>284</v>
      </c>
      <c r="E110" s="432" t="s">
        <v>224</v>
      </c>
      <c r="F110" s="432"/>
      <c r="G110" s="432"/>
      <c r="H110" s="221"/>
      <c r="I110" s="221"/>
      <c r="J110" s="512"/>
      <c r="K110" s="221"/>
      <c r="L110" s="221"/>
      <c r="M110" s="221"/>
      <c r="N110" s="515"/>
      <c r="O110" s="515"/>
      <c r="P110" s="516"/>
      <c r="Q110" s="516"/>
      <c r="R110" s="516"/>
      <c r="S110" s="516"/>
      <c r="T110" s="516"/>
      <c r="U110" s="517"/>
      <c r="V110" s="518"/>
      <c r="W110" s="518"/>
      <c r="X110" s="518"/>
      <c r="Y110" s="518"/>
      <c r="Z110" s="518"/>
      <c r="AA110" s="518"/>
      <c r="AB110" s="518"/>
      <c r="AC110" s="518"/>
      <c r="AD110" s="518"/>
      <c r="AE110" s="518"/>
      <c r="AF110" s="518"/>
      <c r="AG110" s="518"/>
    </row>
    <row r="111" spans="1:33" s="69" customFormat="1">
      <c r="A111" s="429" t="s">
        <v>14</v>
      </c>
      <c r="B111" s="439" t="s">
        <v>285</v>
      </c>
      <c r="C111" s="484" t="s">
        <v>286</v>
      </c>
      <c r="D111" s="432" t="s">
        <v>284</v>
      </c>
      <c r="E111" s="432" t="s">
        <v>224</v>
      </c>
      <c r="F111" s="432" t="s">
        <v>287</v>
      </c>
      <c r="G111" s="432"/>
      <c r="H111" s="221"/>
      <c r="I111" s="221"/>
      <c r="J111" s="221"/>
      <c r="K111" s="221"/>
      <c r="L111" s="221"/>
      <c r="M111" s="221"/>
      <c r="N111" s="515"/>
      <c r="O111" s="515"/>
      <c r="P111" s="516"/>
      <c r="Q111" s="516"/>
      <c r="R111" s="516"/>
      <c r="S111" s="516"/>
      <c r="T111" s="516"/>
      <c r="U111" s="517"/>
      <c r="V111" s="518"/>
      <c r="W111" s="518"/>
      <c r="X111" s="518"/>
      <c r="Y111" s="518"/>
      <c r="Z111" s="518"/>
      <c r="AA111" s="518"/>
      <c r="AB111" s="518"/>
      <c r="AC111" s="518"/>
      <c r="AD111" s="518"/>
      <c r="AE111" s="518"/>
      <c r="AF111" s="518"/>
      <c r="AG111" s="518"/>
    </row>
    <row r="112" spans="1:33" s="69" customFormat="1">
      <c r="A112" s="429" t="s">
        <v>14</v>
      </c>
      <c r="B112" s="439" t="s">
        <v>288</v>
      </c>
      <c r="C112" s="484" t="s">
        <v>289</v>
      </c>
      <c r="D112" s="432" t="s">
        <v>253</v>
      </c>
      <c r="E112" s="432" t="s">
        <v>290</v>
      </c>
      <c r="F112" s="432" t="s">
        <v>291</v>
      </c>
      <c r="G112" s="432"/>
      <c r="H112" s="221"/>
      <c r="I112" s="221"/>
      <c r="J112" s="221"/>
      <c r="K112" s="221"/>
      <c r="L112" s="221"/>
      <c r="M112" s="221"/>
      <c r="N112" s="516"/>
      <c r="O112" s="515"/>
      <c r="P112" s="515"/>
      <c r="Q112" s="515"/>
      <c r="R112" s="516"/>
      <c r="S112" s="516"/>
      <c r="T112" s="516"/>
      <c r="U112" s="517"/>
      <c r="V112" s="518"/>
      <c r="W112" s="518"/>
      <c r="X112" s="518"/>
      <c r="Y112" s="518"/>
      <c r="Z112" s="518"/>
      <c r="AA112" s="518"/>
      <c r="AB112" s="518"/>
      <c r="AC112" s="518"/>
      <c r="AD112" s="518"/>
      <c r="AE112" s="518"/>
      <c r="AF112" s="518"/>
      <c r="AG112" s="518"/>
    </row>
    <row r="113" spans="1:33" s="69" customFormat="1">
      <c r="A113" s="429" t="s">
        <v>14</v>
      </c>
      <c r="B113" s="439" t="s">
        <v>292</v>
      </c>
      <c r="C113" s="484" t="s">
        <v>293</v>
      </c>
      <c r="D113" s="432" t="s">
        <v>284</v>
      </c>
      <c r="E113" s="432" t="s">
        <v>224</v>
      </c>
      <c r="F113" s="432" t="s">
        <v>287</v>
      </c>
      <c r="G113" s="432"/>
      <c r="H113" s="221"/>
      <c r="I113" s="221"/>
      <c r="J113" s="221"/>
      <c r="K113" s="221"/>
      <c r="L113" s="221"/>
      <c r="M113" s="221"/>
      <c r="N113" s="516"/>
      <c r="O113" s="516"/>
      <c r="P113" s="516"/>
      <c r="Q113" s="515"/>
      <c r="R113" s="515"/>
      <c r="S113" s="515"/>
      <c r="T113" s="515"/>
      <c r="U113" s="517"/>
      <c r="V113" s="518"/>
      <c r="W113" s="518"/>
      <c r="X113" s="518"/>
      <c r="Y113" s="518"/>
      <c r="Z113" s="518"/>
      <c r="AA113" s="518"/>
      <c r="AB113" s="518"/>
      <c r="AC113" s="518"/>
      <c r="AD113" s="518"/>
      <c r="AE113" s="518"/>
      <c r="AF113" s="518"/>
      <c r="AG113" s="518"/>
    </row>
    <row r="114" spans="1:33" s="69" customFormat="1">
      <c r="A114" s="429" t="s">
        <v>14</v>
      </c>
      <c r="B114" s="439" t="s">
        <v>294</v>
      </c>
      <c r="C114" s="519" t="s">
        <v>295</v>
      </c>
      <c r="D114" s="432"/>
      <c r="E114" s="432"/>
      <c r="F114" s="432"/>
      <c r="G114" s="432"/>
      <c r="H114" s="221"/>
      <c r="I114" s="221"/>
      <c r="J114" s="221"/>
      <c r="K114" s="221"/>
      <c r="L114" s="221"/>
      <c r="M114" s="221"/>
      <c r="N114" s="516"/>
      <c r="O114" s="516"/>
      <c r="P114" s="516"/>
      <c r="Q114" s="515"/>
      <c r="R114" s="515"/>
      <c r="S114" s="515"/>
      <c r="T114" s="515"/>
      <c r="U114" s="517"/>
      <c r="V114" s="518"/>
      <c r="W114" s="518"/>
      <c r="X114" s="518"/>
      <c r="Y114" s="518"/>
      <c r="Z114" s="518"/>
      <c r="AA114" s="518"/>
      <c r="AB114" s="518"/>
      <c r="AC114" s="518"/>
      <c r="AD114" s="518"/>
      <c r="AE114" s="518"/>
      <c r="AF114" s="518"/>
      <c r="AG114" s="518"/>
    </row>
    <row r="115" spans="1:33" s="69" customFormat="1">
      <c r="A115" s="429" t="s">
        <v>14</v>
      </c>
      <c r="B115" s="439" t="s">
        <v>296</v>
      </c>
      <c r="C115" s="519" t="s">
        <v>297</v>
      </c>
      <c r="D115" s="432"/>
      <c r="E115" s="432"/>
      <c r="F115" s="432"/>
      <c r="G115" s="432"/>
      <c r="H115" s="221"/>
      <c r="I115" s="221"/>
      <c r="J115" s="221"/>
      <c r="K115" s="221"/>
      <c r="L115" s="221"/>
      <c r="M115" s="221"/>
      <c r="N115" s="516"/>
      <c r="O115" s="516"/>
      <c r="P115" s="516"/>
      <c r="Q115" s="515"/>
      <c r="R115" s="515"/>
      <c r="S115" s="515"/>
      <c r="T115" s="515"/>
      <c r="U115" s="517"/>
      <c r="V115" s="518"/>
      <c r="W115" s="518"/>
      <c r="X115" s="518"/>
      <c r="Y115" s="518"/>
      <c r="Z115" s="518"/>
      <c r="AA115" s="518"/>
      <c r="AB115" s="518"/>
      <c r="AC115" s="518"/>
      <c r="AD115" s="518"/>
      <c r="AE115" s="518"/>
      <c r="AF115" s="518"/>
      <c r="AG115" s="518"/>
    </row>
    <row r="116" spans="1:33" s="69" customFormat="1">
      <c r="A116" s="429" t="s">
        <v>14</v>
      </c>
      <c r="B116" s="439" t="s">
        <v>298</v>
      </c>
      <c r="C116" s="519" t="s">
        <v>299</v>
      </c>
      <c r="D116" s="432"/>
      <c r="E116" s="432"/>
      <c r="F116" s="432"/>
      <c r="G116" s="432"/>
      <c r="H116" s="221"/>
      <c r="I116" s="221"/>
      <c r="J116" s="221"/>
      <c r="K116" s="221"/>
      <c r="L116" s="221"/>
      <c r="M116" s="221"/>
      <c r="N116" s="516"/>
      <c r="O116" s="516"/>
      <c r="P116" s="516"/>
      <c r="Q116" s="515"/>
      <c r="R116" s="515"/>
      <c r="S116" s="515"/>
      <c r="T116" s="515"/>
      <c r="U116" s="515"/>
      <c r="V116" s="515"/>
      <c r="W116" s="515"/>
      <c r="X116" s="518"/>
      <c r="Y116" s="518"/>
      <c r="Z116" s="518"/>
      <c r="AA116" s="518"/>
      <c r="AB116" s="518"/>
      <c r="AC116" s="518"/>
      <c r="AD116" s="518"/>
      <c r="AE116" s="518"/>
      <c r="AF116" s="518"/>
      <c r="AG116" s="518"/>
    </row>
    <row r="117" spans="1:33" s="69" customFormat="1">
      <c r="A117" s="429" t="s">
        <v>14</v>
      </c>
      <c r="B117" s="455" t="str">
        <f>PEP!C65</f>
        <v>2.2.1.2</v>
      </c>
      <c r="C117" s="455" t="str">
        <f>PEP!D65</f>
        <v>Definición de paquete de entrenamiento evaluables y certificables en competencias priorizadas por la industria.</v>
      </c>
      <c r="D117" s="432"/>
      <c r="E117" s="432"/>
      <c r="F117" s="432"/>
      <c r="G117" s="432"/>
      <c r="H117" s="221"/>
      <c r="I117" s="221"/>
      <c r="J117" s="512">
        <f>+PEP!F65</f>
        <v>52205.041515437777</v>
      </c>
      <c r="K117" s="512"/>
      <c r="L117" s="512"/>
      <c r="M117" s="512"/>
      <c r="N117" s="515"/>
      <c r="O117" s="515"/>
      <c r="P117" s="515"/>
      <c r="Q117" s="515"/>
      <c r="R117" s="515"/>
      <c r="S117" s="515"/>
      <c r="T117" s="515"/>
      <c r="U117" s="449"/>
      <c r="V117" s="518"/>
      <c r="W117" s="518"/>
      <c r="X117" s="518"/>
      <c r="Y117" s="518"/>
      <c r="Z117" s="518"/>
      <c r="AA117" s="518"/>
      <c r="AB117" s="518"/>
      <c r="AC117" s="518"/>
      <c r="AD117" s="518"/>
      <c r="AE117" s="518"/>
      <c r="AF117" s="518"/>
      <c r="AG117" s="518"/>
    </row>
    <row r="118" spans="1:33" s="69" customFormat="1">
      <c r="A118" s="429" t="s">
        <v>14</v>
      </c>
      <c r="B118" s="439" t="s">
        <v>300</v>
      </c>
      <c r="C118" s="484" t="s">
        <v>289</v>
      </c>
      <c r="D118" s="432" t="s">
        <v>253</v>
      </c>
      <c r="E118" s="432" t="s">
        <v>290</v>
      </c>
      <c r="F118" s="432"/>
      <c r="G118" s="432"/>
      <c r="H118" s="221"/>
      <c r="I118" s="221"/>
      <c r="J118" s="221"/>
      <c r="K118" s="221"/>
      <c r="L118" s="221"/>
      <c r="M118" s="221"/>
      <c r="N118" s="515" t="s">
        <v>220</v>
      </c>
      <c r="O118" s="515" t="s">
        <v>220</v>
      </c>
      <c r="P118" s="445"/>
      <c r="Q118" s="445"/>
      <c r="R118" s="445"/>
      <c r="S118" s="445"/>
      <c r="T118" s="445"/>
      <c r="U118" s="449"/>
      <c r="V118" s="518"/>
      <c r="W118" s="518"/>
      <c r="X118" s="518"/>
      <c r="Y118" s="518"/>
      <c r="Z118" s="518"/>
      <c r="AA118" s="518"/>
      <c r="AB118" s="518"/>
      <c r="AC118" s="518"/>
      <c r="AD118" s="518"/>
      <c r="AE118" s="518"/>
      <c r="AF118" s="518"/>
      <c r="AG118" s="518"/>
    </row>
    <row r="119" spans="1:33" s="69" customFormat="1">
      <c r="A119" s="429" t="s">
        <v>14</v>
      </c>
      <c r="B119" s="439" t="s">
        <v>301</v>
      </c>
      <c r="C119" s="484" t="s">
        <v>293</v>
      </c>
      <c r="D119" s="432" t="s">
        <v>223</v>
      </c>
      <c r="E119" s="432" t="s">
        <v>224</v>
      </c>
      <c r="F119" s="432"/>
      <c r="G119" s="432"/>
      <c r="H119" s="221"/>
      <c r="I119" s="221"/>
      <c r="J119" s="221"/>
      <c r="K119" s="221"/>
      <c r="L119" s="221"/>
      <c r="M119" s="221"/>
      <c r="N119" s="445"/>
      <c r="O119" s="445"/>
      <c r="P119" s="515" t="s">
        <v>220</v>
      </c>
      <c r="Q119" s="515" t="s">
        <v>220</v>
      </c>
      <c r="R119" s="515" t="s">
        <v>220</v>
      </c>
      <c r="S119" s="515" t="s">
        <v>220</v>
      </c>
      <c r="T119" s="515"/>
      <c r="U119" s="449"/>
      <c r="V119" s="518"/>
      <c r="W119" s="518"/>
      <c r="X119" s="518"/>
      <c r="Y119" s="518"/>
      <c r="Z119" s="518"/>
      <c r="AA119" s="518"/>
      <c r="AB119" s="518"/>
      <c r="AC119" s="518"/>
      <c r="AD119" s="518"/>
      <c r="AE119" s="518"/>
      <c r="AF119" s="518"/>
      <c r="AG119" s="518"/>
    </row>
    <row r="120" spans="1:33" s="69" customFormat="1">
      <c r="A120" s="429" t="s">
        <v>14</v>
      </c>
      <c r="B120" s="439" t="s">
        <v>302</v>
      </c>
      <c r="C120" s="519" t="s">
        <v>303</v>
      </c>
      <c r="D120" s="432"/>
      <c r="E120" s="432"/>
      <c r="F120" s="432"/>
      <c r="G120" s="432"/>
      <c r="H120" s="221"/>
      <c r="I120" s="221"/>
      <c r="J120" s="221"/>
      <c r="K120" s="221"/>
      <c r="L120" s="221"/>
      <c r="M120" s="221"/>
      <c r="N120" s="445"/>
      <c r="O120" s="445"/>
      <c r="P120" s="515"/>
      <c r="Q120" s="515" t="s">
        <v>220</v>
      </c>
      <c r="R120" s="515" t="s">
        <v>220</v>
      </c>
      <c r="S120" s="515" t="s">
        <v>220</v>
      </c>
      <c r="T120" s="515"/>
      <c r="U120" s="449"/>
      <c r="V120" s="518"/>
      <c r="W120" s="518"/>
      <c r="X120" s="518"/>
      <c r="Y120" s="518"/>
      <c r="Z120" s="518"/>
      <c r="AA120" s="518"/>
      <c r="AB120" s="518"/>
      <c r="AC120" s="518"/>
      <c r="AD120" s="518"/>
      <c r="AE120" s="518"/>
      <c r="AF120" s="518"/>
      <c r="AG120" s="518"/>
    </row>
    <row r="121" spans="1:33" s="69" customFormat="1">
      <c r="A121" s="429" t="s">
        <v>14</v>
      </c>
      <c r="B121" s="439" t="s">
        <v>304</v>
      </c>
      <c r="C121" s="519" t="s">
        <v>305</v>
      </c>
      <c r="D121" s="432"/>
      <c r="E121" s="432"/>
      <c r="F121" s="432"/>
      <c r="G121" s="432"/>
      <c r="H121" s="221"/>
      <c r="I121" s="221"/>
      <c r="J121" s="221"/>
      <c r="K121" s="221"/>
      <c r="L121" s="221"/>
      <c r="M121" s="221"/>
      <c r="N121" s="445"/>
      <c r="O121" s="445"/>
      <c r="P121" s="515"/>
      <c r="Q121" s="515" t="s">
        <v>220</v>
      </c>
      <c r="R121" s="515" t="s">
        <v>220</v>
      </c>
      <c r="S121" s="515" t="s">
        <v>220</v>
      </c>
      <c r="T121" s="515"/>
      <c r="U121" s="449"/>
      <c r="V121" s="518"/>
      <c r="W121" s="518"/>
      <c r="X121" s="518"/>
      <c r="Y121" s="518"/>
      <c r="Z121" s="518"/>
      <c r="AA121" s="518"/>
      <c r="AB121" s="518"/>
      <c r="AC121" s="518"/>
      <c r="AD121" s="518"/>
      <c r="AE121" s="518"/>
      <c r="AF121" s="518"/>
      <c r="AG121" s="518"/>
    </row>
    <row r="122" spans="1:33" s="69" customFormat="1">
      <c r="A122" s="429" t="s">
        <v>14</v>
      </c>
      <c r="B122" s="439" t="s">
        <v>306</v>
      </c>
      <c r="C122" s="519" t="s">
        <v>307</v>
      </c>
      <c r="D122" s="432"/>
      <c r="E122" s="432"/>
      <c r="F122" s="432"/>
      <c r="G122" s="432"/>
      <c r="H122" s="221"/>
      <c r="I122" s="221"/>
      <c r="J122" s="221"/>
      <c r="K122" s="221"/>
      <c r="L122" s="221"/>
      <c r="M122" s="221"/>
      <c r="N122" s="445"/>
      <c r="O122" s="445"/>
      <c r="P122" s="515"/>
      <c r="Q122" s="515"/>
      <c r="R122" s="515"/>
      <c r="S122" s="515"/>
      <c r="T122" s="515"/>
      <c r="U122" s="449"/>
      <c r="V122" s="518"/>
      <c r="W122" s="518"/>
      <c r="X122" s="518"/>
      <c r="Y122" s="518"/>
      <c r="Z122" s="518"/>
      <c r="AA122" s="518"/>
      <c r="AB122" s="518"/>
      <c r="AC122" s="518"/>
      <c r="AD122" s="518"/>
      <c r="AE122" s="518"/>
      <c r="AF122" s="518"/>
      <c r="AG122" s="518"/>
    </row>
    <row r="123" spans="1:33" s="69" customFormat="1">
      <c r="A123" s="429" t="s">
        <v>14</v>
      </c>
      <c r="B123" s="455" t="str">
        <f>PEP!C66</f>
        <v>2.2.1.3</v>
      </c>
      <c r="C123" s="455" t="str">
        <f>PEP!D66</f>
        <v>Estudios de Levantamiento de Demanda</v>
      </c>
      <c r="D123" s="432"/>
      <c r="E123" s="432"/>
      <c r="F123" s="432"/>
      <c r="G123" s="432"/>
      <c r="H123" s="221"/>
      <c r="I123" s="221"/>
      <c r="J123" s="221"/>
      <c r="K123" s="221"/>
      <c r="L123" s="221"/>
      <c r="M123" s="221"/>
      <c r="N123" s="445"/>
      <c r="O123" s="445"/>
      <c r="P123" s="515"/>
      <c r="Q123" s="515"/>
      <c r="R123" s="515"/>
      <c r="S123" s="515"/>
      <c r="T123" s="515"/>
      <c r="U123" s="449"/>
      <c r="V123" s="518"/>
      <c r="W123" s="520" t="s">
        <v>141</v>
      </c>
      <c r="X123" s="520" t="s">
        <v>141</v>
      </c>
      <c r="Y123" s="520" t="s">
        <v>141</v>
      </c>
      <c r="Z123" s="520" t="s">
        <v>141</v>
      </c>
      <c r="AA123" s="520" t="s">
        <v>141</v>
      </c>
      <c r="AB123" s="518"/>
      <c r="AC123" s="518"/>
      <c r="AD123" s="518"/>
      <c r="AE123" s="518"/>
      <c r="AF123" s="518"/>
      <c r="AG123" s="518"/>
    </row>
    <row r="124" spans="1:33" s="69" customFormat="1">
      <c r="A124" s="429" t="s">
        <v>14</v>
      </c>
      <c r="B124" s="455" t="str">
        <f>PEP!C67</f>
        <v>2.2.1.4</v>
      </c>
      <c r="C124" s="455" t="str">
        <f>PEP!D67</f>
        <v xml:space="preserve">Diseño de Paquetes Formativos (Perfiles +  Planes Formativos + Pruebas de Salida) </v>
      </c>
      <c r="D124" s="432"/>
      <c r="E124" s="432"/>
      <c r="F124" s="432"/>
      <c r="G124" s="432"/>
      <c r="H124" s="221"/>
      <c r="I124" s="221"/>
      <c r="J124" s="221"/>
      <c r="K124" s="221"/>
      <c r="L124" s="221"/>
      <c r="M124" s="221"/>
      <c r="N124" s="445"/>
      <c r="O124" s="445"/>
      <c r="P124" s="515"/>
      <c r="Q124" s="515"/>
      <c r="R124" s="515"/>
      <c r="S124" s="515"/>
      <c r="T124" s="515"/>
      <c r="U124" s="449"/>
      <c r="V124" s="518"/>
      <c r="W124" s="518"/>
      <c r="X124" s="520" t="s">
        <v>141</v>
      </c>
      <c r="Y124" s="520" t="s">
        <v>141</v>
      </c>
      <c r="Z124" s="520" t="s">
        <v>141</v>
      </c>
      <c r="AA124" s="520" t="s">
        <v>141</v>
      </c>
      <c r="AB124" s="520" t="s">
        <v>141</v>
      </c>
      <c r="AC124" s="520" t="s">
        <v>141</v>
      </c>
      <c r="AD124" s="520" t="s">
        <v>141</v>
      </c>
      <c r="AE124" s="520" t="s">
        <v>141</v>
      </c>
      <c r="AF124" s="520" t="s">
        <v>141</v>
      </c>
      <c r="AG124" s="520" t="s">
        <v>141</v>
      </c>
    </row>
    <row r="125" spans="1:33">
      <c r="A125" s="413">
        <v>3</v>
      </c>
      <c r="B125" s="521" t="s">
        <v>308</v>
      </c>
      <c r="C125" s="522"/>
      <c r="D125" s="485"/>
      <c r="E125" s="485"/>
      <c r="F125" s="485"/>
      <c r="G125" s="485"/>
      <c r="H125" s="416">
        <f>+H126+H134</f>
        <v>1863000</v>
      </c>
      <c r="I125" s="416"/>
      <c r="J125" s="416">
        <f>+J126+J133</f>
        <v>204221.15049967682</v>
      </c>
      <c r="K125" s="416"/>
      <c r="L125" s="416"/>
      <c r="M125" s="416"/>
      <c r="N125" s="487"/>
      <c r="O125" s="487"/>
      <c r="P125" s="487"/>
      <c r="Q125" s="487"/>
      <c r="R125" s="487"/>
      <c r="S125" s="487"/>
      <c r="T125" s="487"/>
      <c r="U125" s="487"/>
      <c r="V125" s="523"/>
      <c r="W125" s="523"/>
      <c r="X125" s="523"/>
      <c r="Y125" s="523"/>
      <c r="Z125" s="523"/>
      <c r="AA125" s="523"/>
      <c r="AB125" s="523"/>
      <c r="AC125" s="523"/>
      <c r="AD125" s="523"/>
      <c r="AE125" s="523"/>
      <c r="AF125" s="523"/>
      <c r="AG125" s="523"/>
    </row>
    <row r="126" spans="1:33" s="62" customFormat="1">
      <c r="A126" s="70"/>
      <c r="B126" s="482" t="s">
        <v>309</v>
      </c>
      <c r="C126" s="481" t="s">
        <v>310</v>
      </c>
      <c r="D126" s="444"/>
      <c r="E126" s="444"/>
      <c r="F126" s="444"/>
      <c r="G126" s="444"/>
      <c r="H126" s="421">
        <f>+H127</f>
        <v>360000</v>
      </c>
      <c r="I126" s="421"/>
      <c r="J126" s="421">
        <f>+J127</f>
        <v>204221.15049967682</v>
      </c>
      <c r="K126" s="421"/>
      <c r="L126" s="421"/>
      <c r="M126" s="421"/>
      <c r="N126" s="467"/>
      <c r="O126" s="467"/>
      <c r="P126" s="467"/>
      <c r="Q126" s="467"/>
      <c r="R126" s="467"/>
      <c r="S126" s="467"/>
      <c r="T126" s="467"/>
      <c r="U126" s="467"/>
      <c r="V126" s="428"/>
      <c r="W126" s="428"/>
      <c r="X126" s="428"/>
      <c r="Y126" s="428"/>
      <c r="Z126" s="428"/>
      <c r="AA126" s="428"/>
      <c r="AB126" s="428"/>
      <c r="AC126" s="428"/>
      <c r="AD126" s="428"/>
      <c r="AE126" s="428"/>
      <c r="AF126" s="428"/>
      <c r="AG126" s="428"/>
    </row>
    <row r="127" spans="1:33" s="62" customFormat="1">
      <c r="A127" s="425"/>
      <c r="B127" s="443" t="str">
        <f>PEP!C70</f>
        <v>3.1.1.</v>
      </c>
      <c r="C127" s="443" t="str">
        <f>PEP!D70</f>
        <v>Estudios y Evaluaciones</v>
      </c>
      <c r="D127" s="444"/>
      <c r="E127" s="444"/>
      <c r="F127" s="444"/>
      <c r="G127" s="444"/>
      <c r="H127" s="421">
        <f>+H128</f>
        <v>360000</v>
      </c>
      <c r="I127" s="421"/>
      <c r="J127" s="421">
        <f>+J128</f>
        <v>204221.15049967682</v>
      </c>
      <c r="K127" s="421"/>
      <c r="L127" s="421"/>
      <c r="M127" s="421"/>
      <c r="N127" s="426"/>
      <c r="O127" s="426"/>
      <c r="P127" s="426"/>
      <c r="Q127" s="426"/>
      <c r="R127" s="426"/>
      <c r="S127" s="426"/>
      <c r="T127" s="426"/>
      <c r="U127" s="426"/>
      <c r="V127" s="428"/>
      <c r="W127" s="428"/>
      <c r="X127" s="428"/>
      <c r="Y127" s="428"/>
      <c r="Z127" s="428"/>
      <c r="AA127" s="428"/>
      <c r="AB127" s="428"/>
      <c r="AC127" s="428"/>
      <c r="AD127" s="428"/>
      <c r="AE127" s="428"/>
      <c r="AF127" s="428"/>
      <c r="AG127" s="428"/>
    </row>
    <row r="128" spans="1:33" s="62" customFormat="1" ht="31.5">
      <c r="A128" s="524" t="s">
        <v>89</v>
      </c>
      <c r="B128" s="443" t="str">
        <f>PEP!C71</f>
        <v>3.1.1.1</v>
      </c>
      <c r="C128" s="525" t="str">
        <f>PEP!D71</f>
        <v xml:space="preserve">Estudios y Evaluaciones: Diseño de estudios y metodología para evaluación de resultados y de impacto de InvestChile y su implementación. </v>
      </c>
      <c r="D128" s="421">
        <f>PEP!A71</f>
        <v>0</v>
      </c>
      <c r="E128" s="421">
        <f>PEP!B71</f>
        <v>0</v>
      </c>
      <c r="F128" s="421" t="str">
        <f>PEP!C71</f>
        <v>3.1.1.1</v>
      </c>
      <c r="G128" s="421" t="str">
        <f>PEP!D71</f>
        <v xml:space="preserve">Estudios y Evaluaciones: Diseño de estudios y metodología para evaluación de resultados y de impacto de InvestChile y su implementación. </v>
      </c>
      <c r="H128" s="421">
        <f>PEP!E71</f>
        <v>360000</v>
      </c>
      <c r="I128" s="421">
        <f>PEP!F71</f>
        <v>204221.15049967682</v>
      </c>
      <c r="J128" s="421">
        <f>PEP!F71</f>
        <v>204221.15049967682</v>
      </c>
      <c r="K128" s="421"/>
      <c r="L128" s="421"/>
      <c r="M128" s="421"/>
      <c r="N128" s="426"/>
      <c r="O128" s="426"/>
      <c r="P128" s="426"/>
      <c r="Q128" s="426"/>
      <c r="R128" s="426"/>
      <c r="S128" s="426"/>
      <c r="T128" s="426"/>
      <c r="U128" s="426"/>
      <c r="V128" s="428"/>
      <c r="W128" s="428"/>
      <c r="X128" s="428"/>
      <c r="Y128" s="428"/>
      <c r="Z128" s="428"/>
      <c r="AA128" s="428"/>
      <c r="AB128" s="428"/>
      <c r="AC128" s="428"/>
      <c r="AD128" s="428"/>
      <c r="AE128" s="428"/>
      <c r="AF128" s="428"/>
      <c r="AG128" s="428"/>
    </row>
    <row r="129" spans="1:33" s="63" customFormat="1" ht="31.5">
      <c r="A129" s="429" t="s">
        <v>291</v>
      </c>
      <c r="B129" s="455" t="str">
        <f>PEP!C72</f>
        <v>3.1.1.1.1</v>
      </c>
      <c r="C129" s="460" t="str">
        <f>PEP!D72</f>
        <v>Realización y/o actualización de estudios que permitan describir elementos necesarios para determinar y/o actualizar la estrategia sectorial de promoción de inversiones en servicios globales (Oferta de valor actualizada para la estrategia)</v>
      </c>
      <c r="D129" s="432"/>
      <c r="E129" s="432"/>
      <c r="F129" s="432"/>
      <c r="G129" s="432"/>
      <c r="H129" s="526"/>
      <c r="I129" s="221"/>
      <c r="J129" s="221">
        <f>PEP!F72</f>
        <v>149157.26147267935</v>
      </c>
      <c r="K129" s="221"/>
      <c r="L129" s="221"/>
      <c r="M129" s="221"/>
      <c r="N129" s="221"/>
      <c r="O129" s="221"/>
      <c r="P129" s="221"/>
      <c r="Q129" s="527"/>
      <c r="R129" s="527"/>
      <c r="S129" s="528"/>
      <c r="T129" s="527"/>
      <c r="U129" s="529"/>
      <c r="V129" s="437"/>
      <c r="W129" s="437"/>
      <c r="X129" s="437"/>
      <c r="Y129" s="437"/>
      <c r="Z129" s="437"/>
      <c r="AA129" s="437"/>
      <c r="AB129" s="437"/>
      <c r="AC129" s="437"/>
      <c r="AD129" s="437"/>
      <c r="AE129" s="437"/>
      <c r="AF129" s="437"/>
      <c r="AG129" s="437"/>
    </row>
    <row r="130" spans="1:33" s="63" customFormat="1">
      <c r="A130" s="429" t="s">
        <v>291</v>
      </c>
      <c r="B130" s="439" t="s">
        <v>311</v>
      </c>
      <c r="C130" s="445" t="s">
        <v>312</v>
      </c>
      <c r="D130" s="432"/>
      <c r="E130" s="432"/>
      <c r="F130" s="432"/>
      <c r="G130" s="432"/>
      <c r="H130" s="526"/>
      <c r="I130" s="221"/>
      <c r="K130" s="221"/>
      <c r="L130" s="221"/>
      <c r="M130" s="221"/>
      <c r="N130" s="221"/>
      <c r="O130" s="221"/>
      <c r="P130" s="530"/>
      <c r="Q130" s="527"/>
      <c r="R130" s="530"/>
      <c r="S130" s="530"/>
      <c r="T130" s="527"/>
      <c r="U130" s="529"/>
      <c r="V130" s="437"/>
      <c r="W130" s="437"/>
      <c r="X130" s="437"/>
      <c r="Y130" s="437"/>
      <c r="Z130" s="437"/>
      <c r="AA130" s="437"/>
      <c r="AB130" s="437"/>
      <c r="AC130" s="437"/>
      <c r="AD130" s="437"/>
      <c r="AE130" s="437"/>
      <c r="AF130" s="437"/>
      <c r="AG130" s="437"/>
    </row>
    <row r="131" spans="1:33" s="63" customFormat="1">
      <c r="A131" s="429" t="s">
        <v>291</v>
      </c>
      <c r="B131" s="439" t="s">
        <v>313</v>
      </c>
      <c r="C131" s="445" t="s">
        <v>314</v>
      </c>
      <c r="D131" s="432"/>
      <c r="E131" s="432"/>
      <c r="F131" s="432"/>
      <c r="G131" s="432"/>
      <c r="H131" s="526"/>
      <c r="I131" s="221"/>
      <c r="J131" s="221"/>
      <c r="K131" s="221"/>
      <c r="L131" s="221"/>
      <c r="M131" s="221"/>
      <c r="N131" s="221"/>
      <c r="O131" s="221"/>
      <c r="P131" s="530"/>
      <c r="Q131" s="530"/>
      <c r="R131" s="527"/>
      <c r="S131" s="54"/>
      <c r="T131" s="530"/>
      <c r="U131" s="531"/>
      <c r="V131" s="437"/>
      <c r="W131" s="437"/>
      <c r="X131" s="437"/>
      <c r="Y131" s="437"/>
      <c r="Z131" s="437"/>
      <c r="AA131" s="437"/>
      <c r="AB131" s="437"/>
      <c r="AC131" s="437"/>
      <c r="AD131" s="437"/>
      <c r="AE131" s="437"/>
      <c r="AF131" s="437"/>
      <c r="AG131" s="437"/>
    </row>
    <row r="132" spans="1:33" s="63" customFormat="1" ht="31.5">
      <c r="A132" s="429" t="s">
        <v>291</v>
      </c>
      <c r="B132" s="455" t="str">
        <f>PEP!C73</f>
        <v>3.1.1.1.2.</v>
      </c>
      <c r="C132" s="460" t="str">
        <f>PEP!D73</f>
        <v>Desarrollo e implementacion de mencanismos de seguimiento y evaluacion en atracción de inversiones (modelo de evaluación diseñado) .</v>
      </c>
      <c r="D132" s="432"/>
      <c r="E132" s="432"/>
      <c r="F132" s="432"/>
      <c r="G132" s="432"/>
      <c r="H132" s="526"/>
      <c r="I132" s="221"/>
      <c r="J132" s="434">
        <f>PEP!F73</f>
        <v>55063.889026997465</v>
      </c>
      <c r="K132" s="221"/>
      <c r="L132" s="221"/>
      <c r="M132" s="221"/>
      <c r="N132" s="527"/>
      <c r="O132" s="221"/>
      <c r="P132" s="527"/>
      <c r="Q132" s="528"/>
      <c r="R132" s="528"/>
      <c r="S132" s="528"/>
      <c r="T132" s="528"/>
      <c r="U132" s="532"/>
      <c r="V132" s="437"/>
      <c r="W132" s="437"/>
      <c r="X132" s="437"/>
      <c r="Y132" s="437"/>
      <c r="Z132" s="437"/>
      <c r="AA132" s="437"/>
      <c r="AB132" s="437"/>
      <c r="AC132" s="437"/>
      <c r="AD132" s="437"/>
      <c r="AE132" s="437"/>
      <c r="AF132" s="437"/>
      <c r="AG132" s="437"/>
    </row>
    <row r="133" spans="1:33" s="62" customFormat="1">
      <c r="A133" s="70"/>
      <c r="B133" s="511" t="str">
        <f>PEP!C74</f>
        <v>3.2</v>
      </c>
      <c r="C133" s="511" t="str">
        <f>PEP!D74</f>
        <v>Producto 2: Coordinación Interinstitucional</v>
      </c>
      <c r="D133" s="444"/>
      <c r="E133" s="444"/>
      <c r="F133" s="444"/>
      <c r="G133" s="444"/>
      <c r="H133" s="421">
        <f>H134</f>
        <v>1503000</v>
      </c>
      <c r="I133" s="421"/>
      <c r="J133" s="421">
        <v>0</v>
      </c>
      <c r="K133" s="421"/>
      <c r="L133" s="421"/>
      <c r="M133" s="421"/>
      <c r="N133" s="467"/>
      <c r="O133" s="467"/>
      <c r="P133" s="467"/>
      <c r="Q133" s="467"/>
      <c r="R133" s="467"/>
      <c r="S133" s="467"/>
      <c r="T133" s="467"/>
      <c r="U133" s="467"/>
      <c r="V133" s="428"/>
      <c r="W133" s="428"/>
      <c r="X133" s="428"/>
      <c r="Y133" s="428"/>
      <c r="Z133" s="428"/>
      <c r="AA133" s="428"/>
      <c r="AB133" s="428"/>
      <c r="AC133" s="428"/>
      <c r="AD133" s="428"/>
      <c r="AE133" s="428"/>
      <c r="AF133" s="428"/>
      <c r="AG133" s="428"/>
    </row>
    <row r="134" spans="1:33" s="62" customFormat="1">
      <c r="A134" s="442" t="s">
        <v>315</v>
      </c>
      <c r="B134" s="511" t="str">
        <f>PEP!C75</f>
        <v>3.2.1.</v>
      </c>
      <c r="C134" s="511" t="str">
        <f>PEP!D75</f>
        <v>Coordinación interinstitucional</v>
      </c>
      <c r="D134" s="444"/>
      <c r="E134" s="444"/>
      <c r="F134" s="444"/>
      <c r="G134" s="444"/>
      <c r="H134" s="421">
        <f>PEP!E75</f>
        <v>1503000</v>
      </c>
      <c r="I134" s="421"/>
      <c r="J134" s="421">
        <v>0</v>
      </c>
      <c r="K134" s="421"/>
      <c r="L134" s="421"/>
      <c r="M134" s="421"/>
      <c r="N134" s="469"/>
      <c r="O134" s="469"/>
      <c r="P134" s="469"/>
      <c r="Q134" s="469"/>
      <c r="R134" s="469"/>
      <c r="S134" s="469"/>
      <c r="T134" s="469"/>
      <c r="U134" s="469"/>
      <c r="V134" s="428"/>
      <c r="W134" s="428"/>
      <c r="X134" s="428"/>
      <c r="Y134" s="428"/>
      <c r="Z134" s="428"/>
      <c r="AA134" s="428"/>
      <c r="AB134" s="428"/>
      <c r="AC134" s="428"/>
      <c r="AD134" s="428"/>
      <c r="AE134" s="428"/>
      <c r="AF134" s="428"/>
      <c r="AG134" s="428"/>
    </row>
    <row r="135" spans="1:33">
      <c r="A135" s="413">
        <v>4</v>
      </c>
      <c r="B135" s="521" t="s">
        <v>53</v>
      </c>
      <c r="C135" s="522"/>
      <c r="D135" s="485"/>
      <c r="E135" s="485"/>
      <c r="F135" s="485"/>
      <c r="G135" s="485"/>
      <c r="H135" s="416">
        <f>PEP!E76</f>
        <v>702800</v>
      </c>
      <c r="I135" s="416"/>
      <c r="J135" s="416">
        <v>0</v>
      </c>
      <c r="K135" s="416"/>
      <c r="L135" s="416"/>
      <c r="M135" s="416"/>
      <c r="N135" s="487"/>
      <c r="O135" s="487"/>
      <c r="P135" s="487"/>
      <c r="Q135" s="487"/>
      <c r="R135" s="487"/>
      <c r="S135" s="487"/>
      <c r="T135" s="487"/>
      <c r="U135" s="487"/>
      <c r="V135" s="523"/>
      <c r="W135" s="523"/>
      <c r="X135" s="523"/>
      <c r="Y135" s="523"/>
      <c r="Z135" s="523"/>
      <c r="AA135" s="523"/>
      <c r="AB135" s="523"/>
      <c r="AC135" s="523"/>
      <c r="AD135" s="523"/>
      <c r="AE135" s="523"/>
      <c r="AF135" s="523"/>
      <c r="AG135" s="523"/>
    </row>
    <row r="136" spans="1:33">
      <c r="A136" s="533"/>
      <c r="B136" s="439"/>
      <c r="C136" s="516"/>
      <c r="D136" s="432"/>
      <c r="E136" s="432"/>
      <c r="F136" s="432"/>
      <c r="G136" s="432"/>
      <c r="H136" s="534"/>
      <c r="I136" s="534"/>
      <c r="J136" s="535"/>
      <c r="K136" s="535"/>
      <c r="L136" s="535"/>
      <c r="M136" s="535"/>
      <c r="N136" s="516"/>
      <c r="O136" s="516"/>
      <c r="P136" s="516"/>
      <c r="Q136" s="516"/>
      <c r="R136" s="516"/>
      <c r="S136" s="516"/>
      <c r="T136" s="516"/>
      <c r="U136" s="517"/>
      <c r="V136" s="523"/>
      <c r="W136" s="523"/>
      <c r="X136" s="523"/>
      <c r="Y136" s="523"/>
      <c r="Z136" s="523"/>
      <c r="AA136" s="523"/>
      <c r="AB136" s="523"/>
      <c r="AC136" s="523"/>
      <c r="AD136" s="523"/>
      <c r="AE136" s="523"/>
      <c r="AF136" s="523"/>
      <c r="AG136" s="523"/>
    </row>
    <row r="137" spans="1:33">
      <c r="A137" s="536" t="s">
        <v>316</v>
      </c>
      <c r="B137" s="537"/>
      <c r="C137" s="537"/>
      <c r="D137" s="538"/>
      <c r="E137" s="538"/>
      <c r="F137" s="538"/>
      <c r="G137" s="538"/>
      <c r="H137" s="539">
        <f>+H135+H125+H60+H6</f>
        <v>26648259.057226155</v>
      </c>
      <c r="I137" s="539"/>
      <c r="J137" s="539">
        <f>+J135+J125+J60+J6</f>
        <v>5664244.0055353921</v>
      </c>
      <c r="K137" s="539"/>
      <c r="L137" s="539"/>
      <c r="M137" s="539"/>
      <c r="N137" s="540"/>
      <c r="O137" s="540"/>
      <c r="P137" s="540"/>
      <c r="Q137" s="540"/>
      <c r="R137" s="540"/>
      <c r="S137" s="540"/>
      <c r="T137" s="540"/>
      <c r="U137" s="421">
        <f>PEP!G78</f>
        <v>6667885.5242125057</v>
      </c>
      <c r="V137" s="523"/>
      <c r="W137" s="523"/>
      <c r="X137" s="523"/>
      <c r="Y137" s="523"/>
      <c r="Z137" s="523"/>
      <c r="AA137" s="523"/>
      <c r="AB137" s="523"/>
      <c r="AC137" s="523"/>
      <c r="AD137" s="523"/>
      <c r="AE137" s="523"/>
      <c r="AF137" s="523"/>
      <c r="AG137" s="523"/>
    </row>
    <row r="138" spans="1:33">
      <c r="D138" s="71"/>
      <c r="E138" s="71"/>
      <c r="F138" s="71"/>
      <c r="G138" s="71"/>
    </row>
    <row r="139" spans="1:33">
      <c r="D139" s="71"/>
      <c r="E139" s="71"/>
      <c r="F139" s="71"/>
      <c r="G139" s="71"/>
    </row>
    <row r="140" spans="1:33">
      <c r="D140" s="71"/>
      <c r="E140" s="71"/>
      <c r="F140" s="71"/>
      <c r="G140" s="71"/>
    </row>
  </sheetData>
  <mergeCells count="9">
    <mergeCell ref="V6:AG6"/>
    <mergeCell ref="A1:T1"/>
    <mergeCell ref="A2:T2"/>
    <mergeCell ref="A3:T3"/>
    <mergeCell ref="A137:C137"/>
    <mergeCell ref="B6:C6"/>
    <mergeCell ref="B60:C60"/>
    <mergeCell ref="A5:B5"/>
    <mergeCell ref="N6:T6"/>
  </mergeCells>
  <conditionalFormatting sqref="O109:U115 O116:W116 O117:U124">
    <cfRule type="colorScale" priority="4">
      <colorScale>
        <cfvo type="min"/>
        <cfvo type="percentile" val="50"/>
        <cfvo type="max"/>
        <color rgb="FFF8696B"/>
        <color rgb="FFFCFCFF"/>
        <color rgb="FF63BE7B"/>
      </colorScale>
    </cfRule>
  </conditionalFormatting>
  <pageMargins left="0.25" right="0.25" top="0.75" bottom="0.75" header="0.3" footer="0.3"/>
  <pageSetup scale="40"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18"/>
  <sheetViews>
    <sheetView showGridLines="0" topLeftCell="B4" zoomScale="60" zoomScaleNormal="60" workbookViewId="0">
      <pane ySplit="3" topLeftCell="A52" activePane="bottomLeft" state="frozen"/>
      <selection pane="bottomLeft" activeCell="AD20" sqref="AD20"/>
      <selection activeCell="A4" sqref="A4"/>
    </sheetView>
  </sheetViews>
  <sheetFormatPr defaultColWidth="11.42578125" defaultRowHeight="15.75" outlineLevelCol="1"/>
  <cols>
    <col min="1" max="1" width="12.140625" style="72" hidden="1" customWidth="1"/>
    <col min="2" max="3" width="15.42578125" style="73" customWidth="1"/>
    <col min="4" max="4" width="87.42578125" style="74" customWidth="1"/>
    <col min="5" max="5" width="23.85546875" style="75" customWidth="1"/>
    <col min="6" max="9" width="22.85546875" style="76" customWidth="1" outlineLevel="1"/>
    <col min="10" max="10" width="22.85546875" style="77" customWidth="1"/>
    <col min="11" max="11" width="20.28515625" style="77" hidden="1" customWidth="1"/>
    <col min="12" max="22" width="4" style="78" hidden="1" customWidth="1"/>
    <col min="23" max="23" width="4.28515625" style="78" hidden="1" customWidth="1"/>
    <col min="24" max="27" width="4" style="78" hidden="1" customWidth="1"/>
    <col min="28" max="16384" width="11.42578125" style="11"/>
  </cols>
  <sheetData>
    <row r="1" spans="1:27">
      <c r="A1" s="312" t="s">
        <v>55</v>
      </c>
      <c r="B1" s="312"/>
      <c r="C1" s="312"/>
      <c r="D1" s="312"/>
      <c r="E1" s="312"/>
      <c r="F1" s="312"/>
      <c r="G1" s="312"/>
      <c r="H1" s="312"/>
      <c r="I1" s="312"/>
      <c r="J1" s="312"/>
      <c r="K1" s="276"/>
      <c r="L1" s="11"/>
      <c r="M1" s="11"/>
      <c r="N1" s="11"/>
      <c r="O1" s="11"/>
      <c r="P1" s="11"/>
      <c r="Q1" s="11"/>
      <c r="R1" s="11"/>
      <c r="S1" s="11"/>
      <c r="T1" s="11"/>
      <c r="U1" s="11"/>
      <c r="V1" s="11"/>
      <c r="W1" s="11"/>
      <c r="X1" s="11"/>
      <c r="Y1" s="11"/>
      <c r="Z1" s="11"/>
      <c r="AA1" s="11"/>
    </row>
    <row r="2" spans="1:27">
      <c r="A2" s="313" t="s">
        <v>317</v>
      </c>
      <c r="B2" s="313"/>
      <c r="C2" s="313"/>
      <c r="D2" s="313"/>
      <c r="E2" s="313"/>
      <c r="F2" s="313"/>
      <c r="G2" s="313"/>
      <c r="H2" s="313"/>
      <c r="I2" s="313"/>
      <c r="J2" s="313"/>
      <c r="K2" s="277"/>
      <c r="L2" s="11"/>
      <c r="M2" s="11"/>
      <c r="N2" s="11"/>
      <c r="O2" s="11"/>
      <c r="P2" s="11"/>
      <c r="Q2" s="11"/>
      <c r="R2" s="11"/>
      <c r="S2" s="11"/>
      <c r="T2" s="11"/>
      <c r="U2" s="11"/>
      <c r="V2" s="11"/>
      <c r="W2" s="11"/>
      <c r="X2" s="11"/>
      <c r="Y2" s="11"/>
      <c r="Z2" s="11"/>
      <c r="AA2" s="11"/>
    </row>
    <row r="3" spans="1:27">
      <c r="A3" s="314">
        <v>43281</v>
      </c>
      <c r="B3" s="314"/>
      <c r="C3" s="314"/>
      <c r="D3" s="314"/>
      <c r="E3" s="314"/>
      <c r="F3" s="314"/>
      <c r="G3" s="314"/>
      <c r="H3" s="314"/>
      <c r="I3" s="314"/>
      <c r="J3" s="314"/>
      <c r="K3" s="278"/>
      <c r="L3" s="11"/>
      <c r="M3" s="11"/>
      <c r="N3" s="11"/>
      <c r="O3" s="11"/>
      <c r="P3" s="11"/>
      <c r="Q3" s="11"/>
      <c r="R3" s="11"/>
      <c r="S3" s="11"/>
      <c r="T3" s="11"/>
      <c r="U3" s="11"/>
      <c r="V3" s="11"/>
      <c r="W3" s="11"/>
      <c r="X3" s="11"/>
      <c r="Y3" s="11"/>
      <c r="Z3" s="11"/>
      <c r="AA3" s="11"/>
    </row>
    <row r="4" spans="1:27" ht="16.5" thickBot="1"/>
    <row r="5" spans="1:27" s="79" customFormat="1" ht="36.75" customHeight="1" thickBot="1">
      <c r="A5" s="541" t="s">
        <v>60</v>
      </c>
      <c r="B5" s="541"/>
      <c r="C5" s="541"/>
      <c r="D5" s="542" t="s">
        <v>61</v>
      </c>
      <c r="E5" s="543" t="s">
        <v>318</v>
      </c>
      <c r="F5" s="544" t="s">
        <v>319</v>
      </c>
      <c r="G5" s="544" t="s">
        <v>320</v>
      </c>
      <c r="H5" s="544" t="s">
        <v>321</v>
      </c>
      <c r="I5" s="544" t="s">
        <v>322</v>
      </c>
      <c r="J5" s="544" t="s">
        <v>323</v>
      </c>
      <c r="K5" s="544" t="s">
        <v>324</v>
      </c>
      <c r="L5" s="306" t="s">
        <v>325</v>
      </c>
      <c r="M5" s="306"/>
      <c r="N5" s="306"/>
      <c r="O5" s="306"/>
      <c r="P5" s="306"/>
      <c r="Q5" s="306"/>
      <c r="R5" s="306"/>
      <c r="S5" s="306"/>
      <c r="T5" s="306"/>
      <c r="U5" s="306"/>
      <c r="V5" s="306"/>
      <c r="W5" s="306"/>
      <c r="X5" s="306"/>
      <c r="Y5" s="306"/>
      <c r="Z5" s="306"/>
      <c r="AA5" s="307"/>
    </row>
    <row r="6" spans="1:27" s="79" customFormat="1" ht="31.5">
      <c r="A6" s="545" t="s">
        <v>326</v>
      </c>
      <c r="B6" s="413" t="s">
        <v>327</v>
      </c>
      <c r="C6" s="414" t="s">
        <v>66</v>
      </c>
      <c r="D6" s="414"/>
      <c r="E6" s="546">
        <f>+E7+E33+E42</f>
        <v>13364000</v>
      </c>
      <c r="F6" s="546">
        <f>+F7+F33+F42</f>
        <v>3682769.0225227466</v>
      </c>
      <c r="G6" s="546">
        <f>+G7+G33+G42</f>
        <v>3960091.8084939662</v>
      </c>
      <c r="H6" s="546">
        <f>+H7+H33+H42</f>
        <v>3943416.8625607267</v>
      </c>
      <c r="I6" s="546">
        <f>+I7+I33+I42</f>
        <v>2309234.8624648736</v>
      </c>
      <c r="J6" s="546">
        <f>F6+G6+H6+I6</f>
        <v>13895512.556042312</v>
      </c>
      <c r="K6" s="546">
        <f t="shared" ref="K6:K14" si="0">+J6-E6</f>
        <v>531512.55604231171</v>
      </c>
      <c r="L6" s="308" t="s">
        <v>328</v>
      </c>
      <c r="M6" s="309"/>
      <c r="N6" s="309"/>
      <c r="O6" s="310"/>
      <c r="P6" s="311" t="s">
        <v>329</v>
      </c>
      <c r="Q6" s="309"/>
      <c r="R6" s="309"/>
      <c r="S6" s="310"/>
      <c r="T6" s="311" t="s">
        <v>330</v>
      </c>
      <c r="U6" s="309"/>
      <c r="V6" s="309"/>
      <c r="W6" s="310"/>
      <c r="X6" s="311" t="s">
        <v>331</v>
      </c>
      <c r="Y6" s="309"/>
      <c r="Z6" s="309"/>
      <c r="AA6" s="310"/>
    </row>
    <row r="7" spans="1:27" s="79" customFormat="1" ht="16.5" thickBot="1">
      <c r="A7" s="422"/>
      <c r="B7" s="422"/>
      <c r="C7" s="442" t="s">
        <v>69</v>
      </c>
      <c r="D7" s="419" t="s">
        <v>70</v>
      </c>
      <c r="E7" s="547">
        <f t="shared" ref="E7:H7" si="1">+E8+E11</f>
        <v>9514000</v>
      </c>
      <c r="F7" s="547">
        <f t="shared" si="1"/>
        <v>2310219.9544241698</v>
      </c>
      <c r="G7" s="547">
        <f>+G8+G11</f>
        <v>2574284.594891083</v>
      </c>
      <c r="H7" s="547">
        <f t="shared" si="1"/>
        <v>2881569.6599279107</v>
      </c>
      <c r="I7" s="547">
        <f>+I8+I11</f>
        <v>1747925.7907568365</v>
      </c>
      <c r="J7" s="548">
        <f t="shared" ref="J7:J14" si="2">G7+H7+F7+I7</f>
        <v>9514000</v>
      </c>
      <c r="K7" s="548">
        <f t="shared" si="0"/>
        <v>0</v>
      </c>
      <c r="L7" s="549" t="s">
        <v>332</v>
      </c>
      <c r="M7" s="550" t="s">
        <v>333</v>
      </c>
      <c r="N7" s="550" t="s">
        <v>334</v>
      </c>
      <c r="O7" s="551" t="s">
        <v>335</v>
      </c>
      <c r="P7" s="552" t="s">
        <v>332</v>
      </c>
      <c r="Q7" s="550" t="s">
        <v>333</v>
      </c>
      <c r="R7" s="550" t="s">
        <v>334</v>
      </c>
      <c r="S7" s="551" t="s">
        <v>335</v>
      </c>
      <c r="T7" s="552" t="s">
        <v>332</v>
      </c>
      <c r="U7" s="550" t="s">
        <v>333</v>
      </c>
      <c r="V7" s="550" t="s">
        <v>334</v>
      </c>
      <c r="W7" s="551" t="s">
        <v>335</v>
      </c>
      <c r="X7" s="552" t="s">
        <v>332</v>
      </c>
      <c r="Y7" s="550" t="s">
        <v>333</v>
      </c>
      <c r="Z7" s="550" t="s">
        <v>334</v>
      </c>
      <c r="AA7" s="551" t="s">
        <v>335</v>
      </c>
    </row>
    <row r="8" spans="1:27">
      <c r="A8" s="553"/>
      <c r="B8" s="553"/>
      <c r="C8" s="442" t="s">
        <v>87</v>
      </c>
      <c r="D8" s="426" t="s">
        <v>88</v>
      </c>
      <c r="E8" s="547">
        <f t="shared" ref="E8:H8" si="3">SUM(E9:E10)</f>
        <v>2700000</v>
      </c>
      <c r="F8" s="547">
        <f t="shared" si="3"/>
        <v>706951.75259782234</v>
      </c>
      <c r="G8" s="547">
        <f t="shared" si="3"/>
        <v>675000</v>
      </c>
      <c r="H8" s="547">
        <f t="shared" si="3"/>
        <v>678263.59504779812</v>
      </c>
      <c r="I8" s="547">
        <f>SUM(I9:I10)</f>
        <v>639784.65235437965</v>
      </c>
      <c r="J8" s="548">
        <f t="shared" si="2"/>
        <v>2700000</v>
      </c>
      <c r="K8" s="548">
        <f t="shared" si="0"/>
        <v>0</v>
      </c>
      <c r="L8" s="80"/>
      <c r="M8" s="81"/>
      <c r="N8" s="81"/>
      <c r="O8" s="81"/>
      <c r="P8" s="81"/>
      <c r="Q8" s="81"/>
      <c r="R8" s="81"/>
      <c r="S8" s="81"/>
      <c r="T8" s="81"/>
      <c r="U8" s="81"/>
      <c r="V8" s="81"/>
      <c r="W8" s="81"/>
      <c r="X8" s="81"/>
      <c r="Y8" s="81"/>
      <c r="Z8" s="81"/>
      <c r="AA8" s="81"/>
    </row>
    <row r="9" spans="1:27">
      <c r="A9" s="554" t="s">
        <v>336</v>
      </c>
      <c r="B9" s="524" t="s">
        <v>89</v>
      </c>
      <c r="C9" s="555" t="s">
        <v>337</v>
      </c>
      <c r="D9" s="445" t="s">
        <v>338</v>
      </c>
      <c r="E9" s="556">
        <v>2000000</v>
      </c>
      <c r="F9" s="556">
        <f>+'PA Invest'!L77</f>
        <v>538623.44420689775</v>
      </c>
      <c r="G9" s="556">
        <v>500000</v>
      </c>
      <c r="H9" s="556">
        <v>500000</v>
      </c>
      <c r="I9" s="556">
        <f>+E9-F9-G9-H9</f>
        <v>461376.55579310236</v>
      </c>
      <c r="J9" s="548">
        <f t="shared" si="2"/>
        <v>2000000</v>
      </c>
      <c r="K9" s="548">
        <f t="shared" si="0"/>
        <v>0</v>
      </c>
      <c r="L9" s="80" t="s">
        <v>141</v>
      </c>
      <c r="M9" s="81" t="s">
        <v>141</v>
      </c>
      <c r="N9" s="81" t="s">
        <v>141</v>
      </c>
      <c r="O9" s="81" t="s">
        <v>141</v>
      </c>
      <c r="P9" s="81" t="s">
        <v>141</v>
      </c>
      <c r="Q9" s="81" t="s">
        <v>141</v>
      </c>
      <c r="R9" s="81" t="s">
        <v>141</v>
      </c>
      <c r="S9" s="81" t="s">
        <v>141</v>
      </c>
      <c r="T9" s="81" t="s">
        <v>141</v>
      </c>
      <c r="U9" s="81" t="s">
        <v>141</v>
      </c>
      <c r="V9" s="81" t="s">
        <v>141</v>
      </c>
      <c r="W9" s="81" t="s">
        <v>141</v>
      </c>
      <c r="X9" s="81" t="s">
        <v>141</v>
      </c>
      <c r="Y9" s="81" t="s">
        <v>141</v>
      </c>
      <c r="Z9" s="81" t="s">
        <v>141</v>
      </c>
      <c r="AA9" s="81" t="s">
        <v>141</v>
      </c>
    </row>
    <row r="10" spans="1:27">
      <c r="A10" s="554">
        <v>1.3</v>
      </c>
      <c r="B10" s="524" t="s">
        <v>89</v>
      </c>
      <c r="C10" s="555" t="s">
        <v>339</v>
      </c>
      <c r="D10" s="445" t="s">
        <v>340</v>
      </c>
      <c r="E10" s="556">
        <v>700000</v>
      </c>
      <c r="F10" s="556">
        <f>+'PA Invest'!L29+'PA Invest'!L86</f>
        <v>168328.30839092462</v>
      </c>
      <c r="G10" s="556">
        <f>+'PA Invest'!L39+'PA Invest'!L91</f>
        <v>175000</v>
      </c>
      <c r="H10" s="556">
        <f>+'PA Invest'!L40+'PA Invest'!L92</f>
        <v>178263.59504779815</v>
      </c>
      <c r="I10" s="556">
        <f>+E10-F10-G10-H10</f>
        <v>178408.09656127726</v>
      </c>
      <c r="J10" s="548">
        <f t="shared" si="2"/>
        <v>700000</v>
      </c>
      <c r="K10" s="548">
        <f t="shared" si="0"/>
        <v>0</v>
      </c>
      <c r="L10" s="80"/>
      <c r="M10" s="81" t="s">
        <v>141</v>
      </c>
      <c r="N10" s="81" t="s">
        <v>141</v>
      </c>
      <c r="O10" s="81" t="s">
        <v>141</v>
      </c>
      <c r="P10" s="81" t="s">
        <v>141</v>
      </c>
      <c r="Q10" s="81" t="s">
        <v>141</v>
      </c>
      <c r="R10" s="81" t="s">
        <v>141</v>
      </c>
      <c r="S10" s="81" t="s">
        <v>141</v>
      </c>
      <c r="T10" s="81" t="s">
        <v>141</v>
      </c>
      <c r="U10" s="81" t="s">
        <v>141</v>
      </c>
      <c r="V10" s="81" t="s">
        <v>141</v>
      </c>
      <c r="W10" s="81" t="s">
        <v>141</v>
      </c>
      <c r="X10" s="81" t="s">
        <v>141</v>
      </c>
      <c r="Y10" s="81" t="s">
        <v>141</v>
      </c>
      <c r="Z10" s="81" t="s">
        <v>141</v>
      </c>
      <c r="AA10" s="81" t="s">
        <v>141</v>
      </c>
    </row>
    <row r="11" spans="1:27">
      <c r="A11" s="554"/>
      <c r="B11" s="524"/>
      <c r="C11" s="442" t="s">
        <v>110</v>
      </c>
      <c r="D11" s="449" t="s">
        <v>111</v>
      </c>
      <c r="E11" s="557">
        <f>SUM(E12:E14)</f>
        <v>6814000</v>
      </c>
      <c r="F11" s="557">
        <f>SUM(F12:F14)</f>
        <v>1603268.2018263477</v>
      </c>
      <c r="G11" s="557">
        <f t="shared" ref="G11" si="4">SUM(G12:G14)</f>
        <v>1899284.594891083</v>
      </c>
      <c r="H11" s="557">
        <f>SUM(H12:H14)</f>
        <v>2203306.0648801127</v>
      </c>
      <c r="I11" s="557">
        <f>SUM(I12:I14)</f>
        <v>1108141.1384024569</v>
      </c>
      <c r="J11" s="548">
        <f t="shared" si="2"/>
        <v>6814000</v>
      </c>
      <c r="K11" s="548">
        <f t="shared" si="0"/>
        <v>0</v>
      </c>
      <c r="L11" s="80"/>
      <c r="M11" s="81"/>
      <c r="N11" s="81"/>
      <c r="O11" s="81"/>
      <c r="P11" s="81"/>
      <c r="Q11" s="81"/>
      <c r="R11" s="81"/>
      <c r="S11" s="81"/>
      <c r="T11" s="81"/>
      <c r="U11" s="81"/>
      <c r="V11" s="81"/>
      <c r="W11" s="81"/>
      <c r="X11" s="81"/>
      <c r="Y11" s="81"/>
      <c r="Z11" s="81"/>
      <c r="AA11" s="81"/>
    </row>
    <row r="12" spans="1:27" s="79" customFormat="1">
      <c r="A12" s="554">
        <v>1.5</v>
      </c>
      <c r="B12" s="524" t="s">
        <v>112</v>
      </c>
      <c r="C12" s="555" t="s">
        <v>341</v>
      </c>
      <c r="D12" s="445" t="s">
        <v>113</v>
      </c>
      <c r="E12" s="556">
        <v>3531000</v>
      </c>
      <c r="F12" s="556">
        <f>+'PA Prochile'!L80</f>
        <v>1020066.6240739819</v>
      </c>
      <c r="G12" s="556">
        <f>874000+'PA Prochile'!K160</f>
        <v>984199.49851120519</v>
      </c>
      <c r="H12" s="556">
        <v>891000</v>
      </c>
      <c r="I12" s="556">
        <f>+E12-F12-G12-H12</f>
        <v>635733.87741481303</v>
      </c>
      <c r="J12" s="548">
        <f t="shared" si="2"/>
        <v>3531000</v>
      </c>
      <c r="K12" s="548">
        <f t="shared" si="0"/>
        <v>0</v>
      </c>
      <c r="L12" s="80"/>
      <c r="M12" s="81" t="s">
        <v>220</v>
      </c>
      <c r="N12" s="81" t="s">
        <v>220</v>
      </c>
      <c r="O12" s="81" t="s">
        <v>220</v>
      </c>
      <c r="P12" s="81" t="s">
        <v>220</v>
      </c>
      <c r="Q12" s="81" t="s">
        <v>220</v>
      </c>
      <c r="R12" s="81" t="s">
        <v>220</v>
      </c>
      <c r="S12" s="81" t="s">
        <v>220</v>
      </c>
      <c r="T12" s="81" t="s">
        <v>220</v>
      </c>
      <c r="U12" s="81" t="s">
        <v>220</v>
      </c>
      <c r="V12" s="81" t="s">
        <v>220</v>
      </c>
      <c r="W12" s="81" t="s">
        <v>220</v>
      </c>
      <c r="X12" s="81" t="s">
        <v>220</v>
      </c>
      <c r="Y12" s="81" t="s">
        <v>220</v>
      </c>
      <c r="Z12" s="81" t="s">
        <v>220</v>
      </c>
      <c r="AA12" s="81" t="s">
        <v>220</v>
      </c>
    </row>
    <row r="13" spans="1:27">
      <c r="A13" s="554">
        <v>1.6</v>
      </c>
      <c r="B13" s="524" t="s">
        <v>112</v>
      </c>
      <c r="C13" s="555" t="s">
        <v>342</v>
      </c>
      <c r="D13" s="445" t="s">
        <v>343</v>
      </c>
      <c r="E13" s="556">
        <v>1286000</v>
      </c>
      <c r="F13" s="556">
        <f>+'PA Prochile'!L17</f>
        <v>319571.09000812081</v>
      </c>
      <c r="G13" s="556">
        <v>318000</v>
      </c>
      <c r="H13" s="556">
        <v>325000</v>
      </c>
      <c r="I13" s="556">
        <f>+E13-F13-G13-H13</f>
        <v>323428.90999187925</v>
      </c>
      <c r="J13" s="548">
        <f t="shared" si="2"/>
        <v>1286000</v>
      </c>
      <c r="K13" s="548">
        <f t="shared" si="0"/>
        <v>0</v>
      </c>
      <c r="L13" s="80"/>
      <c r="M13" s="558"/>
      <c r="N13" s="81"/>
      <c r="O13" s="81" t="s">
        <v>220</v>
      </c>
      <c r="P13" s="81"/>
      <c r="Q13" s="81" t="s">
        <v>220</v>
      </c>
      <c r="R13" s="81"/>
      <c r="S13" s="81" t="s">
        <v>220</v>
      </c>
      <c r="T13" s="81"/>
      <c r="U13" s="81" t="s">
        <v>220</v>
      </c>
      <c r="V13" s="81"/>
      <c r="W13" s="81" t="s">
        <v>220</v>
      </c>
      <c r="X13" s="81"/>
      <c r="Y13" s="81" t="s">
        <v>220</v>
      </c>
      <c r="Z13" s="81"/>
      <c r="AA13" s="81" t="s">
        <v>220</v>
      </c>
    </row>
    <row r="14" spans="1:27" s="84" customFormat="1">
      <c r="A14" s="559"/>
      <c r="B14" s="524" t="s">
        <v>344</v>
      </c>
      <c r="C14" s="429" t="s">
        <v>345</v>
      </c>
      <c r="D14" s="445" t="s">
        <v>120</v>
      </c>
      <c r="E14" s="512">
        <f>1997000</f>
        <v>1997000</v>
      </c>
      <c r="F14" s="512">
        <f>SUM(F15:F20)</f>
        <v>263630.48774424498</v>
      </c>
      <c r="G14" s="512">
        <f>SUM(G15:G32)</f>
        <v>597085.09637987777</v>
      </c>
      <c r="H14" s="512">
        <f>SUM(H15:H20)</f>
        <v>987306.06488011277</v>
      </c>
      <c r="I14" s="556">
        <f>E14-F14-G14-H14</f>
        <v>148978.35099576449</v>
      </c>
      <c r="J14" s="548">
        <f t="shared" si="2"/>
        <v>1997000</v>
      </c>
      <c r="K14" s="548">
        <f t="shared" si="0"/>
        <v>0</v>
      </c>
      <c r="L14" s="82"/>
      <c r="M14" s="83"/>
      <c r="N14" s="83" t="s">
        <v>141</v>
      </c>
      <c r="O14" s="83" t="s">
        <v>141</v>
      </c>
      <c r="P14" s="83"/>
      <c r="Q14" s="83"/>
      <c r="R14" s="83"/>
      <c r="S14" s="83" t="s">
        <v>141</v>
      </c>
      <c r="T14" s="83"/>
      <c r="U14" s="83" t="s">
        <v>141</v>
      </c>
      <c r="V14" s="83"/>
      <c r="W14" s="83" t="s">
        <v>141</v>
      </c>
      <c r="X14" s="83"/>
      <c r="Y14" s="83"/>
      <c r="Z14" s="83"/>
      <c r="AA14" s="83" t="s">
        <v>141</v>
      </c>
    </row>
    <row r="15" spans="1:27" s="84" customFormat="1">
      <c r="A15" s="559" t="s">
        <v>346</v>
      </c>
      <c r="B15" s="524" t="s">
        <v>344</v>
      </c>
      <c r="C15" s="429" t="s">
        <v>347</v>
      </c>
      <c r="D15" s="445" t="s">
        <v>348</v>
      </c>
      <c r="E15" s="512"/>
      <c r="F15" s="512">
        <f>+'PA CULTURA'!L20+'PA CULTURA'!L37+'PA CULTURA'!L51+'PA CULTURA'!L52+'PA CULTURA'!L66</f>
        <v>141719.2860339084</v>
      </c>
      <c r="G15" s="560"/>
      <c r="H15" s="512"/>
      <c r="I15" s="556"/>
      <c r="J15" s="548"/>
      <c r="K15" s="548"/>
      <c r="L15" s="82"/>
      <c r="M15" s="83"/>
      <c r="N15" s="83"/>
      <c r="O15" s="83"/>
      <c r="P15" s="83"/>
      <c r="Q15" s="83"/>
      <c r="R15" s="83"/>
      <c r="S15" s="83"/>
      <c r="T15" s="83"/>
      <c r="U15" s="83"/>
      <c r="V15" s="83"/>
      <c r="W15" s="83"/>
      <c r="X15" s="83"/>
      <c r="Y15" s="83"/>
      <c r="Z15" s="83"/>
      <c r="AA15" s="83"/>
    </row>
    <row r="16" spans="1:27" s="84" customFormat="1">
      <c r="A16" s="559"/>
      <c r="B16" s="524" t="s">
        <v>344</v>
      </c>
      <c r="C16" s="429"/>
      <c r="D16" s="561" t="s">
        <v>122</v>
      </c>
      <c r="E16" s="512"/>
      <c r="F16" s="512"/>
      <c r="G16" s="560"/>
      <c r="H16" s="512"/>
      <c r="I16" s="556"/>
      <c r="J16" s="548"/>
      <c r="K16" s="548"/>
      <c r="L16" s="82"/>
      <c r="M16" s="83"/>
      <c r="N16" s="83"/>
      <c r="O16" s="83"/>
      <c r="P16" s="83"/>
      <c r="Q16" s="83"/>
      <c r="R16" s="83"/>
      <c r="S16" s="83"/>
      <c r="T16" s="83"/>
      <c r="U16" s="83"/>
      <c r="V16" s="83"/>
      <c r="W16" s="83"/>
      <c r="X16" s="83"/>
      <c r="Y16" s="83"/>
      <c r="Z16" s="83"/>
      <c r="AA16" s="83"/>
    </row>
    <row r="17" spans="1:27" s="84" customFormat="1">
      <c r="A17" s="559"/>
      <c r="B17" s="524" t="s">
        <v>344</v>
      </c>
      <c r="C17" s="429"/>
      <c r="D17" s="561" t="s">
        <v>127</v>
      </c>
      <c r="E17" s="512"/>
      <c r="F17" s="512"/>
      <c r="G17" s="560"/>
      <c r="H17" s="512"/>
      <c r="I17" s="556"/>
      <c r="J17" s="548"/>
      <c r="K17" s="548"/>
      <c r="L17" s="82"/>
      <c r="M17" s="83"/>
      <c r="N17" s="83"/>
      <c r="O17" s="83"/>
      <c r="P17" s="83"/>
      <c r="Q17" s="83"/>
      <c r="R17" s="83"/>
      <c r="S17" s="83"/>
      <c r="T17" s="83"/>
      <c r="U17" s="83"/>
      <c r="V17" s="83"/>
      <c r="W17" s="83"/>
      <c r="X17" s="83"/>
      <c r="Y17" s="83"/>
      <c r="Z17" s="83"/>
      <c r="AA17" s="83"/>
    </row>
    <row r="18" spans="1:27" s="84" customFormat="1">
      <c r="A18" s="559"/>
      <c r="B18" s="524" t="s">
        <v>344</v>
      </c>
      <c r="C18" s="429"/>
      <c r="D18" s="561" t="s">
        <v>132</v>
      </c>
      <c r="E18" s="512"/>
      <c r="F18" s="512"/>
      <c r="G18" s="512"/>
      <c r="H18" s="512"/>
      <c r="I18" s="556"/>
      <c r="J18" s="548"/>
      <c r="K18" s="548"/>
      <c r="L18" s="82"/>
      <c r="M18" s="83"/>
      <c r="N18" s="83"/>
      <c r="O18" s="83"/>
      <c r="P18" s="83"/>
      <c r="Q18" s="83"/>
      <c r="R18" s="83"/>
      <c r="S18" s="83"/>
      <c r="T18" s="83"/>
      <c r="U18" s="83"/>
      <c r="V18" s="83"/>
      <c r="W18" s="83"/>
      <c r="X18" s="83"/>
      <c r="Y18" s="83"/>
      <c r="Z18" s="83"/>
      <c r="AA18" s="83"/>
    </row>
    <row r="19" spans="1:27" s="84" customFormat="1" ht="42.75" customHeight="1">
      <c r="A19" s="559">
        <v>1.1100000000000001</v>
      </c>
      <c r="B19" s="524" t="s">
        <v>344</v>
      </c>
      <c r="C19" s="555" t="s">
        <v>349</v>
      </c>
      <c r="D19" s="445" t="s">
        <v>350</v>
      </c>
      <c r="E19" s="512"/>
      <c r="F19" s="512">
        <f>+'PA CULTURA'!L18+'PA CULTURA'!L19+'PA CULTURA'!L36+'PA CULTURA'!L65</f>
        <v>121911.20171033659</v>
      </c>
      <c r="G19" s="512"/>
      <c r="H19" s="512"/>
      <c r="I19" s="556"/>
      <c r="J19" s="548"/>
      <c r="K19" s="548"/>
      <c r="L19" s="82"/>
      <c r="M19" s="83"/>
      <c r="N19" s="83"/>
      <c r="O19" s="83"/>
      <c r="P19" s="83"/>
      <c r="Q19" s="83"/>
      <c r="R19" s="83"/>
      <c r="S19" s="83"/>
      <c r="T19" s="83"/>
      <c r="U19" s="83"/>
      <c r="V19" s="83"/>
      <c r="W19" s="83"/>
      <c r="X19" s="83"/>
      <c r="Y19" s="83"/>
      <c r="Z19" s="83"/>
      <c r="AA19" s="83"/>
    </row>
    <row r="20" spans="1:27" s="84" customFormat="1" ht="31.5">
      <c r="A20" s="559">
        <v>1.1200000000000001</v>
      </c>
      <c r="B20" s="524" t="s">
        <v>344</v>
      </c>
      <c r="C20" s="555" t="s">
        <v>138</v>
      </c>
      <c r="D20" s="445" t="s">
        <v>351</v>
      </c>
      <c r="E20" s="512"/>
      <c r="F20" s="512">
        <v>0</v>
      </c>
      <c r="G20" s="512">
        <f>+'PA CULTURA'!L67+'PA CULTURA'!L29</f>
        <v>0</v>
      </c>
      <c r="H20" s="512">
        <f>+'PA CULTURA'!L22</f>
        <v>987306.06488011277</v>
      </c>
      <c r="I20" s="556"/>
      <c r="J20" s="548"/>
      <c r="K20" s="548"/>
      <c r="L20" s="82"/>
      <c r="M20" s="83"/>
      <c r="N20" s="83"/>
      <c r="O20" s="83"/>
      <c r="P20" s="83"/>
      <c r="Q20" s="83"/>
      <c r="R20" s="83"/>
      <c r="S20" s="83"/>
      <c r="T20" s="83"/>
      <c r="U20" s="83"/>
      <c r="V20" s="83"/>
      <c r="W20" s="83"/>
      <c r="X20" s="83"/>
      <c r="Y20" s="83"/>
      <c r="Z20" s="83"/>
      <c r="AA20" s="83"/>
    </row>
    <row r="21" spans="1:27" s="84" customFormat="1" ht="18" customHeight="1">
      <c r="A21" s="559"/>
      <c r="B21" s="524" t="s">
        <v>344</v>
      </c>
      <c r="C21" s="429"/>
      <c r="D21" s="561" t="s">
        <v>127</v>
      </c>
      <c r="E21" s="512"/>
      <c r="F21" s="512"/>
      <c r="G21" s="512"/>
      <c r="H21" s="512"/>
      <c r="I21" s="556"/>
      <c r="J21" s="548"/>
      <c r="K21" s="548"/>
      <c r="L21" s="82"/>
      <c r="M21" s="83"/>
      <c r="N21" s="83"/>
      <c r="O21" s="83"/>
      <c r="P21" s="83"/>
      <c r="Q21" s="83"/>
      <c r="R21" s="83"/>
      <c r="S21" s="83"/>
      <c r="T21" s="83"/>
      <c r="U21" s="83"/>
      <c r="V21" s="83"/>
      <c r="W21" s="83"/>
      <c r="X21" s="83"/>
      <c r="Y21" s="83"/>
      <c r="Z21" s="83"/>
      <c r="AA21" s="83"/>
    </row>
    <row r="22" spans="1:27" s="84" customFormat="1" ht="18" customHeight="1">
      <c r="A22" s="559"/>
      <c r="B22" s="524" t="s">
        <v>344</v>
      </c>
      <c r="C22" s="429"/>
      <c r="D22" s="561" t="s">
        <v>132</v>
      </c>
      <c r="E22" s="512"/>
      <c r="F22" s="512"/>
      <c r="G22" s="512"/>
      <c r="H22" s="512"/>
      <c r="I22" s="556"/>
      <c r="J22" s="548"/>
      <c r="K22" s="548"/>
      <c r="L22" s="82"/>
      <c r="M22" s="83"/>
      <c r="N22" s="83"/>
      <c r="O22" s="83"/>
      <c r="P22" s="83"/>
      <c r="Q22" s="83"/>
      <c r="R22" s="83"/>
      <c r="S22" s="83"/>
      <c r="T22" s="83"/>
      <c r="U22" s="83"/>
      <c r="V22" s="83"/>
      <c r="W22" s="83"/>
      <c r="X22" s="83"/>
      <c r="Y22" s="83"/>
      <c r="Z22" s="83"/>
      <c r="AA22" s="83"/>
    </row>
    <row r="23" spans="1:27" s="84" customFormat="1" ht="18" customHeight="1">
      <c r="A23" s="559"/>
      <c r="B23" s="524" t="s">
        <v>344</v>
      </c>
      <c r="C23" s="429"/>
      <c r="D23" s="445" t="s">
        <v>139</v>
      </c>
      <c r="E23" s="512"/>
      <c r="F23" s="512"/>
      <c r="G23" s="512">
        <f>+'PA CULTURA'!L53</f>
        <v>203729.8229117693</v>
      </c>
      <c r="H23" s="512"/>
      <c r="I23" s="556"/>
      <c r="J23" s="548"/>
      <c r="K23" s="548"/>
      <c r="L23" s="82"/>
      <c r="M23" s="83"/>
      <c r="N23" s="83"/>
      <c r="O23" s="83"/>
      <c r="P23" s="83"/>
      <c r="Q23" s="83"/>
      <c r="R23" s="83"/>
      <c r="S23" s="83"/>
      <c r="T23" s="83"/>
      <c r="U23" s="83"/>
      <c r="V23" s="83"/>
      <c r="W23" s="83"/>
      <c r="X23" s="83"/>
      <c r="Y23" s="83"/>
      <c r="Z23" s="83"/>
      <c r="AA23" s="83"/>
    </row>
    <row r="24" spans="1:27" s="84" customFormat="1" ht="18" customHeight="1">
      <c r="A24" s="559"/>
      <c r="B24" s="524" t="s">
        <v>344</v>
      </c>
      <c r="C24" s="429"/>
      <c r="D24" s="561" t="s">
        <v>140</v>
      </c>
      <c r="E24" s="512"/>
      <c r="F24" s="512"/>
      <c r="G24" s="512"/>
      <c r="H24" s="512"/>
      <c r="I24" s="556"/>
      <c r="J24" s="548"/>
      <c r="K24" s="548"/>
      <c r="L24" s="82"/>
      <c r="M24" s="83"/>
      <c r="N24" s="83"/>
      <c r="O24" s="83"/>
      <c r="P24" s="83"/>
      <c r="Q24" s="83"/>
      <c r="R24" s="83"/>
      <c r="S24" s="83"/>
      <c r="T24" s="83"/>
      <c r="U24" s="83"/>
      <c r="V24" s="83"/>
      <c r="W24" s="83"/>
      <c r="X24" s="83"/>
      <c r="Y24" s="83"/>
      <c r="Z24" s="83"/>
      <c r="AA24" s="83"/>
    </row>
    <row r="25" spans="1:27" s="84" customFormat="1" ht="18" customHeight="1">
      <c r="A25" s="559"/>
      <c r="B25" s="524" t="s">
        <v>344</v>
      </c>
      <c r="C25" s="429"/>
      <c r="D25" s="561" t="s">
        <v>142</v>
      </c>
      <c r="E25" s="512"/>
      <c r="F25" s="512"/>
      <c r="G25" s="512"/>
      <c r="H25" s="512"/>
      <c r="I25" s="556"/>
      <c r="J25" s="548"/>
      <c r="K25" s="548"/>
      <c r="L25" s="82"/>
      <c r="M25" s="83"/>
      <c r="N25" s="83"/>
      <c r="O25" s="83"/>
      <c r="P25" s="83"/>
      <c r="Q25" s="83"/>
      <c r="R25" s="83"/>
      <c r="S25" s="83"/>
      <c r="T25" s="83"/>
      <c r="U25" s="83"/>
      <c r="V25" s="83"/>
      <c r="W25" s="83"/>
      <c r="X25" s="83"/>
      <c r="Y25" s="83"/>
      <c r="Z25" s="83"/>
      <c r="AA25" s="83"/>
    </row>
    <row r="26" spans="1:27" s="84" customFormat="1" ht="18" customHeight="1">
      <c r="A26" s="559"/>
      <c r="B26" s="524" t="s">
        <v>344</v>
      </c>
      <c r="C26" s="429"/>
      <c r="D26" s="445" t="s">
        <v>144</v>
      </c>
      <c r="E26" s="512"/>
      <c r="F26" s="512"/>
      <c r="G26" s="512">
        <f>+'PA CULTURA'!L54</f>
        <v>236640.02507443973</v>
      </c>
      <c r="H26" s="512"/>
      <c r="I26" s="556"/>
      <c r="J26" s="548"/>
      <c r="K26" s="548"/>
      <c r="L26" s="82"/>
      <c r="M26" s="83"/>
      <c r="N26" s="83"/>
      <c r="O26" s="83"/>
      <c r="P26" s="83"/>
      <c r="Q26" s="83"/>
      <c r="R26" s="83"/>
      <c r="S26" s="83"/>
      <c r="T26" s="83"/>
      <c r="U26" s="83"/>
      <c r="V26" s="83"/>
      <c r="W26" s="83"/>
      <c r="X26" s="83"/>
      <c r="Y26" s="83"/>
      <c r="Z26" s="83"/>
      <c r="AA26" s="83"/>
    </row>
    <row r="27" spans="1:27" s="84" customFormat="1" ht="18" customHeight="1">
      <c r="A27" s="559"/>
      <c r="B27" s="524" t="s">
        <v>344</v>
      </c>
      <c r="C27" s="429"/>
      <c r="D27" s="561" t="s">
        <v>145</v>
      </c>
      <c r="E27" s="512"/>
      <c r="F27" s="512"/>
      <c r="G27" s="512"/>
      <c r="H27" s="512"/>
      <c r="I27" s="556"/>
      <c r="J27" s="548"/>
      <c r="K27" s="548"/>
      <c r="L27" s="82"/>
      <c r="M27" s="83"/>
      <c r="N27" s="83"/>
      <c r="O27" s="83"/>
      <c r="P27" s="83"/>
      <c r="Q27" s="83"/>
      <c r="R27" s="83"/>
      <c r="S27" s="83"/>
      <c r="T27" s="83"/>
      <c r="U27" s="83"/>
      <c r="V27" s="83"/>
      <c r="W27" s="83"/>
      <c r="X27" s="83"/>
      <c r="Y27" s="83"/>
      <c r="Z27" s="83"/>
      <c r="AA27" s="83"/>
    </row>
    <row r="28" spans="1:27" s="84" customFormat="1" ht="18" customHeight="1">
      <c r="A28" s="559"/>
      <c r="B28" s="524" t="s">
        <v>344</v>
      </c>
      <c r="C28" s="429"/>
      <c r="D28" s="561" t="s">
        <v>146</v>
      </c>
      <c r="E28" s="512"/>
      <c r="F28" s="512"/>
      <c r="G28" s="512"/>
      <c r="H28" s="512"/>
      <c r="I28" s="556"/>
      <c r="J28" s="548"/>
      <c r="K28" s="548"/>
      <c r="L28" s="82"/>
      <c r="M28" s="83"/>
      <c r="N28" s="83"/>
      <c r="O28" s="83"/>
      <c r="P28" s="83"/>
      <c r="Q28" s="83"/>
      <c r="R28" s="83"/>
      <c r="S28" s="83"/>
      <c r="T28" s="83"/>
      <c r="U28" s="83"/>
      <c r="V28" s="83"/>
      <c r="W28" s="83"/>
      <c r="X28" s="83"/>
      <c r="Y28" s="83"/>
      <c r="Z28" s="83"/>
      <c r="AA28" s="83"/>
    </row>
    <row r="29" spans="1:27" s="84" customFormat="1" ht="18" customHeight="1">
      <c r="A29" s="559"/>
      <c r="B29" s="524" t="s">
        <v>344</v>
      </c>
      <c r="C29" s="429"/>
      <c r="D29" s="445" t="s">
        <v>148</v>
      </c>
      <c r="E29" s="512"/>
      <c r="F29" s="512"/>
      <c r="G29" s="512">
        <f>+'PA CULTURA'!L55</f>
        <v>156715.24839366871</v>
      </c>
      <c r="H29" s="512"/>
      <c r="I29" s="556"/>
      <c r="J29" s="548"/>
      <c r="K29" s="548"/>
      <c r="L29" s="82"/>
      <c r="M29" s="83"/>
      <c r="N29" s="83"/>
      <c r="O29" s="83"/>
      <c r="P29" s="83"/>
      <c r="Q29" s="83"/>
      <c r="R29" s="83"/>
      <c r="S29" s="83"/>
      <c r="T29" s="83"/>
      <c r="U29" s="83"/>
      <c r="V29" s="83"/>
      <c r="W29" s="83"/>
      <c r="X29" s="83"/>
      <c r="Y29" s="83"/>
      <c r="Z29" s="83"/>
      <c r="AA29" s="83"/>
    </row>
    <row r="30" spans="1:27" s="84" customFormat="1" ht="18" customHeight="1">
      <c r="A30" s="559"/>
      <c r="B30" s="524" t="s">
        <v>344</v>
      </c>
      <c r="C30" s="429"/>
      <c r="D30" s="561" t="s">
        <v>149</v>
      </c>
      <c r="E30" s="512"/>
      <c r="F30" s="512"/>
      <c r="G30" s="512"/>
      <c r="H30" s="512"/>
      <c r="I30" s="556"/>
      <c r="J30" s="548"/>
      <c r="K30" s="548"/>
      <c r="L30" s="82"/>
      <c r="M30" s="83"/>
      <c r="N30" s="83"/>
      <c r="O30" s="83"/>
      <c r="P30" s="83"/>
      <c r="Q30" s="83"/>
      <c r="R30" s="83"/>
      <c r="S30" s="83"/>
      <c r="T30" s="83"/>
      <c r="U30" s="83"/>
      <c r="V30" s="83"/>
      <c r="W30" s="83"/>
      <c r="X30" s="83"/>
      <c r="Y30" s="83"/>
      <c r="Z30" s="83"/>
      <c r="AA30" s="83"/>
    </row>
    <row r="31" spans="1:27" s="84" customFormat="1" ht="18" customHeight="1">
      <c r="A31" s="559"/>
      <c r="B31" s="524" t="s">
        <v>344</v>
      </c>
      <c r="C31" s="429"/>
      <c r="D31" s="561" t="s">
        <v>150</v>
      </c>
      <c r="E31" s="512"/>
      <c r="F31" s="512"/>
      <c r="G31" s="512"/>
      <c r="H31" s="512"/>
      <c r="I31" s="556"/>
      <c r="J31" s="548"/>
      <c r="K31" s="548"/>
      <c r="L31" s="82"/>
      <c r="M31" s="83"/>
      <c r="N31" s="83"/>
      <c r="O31" s="83"/>
      <c r="P31" s="83"/>
      <c r="Q31" s="83"/>
      <c r="R31" s="83"/>
      <c r="S31" s="83"/>
      <c r="T31" s="83"/>
      <c r="U31" s="83"/>
      <c r="V31" s="83"/>
      <c r="W31" s="83"/>
      <c r="X31" s="83"/>
      <c r="Y31" s="83"/>
      <c r="Z31" s="83"/>
      <c r="AA31" s="83"/>
    </row>
    <row r="32" spans="1:27" s="84" customFormat="1" ht="18" customHeight="1">
      <c r="A32" s="559"/>
      <c r="B32" s="524" t="s">
        <v>344</v>
      </c>
      <c r="C32" s="429"/>
      <c r="D32" s="561" t="s">
        <v>151</v>
      </c>
      <c r="E32" s="512"/>
      <c r="F32" s="512"/>
      <c r="G32" s="512"/>
      <c r="H32" s="512"/>
      <c r="I32" s="556"/>
      <c r="J32" s="548"/>
      <c r="K32" s="548"/>
      <c r="L32" s="82"/>
      <c r="M32" s="83"/>
      <c r="N32" s="83"/>
      <c r="O32" s="83"/>
      <c r="P32" s="83"/>
      <c r="Q32" s="83"/>
      <c r="R32" s="83"/>
      <c r="S32" s="83"/>
      <c r="T32" s="83"/>
      <c r="U32" s="83"/>
      <c r="V32" s="83"/>
      <c r="W32" s="83"/>
      <c r="X32" s="83"/>
      <c r="Y32" s="83"/>
      <c r="Z32" s="83"/>
      <c r="AA32" s="83"/>
    </row>
    <row r="33" spans="1:27">
      <c r="A33" s="422"/>
      <c r="B33" s="422"/>
      <c r="C33" s="442" t="s">
        <v>152</v>
      </c>
      <c r="D33" s="481" t="s">
        <v>153</v>
      </c>
      <c r="E33" s="548">
        <f t="shared" ref="E33:H33" si="5">+E34</f>
        <v>3250000</v>
      </c>
      <c r="F33" s="548">
        <f t="shared" si="5"/>
        <v>1242851.2242496563</v>
      </c>
      <c r="G33" s="548">
        <f t="shared" si="5"/>
        <v>1235807.2136028835</v>
      </c>
      <c r="H33" s="548">
        <f t="shared" si="5"/>
        <v>865953.14214073028</v>
      </c>
      <c r="I33" s="548">
        <f>+I34</f>
        <v>436900.9760490433</v>
      </c>
      <c r="J33" s="548">
        <f>G33+H33+F33+I33</f>
        <v>3781512.5560423136</v>
      </c>
      <c r="K33" s="548">
        <f t="shared" ref="K33:K40" si="6">+J33-E33</f>
        <v>531512.55604231358</v>
      </c>
      <c r="L33" s="80"/>
      <c r="M33" s="81"/>
      <c r="N33" s="81"/>
      <c r="O33" s="81"/>
      <c r="P33" s="81"/>
      <c r="Q33" s="81"/>
      <c r="R33" s="81"/>
      <c r="S33" s="81"/>
      <c r="T33" s="81"/>
      <c r="U33" s="81"/>
      <c r="V33" s="81"/>
      <c r="W33" s="81"/>
      <c r="X33" s="81"/>
      <c r="Y33" s="81"/>
      <c r="Z33" s="81"/>
      <c r="AA33" s="81"/>
    </row>
    <row r="34" spans="1:27">
      <c r="A34" s="554"/>
      <c r="B34" s="553"/>
      <c r="C34" s="442" t="s">
        <v>154</v>
      </c>
      <c r="D34" s="562" t="s">
        <v>155</v>
      </c>
      <c r="E34" s="547">
        <f t="shared" ref="E34" si="7">SUM(E35:E40)</f>
        <v>3250000</v>
      </c>
      <c r="F34" s="547">
        <f>SUM(F35:F41)</f>
        <v>1242851.2242496563</v>
      </c>
      <c r="G34" s="547">
        <f>SUM(G35:G41)</f>
        <v>1235807.2136028835</v>
      </c>
      <c r="H34" s="547">
        <f>SUM(H35:H41)</f>
        <v>865953.14214073028</v>
      </c>
      <c r="I34" s="547">
        <f>SUM(I35:I41)</f>
        <v>436900.9760490433</v>
      </c>
      <c r="J34" s="548">
        <f t="shared" ref="J34:J45" si="8">G34+H34+F34+I34</f>
        <v>3781512.5560423136</v>
      </c>
      <c r="K34" s="548">
        <f t="shared" si="6"/>
        <v>531512.55604231358</v>
      </c>
      <c r="L34" s="80"/>
      <c r="M34" s="81"/>
      <c r="N34" s="81"/>
      <c r="O34" s="81"/>
      <c r="P34" s="81"/>
      <c r="Q34" s="81"/>
      <c r="R34" s="81"/>
      <c r="S34" s="81"/>
      <c r="T34" s="81"/>
      <c r="U34" s="81"/>
      <c r="V34" s="81"/>
      <c r="W34" s="81"/>
      <c r="X34" s="81"/>
      <c r="Y34" s="81"/>
      <c r="Z34" s="81"/>
      <c r="AA34" s="81"/>
    </row>
    <row r="35" spans="1:27" s="85" customFormat="1" ht="31.5">
      <c r="A35" s="554">
        <v>1.4</v>
      </c>
      <c r="B35" s="524" t="s">
        <v>112</v>
      </c>
      <c r="C35" s="555" t="s">
        <v>352</v>
      </c>
      <c r="D35" s="563" t="s">
        <v>353</v>
      </c>
      <c r="E35" s="564">
        <v>264000</v>
      </c>
      <c r="F35" s="564">
        <f>+'PA Prochile'!L57+'PA Prochile'!L36</f>
        <v>42758.414955501416</v>
      </c>
      <c r="G35" s="564">
        <v>65000</v>
      </c>
      <c r="H35" s="564">
        <v>67000</v>
      </c>
      <c r="I35" s="556">
        <f>+E35-F35-G35-H35</f>
        <v>89241.585044498584</v>
      </c>
      <c r="J35" s="548">
        <f t="shared" si="8"/>
        <v>264000</v>
      </c>
      <c r="K35" s="548">
        <f t="shared" si="6"/>
        <v>0</v>
      </c>
      <c r="L35" s="80"/>
      <c r="M35" s="81"/>
      <c r="N35" s="81"/>
      <c r="O35" s="81" t="s">
        <v>220</v>
      </c>
      <c r="P35" s="81"/>
      <c r="Q35" s="81" t="s">
        <v>220</v>
      </c>
      <c r="R35" s="81" t="s">
        <v>220</v>
      </c>
      <c r="S35" s="81"/>
      <c r="T35" s="81"/>
      <c r="U35" s="81" t="s">
        <v>220</v>
      </c>
      <c r="V35" s="81" t="s">
        <v>220</v>
      </c>
      <c r="W35" s="81"/>
      <c r="X35" s="81"/>
      <c r="Y35" s="81" t="s">
        <v>220</v>
      </c>
      <c r="Z35" s="81" t="s">
        <v>220</v>
      </c>
      <c r="AA35" s="81"/>
    </row>
    <row r="36" spans="1:27" s="74" customFormat="1" ht="31.5">
      <c r="A36" s="554">
        <v>1.7</v>
      </c>
      <c r="B36" s="524" t="s">
        <v>179</v>
      </c>
      <c r="C36" s="555" t="s">
        <v>354</v>
      </c>
      <c r="D36" s="563" t="s">
        <v>355</v>
      </c>
      <c r="E36" s="564">
        <v>131000</v>
      </c>
      <c r="F36" s="564">
        <f>+'PA CORFO'!N37</f>
        <v>29226.843335156369</v>
      </c>
      <c r="G36" s="564">
        <f>+'PA CORFO'!N46</f>
        <v>29775.897194797053</v>
      </c>
      <c r="H36" s="564">
        <f>+'PA CORFO'!N50</f>
        <v>37298.229117693147</v>
      </c>
      <c r="I36" s="556">
        <f>+'PA CORFO'!N51</f>
        <v>46889.202319385673</v>
      </c>
      <c r="J36" s="548">
        <f t="shared" si="8"/>
        <v>143190.17196703225</v>
      </c>
      <c r="K36" s="548">
        <f t="shared" si="6"/>
        <v>12190.171967032249</v>
      </c>
      <c r="L36" s="80"/>
      <c r="M36" s="81" t="s">
        <v>220</v>
      </c>
      <c r="N36" s="81" t="s">
        <v>141</v>
      </c>
      <c r="O36" s="81" t="s">
        <v>141</v>
      </c>
      <c r="P36" s="81" t="s">
        <v>141</v>
      </c>
      <c r="Q36" s="81" t="s">
        <v>141</v>
      </c>
      <c r="R36" s="81" t="s">
        <v>141</v>
      </c>
      <c r="S36" s="81" t="s">
        <v>141</v>
      </c>
      <c r="T36" s="81" t="s">
        <v>141</v>
      </c>
      <c r="U36" s="81" t="s">
        <v>141</v>
      </c>
      <c r="V36" s="81" t="s">
        <v>141</v>
      </c>
      <c r="W36" s="81" t="s">
        <v>141</v>
      </c>
      <c r="X36" s="81" t="s">
        <v>141</v>
      </c>
      <c r="Y36" s="81" t="s">
        <v>141</v>
      </c>
      <c r="Z36" s="81" t="s">
        <v>141</v>
      </c>
      <c r="AA36" s="81" t="s">
        <v>141</v>
      </c>
    </row>
    <row r="37" spans="1:27" s="74" customFormat="1" ht="31.5">
      <c r="A37" s="554">
        <v>1.8</v>
      </c>
      <c r="B37" s="524" t="s">
        <v>179</v>
      </c>
      <c r="C37" s="555" t="s">
        <v>356</v>
      </c>
      <c r="D37" s="563" t="s">
        <v>357</v>
      </c>
      <c r="E37" s="564">
        <v>1120000</v>
      </c>
      <c r="F37" s="564">
        <f>+'PA CORFO'!N52</f>
        <v>295757.30456255493</v>
      </c>
      <c r="G37" s="564">
        <f>+'PA CORFO'!N61</f>
        <v>393049.67873374076</v>
      </c>
      <c r="H37" s="564">
        <f>+'PA CORFO'!N65</f>
        <v>319699.10672308417</v>
      </c>
      <c r="I37" s="556">
        <f>+'PA CORFO'!N66</f>
        <v>137161.88685159065</v>
      </c>
      <c r="J37" s="548">
        <f t="shared" si="8"/>
        <v>1145667.9768709706</v>
      </c>
      <c r="K37" s="548">
        <f t="shared" si="6"/>
        <v>25667.976870970568</v>
      </c>
      <c r="L37" s="80"/>
      <c r="M37" s="81" t="s">
        <v>220</v>
      </c>
      <c r="N37" s="81" t="s">
        <v>141</v>
      </c>
      <c r="O37" s="81" t="s">
        <v>141</v>
      </c>
      <c r="P37" s="81" t="s">
        <v>141</v>
      </c>
      <c r="Q37" s="81" t="s">
        <v>141</v>
      </c>
      <c r="R37" s="81" t="s">
        <v>141</v>
      </c>
      <c r="S37" s="81" t="s">
        <v>141</v>
      </c>
      <c r="T37" s="81" t="s">
        <v>141</v>
      </c>
      <c r="U37" s="81" t="s">
        <v>141</v>
      </c>
      <c r="V37" s="81" t="s">
        <v>141</v>
      </c>
      <c r="W37" s="81" t="s">
        <v>141</v>
      </c>
      <c r="X37" s="81" t="s">
        <v>141</v>
      </c>
      <c r="Y37" s="81" t="s">
        <v>141</v>
      </c>
      <c r="Z37" s="81" t="s">
        <v>141</v>
      </c>
      <c r="AA37" s="81" t="s">
        <v>141</v>
      </c>
    </row>
    <row r="38" spans="1:27" s="85" customFormat="1" ht="47.25">
      <c r="A38" s="554">
        <v>1.8</v>
      </c>
      <c r="B38" s="524" t="s">
        <v>179</v>
      </c>
      <c r="C38" s="555" t="s">
        <v>358</v>
      </c>
      <c r="D38" s="563" t="s">
        <v>359</v>
      </c>
      <c r="E38" s="564">
        <v>270000</v>
      </c>
      <c r="F38" s="564">
        <f>+'PA CORFO'!N67</f>
        <v>31878.221382522086</v>
      </c>
      <c r="G38" s="564">
        <f>+'PA CORFO'!N71</f>
        <v>465894.19056574203</v>
      </c>
      <c r="H38" s="564">
        <f>+'PA CORFO'!N81</f>
        <v>175539.88403071617</v>
      </c>
      <c r="I38" s="556">
        <f>+'PA CORFO'!N82</f>
        <v>95909.732016925249</v>
      </c>
      <c r="J38" s="548">
        <f t="shared" si="8"/>
        <v>769222.02799590561</v>
      </c>
      <c r="K38" s="548">
        <f t="shared" si="6"/>
        <v>499222.02799590561</v>
      </c>
      <c r="L38" s="80"/>
      <c r="M38" s="81" t="s">
        <v>220</v>
      </c>
      <c r="N38" s="81" t="s">
        <v>141</v>
      </c>
      <c r="O38" s="81" t="s">
        <v>141</v>
      </c>
      <c r="P38" s="81" t="s">
        <v>141</v>
      </c>
      <c r="Q38" s="81" t="s">
        <v>141</v>
      </c>
      <c r="R38" s="81" t="s">
        <v>141</v>
      </c>
      <c r="S38" s="81" t="s">
        <v>141</v>
      </c>
      <c r="T38" s="81" t="s">
        <v>141</v>
      </c>
      <c r="U38" s="81" t="s">
        <v>141</v>
      </c>
      <c r="V38" s="81" t="s">
        <v>141</v>
      </c>
      <c r="W38" s="81" t="s">
        <v>141</v>
      </c>
      <c r="X38" s="81" t="s">
        <v>141</v>
      </c>
      <c r="Y38" s="81" t="s">
        <v>141</v>
      </c>
      <c r="Z38" s="81" t="s">
        <v>141</v>
      </c>
      <c r="AA38" s="81" t="s">
        <v>141</v>
      </c>
    </row>
    <row r="39" spans="1:27" s="79" customFormat="1" ht="47.25">
      <c r="A39" s="554">
        <v>1.9</v>
      </c>
      <c r="B39" s="524" t="s">
        <v>179</v>
      </c>
      <c r="C39" s="555" t="s">
        <v>360</v>
      </c>
      <c r="D39" s="563" t="s">
        <v>361</v>
      </c>
      <c r="E39" s="564">
        <v>948000</v>
      </c>
      <c r="F39" s="564">
        <f>+'PA CORFO'!N83</f>
        <v>255128.21757072539</v>
      </c>
      <c r="G39" s="564">
        <f>+'PA CORFO'!N101</f>
        <v>282087.44710860366</v>
      </c>
      <c r="H39" s="564">
        <f>+'PA CORFO'!N119</f>
        <v>266415.92226923676</v>
      </c>
      <c r="I39" s="556">
        <f>+'PA CORFO'!N120</f>
        <v>67698.569816643154</v>
      </c>
      <c r="J39" s="548">
        <f t="shared" si="8"/>
        <v>871330.15676520893</v>
      </c>
      <c r="K39" s="548">
        <f t="shared" si="6"/>
        <v>-76669.843234791071</v>
      </c>
      <c r="L39" s="80"/>
      <c r="M39" s="81"/>
      <c r="N39" s="81" t="s">
        <v>220</v>
      </c>
      <c r="O39" s="81" t="s">
        <v>141</v>
      </c>
      <c r="P39" s="81" t="s">
        <v>141</v>
      </c>
      <c r="Q39" s="81" t="s">
        <v>141</v>
      </c>
      <c r="R39" s="81" t="s">
        <v>141</v>
      </c>
      <c r="S39" s="81" t="s">
        <v>141</v>
      </c>
      <c r="T39" s="81" t="s">
        <v>141</v>
      </c>
      <c r="U39" s="81" t="s">
        <v>141</v>
      </c>
      <c r="V39" s="81" t="s">
        <v>141</v>
      </c>
      <c r="W39" s="81" t="s">
        <v>141</v>
      </c>
      <c r="X39" s="81" t="s">
        <v>141</v>
      </c>
      <c r="Y39" s="81" t="s">
        <v>141</v>
      </c>
      <c r="Z39" s="81" t="s">
        <v>141</v>
      </c>
      <c r="AA39" s="81" t="s">
        <v>141</v>
      </c>
    </row>
    <row r="40" spans="1:27" s="79" customFormat="1">
      <c r="A40" s="554"/>
      <c r="B40" s="524" t="s">
        <v>179</v>
      </c>
      <c r="C40" s="555" t="s">
        <v>362</v>
      </c>
      <c r="D40" s="563" t="s">
        <v>363</v>
      </c>
      <c r="E40" s="564">
        <v>517000</v>
      </c>
      <c r="F40" s="564">
        <f>+'PA CORFO'!N121</f>
        <v>588102.22244319599</v>
      </c>
      <c r="G40" s="564"/>
      <c r="H40" s="564"/>
      <c r="I40" s="556"/>
      <c r="J40" s="548">
        <f t="shared" si="8"/>
        <v>588102.22244319599</v>
      </c>
      <c r="K40" s="548">
        <f t="shared" si="6"/>
        <v>71102.222443195991</v>
      </c>
      <c r="L40" s="80"/>
      <c r="M40" s="81" t="s">
        <v>220</v>
      </c>
      <c r="N40" s="81" t="s">
        <v>141</v>
      </c>
      <c r="O40" s="81" t="s">
        <v>141</v>
      </c>
      <c r="P40" s="81" t="s">
        <v>141</v>
      </c>
      <c r="Q40" s="81" t="s">
        <v>141</v>
      </c>
      <c r="R40" s="81" t="s">
        <v>141</v>
      </c>
      <c r="S40" s="81" t="s">
        <v>141</v>
      </c>
      <c r="T40" s="81" t="s">
        <v>141</v>
      </c>
      <c r="U40" s="81" t="s">
        <v>141</v>
      </c>
      <c r="V40" s="81" t="s">
        <v>141</v>
      </c>
      <c r="W40" s="81" t="s">
        <v>141</v>
      </c>
      <c r="X40" s="81" t="s">
        <v>141</v>
      </c>
      <c r="Y40" s="81" t="s">
        <v>141</v>
      </c>
      <c r="Z40" s="81" t="s">
        <v>141</v>
      </c>
      <c r="AA40" s="81" t="s">
        <v>141</v>
      </c>
    </row>
    <row r="41" spans="1:27" s="88" customFormat="1">
      <c r="A41" s="554"/>
      <c r="B41" s="524"/>
      <c r="C41" s="555"/>
      <c r="D41" s="565"/>
      <c r="E41" s="564"/>
      <c r="F41" s="564"/>
      <c r="G41" s="564"/>
      <c r="H41" s="566"/>
      <c r="I41" s="567"/>
      <c r="J41" s="548"/>
      <c r="K41" s="548"/>
      <c r="L41" s="86"/>
      <c r="M41" s="87"/>
      <c r="N41" s="87"/>
      <c r="O41" s="87"/>
      <c r="P41" s="87"/>
      <c r="Q41" s="87"/>
      <c r="R41" s="87"/>
      <c r="S41" s="87"/>
      <c r="T41" s="87"/>
      <c r="U41" s="87"/>
      <c r="V41" s="87"/>
      <c r="W41" s="87"/>
      <c r="X41" s="87"/>
      <c r="Y41" s="87"/>
      <c r="Z41" s="87"/>
      <c r="AA41" s="87"/>
    </row>
    <row r="42" spans="1:27" s="74" customFormat="1">
      <c r="A42" s="422"/>
      <c r="B42" s="422"/>
      <c r="C42" s="442" t="s">
        <v>180</v>
      </c>
      <c r="D42" s="481" t="s">
        <v>181</v>
      </c>
      <c r="E42" s="548">
        <f t="shared" ref="E42:H42" si="9">SUM(E43:E43)</f>
        <v>600000</v>
      </c>
      <c r="F42" s="548">
        <f t="shared" si="9"/>
        <v>129697.84384892028</v>
      </c>
      <c r="G42" s="548">
        <f>SUM(G43:G43)</f>
        <v>150000</v>
      </c>
      <c r="H42" s="548">
        <f t="shared" si="9"/>
        <v>195894.06049208588</v>
      </c>
      <c r="I42" s="548">
        <f>SUM(I43:I43)</f>
        <v>124408.09565899383</v>
      </c>
      <c r="J42" s="548">
        <f t="shared" si="8"/>
        <v>600000</v>
      </c>
      <c r="K42" s="548">
        <f t="shared" ref="K42:K48" si="10">+J42-E42</f>
        <v>0</v>
      </c>
      <c r="L42" s="80"/>
      <c r="M42" s="81"/>
      <c r="N42" s="81"/>
      <c r="O42" s="81"/>
      <c r="P42" s="81"/>
      <c r="Q42" s="81"/>
      <c r="R42" s="81"/>
      <c r="S42" s="81"/>
      <c r="T42" s="81"/>
      <c r="U42" s="81"/>
      <c r="V42" s="81"/>
      <c r="W42" s="81"/>
      <c r="X42" s="81"/>
      <c r="Y42" s="81"/>
      <c r="Z42" s="81"/>
      <c r="AA42" s="81"/>
    </row>
    <row r="43" spans="1:27" s="85" customFormat="1">
      <c r="A43" s="554" t="s">
        <v>17</v>
      </c>
      <c r="B43" s="553"/>
      <c r="C43" s="442" t="s">
        <v>182</v>
      </c>
      <c r="D43" s="426" t="s">
        <v>183</v>
      </c>
      <c r="E43" s="568">
        <f t="shared" ref="E43:I43" si="11">SUM(E44:E45)</f>
        <v>600000</v>
      </c>
      <c r="F43" s="568">
        <f t="shared" si="11"/>
        <v>129697.84384892028</v>
      </c>
      <c r="G43" s="568">
        <f t="shared" si="11"/>
        <v>150000</v>
      </c>
      <c r="H43" s="568">
        <f t="shared" si="11"/>
        <v>195894.06049208588</v>
      </c>
      <c r="I43" s="568">
        <f t="shared" si="11"/>
        <v>124408.09565899383</v>
      </c>
      <c r="J43" s="548">
        <f t="shared" si="8"/>
        <v>600000</v>
      </c>
      <c r="K43" s="548">
        <f t="shared" si="10"/>
        <v>0</v>
      </c>
      <c r="L43" s="80"/>
      <c r="M43" s="81"/>
      <c r="N43" s="81"/>
      <c r="O43" s="81"/>
      <c r="P43" s="81"/>
      <c r="Q43" s="81"/>
      <c r="R43" s="81"/>
      <c r="S43" s="81"/>
      <c r="T43" s="81"/>
      <c r="U43" s="81"/>
      <c r="V43" s="81"/>
      <c r="W43" s="81"/>
      <c r="X43" s="81"/>
      <c r="Y43" s="81"/>
      <c r="Z43" s="81"/>
      <c r="AA43" s="81"/>
    </row>
    <row r="44" spans="1:27" s="79" customFormat="1">
      <c r="A44" s="554">
        <v>1.3</v>
      </c>
      <c r="B44" s="524" t="s">
        <v>89</v>
      </c>
      <c r="C44" s="555" t="s">
        <v>364</v>
      </c>
      <c r="D44" s="445" t="s">
        <v>365</v>
      </c>
      <c r="E44" s="564">
        <v>400000</v>
      </c>
      <c r="F44" s="564">
        <f>+'PA Invest'!L12</f>
        <v>129697.84384892028</v>
      </c>
      <c r="G44" s="564">
        <f>+'PA Invest'!L21</f>
        <v>100000</v>
      </c>
      <c r="H44" s="564">
        <f>+'PA Invest'!L22</f>
        <v>101864.91145588465</v>
      </c>
      <c r="I44" s="556">
        <f>+E44-F44-G44-H44</f>
        <v>68437.244695195041</v>
      </c>
      <c r="J44" s="548">
        <f t="shared" si="8"/>
        <v>399999.99999999994</v>
      </c>
      <c r="K44" s="548">
        <f t="shared" si="10"/>
        <v>0</v>
      </c>
      <c r="L44" s="80"/>
      <c r="M44" s="81" t="s">
        <v>141</v>
      </c>
      <c r="N44" s="81" t="s">
        <v>141</v>
      </c>
      <c r="O44" s="81" t="s">
        <v>141</v>
      </c>
      <c r="P44" s="81"/>
      <c r="Q44" s="81" t="s">
        <v>141</v>
      </c>
      <c r="R44" s="81" t="s">
        <v>141</v>
      </c>
      <c r="S44" s="81"/>
      <c r="T44" s="81"/>
      <c r="U44" s="81" t="s">
        <v>141</v>
      </c>
      <c r="V44" s="81" t="s">
        <v>141</v>
      </c>
      <c r="W44" s="81"/>
      <c r="X44" s="81"/>
      <c r="Y44" s="81" t="s">
        <v>141</v>
      </c>
      <c r="Z44" s="81" t="s">
        <v>141</v>
      </c>
      <c r="AA44" s="81"/>
    </row>
    <row r="45" spans="1:27" s="79" customFormat="1">
      <c r="A45" s="554">
        <v>1.2</v>
      </c>
      <c r="B45" s="524" t="s">
        <v>89</v>
      </c>
      <c r="C45" s="555" t="s">
        <v>366</v>
      </c>
      <c r="D45" s="445" t="s">
        <v>367</v>
      </c>
      <c r="E45" s="564">
        <v>200000</v>
      </c>
      <c r="F45" s="564">
        <f>+'PA Invest'!L47</f>
        <v>0</v>
      </c>
      <c r="G45" s="564">
        <f>+'PA Invest'!L50</f>
        <v>50000</v>
      </c>
      <c r="H45" s="564">
        <f>+'PA Invest'!L51</f>
        <v>94029.149036201212</v>
      </c>
      <c r="I45" s="556">
        <f>+E45-F45-G45-H45</f>
        <v>55970.850963798788</v>
      </c>
      <c r="J45" s="548">
        <f t="shared" si="8"/>
        <v>200000</v>
      </c>
      <c r="K45" s="548">
        <f t="shared" si="10"/>
        <v>0</v>
      </c>
      <c r="L45" s="80"/>
      <c r="M45" s="81"/>
      <c r="N45" s="81" t="s">
        <v>141</v>
      </c>
      <c r="O45" s="81" t="s">
        <v>141</v>
      </c>
      <c r="P45" s="81"/>
      <c r="Q45" s="81"/>
      <c r="R45" s="81"/>
      <c r="S45" s="81" t="s">
        <v>141</v>
      </c>
      <c r="T45" s="81"/>
      <c r="U45" s="81"/>
      <c r="V45" s="81"/>
      <c r="W45" s="81" t="s">
        <v>141</v>
      </c>
      <c r="X45" s="81"/>
      <c r="Y45" s="81"/>
      <c r="Z45" s="81"/>
      <c r="AA45" s="81" t="s">
        <v>141</v>
      </c>
    </row>
    <row r="46" spans="1:27" s="85" customFormat="1">
      <c r="A46" s="569" t="s">
        <v>190</v>
      </c>
      <c r="B46" s="569"/>
      <c r="C46" s="570" t="s">
        <v>191</v>
      </c>
      <c r="D46" s="571"/>
      <c r="E46" s="546">
        <f>+E47+E62</f>
        <v>11070200</v>
      </c>
      <c r="F46" s="546">
        <f>+F47+F62</f>
        <v>1777253.8325129687</v>
      </c>
      <c r="G46" s="546">
        <f>+G47+G62</f>
        <v>2577793.7157185394</v>
      </c>
      <c r="H46" s="546">
        <f>+H47+H62</f>
        <v>2609105.8689860525</v>
      </c>
      <c r="I46" s="546">
        <f>+I47+I62</f>
        <v>2258396.0936283576</v>
      </c>
      <c r="J46" s="546">
        <f>G46+H46+F46+I46</f>
        <v>9222549.5108459182</v>
      </c>
      <c r="K46" s="546">
        <f t="shared" si="10"/>
        <v>-1847650.4891540818</v>
      </c>
      <c r="L46" s="82"/>
      <c r="M46" s="83"/>
      <c r="N46" s="83"/>
      <c r="O46" s="83"/>
      <c r="P46" s="83"/>
      <c r="Q46" s="83"/>
      <c r="R46" s="83"/>
      <c r="S46" s="83"/>
      <c r="T46" s="83"/>
      <c r="U46" s="83"/>
      <c r="V46" s="83"/>
      <c r="W46" s="83"/>
      <c r="X46" s="83"/>
      <c r="Y46" s="83"/>
      <c r="Z46" s="83"/>
      <c r="AA46" s="83"/>
    </row>
    <row r="47" spans="1:27" s="85" customFormat="1">
      <c r="A47" s="422"/>
      <c r="B47" s="481"/>
      <c r="C47" s="481" t="s">
        <v>192</v>
      </c>
      <c r="D47" s="481" t="s">
        <v>193</v>
      </c>
      <c r="E47" s="572">
        <f>+E48+E50+E56</f>
        <v>10650200</v>
      </c>
      <c r="F47" s="572">
        <f>+F48+F50+F56</f>
        <v>1646824.0938696368</v>
      </c>
      <c r="G47" s="572">
        <f>+G48+G50+G56</f>
        <v>1882291.4433474378</v>
      </c>
      <c r="H47" s="572">
        <f>+H48+H50+H56</f>
        <v>2509105.8689860525</v>
      </c>
      <c r="I47" s="572">
        <f>+I48+I50+I56</f>
        <v>2044328.1046427912</v>
      </c>
      <c r="J47" s="548">
        <f>G47+H47+F47+I47</f>
        <v>8082549.5108459182</v>
      </c>
      <c r="K47" s="548">
        <f t="shared" si="10"/>
        <v>-2567650.4891540818</v>
      </c>
      <c r="L47" s="82"/>
      <c r="M47" s="83"/>
      <c r="N47" s="83"/>
      <c r="O47" s="83"/>
      <c r="P47" s="83"/>
      <c r="Q47" s="83"/>
      <c r="R47" s="83"/>
      <c r="S47" s="83"/>
      <c r="T47" s="83"/>
      <c r="U47" s="83"/>
      <c r="V47" s="83"/>
      <c r="W47" s="83"/>
      <c r="X47" s="83"/>
      <c r="Y47" s="83"/>
      <c r="Z47" s="83"/>
      <c r="AA47" s="83"/>
    </row>
    <row r="48" spans="1:27" s="79" customFormat="1">
      <c r="A48" s="554">
        <v>2.1</v>
      </c>
      <c r="B48" s="553"/>
      <c r="C48" s="442" t="s">
        <v>194</v>
      </c>
      <c r="D48" s="562" t="s">
        <v>195</v>
      </c>
      <c r="E48" s="547">
        <f>SUM(E49)</f>
        <v>4768000</v>
      </c>
      <c r="F48" s="547">
        <f t="shared" ref="F48:G48" si="12">SUM(F49)</f>
        <v>778932.36546843674</v>
      </c>
      <c r="G48" s="547">
        <f t="shared" si="12"/>
        <v>861933.8661651779</v>
      </c>
      <c r="H48" s="547">
        <f>SUM(H49)</f>
        <v>1113555.8689860522</v>
      </c>
      <c r="I48" s="547">
        <f>SUM(I49)</f>
        <v>1130324.4005641749</v>
      </c>
      <c r="J48" s="548">
        <f>G48+H48+F48+I48</f>
        <v>3884746.5011838414</v>
      </c>
      <c r="K48" s="548">
        <f t="shared" si="10"/>
        <v>-883253.49881615862</v>
      </c>
      <c r="L48" s="82"/>
      <c r="M48" s="83"/>
      <c r="N48" s="83"/>
      <c r="O48" s="83"/>
      <c r="P48" s="83"/>
      <c r="Q48" s="83"/>
      <c r="R48" s="83"/>
      <c r="S48" s="83"/>
      <c r="T48" s="83"/>
      <c r="U48" s="83"/>
      <c r="V48" s="83"/>
      <c r="W48" s="83"/>
      <c r="X48" s="83"/>
      <c r="Y48" s="83"/>
      <c r="Z48" s="83"/>
      <c r="AA48" s="83"/>
    </row>
    <row r="49" spans="1:27" s="89" customFormat="1">
      <c r="A49" s="559">
        <v>2.1</v>
      </c>
      <c r="B49" s="524" t="s">
        <v>179</v>
      </c>
      <c r="C49" s="555" t="s">
        <v>368</v>
      </c>
      <c r="D49" s="573" t="s">
        <v>369</v>
      </c>
      <c r="E49" s="512">
        <v>4768000</v>
      </c>
      <c r="F49" s="512">
        <f>+'PA CORFO'!N124</f>
        <v>778932.36546843674</v>
      </c>
      <c r="G49" s="512">
        <f>+'PA CORFO'!N133</f>
        <v>861933.8661651779</v>
      </c>
      <c r="H49" s="512">
        <f>+'PA CORFO'!N134</f>
        <v>1113555.8689860522</v>
      </c>
      <c r="I49" s="556">
        <f>+'PA CORFO'!N135</f>
        <v>1130324.4005641749</v>
      </c>
      <c r="J49" s="574">
        <f>G49+H49+F49+I49</f>
        <v>3884746.5011838414</v>
      </c>
      <c r="K49" s="574"/>
      <c r="L49" s="82"/>
      <c r="M49" s="83" t="s">
        <v>141</v>
      </c>
      <c r="N49" s="83" t="s">
        <v>141</v>
      </c>
      <c r="O49" s="83" t="s">
        <v>141</v>
      </c>
      <c r="P49" s="83"/>
      <c r="Q49" s="83" t="s">
        <v>141</v>
      </c>
      <c r="R49" s="83" t="s">
        <v>141</v>
      </c>
      <c r="S49" s="83" t="s">
        <v>141</v>
      </c>
      <c r="T49" s="83"/>
      <c r="U49" s="83" t="s">
        <v>141</v>
      </c>
      <c r="V49" s="83" t="s">
        <v>141</v>
      </c>
      <c r="W49" s="83" t="s">
        <v>141</v>
      </c>
      <c r="X49" s="83"/>
      <c r="Y49" s="83" t="s">
        <v>141</v>
      </c>
      <c r="Z49" s="83" t="s">
        <v>141</v>
      </c>
      <c r="AA49" s="83" t="s">
        <v>141</v>
      </c>
    </row>
    <row r="50" spans="1:27" s="54" customFormat="1" ht="31.5">
      <c r="A50" s="559">
        <v>2.1</v>
      </c>
      <c r="B50" s="553" t="s">
        <v>370</v>
      </c>
      <c r="C50" s="442" t="s">
        <v>371</v>
      </c>
      <c r="D50" s="562" t="s">
        <v>218</v>
      </c>
      <c r="E50" s="572">
        <v>4982200</v>
      </c>
      <c r="F50" s="547">
        <f>SUM(F51:F54)</f>
        <v>810671.44135633681</v>
      </c>
      <c r="G50" s="547">
        <f>SUM(G51:G55)</f>
        <v>518868.78232251992</v>
      </c>
      <c r="H50" s="547">
        <v>1245550</v>
      </c>
      <c r="I50" s="547">
        <f>+E50-F50-G50-H50-720000-G100</f>
        <v>722712.78598321928</v>
      </c>
      <c r="J50" s="548">
        <f>G50+H50+F50+I50</f>
        <v>3297803.0096620759</v>
      </c>
      <c r="K50" s="548">
        <f>+J50-E50</f>
        <v>-1684396.9903379241</v>
      </c>
      <c r="L50" s="82"/>
      <c r="M50" s="83" t="s">
        <v>141</v>
      </c>
      <c r="N50" s="83" t="s">
        <v>141</v>
      </c>
      <c r="O50" s="83" t="s">
        <v>141</v>
      </c>
      <c r="P50" s="83" t="s">
        <v>141</v>
      </c>
      <c r="Q50" s="83" t="s">
        <v>141</v>
      </c>
      <c r="R50" s="83" t="s">
        <v>141</v>
      </c>
      <c r="S50" s="83" t="s">
        <v>141</v>
      </c>
      <c r="T50" s="83" t="s">
        <v>141</v>
      </c>
      <c r="U50" s="83" t="s">
        <v>141</v>
      </c>
      <c r="V50" s="83" t="s">
        <v>141</v>
      </c>
      <c r="W50" s="83" t="s">
        <v>141</v>
      </c>
      <c r="X50" s="83" t="s">
        <v>141</v>
      </c>
      <c r="Y50" s="83" t="s">
        <v>141</v>
      </c>
      <c r="Z50" s="83" t="s">
        <v>141</v>
      </c>
      <c r="AA50" s="83" t="s">
        <v>141</v>
      </c>
    </row>
    <row r="51" spans="1:27" s="54" customFormat="1">
      <c r="A51" s="559"/>
      <c r="B51" s="524" t="s">
        <v>370</v>
      </c>
      <c r="C51" s="555" t="s">
        <v>372</v>
      </c>
      <c r="D51" s="573" t="s">
        <v>373</v>
      </c>
      <c r="E51" s="575"/>
      <c r="F51" s="512">
        <v>0</v>
      </c>
      <c r="G51" s="512"/>
      <c r="H51" s="512"/>
      <c r="I51" s="512"/>
      <c r="J51" s="574"/>
      <c r="K51" s="548">
        <f>+J51-E51</f>
        <v>0</v>
      </c>
      <c r="L51" s="82"/>
      <c r="M51" s="83"/>
      <c r="N51" s="83"/>
      <c r="O51" s="83"/>
      <c r="P51" s="83"/>
      <c r="Q51" s="83"/>
      <c r="R51" s="83"/>
      <c r="S51" s="83"/>
      <c r="T51" s="83"/>
      <c r="U51" s="83"/>
      <c r="V51" s="83"/>
      <c r="W51" s="83"/>
      <c r="X51" s="83"/>
      <c r="Y51" s="83"/>
      <c r="Z51" s="83"/>
      <c r="AA51" s="83"/>
    </row>
    <row r="52" spans="1:27" s="54" customFormat="1">
      <c r="A52" s="559"/>
      <c r="B52" s="524" t="s">
        <v>370</v>
      </c>
      <c r="C52" s="555" t="s">
        <v>374</v>
      </c>
      <c r="D52" s="573" t="s">
        <v>375</v>
      </c>
      <c r="E52" s="575"/>
      <c r="F52" s="512">
        <f>+'PA SENCE'!L60</f>
        <v>593465.50324002723</v>
      </c>
      <c r="G52" s="512"/>
      <c r="H52" s="512"/>
      <c r="I52" s="512"/>
      <c r="J52" s="574"/>
      <c r="K52" s="548">
        <f>+J52-E52</f>
        <v>0</v>
      </c>
      <c r="L52" s="82"/>
      <c r="M52" s="83"/>
      <c r="N52" s="83"/>
      <c r="O52" s="83"/>
      <c r="P52" s="83"/>
      <c r="Q52" s="83"/>
      <c r="R52" s="83"/>
      <c r="S52" s="83"/>
      <c r="T52" s="83"/>
      <c r="U52" s="83"/>
      <c r="V52" s="83"/>
      <c r="W52" s="83"/>
      <c r="X52" s="83"/>
      <c r="Y52" s="83"/>
      <c r="Z52" s="83"/>
      <c r="AA52" s="83"/>
    </row>
    <row r="53" spans="1:27" s="54" customFormat="1" ht="31.5">
      <c r="A53" s="559"/>
      <c r="B53" s="524" t="s">
        <v>370</v>
      </c>
      <c r="C53" s="555" t="s">
        <v>376</v>
      </c>
      <c r="D53" s="573" t="s">
        <v>377</v>
      </c>
      <c r="E53" s="575"/>
      <c r="F53" s="512">
        <f>+'PA SENCE'!L51</f>
        <v>196531.26501930758</v>
      </c>
      <c r="G53" s="512">
        <f>+'PA SENCE'!L74</f>
        <v>143159.64582353862</v>
      </c>
      <c r="H53" s="512"/>
      <c r="I53" s="512"/>
      <c r="J53" s="574"/>
      <c r="K53" s="548">
        <f>+J53-E53</f>
        <v>0</v>
      </c>
      <c r="L53" s="82"/>
      <c r="M53" s="83"/>
      <c r="N53" s="83"/>
      <c r="O53" s="83"/>
      <c r="P53" s="83"/>
      <c r="Q53" s="83"/>
      <c r="R53" s="83"/>
      <c r="S53" s="83"/>
      <c r="T53" s="83"/>
      <c r="U53" s="83"/>
      <c r="V53" s="83"/>
      <c r="W53" s="83"/>
      <c r="X53" s="83"/>
      <c r="Y53" s="83"/>
      <c r="Z53" s="83"/>
      <c r="AA53" s="83"/>
    </row>
    <row r="54" spans="1:27" s="54" customFormat="1" ht="31.5">
      <c r="A54" s="559"/>
      <c r="B54" s="524" t="s">
        <v>370</v>
      </c>
      <c r="C54" s="555" t="s">
        <v>378</v>
      </c>
      <c r="D54" s="573" t="str">
        <f>+'PA SENCE'!F71</f>
        <v xml:space="preserve">Formación de capital humano en sectores emergentes. Cursos orientados al cierre de brechas del sector de economías creativas “Exportación de Servicios Creativos” </v>
      </c>
      <c r="E54" s="575"/>
      <c r="F54" s="512">
        <f>+'PA SENCE'!L71</f>
        <v>20674.673097001938</v>
      </c>
      <c r="H54" s="512"/>
      <c r="I54" s="512"/>
      <c r="J54" s="574"/>
      <c r="K54" s="548">
        <f>+J54-E54</f>
        <v>0</v>
      </c>
      <c r="L54" s="82"/>
      <c r="M54" s="83"/>
      <c r="N54" s="83"/>
      <c r="O54" s="83"/>
      <c r="P54" s="83"/>
      <c r="Q54" s="83"/>
      <c r="R54" s="83"/>
      <c r="S54" s="83"/>
      <c r="T54" s="83"/>
      <c r="U54" s="83"/>
      <c r="V54" s="83"/>
      <c r="W54" s="83"/>
      <c r="X54" s="83"/>
      <c r="Y54" s="83"/>
      <c r="Z54" s="83"/>
      <c r="AA54" s="83"/>
    </row>
    <row r="55" spans="1:27" s="54" customFormat="1">
      <c r="A55" s="559"/>
      <c r="B55" s="524" t="s">
        <v>370</v>
      </c>
      <c r="C55" s="555" t="s">
        <v>379</v>
      </c>
      <c r="D55" s="475" t="str">
        <f>+'PA SENCE'!E73</f>
        <v>Cursos orientados a la formación en oficios y/o cierre de brechas</v>
      </c>
      <c r="E55" s="575"/>
      <c r="F55" s="512"/>
      <c r="G55" s="512">
        <f>+'PA SENCE'!L73</f>
        <v>375709.13649898133</v>
      </c>
      <c r="H55" s="512"/>
      <c r="I55" s="512"/>
      <c r="J55" s="574"/>
      <c r="K55" s="548"/>
      <c r="L55" s="82"/>
      <c r="M55" s="83"/>
      <c r="N55" s="83"/>
      <c r="O55" s="83"/>
      <c r="P55" s="83"/>
      <c r="Q55" s="83"/>
      <c r="R55" s="83"/>
      <c r="S55" s="83"/>
      <c r="T55" s="83"/>
      <c r="U55" s="83"/>
      <c r="V55" s="83"/>
      <c r="W55" s="83"/>
      <c r="X55" s="83"/>
      <c r="Y55" s="83"/>
      <c r="Z55" s="83"/>
      <c r="AA55" s="83"/>
    </row>
    <row r="56" spans="1:27" s="54" customFormat="1" ht="31.5">
      <c r="A56" s="559">
        <v>2.1</v>
      </c>
      <c r="B56" s="553" t="s">
        <v>14</v>
      </c>
      <c r="C56" s="442" t="s">
        <v>380</v>
      </c>
      <c r="D56" s="562" t="s">
        <v>381</v>
      </c>
      <c r="E56" s="547">
        <v>900000</v>
      </c>
      <c r="F56" s="547">
        <f>+'PA SENCE'!L45</f>
        <v>57220.287044863187</v>
      </c>
      <c r="G56" s="547">
        <f>+'PA SENCE'!L46</f>
        <v>501488.79485973984</v>
      </c>
      <c r="H56" s="547">
        <v>150000</v>
      </c>
      <c r="I56" s="547">
        <f>+E56-F56-G56-H56</f>
        <v>191290.91809539695</v>
      </c>
      <c r="J56" s="548">
        <f>G56+H56+F56+I56</f>
        <v>900000</v>
      </c>
      <c r="K56" s="548">
        <f t="shared" ref="K56:K65" si="13">+J56-E56</f>
        <v>0</v>
      </c>
      <c r="L56" s="82"/>
      <c r="M56" s="83" t="s">
        <v>141</v>
      </c>
      <c r="N56" s="83" t="s">
        <v>141</v>
      </c>
      <c r="O56" s="83" t="s">
        <v>141</v>
      </c>
      <c r="P56" s="83" t="s">
        <v>141</v>
      </c>
      <c r="Q56" s="83" t="s">
        <v>141</v>
      </c>
      <c r="R56" s="83" t="s">
        <v>141</v>
      </c>
      <c r="S56" s="83" t="s">
        <v>141</v>
      </c>
      <c r="T56" s="83" t="s">
        <v>141</v>
      </c>
      <c r="U56" s="83" t="s">
        <v>141</v>
      </c>
      <c r="V56" s="83" t="s">
        <v>141</v>
      </c>
      <c r="W56" s="83" t="s">
        <v>141</v>
      </c>
      <c r="X56" s="83" t="s">
        <v>141</v>
      </c>
      <c r="Y56" s="83" t="s">
        <v>141</v>
      </c>
      <c r="Z56" s="83" t="s">
        <v>141</v>
      </c>
      <c r="AA56" s="83" t="s">
        <v>141</v>
      </c>
    </row>
    <row r="57" spans="1:27" s="54" customFormat="1">
      <c r="A57" s="559"/>
      <c r="B57" s="553" t="s">
        <v>14</v>
      </c>
      <c r="C57" s="555" t="s">
        <v>235</v>
      </c>
      <c r="D57" s="573" t="s">
        <v>382</v>
      </c>
      <c r="E57" s="576"/>
      <c r="G57" s="576"/>
      <c r="H57" s="576"/>
      <c r="I57" s="576"/>
      <c r="J57" s="574"/>
      <c r="K57" s="548">
        <f t="shared" si="13"/>
        <v>0</v>
      </c>
      <c r="L57" s="82"/>
      <c r="M57" s="83"/>
      <c r="N57" s="83"/>
      <c r="O57" s="83"/>
      <c r="P57" s="83"/>
      <c r="Q57" s="83"/>
      <c r="R57" s="83"/>
      <c r="S57" s="83"/>
      <c r="T57" s="83"/>
      <c r="U57" s="83"/>
      <c r="V57" s="83"/>
      <c r="W57" s="83"/>
      <c r="X57" s="83"/>
      <c r="Y57" s="83"/>
      <c r="Z57" s="83"/>
      <c r="AA57" s="83"/>
    </row>
    <row r="58" spans="1:27" s="54" customFormat="1">
      <c r="A58" s="559"/>
      <c r="B58" s="553" t="s">
        <v>14</v>
      </c>
      <c r="C58" s="555" t="s">
        <v>242</v>
      </c>
      <c r="D58" s="573" t="s">
        <v>243</v>
      </c>
      <c r="E58" s="576"/>
      <c r="F58" s="576"/>
      <c r="G58" s="576"/>
      <c r="H58" s="576"/>
      <c r="I58" s="576"/>
      <c r="J58" s="574"/>
      <c r="K58" s="548">
        <f t="shared" si="13"/>
        <v>0</v>
      </c>
      <c r="L58" s="82"/>
      <c r="M58" s="83"/>
      <c r="N58" s="83"/>
      <c r="O58" s="83"/>
      <c r="P58" s="83"/>
      <c r="Q58" s="83"/>
      <c r="R58" s="83"/>
      <c r="S58" s="83"/>
      <c r="T58" s="83"/>
      <c r="U58" s="83"/>
      <c r="V58" s="83"/>
      <c r="W58" s="83"/>
      <c r="X58" s="83"/>
      <c r="Y58" s="83"/>
      <c r="Z58" s="83"/>
      <c r="AA58" s="83"/>
    </row>
    <row r="59" spans="1:27" s="54" customFormat="1">
      <c r="A59" s="559"/>
      <c r="B59" s="553" t="s">
        <v>14</v>
      </c>
      <c r="C59" s="555" t="s">
        <v>250</v>
      </c>
      <c r="D59" s="573" t="s">
        <v>203</v>
      </c>
      <c r="E59" s="576"/>
      <c r="F59" s="576"/>
      <c r="G59" s="576"/>
      <c r="H59" s="576"/>
      <c r="I59" s="576"/>
      <c r="J59" s="574"/>
      <c r="K59" s="548">
        <f t="shared" si="13"/>
        <v>0</v>
      </c>
      <c r="L59" s="82"/>
      <c r="M59" s="83"/>
      <c r="N59" s="83"/>
      <c r="O59" s="83"/>
      <c r="P59" s="83"/>
      <c r="Q59" s="83"/>
      <c r="R59" s="83"/>
      <c r="S59" s="83"/>
      <c r="T59" s="83"/>
      <c r="U59" s="83"/>
      <c r="V59" s="83"/>
      <c r="W59" s="83"/>
      <c r="X59" s="83"/>
      <c r="Y59" s="83"/>
      <c r="Z59" s="83"/>
      <c r="AA59" s="83"/>
    </row>
    <row r="60" spans="1:27" s="54" customFormat="1">
      <c r="A60" s="559"/>
      <c r="B60" s="553" t="s">
        <v>14</v>
      </c>
      <c r="C60" s="555" t="s">
        <v>259</v>
      </c>
      <c r="D60" s="573" t="s">
        <v>260</v>
      </c>
      <c r="E60" s="576"/>
      <c r="F60" s="576"/>
      <c r="G60" s="576"/>
      <c r="H60" s="576"/>
      <c r="I60" s="576"/>
      <c r="J60" s="574"/>
      <c r="K60" s="548">
        <f t="shared" si="13"/>
        <v>0</v>
      </c>
      <c r="L60" s="82"/>
      <c r="M60" s="83"/>
      <c r="N60" s="83"/>
      <c r="O60" s="83"/>
      <c r="P60" s="83"/>
      <c r="Q60" s="83"/>
      <c r="R60" s="83"/>
      <c r="S60" s="83"/>
      <c r="T60" s="83"/>
      <c r="U60" s="83"/>
      <c r="V60" s="83"/>
      <c r="W60" s="83"/>
      <c r="X60" s="83"/>
      <c r="Y60" s="83"/>
      <c r="Z60" s="83"/>
      <c r="AA60" s="83"/>
    </row>
    <row r="61" spans="1:27" s="54" customFormat="1">
      <c r="A61" s="559"/>
      <c r="B61" s="553" t="s">
        <v>14</v>
      </c>
      <c r="C61" s="555" t="s">
        <v>265</v>
      </c>
      <c r="D61" s="573" t="s">
        <v>383</v>
      </c>
      <c r="E61" s="576"/>
      <c r="F61" s="576"/>
      <c r="G61" s="576"/>
      <c r="H61" s="576"/>
      <c r="I61" s="576"/>
      <c r="J61" s="574"/>
      <c r="K61" s="548">
        <f t="shared" si="13"/>
        <v>0</v>
      </c>
      <c r="L61" s="82"/>
      <c r="M61" s="83"/>
      <c r="N61" s="83"/>
      <c r="O61" s="83"/>
      <c r="P61" s="83"/>
      <c r="Q61" s="83"/>
      <c r="R61" s="83"/>
      <c r="S61" s="83"/>
      <c r="T61" s="83"/>
      <c r="U61" s="83"/>
      <c r="V61" s="83"/>
      <c r="W61" s="83"/>
      <c r="X61" s="83"/>
      <c r="Y61" s="83"/>
      <c r="Z61" s="83"/>
      <c r="AA61" s="83"/>
    </row>
    <row r="62" spans="1:27" s="85" customFormat="1">
      <c r="A62" s="559"/>
      <c r="B62" s="553" t="s">
        <v>14</v>
      </c>
      <c r="C62" s="481" t="s">
        <v>384</v>
      </c>
      <c r="D62" s="481" t="s">
        <v>385</v>
      </c>
      <c r="E62" s="572">
        <f>+E63</f>
        <v>420000</v>
      </c>
      <c r="F62" s="572">
        <f>+F63</f>
        <v>130429.73864333183</v>
      </c>
      <c r="G62" s="572">
        <f>+G63</f>
        <v>695502.27237110166</v>
      </c>
      <c r="H62" s="572">
        <f>+H63</f>
        <v>100000</v>
      </c>
      <c r="I62" s="572">
        <f>+I63</f>
        <v>214067.98898556654</v>
      </c>
      <c r="J62" s="548">
        <f>G62+H62+F62+I62</f>
        <v>1140000</v>
      </c>
      <c r="K62" s="548">
        <f t="shared" si="13"/>
        <v>720000</v>
      </c>
      <c r="L62" s="82"/>
      <c r="M62" s="83"/>
      <c r="N62" s="83"/>
      <c r="O62" s="83"/>
      <c r="P62" s="83"/>
      <c r="Q62" s="83"/>
      <c r="R62" s="83"/>
      <c r="S62" s="83"/>
      <c r="T62" s="83"/>
      <c r="U62" s="83"/>
      <c r="V62" s="83"/>
      <c r="W62" s="83"/>
      <c r="X62" s="83"/>
      <c r="Y62" s="83"/>
      <c r="Z62" s="83"/>
      <c r="AA62" s="83"/>
    </row>
    <row r="63" spans="1:27" s="84" customFormat="1" ht="31.5">
      <c r="A63" s="559">
        <v>2.2000000000000002</v>
      </c>
      <c r="B63" s="553" t="s">
        <v>370</v>
      </c>
      <c r="C63" s="442" t="s">
        <v>386</v>
      </c>
      <c r="D63" s="562" t="s">
        <v>387</v>
      </c>
      <c r="E63" s="547">
        <v>420000</v>
      </c>
      <c r="F63" s="568">
        <f>SUM(F64:F65)</f>
        <v>130429.73864333183</v>
      </c>
      <c r="G63" s="568">
        <f>'PA SENCE'!L25</f>
        <v>695502.27237110166</v>
      </c>
      <c r="H63" s="568">
        <v>100000</v>
      </c>
      <c r="I63" s="547">
        <f>+E63-F63-G63-H63+720000</f>
        <v>214067.98898556654</v>
      </c>
      <c r="J63" s="548">
        <f>G63+H63+F63+I63</f>
        <v>1140000</v>
      </c>
      <c r="K63" s="548">
        <f t="shared" si="13"/>
        <v>720000</v>
      </c>
      <c r="L63" s="82"/>
      <c r="M63" s="83" t="s">
        <v>141</v>
      </c>
      <c r="N63" s="83" t="s">
        <v>141</v>
      </c>
      <c r="O63" s="83" t="s">
        <v>141</v>
      </c>
      <c r="P63" s="83"/>
      <c r="Q63" s="83" t="s">
        <v>141</v>
      </c>
      <c r="R63" s="83" t="s">
        <v>141</v>
      </c>
      <c r="S63" s="83" t="s">
        <v>141</v>
      </c>
      <c r="T63" s="83"/>
      <c r="U63" s="83" t="s">
        <v>141</v>
      </c>
      <c r="V63" s="83" t="s">
        <v>141</v>
      </c>
      <c r="W63" s="83" t="s">
        <v>141</v>
      </c>
      <c r="X63" s="83"/>
      <c r="Y63" s="83" t="s">
        <v>141</v>
      </c>
      <c r="Z63" s="83" t="s">
        <v>141</v>
      </c>
      <c r="AA63" s="83"/>
    </row>
    <row r="64" spans="1:27" s="84" customFormat="1" ht="31.5">
      <c r="A64" s="559"/>
      <c r="B64" s="524" t="s">
        <v>370</v>
      </c>
      <c r="C64" s="555" t="s">
        <v>388</v>
      </c>
      <c r="D64" s="445" t="s">
        <v>389</v>
      </c>
      <c r="E64" s="577"/>
      <c r="F64" s="512">
        <f>+'PA SENCE'!L23</f>
        <v>78224.697127894062</v>
      </c>
      <c r="G64" s="512">
        <f>'PA SENCE'!L26</f>
        <v>51402.60147312333</v>
      </c>
      <c r="H64" s="512"/>
      <c r="I64" s="547"/>
      <c r="J64" s="574"/>
      <c r="K64" s="548">
        <f t="shared" si="13"/>
        <v>0</v>
      </c>
      <c r="L64" s="82"/>
      <c r="M64" s="83"/>
      <c r="N64" s="83"/>
      <c r="O64" s="83"/>
      <c r="P64" s="83"/>
      <c r="Q64" s="83"/>
      <c r="R64" s="83"/>
      <c r="S64" s="83"/>
      <c r="T64" s="83"/>
      <c r="U64" s="83"/>
      <c r="V64" s="83"/>
      <c r="W64" s="83"/>
      <c r="X64" s="83"/>
      <c r="Y64" s="83"/>
      <c r="Z64" s="83"/>
      <c r="AA64" s="83"/>
    </row>
    <row r="65" spans="1:27" s="84" customFormat="1" ht="31.5">
      <c r="A65" s="559"/>
      <c r="B65" s="524" t="s">
        <v>370</v>
      </c>
      <c r="C65" s="555" t="s">
        <v>390</v>
      </c>
      <c r="D65" s="516" t="s">
        <v>391</v>
      </c>
      <c r="E65" s="577"/>
      <c r="F65" s="512">
        <f>+'PA SENCE'!L24</f>
        <v>52205.041515437777</v>
      </c>
      <c r="G65" s="512">
        <f>'PA SENCE'!L27</f>
        <v>644099.67089797836</v>
      </c>
      <c r="H65" s="512"/>
      <c r="I65" s="512"/>
      <c r="J65" s="574"/>
      <c r="K65" s="548">
        <f t="shared" si="13"/>
        <v>0</v>
      </c>
      <c r="L65" s="82"/>
      <c r="M65" s="83"/>
      <c r="N65" s="83"/>
      <c r="O65" s="83"/>
      <c r="P65" s="83"/>
      <c r="Q65" s="83"/>
      <c r="R65" s="83"/>
      <c r="S65" s="83"/>
      <c r="T65" s="83"/>
      <c r="U65" s="83"/>
      <c r="V65" s="83"/>
      <c r="W65" s="83"/>
      <c r="X65" s="83"/>
      <c r="Y65" s="83"/>
      <c r="Z65" s="83"/>
      <c r="AA65" s="83"/>
    </row>
    <row r="66" spans="1:27" s="84" customFormat="1">
      <c r="A66" s="559"/>
      <c r="B66" s="524" t="s">
        <v>370</v>
      </c>
      <c r="C66" s="555" t="s">
        <v>392</v>
      </c>
      <c r="D66" s="519" t="s">
        <v>393</v>
      </c>
      <c r="E66" s="577"/>
      <c r="F66" s="512"/>
      <c r="G66" s="512"/>
      <c r="H66" s="512"/>
      <c r="I66" s="512"/>
      <c r="J66" s="574"/>
      <c r="K66" s="548"/>
      <c r="L66" s="82"/>
      <c r="M66" s="83"/>
      <c r="N66" s="83"/>
      <c r="O66" s="83"/>
      <c r="P66" s="83"/>
      <c r="Q66" s="83"/>
      <c r="R66" s="83"/>
      <c r="S66" s="83"/>
      <c r="T66" s="83"/>
      <c r="U66" s="83"/>
      <c r="V66" s="83"/>
      <c r="W66" s="83"/>
      <c r="X66" s="83"/>
      <c r="Y66" s="83"/>
      <c r="Z66" s="83"/>
      <c r="AA66" s="83"/>
    </row>
    <row r="67" spans="1:27" s="84" customFormat="1">
      <c r="A67" s="559"/>
      <c r="B67" s="524" t="s">
        <v>370</v>
      </c>
      <c r="C67" s="555" t="s">
        <v>394</v>
      </c>
      <c r="D67" s="519" t="s">
        <v>395</v>
      </c>
      <c r="E67" s="577"/>
      <c r="F67" s="512"/>
      <c r="G67" s="512"/>
      <c r="H67" s="512"/>
      <c r="I67" s="512"/>
      <c r="J67" s="574"/>
      <c r="K67" s="548"/>
      <c r="L67" s="82"/>
      <c r="M67" s="83"/>
      <c r="N67" s="83"/>
      <c r="O67" s="83"/>
      <c r="P67" s="83"/>
      <c r="Q67" s="83"/>
      <c r="R67" s="83"/>
      <c r="S67" s="83"/>
      <c r="T67" s="83"/>
      <c r="U67" s="83"/>
      <c r="V67" s="83"/>
      <c r="W67" s="83"/>
      <c r="X67" s="83"/>
      <c r="Y67" s="83"/>
      <c r="Z67" s="83"/>
      <c r="AA67" s="83"/>
    </row>
    <row r="68" spans="1:27">
      <c r="A68" s="569">
        <v>3</v>
      </c>
      <c r="B68" s="569"/>
      <c r="C68" s="578" t="s">
        <v>308</v>
      </c>
      <c r="D68" s="578"/>
      <c r="E68" s="546">
        <f>+E74+E69</f>
        <v>1863000</v>
      </c>
      <c r="F68" s="546">
        <f t="shared" ref="F68" si="14">+F74+F69</f>
        <v>204221.15049967682</v>
      </c>
      <c r="G68" s="546">
        <f>+G74+G69</f>
        <v>130000</v>
      </c>
      <c r="H68" s="546">
        <f>+H74+H69</f>
        <v>776404.87081323855</v>
      </c>
      <c r="I68" s="546">
        <f>+I74+I69</f>
        <v>752373.97868708463</v>
      </c>
      <c r="J68" s="546">
        <f>G68+H68+F68+I68</f>
        <v>1863000</v>
      </c>
      <c r="K68" s="546">
        <f t="shared" ref="K68:K77" si="15">+J68-E68</f>
        <v>0</v>
      </c>
      <c r="L68" s="82"/>
      <c r="M68" s="83"/>
      <c r="N68" s="83"/>
      <c r="O68" s="83"/>
      <c r="P68" s="83"/>
      <c r="Q68" s="83"/>
      <c r="R68" s="83"/>
      <c r="S68" s="83"/>
      <c r="T68" s="83"/>
      <c r="U68" s="83"/>
      <c r="V68" s="83"/>
      <c r="W68" s="83"/>
      <c r="X68" s="83"/>
      <c r="Y68" s="83"/>
      <c r="Z68" s="83"/>
      <c r="AA68" s="83"/>
    </row>
    <row r="69" spans="1:27">
      <c r="A69" s="559"/>
      <c r="B69" s="481"/>
      <c r="C69" s="481" t="s">
        <v>309</v>
      </c>
      <c r="D69" s="481" t="s">
        <v>396</v>
      </c>
      <c r="E69" s="572">
        <f>+E70</f>
        <v>360000</v>
      </c>
      <c r="F69" s="572">
        <f>SUM(F72:F73)</f>
        <v>204221.15049967682</v>
      </c>
      <c r="G69" s="572">
        <f>+G70</f>
        <v>130000</v>
      </c>
      <c r="H69" s="572">
        <f>+H70</f>
        <v>24904.870813238533</v>
      </c>
      <c r="I69" s="572">
        <f>+I70</f>
        <v>873.97868708464739</v>
      </c>
      <c r="J69" s="548">
        <f>G69+H69+F69+I69</f>
        <v>360000</v>
      </c>
      <c r="K69" s="548">
        <f t="shared" si="15"/>
        <v>0</v>
      </c>
      <c r="L69" s="82"/>
      <c r="M69" s="83"/>
      <c r="N69" s="83"/>
      <c r="O69" s="83"/>
      <c r="P69" s="83"/>
      <c r="Q69" s="83"/>
      <c r="R69" s="83"/>
      <c r="S69" s="83"/>
      <c r="T69" s="83"/>
      <c r="U69" s="83"/>
      <c r="V69" s="83"/>
      <c r="W69" s="83"/>
      <c r="X69" s="83"/>
      <c r="Y69" s="83"/>
      <c r="Z69" s="83"/>
      <c r="AA69" s="83"/>
    </row>
    <row r="70" spans="1:27">
      <c r="A70" s="559"/>
      <c r="B70" s="524"/>
      <c r="C70" s="579" t="s">
        <v>397</v>
      </c>
      <c r="D70" s="426" t="s">
        <v>398</v>
      </c>
      <c r="E70" s="580">
        <f>+E71</f>
        <v>360000</v>
      </c>
      <c r="F70" s="580">
        <f t="shared" ref="F70:H70" si="16">+F71</f>
        <v>204221.15049967682</v>
      </c>
      <c r="G70" s="580">
        <f t="shared" si="16"/>
        <v>130000</v>
      </c>
      <c r="H70" s="580">
        <f t="shared" si="16"/>
        <v>24904.870813238533</v>
      </c>
      <c r="I70" s="580">
        <f>+I71</f>
        <v>873.97868708464739</v>
      </c>
      <c r="J70" s="580">
        <f>+J71</f>
        <v>360000</v>
      </c>
      <c r="K70" s="548">
        <f t="shared" si="15"/>
        <v>0</v>
      </c>
      <c r="L70" s="82"/>
      <c r="M70" s="83"/>
      <c r="N70" s="83"/>
      <c r="O70" s="83"/>
      <c r="P70" s="83"/>
      <c r="Q70" s="83"/>
      <c r="R70" s="83"/>
      <c r="S70" s="83"/>
      <c r="T70" s="83"/>
      <c r="U70" s="83"/>
      <c r="V70" s="83"/>
      <c r="W70" s="83"/>
      <c r="X70" s="83"/>
      <c r="Y70" s="83"/>
      <c r="Z70" s="83"/>
      <c r="AA70" s="83"/>
    </row>
    <row r="71" spans="1:27" ht="31.5">
      <c r="A71" s="559"/>
      <c r="B71" s="524"/>
      <c r="C71" s="579" t="s">
        <v>399</v>
      </c>
      <c r="D71" s="426" t="s">
        <v>400</v>
      </c>
      <c r="E71" s="580">
        <v>360000</v>
      </c>
      <c r="F71" s="580">
        <f>SUM(F72:F73)</f>
        <v>204221.15049967682</v>
      </c>
      <c r="G71" s="580">
        <f>+'PA Invest'!L57</f>
        <v>130000</v>
      </c>
      <c r="H71" s="580">
        <f>+'PA Invest'!L58</f>
        <v>24904.870813238533</v>
      </c>
      <c r="I71" s="547">
        <f>+E71-F71-G71-H71</f>
        <v>873.97868708464739</v>
      </c>
      <c r="J71" s="548">
        <f>G71+H71+F71+I71</f>
        <v>360000</v>
      </c>
      <c r="K71" s="548">
        <f t="shared" si="15"/>
        <v>0</v>
      </c>
      <c r="L71" s="82"/>
      <c r="M71" s="83"/>
      <c r="N71" s="83"/>
      <c r="O71" s="83"/>
      <c r="P71" s="83"/>
      <c r="Q71" s="83"/>
      <c r="R71" s="83"/>
      <c r="S71" s="83"/>
      <c r="T71" s="83"/>
      <c r="U71" s="83"/>
      <c r="V71" s="83"/>
      <c r="W71" s="83"/>
      <c r="X71" s="83"/>
      <c r="Y71" s="83"/>
      <c r="Z71" s="83"/>
      <c r="AA71" s="83"/>
    </row>
    <row r="72" spans="1:27" ht="47.25">
      <c r="A72" s="554">
        <v>3.1</v>
      </c>
      <c r="B72" s="524" t="s">
        <v>89</v>
      </c>
      <c r="C72" s="555" t="s">
        <v>401</v>
      </c>
      <c r="D72" s="445" t="s">
        <v>402</v>
      </c>
      <c r="E72" s="581"/>
      <c r="F72" s="582">
        <f>+'PA Invest'!L53+'PA Invest'!L54</f>
        <v>149157.26147267935</v>
      </c>
      <c r="G72" s="582"/>
      <c r="H72" s="582"/>
      <c r="I72" s="556"/>
      <c r="J72" s="548"/>
      <c r="K72" s="548">
        <f t="shared" si="15"/>
        <v>0</v>
      </c>
      <c r="L72" s="82"/>
      <c r="M72" s="83"/>
      <c r="N72" s="83" t="s">
        <v>141</v>
      </c>
      <c r="O72" s="83" t="s">
        <v>141</v>
      </c>
      <c r="P72" s="83"/>
      <c r="Q72" s="83" t="s">
        <v>141</v>
      </c>
      <c r="R72" s="83" t="s">
        <v>141</v>
      </c>
      <c r="S72" s="83"/>
      <c r="T72" s="83"/>
      <c r="U72" s="83" t="s">
        <v>141</v>
      </c>
      <c r="V72" s="83" t="s">
        <v>141</v>
      </c>
      <c r="W72" s="83"/>
      <c r="X72" s="83"/>
      <c r="Y72" s="83" t="s">
        <v>141</v>
      </c>
      <c r="Z72" s="83" t="s">
        <v>141</v>
      </c>
      <c r="AA72" s="83"/>
    </row>
    <row r="73" spans="1:27" ht="31.5">
      <c r="A73" s="554">
        <v>3.2</v>
      </c>
      <c r="B73" s="524" t="s">
        <v>89</v>
      </c>
      <c r="C73" s="555" t="s">
        <v>403</v>
      </c>
      <c r="D73" s="516" t="s">
        <v>404</v>
      </c>
      <c r="E73" s="581"/>
      <c r="F73" s="582">
        <f>+'PA Invest'!L55+'PA Invest'!L56</f>
        <v>55063.889026997465</v>
      </c>
      <c r="G73" s="582"/>
      <c r="H73" s="582"/>
      <c r="I73" s="556"/>
      <c r="J73" s="548"/>
      <c r="K73" s="548">
        <f t="shared" si="15"/>
        <v>0</v>
      </c>
      <c r="L73" s="82"/>
      <c r="M73" s="83" t="s">
        <v>141</v>
      </c>
      <c r="N73" s="83" t="s">
        <v>141</v>
      </c>
      <c r="O73" s="83" t="s">
        <v>141</v>
      </c>
      <c r="P73" s="83"/>
      <c r="Q73" s="83"/>
      <c r="R73" s="83" t="s">
        <v>141</v>
      </c>
      <c r="S73" s="83"/>
      <c r="T73" s="83"/>
      <c r="U73" s="83"/>
      <c r="V73" s="83" t="s">
        <v>141</v>
      </c>
      <c r="W73" s="83"/>
      <c r="X73" s="83"/>
      <c r="Y73" s="83"/>
      <c r="Z73" s="83" t="s">
        <v>141</v>
      </c>
      <c r="AA73" s="83"/>
    </row>
    <row r="74" spans="1:27">
      <c r="B74" s="481"/>
      <c r="C74" s="481" t="s">
        <v>405</v>
      </c>
      <c r="D74" s="481" t="s">
        <v>406</v>
      </c>
      <c r="E74" s="572">
        <f t="shared" ref="E74:H74" si="17">SUM(E75:E75)</f>
        <v>1503000</v>
      </c>
      <c r="F74" s="572">
        <f t="shared" si="17"/>
        <v>0</v>
      </c>
      <c r="G74" s="572">
        <f t="shared" si="17"/>
        <v>0</v>
      </c>
      <c r="H74" s="572">
        <f t="shared" si="17"/>
        <v>751500</v>
      </c>
      <c r="I74" s="572">
        <f>SUM(I75:I75)</f>
        <v>751500</v>
      </c>
      <c r="J74" s="548">
        <f>G74+H74+F74+I74</f>
        <v>1503000</v>
      </c>
      <c r="K74" s="548">
        <f t="shared" si="15"/>
        <v>0</v>
      </c>
      <c r="L74" s="82"/>
      <c r="M74" s="83"/>
      <c r="N74" s="83"/>
      <c r="O74" s="83"/>
      <c r="P74" s="83"/>
      <c r="Q74" s="83"/>
      <c r="R74" s="83"/>
      <c r="S74" s="83"/>
      <c r="T74" s="83"/>
      <c r="U74" s="83"/>
      <c r="V74" s="83"/>
      <c r="W74" s="83"/>
      <c r="X74" s="83"/>
      <c r="Y74" s="83"/>
      <c r="Z74" s="83"/>
      <c r="AA74" s="83"/>
    </row>
    <row r="75" spans="1:27">
      <c r="A75" s="554">
        <v>3.3</v>
      </c>
      <c r="B75" s="524" t="s">
        <v>407</v>
      </c>
      <c r="C75" s="524" t="s">
        <v>408</v>
      </c>
      <c r="D75" s="573" t="s">
        <v>409</v>
      </c>
      <c r="E75" s="583">
        <v>1503000</v>
      </c>
      <c r="F75" s="583">
        <v>0</v>
      </c>
      <c r="G75" s="583">
        <f>+'PA OE e Imprevistos'!K22</f>
        <v>0</v>
      </c>
      <c r="H75" s="583">
        <f>+'PA OE e Imprevistos'!K23/2</f>
        <v>751500</v>
      </c>
      <c r="I75" s="512">
        <f>+'PA OE e Imprevistos'!K23/2</f>
        <v>751500</v>
      </c>
      <c r="J75" s="574">
        <f>G75+H75+F75+I75</f>
        <v>1503000</v>
      </c>
      <c r="K75" s="548">
        <f t="shared" si="15"/>
        <v>0</v>
      </c>
      <c r="L75" s="82"/>
      <c r="M75" s="83"/>
      <c r="N75" s="83"/>
      <c r="O75" s="83"/>
      <c r="P75" s="83" t="s">
        <v>141</v>
      </c>
      <c r="Q75" s="83" t="s">
        <v>141</v>
      </c>
      <c r="R75" s="83" t="s">
        <v>141</v>
      </c>
      <c r="S75" s="83" t="s">
        <v>141</v>
      </c>
      <c r="T75" s="83" t="s">
        <v>141</v>
      </c>
      <c r="U75" s="83" t="s">
        <v>141</v>
      </c>
      <c r="V75" s="83" t="s">
        <v>141</v>
      </c>
      <c r="W75" s="83" t="s">
        <v>141</v>
      </c>
      <c r="X75" s="83" t="s">
        <v>141</v>
      </c>
      <c r="Y75" s="83" t="s">
        <v>141</v>
      </c>
      <c r="Z75" s="83" t="s">
        <v>141</v>
      </c>
      <c r="AA75" s="83" t="s">
        <v>141</v>
      </c>
    </row>
    <row r="76" spans="1:27">
      <c r="A76" s="569">
        <v>4</v>
      </c>
      <c r="B76" s="569"/>
      <c r="C76" s="578" t="s">
        <v>53</v>
      </c>
      <c r="D76" s="578"/>
      <c r="E76" s="546">
        <f>SUM(E77)</f>
        <v>702800</v>
      </c>
      <c r="F76" s="546"/>
      <c r="G76" s="546"/>
      <c r="H76" s="546">
        <f>H77</f>
        <v>1316137.9331117701</v>
      </c>
      <c r="I76" s="546">
        <f>I77</f>
        <v>702800</v>
      </c>
      <c r="J76" s="546">
        <f>G76+H76+F76+I76</f>
        <v>2018937.9331117701</v>
      </c>
      <c r="K76" s="546">
        <f t="shared" si="15"/>
        <v>1316137.9331117701</v>
      </c>
      <c r="L76" s="82"/>
      <c r="M76" s="83"/>
      <c r="N76" s="83"/>
      <c r="O76" s="83"/>
      <c r="P76" s="83" t="s">
        <v>141</v>
      </c>
      <c r="Q76" s="83" t="s">
        <v>141</v>
      </c>
      <c r="R76" s="83" t="s">
        <v>141</v>
      </c>
      <c r="S76" s="83" t="s">
        <v>141</v>
      </c>
      <c r="T76" s="83" t="s">
        <v>141</v>
      </c>
      <c r="U76" s="83" t="s">
        <v>141</v>
      </c>
      <c r="V76" s="83" t="s">
        <v>141</v>
      </c>
      <c r="W76" s="83" t="s">
        <v>141</v>
      </c>
      <c r="X76" s="83" t="s">
        <v>141</v>
      </c>
      <c r="Y76" s="83" t="s">
        <v>141</v>
      </c>
      <c r="Z76" s="83" t="s">
        <v>141</v>
      </c>
      <c r="AA76" s="83" t="s">
        <v>141</v>
      </c>
    </row>
    <row r="77" spans="1:27">
      <c r="A77" s="554"/>
      <c r="B77" s="524"/>
      <c r="C77" s="584" t="s">
        <v>53</v>
      </c>
      <c r="D77" s="516"/>
      <c r="E77" s="583">
        <v>702800</v>
      </c>
      <c r="F77" s="582"/>
      <c r="G77" s="582"/>
      <c r="H77" s="582">
        <f>-K78</f>
        <v>1316137.9331117701</v>
      </c>
      <c r="I77" s="583">
        <f>+'PA OE e Imprevistos'!K51</f>
        <v>702800</v>
      </c>
      <c r="J77" s="548">
        <f>G77+H77+F77+I77</f>
        <v>2018937.9331117701</v>
      </c>
      <c r="K77" s="548">
        <f t="shared" si="15"/>
        <v>1316137.9331117701</v>
      </c>
      <c r="L77" s="82"/>
      <c r="M77" s="83"/>
      <c r="N77" s="83"/>
      <c r="O77" s="83"/>
      <c r="P77" s="83"/>
      <c r="Q77" s="83"/>
      <c r="R77" s="83"/>
      <c r="S77" s="83"/>
      <c r="T77" s="83"/>
      <c r="U77" s="83"/>
      <c r="V77" s="83"/>
      <c r="W77" s="83"/>
      <c r="X77" s="83"/>
      <c r="Y77" s="83"/>
      <c r="Z77" s="83"/>
      <c r="AA77" s="83"/>
    </row>
    <row r="78" spans="1:27">
      <c r="A78" s="585" t="s">
        <v>316</v>
      </c>
      <c r="B78" s="586"/>
      <c r="C78" s="586"/>
      <c r="D78" s="586"/>
      <c r="E78" s="587">
        <f>+E68+E46+E6+E77</f>
        <v>27000000</v>
      </c>
      <c r="F78" s="587">
        <f>+F68+F6+F46</f>
        <v>5664244.0055353921</v>
      </c>
      <c r="G78" s="587">
        <f>+G68+G6+G46</f>
        <v>6667885.5242125057</v>
      </c>
      <c r="H78" s="587">
        <f>+H68+H6+H46+H76</f>
        <v>8645065.5354717877</v>
      </c>
      <c r="I78" s="587">
        <f>+I68+I6+I46+I76</f>
        <v>6022804.9347803164</v>
      </c>
      <c r="J78" s="548">
        <f>G78+H78+F78+I78</f>
        <v>27000000</v>
      </c>
      <c r="K78" s="548">
        <f>+K6+K46+K68</f>
        <v>-1316137.9331117701</v>
      </c>
      <c r="L78" s="90"/>
      <c r="M78" s="90"/>
      <c r="N78" s="90"/>
      <c r="O78" s="90"/>
      <c r="P78" s="90"/>
      <c r="Q78" s="90"/>
      <c r="R78" s="90"/>
      <c r="S78" s="90"/>
      <c r="T78" s="90"/>
      <c r="U78" s="90"/>
      <c r="V78" s="90"/>
      <c r="W78" s="90"/>
      <c r="X78" s="90"/>
      <c r="Y78" s="90"/>
      <c r="Z78" s="90"/>
      <c r="AA78" s="91"/>
    </row>
    <row r="79" spans="1:27">
      <c r="A79" s="11"/>
      <c r="B79" s="11"/>
      <c r="C79" s="11"/>
      <c r="D79" s="11"/>
      <c r="E79" s="92"/>
      <c r="G79" s="11"/>
      <c r="H79" s="11"/>
      <c r="I79" s="11"/>
      <c r="J79" s="93"/>
      <c r="L79" s="11"/>
      <c r="M79" s="11"/>
      <c r="N79" s="11"/>
      <c r="O79" s="11"/>
      <c r="P79" s="11"/>
      <c r="Q79" s="11"/>
      <c r="R79" s="11"/>
      <c r="S79" s="11"/>
      <c r="T79" s="11"/>
      <c r="U79" s="11"/>
      <c r="V79" s="11"/>
      <c r="W79" s="11"/>
      <c r="X79" s="11"/>
      <c r="Y79" s="11"/>
      <c r="Z79" s="11"/>
      <c r="AA79" s="11"/>
    </row>
    <row r="80" spans="1:27">
      <c r="A80" s="11" t="s">
        <v>410</v>
      </c>
      <c r="B80" s="11" t="s">
        <v>411</v>
      </c>
      <c r="C80" s="11"/>
      <c r="D80" s="11"/>
      <c r="E80" s="92"/>
      <c r="G80" s="94"/>
      <c r="H80" s="94"/>
      <c r="I80" s="94"/>
      <c r="J80" s="93"/>
      <c r="L80" s="11"/>
      <c r="M80" s="11"/>
      <c r="N80" s="11"/>
      <c r="O80" s="11"/>
      <c r="P80" s="11"/>
      <c r="Q80" s="11"/>
      <c r="R80" s="11"/>
      <c r="S80" s="11"/>
      <c r="T80" s="11"/>
      <c r="U80" s="11"/>
      <c r="V80" s="11"/>
      <c r="W80" s="11"/>
      <c r="X80" s="11"/>
      <c r="Y80" s="11"/>
      <c r="Z80" s="11"/>
      <c r="AA80" s="11"/>
    </row>
    <row r="81" spans="1:27">
      <c r="A81" s="11" t="s">
        <v>412</v>
      </c>
      <c r="C81" s="11"/>
      <c r="D81" s="11"/>
      <c r="E81" s="92"/>
      <c r="F81" s="11"/>
      <c r="G81" s="11"/>
      <c r="H81" s="11"/>
      <c r="I81" s="11"/>
      <c r="K81" s="223"/>
      <c r="L81" s="11"/>
      <c r="M81" s="11"/>
      <c r="N81" s="11"/>
      <c r="O81" s="11"/>
      <c r="P81" s="11"/>
      <c r="Q81" s="11"/>
      <c r="R81" s="11"/>
      <c r="S81" s="11"/>
      <c r="T81" s="11"/>
      <c r="U81" s="11"/>
      <c r="V81" s="11"/>
      <c r="W81" s="11"/>
      <c r="X81" s="11"/>
      <c r="Y81" s="11"/>
      <c r="Z81" s="11"/>
      <c r="AA81" s="11"/>
    </row>
    <row r="82" spans="1:27" hidden="1">
      <c r="A82" s="11"/>
      <c r="C82" s="11"/>
      <c r="D82" s="11"/>
      <c r="E82" s="92"/>
      <c r="F82" s="93">
        <f>+F116-F92</f>
        <v>1034055.9944646079</v>
      </c>
      <c r="G82" s="11"/>
      <c r="H82" s="11"/>
      <c r="I82" s="11"/>
      <c r="L82" s="11"/>
      <c r="M82" s="11"/>
      <c r="N82" s="11"/>
      <c r="O82" s="11"/>
      <c r="P82" s="11"/>
      <c r="Q82" s="11"/>
      <c r="R82" s="11"/>
      <c r="S82" s="11"/>
      <c r="T82" s="11"/>
      <c r="U82" s="11"/>
      <c r="V82" s="11"/>
      <c r="W82" s="11"/>
      <c r="X82" s="11"/>
      <c r="Y82" s="11"/>
      <c r="Z82" s="11"/>
      <c r="AA82" s="11"/>
    </row>
    <row r="83" spans="1:27" hidden="1">
      <c r="A83" s="11"/>
      <c r="B83" s="73" t="s">
        <v>413</v>
      </c>
      <c r="C83" s="92">
        <v>603.39</v>
      </c>
      <c r="D83" s="11"/>
      <c r="E83" s="92"/>
      <c r="F83" s="94">
        <f>+F82*C84</f>
        <v>623939046.49999976</v>
      </c>
      <c r="G83" s="11"/>
      <c r="H83" s="11"/>
      <c r="I83" s="11"/>
      <c r="L83" s="11"/>
      <c r="M83" s="11"/>
      <c r="N83" s="11"/>
      <c r="O83" s="11"/>
      <c r="P83" s="11"/>
      <c r="Q83" s="11"/>
      <c r="R83" s="11"/>
      <c r="S83" s="11"/>
      <c r="T83" s="11"/>
      <c r="U83" s="11"/>
      <c r="V83" s="11"/>
      <c r="W83" s="11"/>
      <c r="X83" s="11"/>
      <c r="Y83" s="11"/>
      <c r="Z83" s="11"/>
      <c r="AA83" s="11"/>
    </row>
    <row r="84" spans="1:27" hidden="1">
      <c r="A84" s="588" t="s">
        <v>414</v>
      </c>
      <c r="B84" s="588"/>
      <c r="C84" s="589">
        <v>603.39</v>
      </c>
      <c r="D84" s="11"/>
      <c r="E84" s="590" t="s">
        <v>415</v>
      </c>
      <c r="F84" s="590">
        <v>2018</v>
      </c>
      <c r="G84" s="590">
        <v>2019</v>
      </c>
      <c r="H84" s="590">
        <v>2020</v>
      </c>
      <c r="I84" s="590">
        <v>2021</v>
      </c>
      <c r="J84" s="590" t="s">
        <v>45</v>
      </c>
      <c r="K84" s="95"/>
      <c r="L84" s="11"/>
      <c r="M84" s="11"/>
      <c r="N84" s="11"/>
      <c r="O84" s="11"/>
      <c r="P84" s="11"/>
      <c r="Q84" s="11"/>
      <c r="R84" s="11"/>
      <c r="S84" s="11"/>
      <c r="T84" s="11"/>
      <c r="U84" s="11"/>
      <c r="V84" s="11"/>
      <c r="W84" s="11"/>
      <c r="X84" s="11"/>
      <c r="Y84" s="11"/>
      <c r="Z84" s="11"/>
      <c r="AA84" s="11"/>
    </row>
    <row r="85" spans="1:27" hidden="1">
      <c r="A85" s="588" t="s">
        <v>416</v>
      </c>
      <c r="B85" s="588"/>
      <c r="C85" s="589">
        <v>638.1</v>
      </c>
      <c r="D85" s="96"/>
      <c r="E85" s="591" t="s">
        <v>8</v>
      </c>
      <c r="F85" s="564">
        <f>+F12+F13+F35</f>
        <v>1382396.1290376042</v>
      </c>
      <c r="G85" s="564">
        <f>+G12+G13+G35</f>
        <v>1367199.4985112052</v>
      </c>
      <c r="H85" s="564">
        <f>+H12+H13+H35</f>
        <v>1283000</v>
      </c>
      <c r="I85" s="564">
        <f>+I12+I13+I35</f>
        <v>1048404.3724511908</v>
      </c>
      <c r="J85" s="592">
        <f t="shared" ref="J85:J91" si="18">+F85+G85+H85+I85</f>
        <v>5081000</v>
      </c>
      <c r="K85" s="97"/>
    </row>
    <row r="86" spans="1:27" hidden="1">
      <c r="A86" s="588" t="s">
        <v>417</v>
      </c>
      <c r="B86" s="588"/>
      <c r="C86" s="589">
        <v>638.1</v>
      </c>
      <c r="D86" s="96"/>
      <c r="E86" s="591" t="s">
        <v>418</v>
      </c>
      <c r="F86" s="564">
        <f>+F36+F37+F38+F39+F40+F49</f>
        <v>1979025.1747625917</v>
      </c>
      <c r="G86" s="564">
        <f>+G36+G37+G38+G39+G40+G49</f>
        <v>2032741.0797680614</v>
      </c>
      <c r="H86" s="564">
        <f>+H36+H37+H38+H39+H40+H49</f>
        <v>1912509.0111267825</v>
      </c>
      <c r="I86" s="564">
        <f>+I36+I37+I38+I39+I40+I49</f>
        <v>1477983.7915687195</v>
      </c>
      <c r="J86" s="592">
        <f t="shared" si="18"/>
        <v>7402259.0572261559</v>
      </c>
      <c r="K86" s="97"/>
    </row>
    <row r="87" spans="1:27" hidden="1">
      <c r="A87" s="588" t="s">
        <v>419</v>
      </c>
      <c r="B87" s="588"/>
      <c r="C87" s="589">
        <v>638.1</v>
      </c>
      <c r="D87" s="96"/>
      <c r="E87" s="591" t="s">
        <v>219</v>
      </c>
      <c r="F87" s="564">
        <f>F50+F56+F63</f>
        <v>998321.46704453183</v>
      </c>
      <c r="G87" s="564">
        <f>G50+G56+G63</f>
        <v>1715859.8495533615</v>
      </c>
      <c r="H87" s="564">
        <f>H50+H56+H63</f>
        <v>1495550</v>
      </c>
      <c r="I87" s="564">
        <f>I50+I56+I63</f>
        <v>1128071.6930641828</v>
      </c>
      <c r="J87" s="592">
        <f t="shared" si="18"/>
        <v>5337803.0096620768</v>
      </c>
      <c r="K87" s="97"/>
    </row>
    <row r="88" spans="1:27" ht="47.25" hidden="1">
      <c r="D88" s="96"/>
      <c r="E88" s="449" t="s">
        <v>420</v>
      </c>
      <c r="F88" s="564">
        <f>F14</f>
        <v>263630.48774424498</v>
      </c>
      <c r="G88" s="564">
        <f>G14+G41</f>
        <v>597085.09637987777</v>
      </c>
      <c r="H88" s="564">
        <f>H14</f>
        <v>987306.06488011277</v>
      </c>
      <c r="I88" s="564">
        <f>I14</f>
        <v>148978.35099576449</v>
      </c>
      <c r="J88" s="592">
        <f t="shared" si="18"/>
        <v>1997000</v>
      </c>
      <c r="K88" s="97"/>
    </row>
    <row r="89" spans="1:27" hidden="1">
      <c r="D89" s="96"/>
      <c r="E89" s="591" t="s">
        <v>291</v>
      </c>
      <c r="F89" s="564">
        <f>F9+F10+F44+F45+F71</f>
        <v>1040870.7469464195</v>
      </c>
      <c r="G89" s="564">
        <f>G9+G10+G44+G45+G71</f>
        <v>955000</v>
      </c>
      <c r="H89" s="564">
        <f>H9+H10+H44+H45+H71</f>
        <v>899062.52635312255</v>
      </c>
      <c r="I89" s="564">
        <f>I9+I10+I44+I45+I71</f>
        <v>765066.72670045809</v>
      </c>
      <c r="J89" s="592">
        <f>+F89+G89+H89+I89</f>
        <v>3660000.0000000005</v>
      </c>
      <c r="K89" s="97"/>
    </row>
    <row r="90" spans="1:27" hidden="1">
      <c r="E90" s="593" t="s">
        <v>421</v>
      </c>
      <c r="F90" s="564">
        <f>F75</f>
        <v>0</v>
      </c>
      <c r="G90" s="564">
        <f>G75</f>
        <v>0</v>
      </c>
      <c r="H90" s="564">
        <f>H75</f>
        <v>751500</v>
      </c>
      <c r="I90" s="564">
        <f>I75</f>
        <v>751500</v>
      </c>
      <c r="J90" s="592">
        <f t="shared" si="18"/>
        <v>1503000</v>
      </c>
      <c r="K90" s="97"/>
    </row>
    <row r="91" spans="1:27" hidden="1">
      <c r="E91" s="593" t="s">
        <v>53</v>
      </c>
      <c r="F91" s="564">
        <f>+F77</f>
        <v>0</v>
      </c>
      <c r="G91" s="564">
        <f>+G77</f>
        <v>0</v>
      </c>
      <c r="H91" s="564">
        <f>+H77</f>
        <v>1316137.9331117701</v>
      </c>
      <c r="I91" s="564">
        <f>+I77</f>
        <v>702800</v>
      </c>
      <c r="J91" s="592">
        <f t="shared" si="18"/>
        <v>2018937.9331117701</v>
      </c>
      <c r="K91" s="97"/>
    </row>
    <row r="92" spans="1:27" hidden="1">
      <c r="E92" s="594" t="s">
        <v>45</v>
      </c>
      <c r="F92" s="595">
        <f t="shared" ref="F92:I92" si="19">SUM(F85:F91)</f>
        <v>5664244.0055353921</v>
      </c>
      <c r="G92" s="595">
        <f t="shared" si="19"/>
        <v>6667885.5242125057</v>
      </c>
      <c r="H92" s="595">
        <f t="shared" si="19"/>
        <v>8645065.5354717895</v>
      </c>
      <c r="I92" s="595">
        <f t="shared" si="19"/>
        <v>6022804.9347803164</v>
      </c>
      <c r="J92" s="595">
        <f>SUM(J85:J91)</f>
        <v>27000000</v>
      </c>
      <c r="K92" s="98"/>
    </row>
    <row r="93" spans="1:27" hidden="1">
      <c r="F93" s="76">
        <f>+F89*C84</f>
        <v>628051000</v>
      </c>
      <c r="G93" s="76">
        <f>+G89*C85</f>
        <v>609385500</v>
      </c>
    </row>
    <row r="94" spans="1:27" hidden="1">
      <c r="E94" s="75">
        <f>+F93-F94*1000</f>
        <v>0</v>
      </c>
      <c r="F94" s="76">
        <v>628051</v>
      </c>
      <c r="G94" s="76">
        <v>618000</v>
      </c>
    </row>
    <row r="95" spans="1:27" hidden="1">
      <c r="E95" s="224" t="s">
        <v>422</v>
      </c>
    </row>
    <row r="96" spans="1:27" hidden="1">
      <c r="E96" s="224" t="s">
        <v>423</v>
      </c>
      <c r="F96" s="76" t="s">
        <v>424</v>
      </c>
      <c r="G96" s="76" t="s">
        <v>425</v>
      </c>
    </row>
    <row r="97" spans="5:10" hidden="1">
      <c r="E97" s="590" t="s">
        <v>415</v>
      </c>
      <c r="F97" s="590">
        <v>2018</v>
      </c>
      <c r="G97" s="590">
        <v>2018</v>
      </c>
    </row>
    <row r="98" spans="5:10" hidden="1">
      <c r="E98" s="591" t="s">
        <v>8</v>
      </c>
      <c r="F98" s="564">
        <v>0</v>
      </c>
      <c r="G98" s="564">
        <v>0</v>
      </c>
    </row>
    <row r="99" spans="5:10" hidden="1">
      <c r="E99" s="591" t="s">
        <v>418</v>
      </c>
      <c r="F99" s="564">
        <f>+'PA CORFO'!M156/C84</f>
        <v>542783.27416761953</v>
      </c>
      <c r="G99" s="564"/>
    </row>
    <row r="100" spans="5:10" hidden="1">
      <c r="E100" s="591" t="s">
        <v>219</v>
      </c>
      <c r="F100" s="564"/>
      <c r="G100" s="564">
        <f>581907500/C84</f>
        <v>964396.9903379241</v>
      </c>
    </row>
    <row r="101" spans="5:10" ht="47.25" hidden="1">
      <c r="E101" s="449" t="s">
        <v>420</v>
      </c>
      <c r="F101" s="76">
        <f>9300000/C84</f>
        <v>15412.917018843535</v>
      </c>
      <c r="G101" s="564"/>
    </row>
    <row r="102" spans="5:10" hidden="1">
      <c r="E102" s="591" t="s">
        <v>291</v>
      </c>
      <c r="F102" s="564">
        <v>0</v>
      </c>
      <c r="G102" s="564">
        <v>0</v>
      </c>
    </row>
    <row r="103" spans="5:10" hidden="1">
      <c r="E103" s="593" t="s">
        <v>421</v>
      </c>
      <c r="F103" s="564">
        <v>0</v>
      </c>
      <c r="G103" s="564">
        <v>0</v>
      </c>
    </row>
    <row r="104" spans="5:10" hidden="1">
      <c r="E104" s="593" t="s">
        <v>53</v>
      </c>
      <c r="F104" s="564">
        <v>0</v>
      </c>
      <c r="G104" s="564">
        <v>0</v>
      </c>
    </row>
    <row r="105" spans="5:10" hidden="1">
      <c r="E105" s="594" t="s">
        <v>45</v>
      </c>
      <c r="F105" s="595">
        <f>F99+F101</f>
        <v>558196.19118646311</v>
      </c>
      <c r="G105" s="595">
        <f>SUM(G98:G104)</f>
        <v>964396.9903379241</v>
      </c>
    </row>
    <row r="106" spans="5:10" hidden="1">
      <c r="I106" s="76">
        <v>1000</v>
      </c>
    </row>
    <row r="107" spans="5:10" hidden="1">
      <c r="E107" s="224" t="s">
        <v>426</v>
      </c>
    </row>
    <row r="108" spans="5:10" hidden="1">
      <c r="E108" s="224" t="s">
        <v>427</v>
      </c>
    </row>
    <row r="109" spans="5:10" hidden="1">
      <c r="E109" s="590" t="s">
        <v>291</v>
      </c>
      <c r="F109" s="590">
        <v>2018</v>
      </c>
      <c r="G109" s="590">
        <v>2019</v>
      </c>
      <c r="H109" s="590">
        <v>2020</v>
      </c>
      <c r="I109" s="590">
        <v>2021</v>
      </c>
      <c r="J109" s="590" t="s">
        <v>428</v>
      </c>
    </row>
    <row r="110" spans="5:10" hidden="1">
      <c r="E110" s="596" t="s">
        <v>429</v>
      </c>
      <c r="F110" s="597">
        <v>1233000</v>
      </c>
      <c r="G110" s="597">
        <v>1257000</v>
      </c>
      <c r="H110" s="597">
        <v>1283000</v>
      </c>
      <c r="I110" s="597">
        <v>1308000</v>
      </c>
      <c r="J110" s="598">
        <v>5081000</v>
      </c>
    </row>
    <row r="111" spans="5:10" hidden="1">
      <c r="E111" s="596" t="s">
        <v>418</v>
      </c>
      <c r="F111" s="597">
        <v>2247000</v>
      </c>
      <c r="G111" s="597">
        <v>1764000</v>
      </c>
      <c r="H111" s="597">
        <v>1867000</v>
      </c>
      <c r="I111" s="597">
        <v>1876000</v>
      </c>
      <c r="J111" s="598">
        <v>7754000</v>
      </c>
    </row>
    <row r="112" spans="5:10" hidden="1">
      <c r="E112" s="596" t="s">
        <v>219</v>
      </c>
      <c r="F112" s="597">
        <v>1695550</v>
      </c>
      <c r="G112" s="597">
        <v>1665550</v>
      </c>
      <c r="H112" s="597">
        <v>1495550</v>
      </c>
      <c r="I112" s="597">
        <v>1445550</v>
      </c>
      <c r="J112" s="598">
        <v>6302200</v>
      </c>
    </row>
    <row r="113" spans="5:10" hidden="1">
      <c r="E113" s="449" t="s">
        <v>16</v>
      </c>
      <c r="F113" s="597">
        <v>232000</v>
      </c>
      <c r="G113" s="597">
        <v>570000</v>
      </c>
      <c r="H113" s="597">
        <v>964000</v>
      </c>
      <c r="I113" s="597">
        <v>231000</v>
      </c>
      <c r="J113" s="598">
        <v>1997000</v>
      </c>
    </row>
    <row r="114" spans="5:10" ht="31.5" hidden="1">
      <c r="E114" s="596" t="s">
        <v>430</v>
      </c>
      <c r="F114" s="597">
        <v>375750</v>
      </c>
      <c r="G114" s="597">
        <v>375750</v>
      </c>
      <c r="H114" s="597">
        <v>375750</v>
      </c>
      <c r="I114" s="597">
        <v>375750</v>
      </c>
      <c r="J114" s="598">
        <v>1503000</v>
      </c>
    </row>
    <row r="115" spans="5:10" hidden="1">
      <c r="E115" s="593" t="s">
        <v>431</v>
      </c>
      <c r="F115" s="597">
        <v>0</v>
      </c>
      <c r="G115" s="597">
        <v>0</v>
      </c>
      <c r="H115" s="597">
        <v>0</v>
      </c>
      <c r="I115" s="597">
        <v>702800</v>
      </c>
      <c r="J115" s="598">
        <v>702800</v>
      </c>
    </row>
    <row r="116" spans="5:10" hidden="1">
      <c r="E116" s="593" t="s">
        <v>432</v>
      </c>
      <c r="F116" s="598">
        <v>6698300</v>
      </c>
      <c r="G116" s="598">
        <v>6547300</v>
      </c>
      <c r="H116" s="598">
        <v>6900300</v>
      </c>
      <c r="I116" s="598">
        <v>6854100</v>
      </c>
      <c r="J116" s="598">
        <v>27000000</v>
      </c>
    </row>
    <row r="117" spans="5:10" hidden="1"/>
    <row r="118" spans="5:10" hidden="1"/>
  </sheetData>
  <mergeCells count="18">
    <mergeCell ref="A84:B84"/>
    <mergeCell ref="A85:B85"/>
    <mergeCell ref="A86:B86"/>
    <mergeCell ref="A87:B87"/>
    <mergeCell ref="A78:D78"/>
    <mergeCell ref="C46:D46"/>
    <mergeCell ref="C68:D68"/>
    <mergeCell ref="C76:D76"/>
    <mergeCell ref="A1:J1"/>
    <mergeCell ref="A2:J2"/>
    <mergeCell ref="A3:J3"/>
    <mergeCell ref="L5:AA5"/>
    <mergeCell ref="C6:D6"/>
    <mergeCell ref="L6:O6"/>
    <mergeCell ref="P6:S6"/>
    <mergeCell ref="T6:W6"/>
    <mergeCell ref="X6:AA6"/>
    <mergeCell ref="A5:C5"/>
  </mergeCells>
  <pageMargins left="1" right="1" top="1" bottom="1" header="0.5" footer="0.5"/>
  <pageSetup scale="35"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I193"/>
  <sheetViews>
    <sheetView topLeftCell="A52" zoomScale="70" zoomScaleNormal="70" workbookViewId="0">
      <selection activeCell="G63" sqref="G63"/>
    </sheetView>
  </sheetViews>
  <sheetFormatPr defaultColWidth="11.42578125" defaultRowHeight="15.75"/>
  <cols>
    <col min="1" max="1" width="10.5703125" style="48" customWidth="1"/>
    <col min="2" max="2" width="15.42578125" style="48" customWidth="1"/>
    <col min="3" max="3" width="12.5703125" style="48" customWidth="1"/>
    <col min="4" max="4" width="11.28515625" style="48" customWidth="1"/>
    <col min="5" max="7" width="45" style="269" customWidth="1"/>
    <col min="8" max="8" width="28" style="49" customWidth="1"/>
    <col min="9" max="9" width="27.28515625" style="49" hidden="1" customWidth="1"/>
    <col min="10" max="10" width="45" style="49" hidden="1" customWidth="1"/>
    <col min="11" max="11" width="17.7109375" style="242" customWidth="1"/>
    <col min="12" max="12" width="24.42578125" style="49" customWidth="1"/>
    <col min="13" max="13" width="23.7109375" style="49" customWidth="1"/>
    <col min="14" max="14" width="22.42578125" style="49" customWidth="1"/>
    <col min="15" max="15" width="27.140625" style="49" customWidth="1"/>
    <col min="16" max="16" width="31.42578125" style="49" customWidth="1"/>
    <col min="17" max="19" width="74.85546875" style="49" customWidth="1"/>
    <col min="20" max="61" width="11.42578125" style="18"/>
    <col min="62" max="16384" width="11.42578125" style="48"/>
  </cols>
  <sheetData>
    <row r="1" spans="1:61" s="18" customFormat="1">
      <c r="B1" s="315" t="s">
        <v>55</v>
      </c>
      <c r="C1" s="315"/>
      <c r="D1" s="315"/>
      <c r="E1" s="315"/>
      <c r="F1" s="315"/>
      <c r="G1" s="315"/>
      <c r="H1" s="315"/>
      <c r="I1" s="315"/>
      <c r="J1" s="315"/>
      <c r="K1" s="315"/>
      <c r="L1" s="315"/>
      <c r="M1" s="315"/>
      <c r="N1" s="315"/>
      <c r="O1" s="315"/>
      <c r="P1" s="315"/>
      <c r="Q1" s="315"/>
      <c r="R1" s="315"/>
      <c r="S1" s="315"/>
    </row>
    <row r="2" spans="1:61" s="19" customFormat="1">
      <c r="B2" s="316" t="s">
        <v>433</v>
      </c>
      <c r="C2" s="316"/>
      <c r="D2" s="316"/>
      <c r="E2" s="316"/>
      <c r="F2" s="316"/>
      <c r="G2" s="316"/>
      <c r="H2" s="316"/>
      <c r="I2" s="316"/>
      <c r="J2" s="316"/>
      <c r="K2" s="316"/>
      <c r="L2" s="316"/>
      <c r="M2" s="316"/>
      <c r="N2" s="316"/>
      <c r="O2" s="316"/>
      <c r="P2" s="316"/>
      <c r="Q2" s="316"/>
      <c r="R2" s="316"/>
      <c r="S2" s="316"/>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61" s="19" customFormat="1">
      <c r="B3" s="317" t="s">
        <v>434</v>
      </c>
      <c r="C3" s="317"/>
      <c r="D3" s="317"/>
      <c r="E3" s="317"/>
      <c r="F3" s="317"/>
      <c r="G3" s="317"/>
      <c r="H3" s="317"/>
      <c r="I3" s="317"/>
      <c r="J3" s="317"/>
      <c r="K3" s="317"/>
      <c r="L3" s="317"/>
      <c r="M3" s="317"/>
      <c r="N3" s="317"/>
      <c r="O3" s="317"/>
      <c r="P3" s="317"/>
      <c r="Q3" s="317"/>
      <c r="R3" s="317"/>
      <c r="S3" s="317"/>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61" s="21" customFormat="1" hidden="1">
      <c r="A4" s="599" t="s">
        <v>435</v>
      </c>
      <c r="B4" s="599" t="s">
        <v>436</v>
      </c>
      <c r="C4" s="599"/>
      <c r="D4" s="599"/>
      <c r="E4" s="599"/>
      <c r="F4" s="599"/>
      <c r="G4" s="599"/>
      <c r="H4" s="599"/>
      <c r="I4" s="599"/>
      <c r="J4" s="599"/>
      <c r="K4" s="599"/>
      <c r="L4" s="599"/>
      <c r="M4" s="599"/>
      <c r="N4" s="599"/>
      <c r="O4" s="599"/>
      <c r="P4" s="599"/>
      <c r="Q4" s="599"/>
      <c r="R4" s="599"/>
      <c r="S4" s="599"/>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19"/>
      <c r="BC4" s="19"/>
      <c r="BD4" s="19"/>
      <c r="BE4" s="19"/>
      <c r="BF4" s="19"/>
      <c r="BG4" s="19"/>
      <c r="BH4" s="19"/>
      <c r="BI4" s="19"/>
    </row>
    <row r="5" spans="1:61" s="21" customFormat="1" hidden="1">
      <c r="A5" s="599"/>
      <c r="B5" s="599" t="s">
        <v>437</v>
      </c>
      <c r="C5" s="318" t="s">
        <v>438</v>
      </c>
      <c r="D5" s="599" t="s">
        <v>439</v>
      </c>
      <c r="E5" s="600" t="s">
        <v>440</v>
      </c>
      <c r="F5" s="600" t="s">
        <v>441</v>
      </c>
      <c r="G5" s="600" t="s">
        <v>442</v>
      </c>
      <c r="H5" s="599" t="s">
        <v>443</v>
      </c>
      <c r="I5" s="599" t="s">
        <v>444</v>
      </c>
      <c r="J5" s="599" t="s">
        <v>445</v>
      </c>
      <c r="K5" s="601"/>
      <c r="L5" s="602" t="s">
        <v>446</v>
      </c>
      <c r="M5" s="602"/>
      <c r="N5" s="602"/>
      <c r="O5" s="599" t="s">
        <v>447</v>
      </c>
      <c r="P5" s="599" t="s">
        <v>448</v>
      </c>
      <c r="Q5" s="599" t="s">
        <v>449</v>
      </c>
      <c r="R5" s="599"/>
      <c r="S5" s="599" t="s">
        <v>450</v>
      </c>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19"/>
      <c r="BC5" s="19"/>
      <c r="BD5" s="19"/>
      <c r="BE5" s="19"/>
      <c r="BF5" s="19"/>
      <c r="BG5" s="19"/>
      <c r="BH5" s="19"/>
      <c r="BI5" s="19"/>
    </row>
    <row r="6" spans="1:61" s="21" customFormat="1" ht="31.5" hidden="1">
      <c r="A6" s="603"/>
      <c r="B6" s="599"/>
      <c r="C6" s="319"/>
      <c r="D6" s="599" t="s">
        <v>439</v>
      </c>
      <c r="E6" s="600"/>
      <c r="F6" s="600"/>
      <c r="G6" s="600"/>
      <c r="H6" s="599"/>
      <c r="I6" s="599"/>
      <c r="J6" s="599"/>
      <c r="K6" s="604" t="s">
        <v>451</v>
      </c>
      <c r="L6" s="605" t="s">
        <v>452</v>
      </c>
      <c r="M6" s="606" t="s">
        <v>453</v>
      </c>
      <c r="N6" s="606" t="s">
        <v>454</v>
      </c>
      <c r="O6" s="599"/>
      <c r="P6" s="599"/>
      <c r="Q6" s="603" t="s">
        <v>455</v>
      </c>
      <c r="R6" s="603" t="s">
        <v>456</v>
      </c>
      <c r="S6" s="599"/>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19"/>
      <c r="BC6" s="19"/>
      <c r="BD6" s="19"/>
      <c r="BE6" s="19"/>
      <c r="BF6" s="19"/>
      <c r="BG6" s="19"/>
      <c r="BH6" s="19"/>
      <c r="BI6" s="19"/>
    </row>
    <row r="7" spans="1:61" s="19" customFormat="1" hidden="1">
      <c r="A7" s="607"/>
      <c r="B7" s="608" t="s">
        <v>457</v>
      </c>
      <c r="C7" s="608"/>
      <c r="D7" s="608"/>
      <c r="E7" s="609"/>
      <c r="F7" s="609"/>
      <c r="G7" s="609"/>
      <c r="H7" s="608"/>
      <c r="I7" s="608"/>
      <c r="J7" s="608"/>
      <c r="K7" s="610"/>
      <c r="L7" s="611"/>
      <c r="M7" s="611"/>
      <c r="N7" s="611"/>
      <c r="O7" s="608"/>
      <c r="P7" s="608"/>
      <c r="Q7" s="608"/>
      <c r="R7" s="608"/>
      <c r="S7" s="608"/>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row>
    <row r="8" spans="1:61" s="21" customFormat="1" hidden="1">
      <c r="E8" s="264"/>
      <c r="F8" s="264"/>
      <c r="G8" s="264"/>
      <c r="K8" s="227"/>
      <c r="L8" s="22"/>
      <c r="M8" s="23"/>
      <c r="N8" s="23"/>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19"/>
      <c r="BC8" s="19"/>
      <c r="BD8" s="19"/>
      <c r="BE8" s="19"/>
      <c r="BF8" s="19"/>
      <c r="BG8" s="19"/>
      <c r="BH8" s="19"/>
      <c r="BI8" s="19"/>
    </row>
    <row r="9" spans="1:61" s="21" customFormat="1" hidden="1">
      <c r="A9" s="599" t="s">
        <v>435</v>
      </c>
      <c r="B9" s="599" t="s">
        <v>458</v>
      </c>
      <c r="C9" s="599"/>
      <c r="D9" s="599"/>
      <c r="E9" s="599"/>
      <c r="F9" s="599"/>
      <c r="G9" s="599"/>
      <c r="H9" s="599"/>
      <c r="I9" s="599"/>
      <c r="J9" s="599"/>
      <c r="K9" s="599"/>
      <c r="L9" s="599"/>
      <c r="M9" s="599"/>
      <c r="N9" s="599"/>
      <c r="O9" s="599"/>
      <c r="P9" s="599"/>
      <c r="Q9" s="599"/>
      <c r="R9" s="599"/>
      <c r="S9" s="599"/>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19"/>
      <c r="BC9" s="19"/>
      <c r="BD9" s="19"/>
      <c r="BE9" s="19"/>
      <c r="BF9" s="19"/>
      <c r="BG9" s="19"/>
      <c r="BH9" s="19"/>
      <c r="BI9" s="19"/>
    </row>
    <row r="10" spans="1:61" s="21" customFormat="1" hidden="1">
      <c r="A10" s="599"/>
      <c r="B10" s="599" t="s">
        <v>437</v>
      </c>
      <c r="C10" s="318" t="s">
        <v>438</v>
      </c>
      <c r="D10" s="599" t="s">
        <v>439</v>
      </c>
      <c r="E10" s="600" t="s">
        <v>440</v>
      </c>
      <c r="F10" s="600" t="s">
        <v>441</v>
      </c>
      <c r="G10" s="600" t="s">
        <v>442</v>
      </c>
      <c r="H10" s="599" t="s">
        <v>459</v>
      </c>
      <c r="I10" s="599" t="s">
        <v>444</v>
      </c>
      <c r="J10" s="599" t="s">
        <v>445</v>
      </c>
      <c r="K10" s="601"/>
      <c r="L10" s="602" t="s">
        <v>446</v>
      </c>
      <c r="M10" s="602"/>
      <c r="N10" s="602"/>
      <c r="O10" s="599" t="s">
        <v>447</v>
      </c>
      <c r="P10" s="599" t="s">
        <v>448</v>
      </c>
      <c r="Q10" s="599" t="s">
        <v>449</v>
      </c>
      <c r="R10" s="599"/>
      <c r="S10" s="599" t="s">
        <v>450</v>
      </c>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19"/>
      <c r="BC10" s="19"/>
      <c r="BD10" s="19"/>
      <c r="BE10" s="19"/>
      <c r="BF10" s="19"/>
      <c r="BG10" s="19"/>
      <c r="BH10" s="19"/>
      <c r="BI10" s="19"/>
    </row>
    <row r="11" spans="1:61" s="21" customFormat="1" ht="31.5" hidden="1">
      <c r="A11" s="603"/>
      <c r="B11" s="599"/>
      <c r="C11" s="319"/>
      <c r="D11" s="599" t="s">
        <v>439</v>
      </c>
      <c r="E11" s="600"/>
      <c r="F11" s="600"/>
      <c r="G11" s="600"/>
      <c r="H11" s="599"/>
      <c r="I11" s="599"/>
      <c r="J11" s="599"/>
      <c r="K11" s="604" t="s">
        <v>451</v>
      </c>
      <c r="L11" s="605" t="s">
        <v>452</v>
      </c>
      <c r="M11" s="606" t="s">
        <v>453</v>
      </c>
      <c r="N11" s="606" t="s">
        <v>454</v>
      </c>
      <c r="O11" s="599"/>
      <c r="P11" s="599"/>
      <c r="Q11" s="603" t="s">
        <v>455</v>
      </c>
      <c r="R11" s="603" t="s">
        <v>456</v>
      </c>
      <c r="S11" s="599"/>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19"/>
      <c r="BC11" s="19"/>
      <c r="BD11" s="19"/>
      <c r="BE11" s="19"/>
      <c r="BF11" s="19"/>
      <c r="BG11" s="19"/>
      <c r="BH11" s="19"/>
      <c r="BI11" s="19"/>
    </row>
    <row r="12" spans="1:61" s="19" customFormat="1" hidden="1">
      <c r="A12" s="607"/>
      <c r="B12" s="608" t="s">
        <v>457</v>
      </c>
      <c r="C12" s="608"/>
      <c r="D12" s="608"/>
      <c r="E12" s="609"/>
      <c r="F12" s="609"/>
      <c r="G12" s="609"/>
      <c r="H12" s="608"/>
      <c r="I12" s="608"/>
      <c r="J12" s="608"/>
      <c r="K12" s="610"/>
      <c r="L12" s="611"/>
      <c r="M12" s="611"/>
      <c r="N12" s="611"/>
      <c r="O12" s="608"/>
      <c r="P12" s="608"/>
      <c r="Q12" s="608"/>
      <c r="R12" s="608"/>
      <c r="S12" s="608"/>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row>
    <row r="13" spans="1:61" s="21" customFormat="1" hidden="1">
      <c r="E13" s="264"/>
      <c r="F13" s="264"/>
      <c r="G13" s="264"/>
      <c r="K13" s="227"/>
      <c r="L13" s="22"/>
      <c r="M13" s="23"/>
      <c r="N13" s="24"/>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19"/>
      <c r="BC13" s="19"/>
      <c r="BD13" s="19"/>
      <c r="BE13" s="19"/>
      <c r="BF13" s="19"/>
      <c r="BG13" s="19"/>
      <c r="BH13" s="19"/>
      <c r="BI13" s="19"/>
    </row>
    <row r="14" spans="1:61" s="21" customFormat="1">
      <c r="A14" s="599" t="s">
        <v>435</v>
      </c>
      <c r="B14" s="599" t="s">
        <v>460</v>
      </c>
      <c r="C14" s="599"/>
      <c r="D14" s="599"/>
      <c r="E14" s="599"/>
      <c r="F14" s="599"/>
      <c r="G14" s="599"/>
      <c r="H14" s="599"/>
      <c r="I14" s="599"/>
      <c r="J14" s="599"/>
      <c r="K14" s="599"/>
      <c r="L14" s="599"/>
      <c r="M14" s="599"/>
      <c r="N14" s="599"/>
      <c r="O14" s="599"/>
      <c r="P14" s="599"/>
      <c r="Q14" s="599"/>
      <c r="R14" s="599"/>
      <c r="S14" s="599"/>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19"/>
      <c r="BC14" s="19"/>
      <c r="BD14" s="19"/>
      <c r="BE14" s="19"/>
      <c r="BF14" s="19"/>
      <c r="BG14" s="19"/>
      <c r="BH14" s="19"/>
      <c r="BI14" s="19"/>
    </row>
    <row r="15" spans="1:61" s="21" customFormat="1">
      <c r="A15" s="599"/>
      <c r="B15" s="599" t="s">
        <v>437</v>
      </c>
      <c r="C15" s="318" t="s">
        <v>438</v>
      </c>
      <c r="D15" s="599" t="s">
        <v>439</v>
      </c>
      <c r="E15" s="600" t="s">
        <v>440</v>
      </c>
      <c r="F15" s="600" t="s">
        <v>441</v>
      </c>
      <c r="G15" s="600" t="s">
        <v>442</v>
      </c>
      <c r="H15" s="599" t="s">
        <v>459</v>
      </c>
      <c r="I15" s="599" t="s">
        <v>444</v>
      </c>
      <c r="J15" s="599" t="s">
        <v>445</v>
      </c>
      <c r="K15" s="601"/>
      <c r="L15" s="602" t="s">
        <v>446</v>
      </c>
      <c r="M15" s="602"/>
      <c r="N15" s="602"/>
      <c r="O15" s="599" t="s">
        <v>447</v>
      </c>
      <c r="P15" s="599" t="s">
        <v>448</v>
      </c>
      <c r="Q15" s="599" t="s">
        <v>449</v>
      </c>
      <c r="R15" s="599"/>
      <c r="S15" s="599" t="s">
        <v>450</v>
      </c>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19"/>
      <c r="BC15" s="19"/>
      <c r="BD15" s="19"/>
      <c r="BE15" s="19"/>
      <c r="BF15" s="19"/>
      <c r="BG15" s="19"/>
      <c r="BH15" s="19"/>
      <c r="BI15" s="19"/>
    </row>
    <row r="16" spans="1:61" s="21" customFormat="1" ht="31.5">
      <c r="A16" s="603"/>
      <c r="B16" s="599"/>
      <c r="C16" s="319"/>
      <c r="D16" s="599" t="s">
        <v>439</v>
      </c>
      <c r="E16" s="600"/>
      <c r="F16" s="600"/>
      <c r="G16" s="600"/>
      <c r="H16" s="599"/>
      <c r="I16" s="599"/>
      <c r="J16" s="599"/>
      <c r="K16" s="604" t="s">
        <v>451</v>
      </c>
      <c r="L16" s="605" t="s">
        <v>452</v>
      </c>
      <c r="M16" s="606" t="s">
        <v>453</v>
      </c>
      <c r="N16" s="606" t="s">
        <v>454</v>
      </c>
      <c r="O16" s="599"/>
      <c r="P16" s="599"/>
      <c r="Q16" s="603" t="s">
        <v>461</v>
      </c>
      <c r="R16" s="603" t="s">
        <v>456</v>
      </c>
      <c r="S16" s="599"/>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19"/>
      <c r="BC16" s="19"/>
      <c r="BD16" s="19"/>
      <c r="BE16" s="19"/>
      <c r="BF16" s="19"/>
      <c r="BG16" s="19"/>
      <c r="BH16" s="19"/>
      <c r="BI16" s="19"/>
    </row>
    <row r="17" spans="1:53" s="19" customFormat="1" ht="31.5">
      <c r="A17" s="607" t="s">
        <v>342</v>
      </c>
      <c r="B17" s="608" t="s">
        <v>8</v>
      </c>
      <c r="C17" s="608">
        <v>2018</v>
      </c>
      <c r="D17" s="608"/>
      <c r="E17" s="612" t="s">
        <v>462</v>
      </c>
      <c r="F17" s="613" t="s">
        <v>463</v>
      </c>
      <c r="G17" s="613" t="s">
        <v>464</v>
      </c>
      <c r="H17" s="611" t="s">
        <v>465</v>
      </c>
      <c r="I17" s="608"/>
      <c r="J17" s="608"/>
      <c r="K17" s="610">
        <f>SUM(K18:K32)</f>
        <v>192826000</v>
      </c>
      <c r="L17" s="611">
        <f>+K17/$D$158</f>
        <v>319571.09000812081</v>
      </c>
      <c r="M17" s="614">
        <v>100</v>
      </c>
      <c r="N17" s="614">
        <v>0</v>
      </c>
      <c r="O17" s="608" t="s">
        <v>466</v>
      </c>
      <c r="P17" s="608" t="s">
        <v>465</v>
      </c>
      <c r="Q17" s="615" t="s">
        <v>467</v>
      </c>
      <c r="R17" s="615" t="s">
        <v>467</v>
      </c>
      <c r="S17" s="615" t="s">
        <v>468</v>
      </c>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row>
    <row r="18" spans="1:53" s="19" customFormat="1" ht="141.75">
      <c r="A18" s="607" t="s">
        <v>342</v>
      </c>
      <c r="B18" s="608"/>
      <c r="C18" s="608"/>
      <c r="D18" s="616">
        <v>1858128</v>
      </c>
      <c r="E18" s="612" t="s">
        <v>469</v>
      </c>
      <c r="F18" s="613" t="s">
        <v>470</v>
      </c>
      <c r="G18" s="613" t="s">
        <v>464</v>
      </c>
      <c r="H18" s="611" t="s">
        <v>465</v>
      </c>
      <c r="I18" s="608"/>
      <c r="J18" s="608"/>
      <c r="K18" s="617">
        <v>50000000</v>
      </c>
      <c r="L18" s="611">
        <f t="shared" ref="L18:L31" si="0">+K18/$D$158</f>
        <v>82865.145262599646</v>
      </c>
      <c r="M18" s="614">
        <v>100</v>
      </c>
      <c r="N18" s="614">
        <v>0</v>
      </c>
      <c r="O18" s="608" t="s">
        <v>466</v>
      </c>
      <c r="P18" s="608" t="s">
        <v>465</v>
      </c>
      <c r="Q18" s="618" t="s">
        <v>471</v>
      </c>
      <c r="R18" s="618" t="s">
        <v>471</v>
      </c>
      <c r="S18" s="615" t="s">
        <v>472</v>
      </c>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row>
    <row r="19" spans="1:53" s="19" customFormat="1" ht="31.5">
      <c r="A19" s="607" t="s">
        <v>342</v>
      </c>
      <c r="B19" s="608"/>
      <c r="C19" s="608"/>
      <c r="D19" s="616">
        <v>1858128</v>
      </c>
      <c r="E19" s="612" t="s">
        <v>469</v>
      </c>
      <c r="F19" s="613" t="s">
        <v>473</v>
      </c>
      <c r="G19" s="613" t="s">
        <v>464</v>
      </c>
      <c r="H19" s="611" t="s">
        <v>465</v>
      </c>
      <c r="I19" s="608"/>
      <c r="J19" s="608"/>
      <c r="K19" s="617">
        <v>40000000</v>
      </c>
      <c r="L19" s="611">
        <f t="shared" si="0"/>
        <v>66292.116210079723</v>
      </c>
      <c r="M19" s="614">
        <v>100</v>
      </c>
      <c r="N19" s="614">
        <v>0</v>
      </c>
      <c r="O19" s="608" t="s">
        <v>466</v>
      </c>
      <c r="P19" s="608" t="s">
        <v>465</v>
      </c>
      <c r="Q19" s="618" t="s">
        <v>474</v>
      </c>
      <c r="R19" s="618" t="s">
        <v>474</v>
      </c>
      <c r="S19" s="615" t="s">
        <v>475</v>
      </c>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row>
    <row r="20" spans="1:53" s="19" customFormat="1" ht="31.5">
      <c r="A20" s="607" t="s">
        <v>342</v>
      </c>
      <c r="B20" s="608"/>
      <c r="C20" s="608"/>
      <c r="D20" s="616">
        <v>1858128</v>
      </c>
      <c r="E20" s="612" t="s">
        <v>469</v>
      </c>
      <c r="F20" s="613" t="s">
        <v>476</v>
      </c>
      <c r="G20" s="613" t="s">
        <v>464</v>
      </c>
      <c r="H20" s="611" t="s">
        <v>465</v>
      </c>
      <c r="I20" s="608"/>
      <c r="J20" s="608"/>
      <c r="K20" s="617">
        <v>20000000</v>
      </c>
      <c r="L20" s="611">
        <f t="shared" si="0"/>
        <v>33146.058105039861</v>
      </c>
      <c r="M20" s="614">
        <v>100</v>
      </c>
      <c r="N20" s="614">
        <v>0</v>
      </c>
      <c r="O20" s="608" t="s">
        <v>466</v>
      </c>
      <c r="P20" s="608" t="s">
        <v>465</v>
      </c>
      <c r="Q20" s="618" t="s">
        <v>477</v>
      </c>
      <c r="R20" s="618">
        <v>43306</v>
      </c>
      <c r="S20" s="615" t="s">
        <v>475</v>
      </c>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row>
    <row r="21" spans="1:53" s="19" customFormat="1" ht="31.5">
      <c r="A21" s="607" t="s">
        <v>342</v>
      </c>
      <c r="B21" s="608"/>
      <c r="C21" s="608"/>
      <c r="D21" s="616">
        <v>1858128</v>
      </c>
      <c r="E21" s="612" t="s">
        <v>469</v>
      </c>
      <c r="F21" s="613" t="s">
        <v>478</v>
      </c>
      <c r="G21" s="613" t="s">
        <v>464</v>
      </c>
      <c r="H21" s="611" t="s">
        <v>465</v>
      </c>
      <c r="I21" s="608"/>
      <c r="J21" s="608"/>
      <c r="K21" s="617">
        <v>5000000</v>
      </c>
      <c r="L21" s="611">
        <f t="shared" si="0"/>
        <v>8286.5145262599654</v>
      </c>
      <c r="M21" s="614">
        <v>100</v>
      </c>
      <c r="N21" s="614">
        <v>0</v>
      </c>
      <c r="O21" s="608" t="s">
        <v>466</v>
      </c>
      <c r="P21" s="608" t="s">
        <v>465</v>
      </c>
      <c r="Q21" s="618" t="s">
        <v>479</v>
      </c>
      <c r="R21" s="618" t="s">
        <v>480</v>
      </c>
      <c r="S21" s="615" t="s">
        <v>481</v>
      </c>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row>
    <row r="22" spans="1:53" s="19" customFormat="1" ht="31.5">
      <c r="A22" s="607" t="s">
        <v>342</v>
      </c>
      <c r="B22" s="608"/>
      <c r="C22" s="608"/>
      <c r="D22" s="616">
        <v>1858128</v>
      </c>
      <c r="E22" s="612" t="s">
        <v>469</v>
      </c>
      <c r="F22" s="613" t="s">
        <v>482</v>
      </c>
      <c r="G22" s="613" t="s">
        <v>464</v>
      </c>
      <c r="H22" s="611" t="s">
        <v>465</v>
      </c>
      <c r="I22" s="608"/>
      <c r="J22" s="608"/>
      <c r="K22" s="617">
        <v>7000000</v>
      </c>
      <c r="L22" s="611">
        <f t="shared" si="0"/>
        <v>11601.12033676395</v>
      </c>
      <c r="M22" s="614">
        <v>100</v>
      </c>
      <c r="N22" s="614">
        <v>0</v>
      </c>
      <c r="O22" s="608" t="s">
        <v>466</v>
      </c>
      <c r="P22" s="608" t="s">
        <v>465</v>
      </c>
      <c r="Q22" s="618" t="s">
        <v>479</v>
      </c>
      <c r="R22" s="618" t="s">
        <v>480</v>
      </c>
      <c r="S22" s="615" t="s">
        <v>481</v>
      </c>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row>
    <row r="23" spans="1:53" s="19" customFormat="1" ht="31.5">
      <c r="A23" s="607" t="s">
        <v>342</v>
      </c>
      <c r="B23" s="608"/>
      <c r="C23" s="608"/>
      <c r="D23" s="616" t="s">
        <v>483</v>
      </c>
      <c r="E23" s="612" t="s">
        <v>484</v>
      </c>
      <c r="F23" s="613" t="s">
        <v>470</v>
      </c>
      <c r="G23" s="613" t="s">
        <v>464</v>
      </c>
      <c r="H23" s="611" t="s">
        <v>465</v>
      </c>
      <c r="I23" s="608"/>
      <c r="J23" s="608"/>
      <c r="K23" s="617">
        <v>15000000</v>
      </c>
      <c r="L23" s="611">
        <f t="shared" si="0"/>
        <v>24859.543578779892</v>
      </c>
      <c r="M23" s="614">
        <v>100</v>
      </c>
      <c r="N23" s="614">
        <v>0</v>
      </c>
      <c r="O23" s="608" t="s">
        <v>466</v>
      </c>
      <c r="P23" s="608" t="s">
        <v>465</v>
      </c>
      <c r="Q23" s="618" t="s">
        <v>479</v>
      </c>
      <c r="R23" s="618" t="s">
        <v>480</v>
      </c>
      <c r="S23" s="615" t="s">
        <v>481</v>
      </c>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row>
    <row r="24" spans="1:53" s="19" customFormat="1" ht="31.5">
      <c r="A24" s="607" t="s">
        <v>342</v>
      </c>
      <c r="B24" s="608"/>
      <c r="C24" s="608"/>
      <c r="D24" s="616" t="s">
        <v>483</v>
      </c>
      <c r="E24" s="612" t="s">
        <v>484</v>
      </c>
      <c r="F24" s="613" t="s">
        <v>473</v>
      </c>
      <c r="G24" s="613" t="s">
        <v>464</v>
      </c>
      <c r="H24" s="611" t="s">
        <v>465</v>
      </c>
      <c r="I24" s="608"/>
      <c r="J24" s="608"/>
      <c r="K24" s="617">
        <v>18000000</v>
      </c>
      <c r="L24" s="611">
        <f t="shared" si="0"/>
        <v>29831.452294535873</v>
      </c>
      <c r="M24" s="614">
        <v>100</v>
      </c>
      <c r="N24" s="614">
        <v>0</v>
      </c>
      <c r="O24" s="608" t="s">
        <v>466</v>
      </c>
      <c r="P24" s="608" t="s">
        <v>465</v>
      </c>
      <c r="Q24" s="618" t="s">
        <v>479</v>
      </c>
      <c r="R24" s="618" t="s">
        <v>480</v>
      </c>
      <c r="S24" s="615" t="s">
        <v>481</v>
      </c>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row>
    <row r="25" spans="1:53" s="19" customFormat="1" ht="31.5">
      <c r="A25" s="607" t="s">
        <v>342</v>
      </c>
      <c r="B25" s="608"/>
      <c r="C25" s="608"/>
      <c r="D25" s="616" t="s">
        <v>483</v>
      </c>
      <c r="E25" s="612" t="s">
        <v>484</v>
      </c>
      <c r="F25" s="613" t="s">
        <v>476</v>
      </c>
      <c r="G25" s="613" t="s">
        <v>464</v>
      </c>
      <c r="H25" s="611" t="s">
        <v>465</v>
      </c>
      <c r="I25" s="608"/>
      <c r="J25" s="608"/>
      <c r="K25" s="617">
        <v>3000000</v>
      </c>
      <c r="L25" s="611">
        <f t="shared" si="0"/>
        <v>4971.9087157559788</v>
      </c>
      <c r="M25" s="614">
        <v>100</v>
      </c>
      <c r="N25" s="614">
        <v>0</v>
      </c>
      <c r="O25" s="608" t="s">
        <v>466</v>
      </c>
      <c r="P25" s="608" t="s">
        <v>465</v>
      </c>
      <c r="Q25" s="618" t="s">
        <v>479</v>
      </c>
      <c r="R25" s="618" t="s">
        <v>480</v>
      </c>
      <c r="S25" s="615" t="s">
        <v>481</v>
      </c>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row>
    <row r="26" spans="1:53" s="19" customFormat="1" ht="31.5">
      <c r="A26" s="607" t="s">
        <v>342</v>
      </c>
      <c r="B26" s="608"/>
      <c r="C26" s="608"/>
      <c r="D26" s="616" t="s">
        <v>483</v>
      </c>
      <c r="E26" s="612" t="s">
        <v>484</v>
      </c>
      <c r="F26" s="613" t="s">
        <v>478</v>
      </c>
      <c r="G26" s="613" t="s">
        <v>464</v>
      </c>
      <c r="H26" s="611" t="s">
        <v>465</v>
      </c>
      <c r="I26" s="608"/>
      <c r="J26" s="608"/>
      <c r="K26" s="617">
        <v>2000000</v>
      </c>
      <c r="L26" s="611">
        <f t="shared" si="0"/>
        <v>3314.605810503986</v>
      </c>
      <c r="M26" s="614">
        <v>100</v>
      </c>
      <c r="N26" s="614">
        <v>0</v>
      </c>
      <c r="O26" s="608" t="s">
        <v>466</v>
      </c>
      <c r="P26" s="608" t="s">
        <v>465</v>
      </c>
      <c r="Q26" s="618" t="s">
        <v>479</v>
      </c>
      <c r="R26" s="618" t="s">
        <v>480</v>
      </c>
      <c r="S26" s="615" t="s">
        <v>481</v>
      </c>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row>
    <row r="27" spans="1:53" s="19" customFormat="1" ht="31.5">
      <c r="A27" s="607" t="s">
        <v>342</v>
      </c>
      <c r="B27" s="608"/>
      <c r="C27" s="608"/>
      <c r="D27" s="616" t="s">
        <v>483</v>
      </c>
      <c r="E27" s="612" t="s">
        <v>484</v>
      </c>
      <c r="F27" s="613" t="s">
        <v>482</v>
      </c>
      <c r="G27" s="613" t="s">
        <v>464</v>
      </c>
      <c r="H27" s="611" t="s">
        <v>465</v>
      </c>
      <c r="I27" s="608"/>
      <c r="J27" s="608"/>
      <c r="K27" s="617">
        <v>3000000</v>
      </c>
      <c r="L27" s="611">
        <f t="shared" si="0"/>
        <v>4971.9087157559788</v>
      </c>
      <c r="M27" s="614">
        <v>100</v>
      </c>
      <c r="N27" s="614">
        <v>0</v>
      </c>
      <c r="O27" s="608" t="s">
        <v>466</v>
      </c>
      <c r="P27" s="608" t="s">
        <v>465</v>
      </c>
      <c r="Q27" s="618" t="s">
        <v>479</v>
      </c>
      <c r="R27" s="618" t="s">
        <v>480</v>
      </c>
      <c r="S27" s="615" t="s">
        <v>481</v>
      </c>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row>
    <row r="28" spans="1:53" s="19" customFormat="1" ht="31.5">
      <c r="A28" s="607" t="s">
        <v>342</v>
      </c>
      <c r="B28" s="608"/>
      <c r="C28" s="608"/>
      <c r="D28" s="616" t="s">
        <v>483</v>
      </c>
      <c r="E28" s="612" t="s">
        <v>485</v>
      </c>
      <c r="F28" s="613" t="s">
        <v>470</v>
      </c>
      <c r="G28" s="613" t="s">
        <v>464</v>
      </c>
      <c r="H28" s="611" t="s">
        <v>465</v>
      </c>
      <c r="I28" s="608"/>
      <c r="J28" s="608"/>
      <c r="K28" s="617">
        <v>15000000</v>
      </c>
      <c r="L28" s="611">
        <f t="shared" si="0"/>
        <v>24859.543578779892</v>
      </c>
      <c r="M28" s="614">
        <v>100</v>
      </c>
      <c r="N28" s="614">
        <v>0</v>
      </c>
      <c r="O28" s="608" t="s">
        <v>466</v>
      </c>
      <c r="P28" s="608" t="s">
        <v>465</v>
      </c>
      <c r="Q28" s="618" t="s">
        <v>479</v>
      </c>
      <c r="R28" s="618" t="s">
        <v>480</v>
      </c>
      <c r="S28" s="615" t="s">
        <v>481</v>
      </c>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row>
    <row r="29" spans="1:53" s="19" customFormat="1" ht="31.5">
      <c r="A29" s="607" t="s">
        <v>342</v>
      </c>
      <c r="B29" s="608"/>
      <c r="C29" s="608"/>
      <c r="D29" s="616" t="s">
        <v>483</v>
      </c>
      <c r="E29" s="612" t="s">
        <v>485</v>
      </c>
      <c r="F29" s="613" t="s">
        <v>473</v>
      </c>
      <c r="G29" s="613" t="s">
        <v>464</v>
      </c>
      <c r="H29" s="611" t="s">
        <v>465</v>
      </c>
      <c r="I29" s="608"/>
      <c r="J29" s="608"/>
      <c r="K29" s="617">
        <v>10000000</v>
      </c>
      <c r="L29" s="611">
        <f t="shared" si="0"/>
        <v>16573.029052519931</v>
      </c>
      <c r="M29" s="614">
        <v>100</v>
      </c>
      <c r="N29" s="614">
        <v>0</v>
      </c>
      <c r="O29" s="608" t="s">
        <v>466</v>
      </c>
      <c r="P29" s="608" t="s">
        <v>465</v>
      </c>
      <c r="Q29" s="618" t="s">
        <v>479</v>
      </c>
      <c r="R29" s="618" t="s">
        <v>480</v>
      </c>
      <c r="S29" s="615" t="s">
        <v>481</v>
      </c>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row>
    <row r="30" spans="1:53" s="19" customFormat="1" ht="31.5">
      <c r="A30" s="607" t="s">
        <v>342</v>
      </c>
      <c r="B30" s="608"/>
      <c r="C30" s="608"/>
      <c r="D30" s="616" t="s">
        <v>483</v>
      </c>
      <c r="E30" s="612" t="s">
        <v>485</v>
      </c>
      <c r="F30" s="613" t="s">
        <v>476</v>
      </c>
      <c r="G30" s="613" t="s">
        <v>464</v>
      </c>
      <c r="H30" s="611" t="s">
        <v>465</v>
      </c>
      <c r="I30" s="608"/>
      <c r="J30" s="608"/>
      <c r="K30" s="617">
        <v>2000000</v>
      </c>
      <c r="L30" s="611">
        <f t="shared" si="0"/>
        <v>3314.605810503986</v>
      </c>
      <c r="M30" s="614">
        <v>100</v>
      </c>
      <c r="N30" s="614">
        <v>0</v>
      </c>
      <c r="O30" s="608" t="s">
        <v>466</v>
      </c>
      <c r="P30" s="608" t="s">
        <v>465</v>
      </c>
      <c r="Q30" s="618" t="s">
        <v>479</v>
      </c>
      <c r="R30" s="618" t="s">
        <v>480</v>
      </c>
      <c r="S30" s="615" t="s">
        <v>481</v>
      </c>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row>
    <row r="31" spans="1:53" s="19" customFormat="1" ht="31.5">
      <c r="A31" s="607" t="s">
        <v>342</v>
      </c>
      <c r="B31" s="608"/>
      <c r="C31" s="608"/>
      <c r="D31" s="616" t="s">
        <v>483</v>
      </c>
      <c r="E31" s="612" t="s">
        <v>485</v>
      </c>
      <c r="F31" s="613" t="s">
        <v>478</v>
      </c>
      <c r="G31" s="613" t="s">
        <v>464</v>
      </c>
      <c r="H31" s="611" t="s">
        <v>465</v>
      </c>
      <c r="I31" s="608"/>
      <c r="J31" s="608"/>
      <c r="K31" s="617">
        <v>2826000</v>
      </c>
      <c r="L31" s="611">
        <f t="shared" si="0"/>
        <v>4683.5380102421323</v>
      </c>
      <c r="M31" s="614">
        <v>100</v>
      </c>
      <c r="N31" s="614">
        <v>0</v>
      </c>
      <c r="O31" s="608" t="s">
        <v>466</v>
      </c>
      <c r="P31" s="608" t="s">
        <v>465</v>
      </c>
      <c r="Q31" s="618" t="s">
        <v>479</v>
      </c>
      <c r="R31" s="618" t="s">
        <v>480</v>
      </c>
      <c r="S31" s="615" t="s">
        <v>481</v>
      </c>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row>
    <row r="32" spans="1:53" s="19" customFormat="1" ht="31.5">
      <c r="A32" s="607" t="s">
        <v>342</v>
      </c>
      <c r="B32" s="608"/>
      <c r="C32" s="608"/>
      <c r="D32" s="616" t="s">
        <v>483</v>
      </c>
      <c r="E32" s="612" t="s">
        <v>485</v>
      </c>
      <c r="F32" s="613" t="s">
        <v>482</v>
      </c>
      <c r="G32" s="613" t="s">
        <v>464</v>
      </c>
      <c r="H32" s="611" t="s">
        <v>465</v>
      </c>
      <c r="I32" s="608"/>
      <c r="J32" s="608"/>
      <c r="K32" s="617"/>
      <c r="L32" s="611"/>
      <c r="M32" s="614"/>
      <c r="N32" s="614"/>
      <c r="O32" s="608"/>
      <c r="P32" s="608"/>
      <c r="Q32" s="618"/>
      <c r="R32" s="618"/>
      <c r="S32" s="618"/>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row>
    <row r="33" spans="1:61" s="19" customFormat="1" ht="31.5">
      <c r="A33" s="607" t="s">
        <v>342</v>
      </c>
      <c r="B33" s="608" t="s">
        <v>8</v>
      </c>
      <c r="C33" s="608">
        <v>2019</v>
      </c>
      <c r="D33" s="608"/>
      <c r="E33" s="612" t="s">
        <v>486</v>
      </c>
      <c r="F33" s="613" t="s">
        <v>487</v>
      </c>
      <c r="G33" s="613" t="s">
        <v>487</v>
      </c>
      <c r="H33" s="608" t="s">
        <v>465</v>
      </c>
      <c r="I33" s="608"/>
      <c r="J33" s="608"/>
      <c r="K33" s="617">
        <f>+L33*$D$159</f>
        <v>202915800</v>
      </c>
      <c r="L33" s="611">
        <f>+PEP!G13</f>
        <v>318000</v>
      </c>
      <c r="M33" s="614">
        <v>100</v>
      </c>
      <c r="N33" s="614">
        <v>0</v>
      </c>
      <c r="O33" s="608" t="s">
        <v>466</v>
      </c>
      <c r="P33" s="608" t="s">
        <v>465</v>
      </c>
      <c r="Q33" s="615" t="s">
        <v>467</v>
      </c>
      <c r="R33" s="615" t="s">
        <v>467</v>
      </c>
      <c r="S33" s="615" t="s">
        <v>468</v>
      </c>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row>
    <row r="34" spans="1:61" s="19" customFormat="1" ht="31.5">
      <c r="A34" s="607" t="s">
        <v>342</v>
      </c>
      <c r="B34" s="608" t="s">
        <v>8</v>
      </c>
      <c r="C34" s="608">
        <v>2020</v>
      </c>
      <c r="D34" s="608"/>
      <c r="E34" s="612" t="s">
        <v>488</v>
      </c>
      <c r="F34" s="613" t="s">
        <v>489</v>
      </c>
      <c r="G34" s="613" t="s">
        <v>489</v>
      </c>
      <c r="H34" s="608" t="s">
        <v>465</v>
      </c>
      <c r="I34" s="608"/>
      <c r="J34" s="608"/>
      <c r="K34" s="617">
        <f>+L34*$D$160</f>
        <v>207382500</v>
      </c>
      <c r="L34" s="611">
        <f>+PEP!H13</f>
        <v>325000</v>
      </c>
      <c r="M34" s="614">
        <v>100</v>
      </c>
      <c r="N34" s="614">
        <v>0</v>
      </c>
      <c r="O34" s="608" t="s">
        <v>466</v>
      </c>
      <c r="P34" s="608" t="s">
        <v>465</v>
      </c>
      <c r="Q34" s="615" t="s">
        <v>467</v>
      </c>
      <c r="R34" s="615" t="s">
        <v>467</v>
      </c>
      <c r="S34" s="615" t="s">
        <v>468</v>
      </c>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row>
    <row r="35" spans="1:61" s="19" customFormat="1" ht="31.5">
      <c r="A35" s="607" t="s">
        <v>342</v>
      </c>
      <c r="B35" s="608" t="s">
        <v>8</v>
      </c>
      <c r="C35" s="608">
        <v>2021</v>
      </c>
      <c r="D35" s="608"/>
      <c r="E35" s="612" t="s">
        <v>490</v>
      </c>
      <c r="F35" s="613" t="s">
        <v>491</v>
      </c>
      <c r="G35" s="613" t="s">
        <v>491</v>
      </c>
      <c r="H35" s="608" t="s">
        <v>465</v>
      </c>
      <c r="I35" s="608"/>
      <c r="J35" s="608"/>
      <c r="K35" s="617">
        <f>+L35*$D$161</f>
        <v>206379987.46581817</v>
      </c>
      <c r="L35" s="611">
        <f>+PEP!I13</f>
        <v>323428.90999187925</v>
      </c>
      <c r="M35" s="614">
        <v>100</v>
      </c>
      <c r="N35" s="614">
        <v>0</v>
      </c>
      <c r="O35" s="608" t="s">
        <v>466</v>
      </c>
      <c r="P35" s="608" t="s">
        <v>465</v>
      </c>
      <c r="Q35" s="615" t="s">
        <v>467</v>
      </c>
      <c r="R35" s="615" t="s">
        <v>467</v>
      </c>
      <c r="S35" s="615" t="s">
        <v>468</v>
      </c>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row>
    <row r="36" spans="1:61" s="19" customFormat="1" ht="31.5">
      <c r="A36" s="607" t="s">
        <v>492</v>
      </c>
      <c r="B36" s="608" t="s">
        <v>8</v>
      </c>
      <c r="C36" s="608">
        <v>2018</v>
      </c>
      <c r="D36" s="616"/>
      <c r="E36" s="619" t="s">
        <v>493</v>
      </c>
      <c r="F36" s="613"/>
      <c r="G36" s="613"/>
      <c r="H36" s="611"/>
      <c r="I36" s="608"/>
      <c r="J36" s="608"/>
      <c r="K36" s="610">
        <f>SUM(K37:K46)</f>
        <v>16055000</v>
      </c>
      <c r="L36" s="611">
        <f>+K36/$D$158</f>
        <v>26607.998143820747</v>
      </c>
      <c r="M36" s="614"/>
      <c r="N36" s="614"/>
      <c r="O36" s="608"/>
      <c r="P36" s="608"/>
      <c r="Q36" s="618"/>
      <c r="R36" s="618"/>
      <c r="S36" s="618"/>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row>
    <row r="37" spans="1:61" s="19" customFormat="1" ht="31.5">
      <c r="A37" s="607"/>
      <c r="B37" s="608"/>
      <c r="C37" s="608"/>
      <c r="D37" s="616"/>
      <c r="E37" s="619" t="s">
        <v>494</v>
      </c>
      <c r="F37" s="613" t="s">
        <v>494</v>
      </c>
      <c r="G37" s="613" t="s">
        <v>495</v>
      </c>
      <c r="H37" s="611" t="s">
        <v>465</v>
      </c>
      <c r="I37" s="608"/>
      <c r="J37" s="608"/>
      <c r="K37" s="617">
        <v>2000000</v>
      </c>
      <c r="L37" s="611"/>
      <c r="M37" s="614"/>
      <c r="N37" s="614"/>
      <c r="O37" s="608"/>
      <c r="P37" s="608"/>
      <c r="Q37" s="618"/>
      <c r="R37" s="618"/>
      <c r="S37" s="618"/>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row>
    <row r="38" spans="1:61" s="19" customFormat="1" ht="31.5">
      <c r="A38" s="607"/>
      <c r="B38" s="608"/>
      <c r="C38" s="608"/>
      <c r="D38" s="616"/>
      <c r="E38" s="612" t="s">
        <v>496</v>
      </c>
      <c r="F38" s="613" t="s">
        <v>496</v>
      </c>
      <c r="G38" s="613" t="s">
        <v>495</v>
      </c>
      <c r="H38" s="611" t="s">
        <v>465</v>
      </c>
      <c r="I38" s="608"/>
      <c r="J38" s="608"/>
      <c r="K38" s="617">
        <v>2000000</v>
      </c>
      <c r="L38" s="611"/>
      <c r="M38" s="614"/>
      <c r="N38" s="614"/>
      <c r="O38" s="608"/>
      <c r="P38" s="608"/>
      <c r="Q38" s="618" t="s">
        <v>497</v>
      </c>
      <c r="R38" s="618">
        <v>43273</v>
      </c>
      <c r="S38" s="618" t="s">
        <v>475</v>
      </c>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row>
    <row r="39" spans="1:61" s="19" customFormat="1">
      <c r="A39" s="607"/>
      <c r="B39" s="608"/>
      <c r="C39" s="608"/>
      <c r="D39" s="616"/>
      <c r="E39" s="620" t="s">
        <v>470</v>
      </c>
      <c r="F39" s="613"/>
      <c r="G39" s="613"/>
      <c r="H39" s="611"/>
      <c r="I39" s="608"/>
      <c r="J39" s="608"/>
      <c r="K39" s="617"/>
      <c r="L39" s="611"/>
      <c r="M39" s="614"/>
      <c r="N39" s="614"/>
      <c r="O39" s="608"/>
      <c r="P39" s="608"/>
      <c r="Q39" s="618" t="s">
        <v>498</v>
      </c>
      <c r="R39" s="618">
        <v>43271</v>
      </c>
      <c r="S39" s="618" t="s">
        <v>499</v>
      </c>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row>
    <row r="40" spans="1:61" s="19" customFormat="1" ht="31.5">
      <c r="A40" s="607"/>
      <c r="B40" s="608"/>
      <c r="C40" s="608"/>
      <c r="D40" s="616"/>
      <c r="E40" s="612" t="s">
        <v>500</v>
      </c>
      <c r="F40" s="613" t="s">
        <v>500</v>
      </c>
      <c r="G40" s="613" t="s">
        <v>495</v>
      </c>
      <c r="H40" s="611" t="s">
        <v>465</v>
      </c>
      <c r="I40" s="608"/>
      <c r="J40" s="608"/>
      <c r="K40" s="617">
        <v>1370000</v>
      </c>
      <c r="L40" s="611"/>
      <c r="M40" s="614"/>
      <c r="N40" s="614"/>
      <c r="O40" s="608"/>
      <c r="P40" s="608"/>
      <c r="Q40" s="618" t="s">
        <v>501</v>
      </c>
      <c r="R40" s="618">
        <v>43305</v>
      </c>
      <c r="S40" s="618" t="s">
        <v>475</v>
      </c>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row>
    <row r="41" spans="1:61" s="19" customFormat="1">
      <c r="A41" s="607"/>
      <c r="B41" s="608"/>
      <c r="C41" s="608"/>
      <c r="D41" s="616"/>
      <c r="E41" s="620" t="s">
        <v>470</v>
      </c>
      <c r="F41" s="613"/>
      <c r="G41" s="613"/>
      <c r="H41" s="611"/>
      <c r="I41" s="608"/>
      <c r="J41" s="608"/>
      <c r="K41" s="617"/>
      <c r="L41" s="611"/>
      <c r="M41" s="614"/>
      <c r="N41" s="614"/>
      <c r="O41" s="608"/>
      <c r="P41" s="608"/>
      <c r="Q41" s="618" t="s">
        <v>502</v>
      </c>
      <c r="R41" s="618">
        <v>43312</v>
      </c>
      <c r="S41" s="618" t="s">
        <v>499</v>
      </c>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row>
    <row r="42" spans="1:61" s="19" customFormat="1" ht="31.5">
      <c r="A42" s="607"/>
      <c r="B42" s="608"/>
      <c r="C42" s="608"/>
      <c r="D42" s="616"/>
      <c r="E42" s="612" t="s">
        <v>503</v>
      </c>
      <c r="F42" s="613" t="s">
        <v>503</v>
      </c>
      <c r="G42" s="613" t="s">
        <v>495</v>
      </c>
      <c r="H42" s="611" t="s">
        <v>465</v>
      </c>
      <c r="I42" s="608"/>
      <c r="J42" s="608"/>
      <c r="K42" s="617">
        <v>4000000</v>
      </c>
      <c r="L42" s="611"/>
      <c r="M42" s="614"/>
      <c r="N42" s="614"/>
      <c r="O42" s="608"/>
      <c r="P42" s="608"/>
      <c r="Q42" s="618"/>
      <c r="R42" s="618"/>
      <c r="S42" s="618"/>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row>
    <row r="43" spans="1:61" s="19" customFormat="1" ht="31.5">
      <c r="A43" s="607"/>
      <c r="B43" s="608"/>
      <c r="C43" s="608"/>
      <c r="D43" s="616"/>
      <c r="E43" s="612" t="s">
        <v>504</v>
      </c>
      <c r="F43" s="613" t="s">
        <v>504</v>
      </c>
      <c r="G43" s="613" t="s">
        <v>495</v>
      </c>
      <c r="H43" s="611" t="s">
        <v>465</v>
      </c>
      <c r="I43" s="608"/>
      <c r="J43" s="608"/>
      <c r="K43" s="617">
        <v>685000</v>
      </c>
      <c r="L43" s="611"/>
      <c r="M43" s="614"/>
      <c r="N43" s="614"/>
      <c r="O43" s="608"/>
      <c r="P43" s="608"/>
      <c r="Q43" s="618"/>
      <c r="R43" s="618"/>
      <c r="S43" s="618"/>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row>
    <row r="44" spans="1:61" s="19" customFormat="1" ht="31.5">
      <c r="A44" s="607"/>
      <c r="B44" s="608"/>
      <c r="C44" s="608"/>
      <c r="D44" s="616"/>
      <c r="E44" s="612" t="s">
        <v>505</v>
      </c>
      <c r="F44" s="613" t="s">
        <v>505</v>
      </c>
      <c r="G44" s="613" t="s">
        <v>495</v>
      </c>
      <c r="H44" s="611" t="s">
        <v>465</v>
      </c>
      <c r="I44" s="608"/>
      <c r="J44" s="608"/>
      <c r="K44" s="617">
        <v>2000000</v>
      </c>
      <c r="L44" s="611"/>
      <c r="M44" s="614"/>
      <c r="N44" s="614"/>
      <c r="O44" s="608"/>
      <c r="P44" s="608"/>
      <c r="Q44" s="618"/>
      <c r="R44" s="618"/>
      <c r="S44" s="618"/>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row>
    <row r="45" spans="1:61" s="19" customFormat="1" ht="31.5">
      <c r="A45" s="607"/>
      <c r="B45" s="608"/>
      <c r="C45" s="608"/>
      <c r="D45" s="616"/>
      <c r="E45" s="612" t="s">
        <v>506</v>
      </c>
      <c r="F45" s="613" t="s">
        <v>506</v>
      </c>
      <c r="G45" s="613" t="s">
        <v>495</v>
      </c>
      <c r="H45" s="611" t="s">
        <v>465</v>
      </c>
      <c r="I45" s="608"/>
      <c r="J45" s="608"/>
      <c r="K45" s="617">
        <v>4000000</v>
      </c>
      <c r="L45" s="611"/>
      <c r="M45" s="614"/>
      <c r="N45" s="614"/>
      <c r="O45" s="608"/>
      <c r="P45" s="608"/>
      <c r="Q45" s="618"/>
      <c r="R45" s="618"/>
      <c r="S45" s="618"/>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row>
    <row r="46" spans="1:61" s="19" customFormat="1" ht="31.5">
      <c r="A46" s="607"/>
      <c r="B46" s="608"/>
      <c r="C46" s="608"/>
      <c r="D46" s="616"/>
      <c r="E46" s="612" t="s">
        <v>507</v>
      </c>
      <c r="F46" s="613"/>
      <c r="G46" s="613" t="s">
        <v>495</v>
      </c>
      <c r="H46" s="611" t="s">
        <v>465</v>
      </c>
      <c r="I46" s="608"/>
      <c r="J46" s="608"/>
      <c r="K46" s="617"/>
      <c r="L46" s="611"/>
      <c r="M46" s="614"/>
      <c r="N46" s="614"/>
      <c r="O46" s="608"/>
      <c r="P46" s="608"/>
      <c r="Q46" s="618"/>
      <c r="R46" s="618"/>
      <c r="S46" s="618"/>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row>
    <row r="47" spans="1:61" s="19" customFormat="1">
      <c r="A47" s="607"/>
      <c r="B47" s="608" t="s">
        <v>508</v>
      </c>
      <c r="C47" s="608"/>
      <c r="D47" s="608"/>
      <c r="E47" s="609"/>
      <c r="F47" s="609"/>
      <c r="G47" s="609"/>
      <c r="H47" s="608"/>
      <c r="I47" s="608"/>
      <c r="J47" s="608"/>
      <c r="K47" s="610">
        <f>K17+K33+K34+K35+K36</f>
        <v>825559287.46581817</v>
      </c>
      <c r="L47" s="611">
        <f>L17+L33+L34+L35+L36</f>
        <v>1312607.9981438208</v>
      </c>
      <c r="M47" s="611">
        <v>100</v>
      </c>
      <c r="N47" s="611">
        <f>SUM(N17:N35)</f>
        <v>0</v>
      </c>
      <c r="O47" s="608"/>
      <c r="P47" s="608"/>
      <c r="Q47" s="608"/>
      <c r="R47" s="608"/>
      <c r="S47" s="608"/>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row>
    <row r="48" spans="1:61" s="21" customFormat="1" ht="16.5" thickBot="1">
      <c r="E48" s="264"/>
      <c r="F48" s="264"/>
      <c r="G48" s="264"/>
      <c r="K48" s="227"/>
      <c r="L48" s="22"/>
      <c r="M48" s="23"/>
      <c r="N48" s="23"/>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19"/>
      <c r="BC48" s="19"/>
      <c r="BD48" s="19"/>
      <c r="BE48" s="19"/>
      <c r="BF48" s="19"/>
      <c r="BG48" s="19"/>
      <c r="BH48" s="19"/>
      <c r="BI48" s="19"/>
    </row>
    <row r="49" spans="1:61" s="21" customFormat="1">
      <c r="A49" s="599" t="s">
        <v>435</v>
      </c>
      <c r="B49" s="320" t="s">
        <v>509</v>
      </c>
      <c r="C49" s="321"/>
      <c r="D49" s="321"/>
      <c r="E49" s="321"/>
      <c r="F49" s="321"/>
      <c r="G49" s="321"/>
      <c r="H49" s="321"/>
      <c r="I49" s="321"/>
      <c r="J49" s="321"/>
      <c r="K49" s="321"/>
      <c r="L49" s="321"/>
      <c r="M49" s="321"/>
      <c r="N49" s="321"/>
      <c r="O49" s="321"/>
      <c r="P49" s="321"/>
      <c r="Q49" s="321"/>
      <c r="R49" s="321"/>
      <c r="S49" s="322"/>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19"/>
      <c r="BC49" s="19"/>
      <c r="BD49" s="19"/>
      <c r="BE49" s="19"/>
      <c r="BF49" s="19"/>
      <c r="BG49" s="19"/>
      <c r="BH49" s="19"/>
      <c r="BI49" s="19"/>
    </row>
    <row r="50" spans="1:61" s="21" customFormat="1">
      <c r="A50" s="599"/>
      <c r="B50" s="621" t="s">
        <v>437</v>
      </c>
      <c r="C50" s="318" t="s">
        <v>438</v>
      </c>
      <c r="D50" s="599" t="s">
        <v>439</v>
      </c>
      <c r="E50" s="600" t="s">
        <v>440</v>
      </c>
      <c r="F50" s="600" t="s">
        <v>441</v>
      </c>
      <c r="G50" s="600" t="s">
        <v>442</v>
      </c>
      <c r="H50" s="599" t="s">
        <v>459</v>
      </c>
      <c r="I50" s="599"/>
      <c r="J50" s="599"/>
      <c r="K50" s="601"/>
      <c r="L50" s="602" t="s">
        <v>446</v>
      </c>
      <c r="M50" s="602"/>
      <c r="N50" s="602"/>
      <c r="O50" s="599" t="s">
        <v>447</v>
      </c>
      <c r="P50" s="599" t="s">
        <v>448</v>
      </c>
      <c r="Q50" s="599" t="s">
        <v>449</v>
      </c>
      <c r="R50" s="599"/>
      <c r="S50" s="622" t="s">
        <v>450</v>
      </c>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19"/>
      <c r="BC50" s="19"/>
      <c r="BD50" s="19"/>
      <c r="BE50" s="19"/>
      <c r="BF50" s="19"/>
      <c r="BG50" s="19"/>
      <c r="BH50" s="19"/>
      <c r="BI50" s="19"/>
    </row>
    <row r="51" spans="1:61" s="21" customFormat="1" ht="31.5">
      <c r="A51" s="603"/>
      <c r="B51" s="621"/>
      <c r="C51" s="319"/>
      <c r="D51" s="599" t="s">
        <v>439</v>
      </c>
      <c r="E51" s="600"/>
      <c r="F51" s="600"/>
      <c r="G51" s="600"/>
      <c r="H51" s="599"/>
      <c r="I51" s="599" t="s">
        <v>445</v>
      </c>
      <c r="J51" s="599"/>
      <c r="K51" s="601" t="s">
        <v>451</v>
      </c>
      <c r="L51" s="603" t="s">
        <v>452</v>
      </c>
      <c r="M51" s="605" t="s">
        <v>453</v>
      </c>
      <c r="N51" s="606" t="s">
        <v>454</v>
      </c>
      <c r="O51" s="599"/>
      <c r="P51" s="599"/>
      <c r="Q51" s="603" t="s">
        <v>510</v>
      </c>
      <c r="R51" s="603" t="s">
        <v>456</v>
      </c>
      <c r="S51" s="622"/>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19"/>
      <c r="BC51" s="19"/>
      <c r="BD51" s="19"/>
      <c r="BE51" s="19"/>
      <c r="BF51" s="19"/>
      <c r="BG51" s="19"/>
      <c r="BH51" s="19"/>
      <c r="BI51" s="19"/>
    </row>
    <row r="52" spans="1:61" s="19" customFormat="1">
      <c r="A52" s="607"/>
      <c r="B52" s="608" t="s">
        <v>508</v>
      </c>
      <c r="C52" s="608"/>
      <c r="D52" s="608"/>
      <c r="E52" s="609"/>
      <c r="F52" s="609"/>
      <c r="G52" s="609"/>
      <c r="H52" s="608"/>
      <c r="I52" s="608"/>
      <c r="J52" s="608"/>
      <c r="K52" s="623"/>
      <c r="L52" s="614"/>
      <c r="M52" s="614"/>
      <c r="N52" s="614"/>
      <c r="O52" s="615"/>
      <c r="P52" s="608"/>
      <c r="Q52" s="608"/>
      <c r="R52" s="608"/>
      <c r="S52" s="608"/>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row>
    <row r="53" spans="1:61" s="21" customFormat="1">
      <c r="E53" s="264"/>
      <c r="F53" s="264"/>
      <c r="G53" s="264"/>
      <c r="H53" s="26"/>
      <c r="K53" s="227"/>
      <c r="L53" s="27"/>
      <c r="M53" s="27"/>
      <c r="N53" s="27"/>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19"/>
      <c r="BC53" s="19"/>
      <c r="BD53" s="19"/>
      <c r="BE53" s="19"/>
      <c r="BF53" s="19"/>
      <c r="BG53" s="19"/>
      <c r="BH53" s="19"/>
      <c r="BI53" s="19"/>
    </row>
    <row r="54" spans="1:61" s="21" customFormat="1">
      <c r="A54" s="599" t="s">
        <v>435</v>
      </c>
      <c r="B54" s="599" t="s">
        <v>511</v>
      </c>
      <c r="C54" s="599"/>
      <c r="D54" s="599"/>
      <c r="E54" s="599"/>
      <c r="F54" s="599"/>
      <c r="G54" s="599"/>
      <c r="H54" s="599"/>
      <c r="I54" s="599"/>
      <c r="J54" s="599"/>
      <c r="K54" s="599"/>
      <c r="L54" s="599"/>
      <c r="M54" s="599"/>
      <c r="N54" s="599"/>
      <c r="O54" s="599"/>
      <c r="P54" s="599"/>
      <c r="Q54" s="599"/>
      <c r="R54" s="599"/>
      <c r="S54" s="599"/>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19"/>
      <c r="BC54" s="19"/>
      <c r="BD54" s="19"/>
      <c r="BE54" s="19"/>
      <c r="BF54" s="19"/>
      <c r="BG54" s="19"/>
      <c r="BH54" s="19"/>
      <c r="BI54" s="19"/>
    </row>
    <row r="55" spans="1:61" s="21" customFormat="1">
      <c r="A55" s="599"/>
      <c r="B55" s="599" t="s">
        <v>437</v>
      </c>
      <c r="C55" s="318" t="s">
        <v>438</v>
      </c>
      <c r="D55" s="599" t="s">
        <v>439</v>
      </c>
      <c r="E55" s="600" t="s">
        <v>440</v>
      </c>
      <c r="F55" s="600" t="s">
        <v>441</v>
      </c>
      <c r="G55" s="600" t="s">
        <v>442</v>
      </c>
      <c r="H55" s="599" t="s">
        <v>459</v>
      </c>
      <c r="I55" s="599" t="s">
        <v>445</v>
      </c>
      <c r="J55" s="602" t="s">
        <v>446</v>
      </c>
      <c r="K55" s="602"/>
      <c r="L55" s="602"/>
      <c r="M55" s="602"/>
      <c r="N55" s="606"/>
      <c r="O55" s="599" t="s">
        <v>447</v>
      </c>
      <c r="P55" s="599" t="s">
        <v>448</v>
      </c>
      <c r="Q55" s="599" t="s">
        <v>449</v>
      </c>
      <c r="R55" s="599"/>
      <c r="S55" s="599" t="s">
        <v>450</v>
      </c>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19"/>
      <c r="BC55" s="19"/>
      <c r="BD55" s="19"/>
      <c r="BE55" s="19"/>
      <c r="BF55" s="19"/>
      <c r="BG55" s="19"/>
      <c r="BH55" s="19"/>
      <c r="BI55" s="19"/>
    </row>
    <row r="56" spans="1:61" s="21" customFormat="1" ht="32.25" thickBot="1">
      <c r="A56" s="279"/>
      <c r="B56" s="318"/>
      <c r="C56" s="319"/>
      <c r="D56" s="318" t="s">
        <v>439</v>
      </c>
      <c r="E56" s="624"/>
      <c r="F56" s="624"/>
      <c r="G56" s="624"/>
      <c r="H56" s="318"/>
      <c r="I56" s="318"/>
      <c r="J56" s="625" t="s">
        <v>512</v>
      </c>
      <c r="K56" s="626" t="s">
        <v>451</v>
      </c>
      <c r="L56" s="279" t="s">
        <v>452</v>
      </c>
      <c r="M56" s="627" t="s">
        <v>453</v>
      </c>
      <c r="N56" s="625" t="s">
        <v>454</v>
      </c>
      <c r="O56" s="318"/>
      <c r="P56" s="318"/>
      <c r="Q56" s="279" t="s">
        <v>513</v>
      </c>
      <c r="R56" s="279" t="s">
        <v>514</v>
      </c>
      <c r="S56" s="318"/>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19"/>
      <c r="BC56" s="19"/>
      <c r="BD56" s="19"/>
      <c r="BE56" s="19"/>
      <c r="BF56" s="19"/>
      <c r="BG56" s="19"/>
      <c r="BH56" s="19"/>
      <c r="BI56" s="19"/>
    </row>
    <row r="57" spans="1:61" s="19" customFormat="1" ht="47.25">
      <c r="A57" s="99" t="s">
        <v>352</v>
      </c>
      <c r="B57" s="100" t="s">
        <v>8</v>
      </c>
      <c r="C57" s="100">
        <v>2018</v>
      </c>
      <c r="D57" s="100"/>
      <c r="E57" s="270" t="s">
        <v>493</v>
      </c>
      <c r="F57" s="271" t="s">
        <v>515</v>
      </c>
      <c r="G57" s="271"/>
      <c r="H57" s="100"/>
      <c r="I57" s="100"/>
      <c r="J57" s="100"/>
      <c r="K57" s="272">
        <f>SUM(K58:K65)</f>
        <v>9745000</v>
      </c>
      <c r="L57" s="101">
        <f>SUM(L58:L65)</f>
        <v>16150.416811680669</v>
      </c>
      <c r="M57" s="102">
        <v>100</v>
      </c>
      <c r="N57" s="102">
        <v>0</v>
      </c>
      <c r="O57" s="100" t="s">
        <v>466</v>
      </c>
      <c r="P57" s="100"/>
      <c r="Q57" s="103"/>
      <c r="R57" s="103" t="s">
        <v>467</v>
      </c>
      <c r="S57" s="104" t="s">
        <v>468</v>
      </c>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row>
    <row r="58" spans="1:61" s="19" customFormat="1" ht="31.5">
      <c r="A58" s="628" t="s">
        <v>352</v>
      </c>
      <c r="B58" s="608" t="s">
        <v>8</v>
      </c>
      <c r="C58" s="608"/>
      <c r="D58" s="608">
        <v>1858132</v>
      </c>
      <c r="E58" s="612" t="s">
        <v>494</v>
      </c>
      <c r="F58" s="613" t="s">
        <v>494</v>
      </c>
      <c r="G58" s="613" t="s">
        <v>495</v>
      </c>
      <c r="H58" s="608" t="s">
        <v>465</v>
      </c>
      <c r="I58" s="608"/>
      <c r="J58" s="608"/>
      <c r="K58" s="610">
        <v>2100000</v>
      </c>
      <c r="L58" s="611">
        <f t="shared" ref="L58:L63" si="1">+K58/$D$158</f>
        <v>3480.3361010291851</v>
      </c>
      <c r="M58" s="614">
        <v>100</v>
      </c>
      <c r="N58" s="614">
        <v>0</v>
      </c>
      <c r="O58" s="608" t="s">
        <v>466</v>
      </c>
      <c r="P58" s="608" t="s">
        <v>465</v>
      </c>
      <c r="Q58" s="608" t="s">
        <v>516</v>
      </c>
      <c r="R58" s="629">
        <v>43286</v>
      </c>
      <c r="S58" s="630" t="s">
        <v>475</v>
      </c>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row>
    <row r="59" spans="1:61" s="19" customFormat="1" ht="31.5">
      <c r="A59" s="628" t="s">
        <v>352</v>
      </c>
      <c r="B59" s="608" t="s">
        <v>8</v>
      </c>
      <c r="C59" s="608"/>
      <c r="D59" s="608">
        <v>1858129</v>
      </c>
      <c r="E59" s="612" t="s">
        <v>496</v>
      </c>
      <c r="F59" s="613" t="s">
        <v>496</v>
      </c>
      <c r="G59" s="613" t="s">
        <v>495</v>
      </c>
      <c r="H59" s="608" t="s">
        <v>465</v>
      </c>
      <c r="I59" s="608"/>
      <c r="J59" s="608"/>
      <c r="K59" s="610">
        <v>2100000</v>
      </c>
      <c r="L59" s="611">
        <f t="shared" si="1"/>
        <v>3480.3361010291851</v>
      </c>
      <c r="M59" s="614">
        <v>100</v>
      </c>
      <c r="N59" s="614">
        <v>0</v>
      </c>
      <c r="O59" s="608" t="s">
        <v>466</v>
      </c>
      <c r="P59" s="608" t="s">
        <v>465</v>
      </c>
      <c r="Q59" s="608" t="s">
        <v>517</v>
      </c>
      <c r="R59" s="618" t="s">
        <v>518</v>
      </c>
      <c r="S59" s="630" t="s">
        <v>481</v>
      </c>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row>
    <row r="60" spans="1:61" s="19" customFormat="1" ht="31.5">
      <c r="A60" s="628" t="s">
        <v>352</v>
      </c>
      <c r="B60" s="608" t="s">
        <v>8</v>
      </c>
      <c r="C60" s="608"/>
      <c r="D60" s="608">
        <v>1858127</v>
      </c>
      <c r="E60" s="612" t="s">
        <v>500</v>
      </c>
      <c r="F60" s="613" t="s">
        <v>500</v>
      </c>
      <c r="G60" s="613" t="s">
        <v>495</v>
      </c>
      <c r="H60" s="608" t="s">
        <v>465</v>
      </c>
      <c r="I60" s="608"/>
      <c r="J60" s="608"/>
      <c r="K60" s="610">
        <v>630000</v>
      </c>
      <c r="L60" s="611">
        <f t="shared" si="1"/>
        <v>1044.1008303087556</v>
      </c>
      <c r="M60" s="614">
        <v>100</v>
      </c>
      <c r="N60" s="614">
        <v>0</v>
      </c>
      <c r="O60" s="608" t="s">
        <v>466</v>
      </c>
      <c r="P60" s="608" t="s">
        <v>465</v>
      </c>
      <c r="Q60" s="608" t="s">
        <v>517</v>
      </c>
      <c r="R60" s="618" t="s">
        <v>518</v>
      </c>
      <c r="S60" s="630" t="s">
        <v>481</v>
      </c>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row>
    <row r="61" spans="1:61" s="19" customFormat="1" ht="31.5">
      <c r="A61" s="628" t="s">
        <v>352</v>
      </c>
      <c r="B61" s="608" t="s">
        <v>8</v>
      </c>
      <c r="C61" s="608"/>
      <c r="D61" s="608">
        <v>1858131</v>
      </c>
      <c r="E61" s="612" t="s">
        <v>503</v>
      </c>
      <c r="F61" s="613" t="s">
        <v>503</v>
      </c>
      <c r="G61" s="613" t="s">
        <v>495</v>
      </c>
      <c r="H61" s="608" t="s">
        <v>465</v>
      </c>
      <c r="I61" s="608"/>
      <c r="J61" s="608"/>
      <c r="K61" s="610">
        <v>2300000</v>
      </c>
      <c r="L61" s="611">
        <f t="shared" si="1"/>
        <v>3811.7966820795837</v>
      </c>
      <c r="M61" s="614">
        <v>100</v>
      </c>
      <c r="N61" s="614">
        <v>0</v>
      </c>
      <c r="O61" s="608" t="s">
        <v>466</v>
      </c>
      <c r="P61" s="608" t="s">
        <v>465</v>
      </c>
      <c r="Q61" s="608" t="s">
        <v>517</v>
      </c>
      <c r="R61" s="618" t="s">
        <v>518</v>
      </c>
      <c r="S61" s="630" t="s">
        <v>481</v>
      </c>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row>
    <row r="62" spans="1:61" s="19" customFormat="1" ht="31.5">
      <c r="A62" s="628" t="s">
        <v>352</v>
      </c>
      <c r="B62" s="608" t="s">
        <v>8</v>
      </c>
      <c r="C62" s="608"/>
      <c r="D62" s="608">
        <v>1858126</v>
      </c>
      <c r="E62" s="612" t="s">
        <v>504</v>
      </c>
      <c r="F62" s="613" t="s">
        <v>504</v>
      </c>
      <c r="G62" s="613" t="s">
        <v>495</v>
      </c>
      <c r="H62" s="608" t="s">
        <v>465</v>
      </c>
      <c r="I62" s="608"/>
      <c r="J62" s="608"/>
      <c r="K62" s="610">
        <v>315000</v>
      </c>
      <c r="L62" s="611">
        <f t="shared" si="1"/>
        <v>522.05041515437779</v>
      </c>
      <c r="M62" s="614">
        <v>100</v>
      </c>
      <c r="N62" s="614">
        <v>0</v>
      </c>
      <c r="O62" s="608" t="s">
        <v>466</v>
      </c>
      <c r="P62" s="608" t="s">
        <v>465</v>
      </c>
      <c r="Q62" s="608" t="s">
        <v>517</v>
      </c>
      <c r="R62" s="618" t="s">
        <v>518</v>
      </c>
      <c r="S62" s="630" t="s">
        <v>481</v>
      </c>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row>
    <row r="63" spans="1:61" s="19" customFormat="1" ht="31.5">
      <c r="A63" s="628" t="s">
        <v>352</v>
      </c>
      <c r="B63" s="608" t="s">
        <v>8</v>
      </c>
      <c r="C63" s="608"/>
      <c r="D63" s="608">
        <v>1858130</v>
      </c>
      <c r="E63" s="612" t="s">
        <v>506</v>
      </c>
      <c r="F63" s="613" t="s">
        <v>506</v>
      </c>
      <c r="G63" s="613" t="s">
        <v>495</v>
      </c>
      <c r="H63" s="608" t="s">
        <v>465</v>
      </c>
      <c r="I63" s="608"/>
      <c r="J63" s="608"/>
      <c r="K63" s="610">
        <v>2300000</v>
      </c>
      <c r="L63" s="611">
        <f t="shared" si="1"/>
        <v>3811.7966820795837</v>
      </c>
      <c r="M63" s="614">
        <v>100</v>
      </c>
      <c r="N63" s="614">
        <v>0</v>
      </c>
      <c r="O63" s="608" t="s">
        <v>466</v>
      </c>
      <c r="P63" s="608" t="s">
        <v>465</v>
      </c>
      <c r="Q63" s="608" t="s">
        <v>517</v>
      </c>
      <c r="R63" s="618" t="s">
        <v>518</v>
      </c>
      <c r="S63" s="630" t="s">
        <v>481</v>
      </c>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row>
    <row r="64" spans="1:61" s="19" customFormat="1" ht="31.5">
      <c r="A64" s="628" t="s">
        <v>352</v>
      </c>
      <c r="B64" s="608" t="s">
        <v>8</v>
      </c>
      <c r="C64" s="608"/>
      <c r="D64" s="608"/>
      <c r="E64" s="612" t="s">
        <v>507</v>
      </c>
      <c r="F64" s="613"/>
      <c r="G64" s="613" t="s">
        <v>495</v>
      </c>
      <c r="H64" s="608" t="s">
        <v>465</v>
      </c>
      <c r="I64" s="608"/>
      <c r="J64" s="608"/>
      <c r="K64" s="610"/>
      <c r="L64" s="611">
        <f t="shared" ref="L64:L65" si="2">+K64/$D$158</f>
        <v>0</v>
      </c>
      <c r="M64" s="614">
        <v>100</v>
      </c>
      <c r="N64" s="614">
        <v>0</v>
      </c>
      <c r="O64" s="608" t="s">
        <v>466</v>
      </c>
      <c r="P64" s="608" t="s">
        <v>465</v>
      </c>
      <c r="Q64" s="608" t="s">
        <v>517</v>
      </c>
      <c r="R64" s="618" t="s">
        <v>518</v>
      </c>
      <c r="S64" s="630" t="s">
        <v>481</v>
      </c>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row>
    <row r="65" spans="1:61" s="19" customFormat="1" ht="31.5">
      <c r="A65" s="628" t="s">
        <v>352</v>
      </c>
      <c r="B65" s="608" t="s">
        <v>8</v>
      </c>
      <c r="C65" s="608"/>
      <c r="D65" s="608" t="s">
        <v>483</v>
      </c>
      <c r="E65" s="612" t="s">
        <v>507</v>
      </c>
      <c r="F65" s="612" t="s">
        <v>507</v>
      </c>
      <c r="G65" s="613" t="s">
        <v>495</v>
      </c>
      <c r="H65" s="608" t="s">
        <v>465</v>
      </c>
      <c r="I65" s="608"/>
      <c r="J65" s="608"/>
      <c r="K65" s="610"/>
      <c r="L65" s="611">
        <f t="shared" si="2"/>
        <v>0</v>
      </c>
      <c r="M65" s="614">
        <v>100</v>
      </c>
      <c r="N65" s="614">
        <v>0</v>
      </c>
      <c r="O65" s="608" t="s">
        <v>466</v>
      </c>
      <c r="P65" s="608" t="s">
        <v>465</v>
      </c>
      <c r="Q65" s="608" t="s">
        <v>517</v>
      </c>
      <c r="R65" s="618" t="s">
        <v>518</v>
      </c>
      <c r="S65" s="630" t="s">
        <v>481</v>
      </c>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row>
    <row r="66" spans="1:61" s="19" customFormat="1" ht="47.25">
      <c r="A66" s="628" t="s">
        <v>352</v>
      </c>
      <c r="B66" s="608" t="s">
        <v>8</v>
      </c>
      <c r="C66" s="608">
        <v>2019</v>
      </c>
      <c r="D66" s="608"/>
      <c r="E66" s="612" t="s">
        <v>519</v>
      </c>
      <c r="F66" s="613" t="s">
        <v>515</v>
      </c>
      <c r="G66" s="613" t="s">
        <v>495</v>
      </c>
      <c r="H66" s="608" t="s">
        <v>465</v>
      </c>
      <c r="I66" s="608"/>
      <c r="J66" s="608"/>
      <c r="K66" s="617">
        <f>+L66*$D$159</f>
        <v>41476500</v>
      </c>
      <c r="L66" s="614">
        <f>+PEP!G35</f>
        <v>65000</v>
      </c>
      <c r="M66" s="614">
        <v>100</v>
      </c>
      <c r="N66" s="614"/>
      <c r="O66" s="631"/>
      <c r="P66" s="608"/>
      <c r="Q66" s="615"/>
      <c r="R66" s="615"/>
      <c r="S66" s="63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row>
    <row r="67" spans="1:61" s="19" customFormat="1" ht="47.25">
      <c r="A67" s="628" t="s">
        <v>352</v>
      </c>
      <c r="B67" s="608" t="s">
        <v>8</v>
      </c>
      <c r="C67" s="608">
        <v>2020</v>
      </c>
      <c r="D67" s="608"/>
      <c r="E67" s="612" t="s">
        <v>520</v>
      </c>
      <c r="F67" s="613" t="s">
        <v>515</v>
      </c>
      <c r="G67" s="613" t="s">
        <v>495</v>
      </c>
      <c r="H67" s="608" t="s">
        <v>465</v>
      </c>
      <c r="I67" s="608"/>
      <c r="J67" s="608"/>
      <c r="K67" s="617">
        <f>+L67*$D$160</f>
        <v>42752700</v>
      </c>
      <c r="L67" s="614">
        <f>+PEP!H35</f>
        <v>67000</v>
      </c>
      <c r="M67" s="614">
        <v>100</v>
      </c>
      <c r="N67" s="614"/>
      <c r="O67" s="631"/>
      <c r="P67" s="608"/>
      <c r="Q67" s="615"/>
      <c r="R67" s="615"/>
      <c r="S67" s="63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row>
    <row r="68" spans="1:61" s="19" customFormat="1" ht="48" thickBot="1">
      <c r="A68" s="632" t="s">
        <v>352</v>
      </c>
      <c r="B68" s="633" t="s">
        <v>8</v>
      </c>
      <c r="C68" s="633">
        <v>2021</v>
      </c>
      <c r="D68" s="633"/>
      <c r="E68" s="634" t="s">
        <v>521</v>
      </c>
      <c r="F68" s="635" t="s">
        <v>515</v>
      </c>
      <c r="G68" s="635" t="s">
        <v>495</v>
      </c>
      <c r="H68" s="633" t="s">
        <v>465</v>
      </c>
      <c r="I68" s="633"/>
      <c r="J68" s="633"/>
      <c r="K68" s="636">
        <f>+L68*$D$161</f>
        <v>56945055.416894548</v>
      </c>
      <c r="L68" s="637">
        <f>+PEP!I35</f>
        <v>89241.585044498584</v>
      </c>
      <c r="M68" s="637">
        <v>100</v>
      </c>
      <c r="N68" s="637"/>
      <c r="O68" s="638"/>
      <c r="P68" s="633"/>
      <c r="Q68" s="639"/>
      <c r="R68" s="639"/>
      <c r="S68" s="64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row>
    <row r="69" spans="1:61" s="19" customFormat="1">
      <c r="A69" s="28"/>
      <c r="B69" s="29" t="s">
        <v>508</v>
      </c>
      <c r="C69" s="29"/>
      <c r="D69" s="29"/>
      <c r="E69" s="129"/>
      <c r="F69" s="129"/>
      <c r="G69" s="129"/>
      <c r="H69" s="29"/>
      <c r="I69" s="29"/>
      <c r="J69" s="30">
        <f>SUM(J57:J68)</f>
        <v>0</v>
      </c>
      <c r="K69" s="232">
        <f>+K57+K66+K67+K68</f>
        <v>150919255.41689456</v>
      </c>
      <c r="L69" s="30">
        <f>+L57+L66+L67+L68</f>
        <v>237392.00185617924</v>
      </c>
      <c r="M69" s="30">
        <v>100</v>
      </c>
      <c r="N69" s="31">
        <v>0</v>
      </c>
      <c r="O69" s="29"/>
      <c r="P69" s="29"/>
      <c r="Q69" s="29"/>
      <c r="R69" s="29"/>
      <c r="S69" s="29"/>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row>
    <row r="70" spans="1:61" s="19" customFormat="1">
      <c r="E70" s="265"/>
      <c r="F70" s="265"/>
      <c r="G70" s="265"/>
      <c r="K70" s="233"/>
      <c r="L70" s="27"/>
      <c r="M70" s="32"/>
      <c r="N70" s="32"/>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row>
    <row r="71" spans="1:61" s="19" customFormat="1" hidden="1">
      <c r="A71" s="323" t="s">
        <v>435</v>
      </c>
      <c r="B71" s="641" t="s">
        <v>522</v>
      </c>
      <c r="C71" s="331"/>
      <c r="D71" s="331"/>
      <c r="E71" s="331"/>
      <c r="F71" s="331"/>
      <c r="G71" s="331"/>
      <c r="H71" s="331"/>
      <c r="I71" s="331"/>
      <c r="J71" s="331"/>
      <c r="K71" s="331"/>
      <c r="L71" s="331"/>
      <c r="M71" s="331"/>
      <c r="N71" s="331"/>
      <c r="O71" s="331"/>
      <c r="P71" s="331"/>
      <c r="Q71" s="331"/>
      <c r="R71" s="331"/>
      <c r="S71" s="642"/>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row>
    <row r="72" spans="1:61" s="19" customFormat="1" ht="47.25" hidden="1">
      <c r="A72" s="324"/>
      <c r="B72" s="328" t="s">
        <v>437</v>
      </c>
      <c r="C72" s="328" t="s">
        <v>438</v>
      </c>
      <c r="D72" s="643" t="s">
        <v>439</v>
      </c>
      <c r="E72" s="644" t="s">
        <v>440</v>
      </c>
      <c r="F72" s="644" t="s">
        <v>441</v>
      </c>
      <c r="G72" s="329" t="s">
        <v>523</v>
      </c>
      <c r="H72" s="643" t="s">
        <v>459</v>
      </c>
      <c r="I72" s="645"/>
      <c r="J72" s="645"/>
      <c r="K72" s="646" t="s">
        <v>446</v>
      </c>
      <c r="L72" s="330"/>
      <c r="M72" s="330"/>
      <c r="N72" s="647"/>
      <c r="O72" s="328" t="s">
        <v>447</v>
      </c>
      <c r="P72" s="648" t="s">
        <v>448</v>
      </c>
      <c r="Q72" s="643" t="s">
        <v>449</v>
      </c>
      <c r="R72" s="643"/>
      <c r="S72" s="328" t="s">
        <v>450</v>
      </c>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row>
    <row r="73" spans="1:61" s="19" customFormat="1" ht="31.5" hidden="1">
      <c r="A73" s="325"/>
      <c r="B73" s="326"/>
      <c r="C73" s="326"/>
      <c r="D73" s="643" t="s">
        <v>439</v>
      </c>
      <c r="E73" s="644"/>
      <c r="F73" s="644"/>
      <c r="G73" s="327"/>
      <c r="H73" s="643"/>
      <c r="I73" s="643" t="s">
        <v>445</v>
      </c>
      <c r="J73" s="643"/>
      <c r="K73" s="649" t="s">
        <v>451</v>
      </c>
      <c r="L73" s="33" t="s">
        <v>452</v>
      </c>
      <c r="M73" s="650" t="s">
        <v>453</v>
      </c>
      <c r="N73" s="651" t="s">
        <v>454</v>
      </c>
      <c r="O73" s="326"/>
      <c r="P73" s="648" t="s">
        <v>510</v>
      </c>
      <c r="Q73" s="648" t="s">
        <v>510</v>
      </c>
      <c r="R73" s="648" t="s">
        <v>456</v>
      </c>
      <c r="S73" s="326"/>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row>
    <row r="74" spans="1:61" s="19" customFormat="1" hidden="1">
      <c r="A74" s="652"/>
      <c r="B74" s="653"/>
      <c r="C74" s="653"/>
      <c r="D74" s="653"/>
      <c r="E74" s="654"/>
      <c r="F74" s="655"/>
      <c r="G74" s="655"/>
      <c r="H74" s="656"/>
      <c r="I74" s="657"/>
      <c r="J74" s="658"/>
      <c r="K74" s="659"/>
      <c r="L74" s="660"/>
      <c r="M74" s="660"/>
      <c r="N74" s="660"/>
      <c r="O74" s="656"/>
      <c r="P74" s="656"/>
      <c r="Q74" s="661"/>
      <c r="R74" s="661"/>
      <c r="S74" s="662"/>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row>
    <row r="75" spans="1:61" s="19" customFormat="1" ht="16.5" hidden="1" thickBot="1">
      <c r="A75" s="663"/>
      <c r="B75" s="664"/>
      <c r="C75" s="664"/>
      <c r="D75" s="664"/>
      <c r="E75" s="665"/>
      <c r="F75" s="665"/>
      <c r="G75" s="665"/>
      <c r="H75" s="666"/>
      <c r="I75" s="667"/>
      <c r="J75" s="668"/>
      <c r="K75" s="669"/>
      <c r="L75" s="30"/>
      <c r="M75" s="670"/>
      <c r="N75" s="670"/>
      <c r="O75" s="671"/>
      <c r="P75" s="666"/>
      <c r="Q75" s="666"/>
      <c r="R75" s="666"/>
      <c r="S75" s="672"/>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row>
    <row r="76" spans="1:61" s="19" customFormat="1" hidden="1">
      <c r="E76" s="265"/>
      <c r="F76" s="265"/>
      <c r="G76" s="265"/>
      <c r="K76" s="233"/>
      <c r="L76" s="27"/>
      <c r="M76" s="32"/>
      <c r="N76" s="32"/>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row>
    <row r="77" spans="1:61" s="21" customFormat="1">
      <c r="A77" s="599" t="s">
        <v>435</v>
      </c>
      <c r="B77" s="599" t="s">
        <v>524</v>
      </c>
      <c r="C77" s="599"/>
      <c r="D77" s="599"/>
      <c r="E77" s="599"/>
      <c r="F77" s="599"/>
      <c r="G77" s="599"/>
      <c r="H77" s="599"/>
      <c r="I77" s="599"/>
      <c r="J77" s="599"/>
      <c r="K77" s="599"/>
      <c r="L77" s="599"/>
      <c r="M77" s="599"/>
      <c r="N77" s="599"/>
      <c r="O77" s="599"/>
      <c r="P77" s="599"/>
      <c r="Q77" s="599"/>
      <c r="R77" s="599"/>
      <c r="S77" s="599"/>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19"/>
      <c r="BC77" s="19"/>
      <c r="BD77" s="19"/>
      <c r="BE77" s="19"/>
      <c r="BF77" s="19"/>
      <c r="BG77" s="19"/>
      <c r="BH77" s="19"/>
      <c r="BI77" s="19"/>
    </row>
    <row r="78" spans="1:61" s="21" customFormat="1">
      <c r="A78" s="599"/>
      <c r="B78" s="599" t="s">
        <v>437</v>
      </c>
      <c r="C78" s="318" t="s">
        <v>438</v>
      </c>
      <c r="D78" s="599" t="s">
        <v>439</v>
      </c>
      <c r="E78" s="600" t="s">
        <v>440</v>
      </c>
      <c r="F78" s="600" t="s">
        <v>441</v>
      </c>
      <c r="G78" s="600" t="s">
        <v>442</v>
      </c>
      <c r="H78" s="599" t="s">
        <v>459</v>
      </c>
      <c r="I78" s="599"/>
      <c r="J78" s="599"/>
      <c r="K78" s="601"/>
      <c r="L78" s="602" t="s">
        <v>446</v>
      </c>
      <c r="M78" s="602"/>
      <c r="N78" s="602"/>
      <c r="O78" s="599" t="s">
        <v>447</v>
      </c>
      <c r="P78" s="599" t="s">
        <v>448</v>
      </c>
      <c r="Q78" s="599" t="s">
        <v>449</v>
      </c>
      <c r="R78" s="599"/>
      <c r="S78" s="599" t="s">
        <v>450</v>
      </c>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19"/>
      <c r="BC78" s="19"/>
      <c r="BD78" s="19"/>
      <c r="BE78" s="19"/>
      <c r="BF78" s="19"/>
      <c r="BG78" s="19"/>
      <c r="BH78" s="19"/>
      <c r="BI78" s="19"/>
    </row>
    <row r="79" spans="1:61" s="21" customFormat="1" ht="31.5">
      <c r="A79" s="603"/>
      <c r="B79" s="599"/>
      <c r="C79" s="319"/>
      <c r="D79" s="599" t="s">
        <v>439</v>
      </c>
      <c r="E79" s="600"/>
      <c r="F79" s="600"/>
      <c r="G79" s="600"/>
      <c r="H79" s="599"/>
      <c r="I79" s="599" t="s">
        <v>445</v>
      </c>
      <c r="J79" s="599"/>
      <c r="K79" s="601" t="s">
        <v>451</v>
      </c>
      <c r="L79" s="603" t="s">
        <v>452</v>
      </c>
      <c r="M79" s="605" t="s">
        <v>453</v>
      </c>
      <c r="N79" s="606" t="s">
        <v>454</v>
      </c>
      <c r="O79" s="599"/>
      <c r="P79" s="599"/>
      <c r="Q79" s="603" t="s">
        <v>510</v>
      </c>
      <c r="R79" s="603" t="s">
        <v>456</v>
      </c>
      <c r="S79" s="599"/>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19"/>
      <c r="BC79" s="19"/>
      <c r="BD79" s="19"/>
      <c r="BE79" s="19"/>
      <c r="BF79" s="19"/>
      <c r="BG79" s="19"/>
      <c r="BH79" s="19"/>
      <c r="BI79" s="19"/>
    </row>
    <row r="80" spans="1:61" s="19" customFormat="1" ht="31.5">
      <c r="A80" s="607" t="s">
        <v>341</v>
      </c>
      <c r="B80" s="608" t="s">
        <v>8</v>
      </c>
      <c r="C80" s="608">
        <v>2018</v>
      </c>
      <c r="D80" s="616"/>
      <c r="E80" s="612" t="s">
        <v>462</v>
      </c>
      <c r="F80" s="613" t="s">
        <v>525</v>
      </c>
      <c r="G80" s="613"/>
      <c r="H80" s="608" t="s">
        <v>465</v>
      </c>
      <c r="I80" s="608"/>
      <c r="J80" s="608"/>
      <c r="K80" s="610">
        <f>SUM(K81:K135)</f>
        <v>615498000.29999995</v>
      </c>
      <c r="L80" s="611">
        <f>SUM(L81:L135)</f>
        <v>1020066.6240739819</v>
      </c>
      <c r="M80" s="614">
        <v>100</v>
      </c>
      <c r="N80" s="614">
        <v>0</v>
      </c>
      <c r="O80" s="631" t="s">
        <v>466</v>
      </c>
      <c r="P80" s="608" t="s">
        <v>465</v>
      </c>
      <c r="Q80" s="615" t="s">
        <v>526</v>
      </c>
      <c r="R80" s="615" t="s">
        <v>527</v>
      </c>
      <c r="S80" s="673" t="s">
        <v>528</v>
      </c>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row>
    <row r="81" spans="1:53" s="19" customFormat="1" ht="31.5">
      <c r="A81" s="607" t="s">
        <v>341</v>
      </c>
      <c r="B81" s="608" t="s">
        <v>8</v>
      </c>
      <c r="C81" s="608"/>
      <c r="D81" s="616">
        <v>1858235</v>
      </c>
      <c r="E81" s="674" t="s">
        <v>529</v>
      </c>
      <c r="F81" s="613" t="s">
        <v>530</v>
      </c>
      <c r="G81" s="613" t="s">
        <v>531</v>
      </c>
      <c r="H81" s="608" t="s">
        <v>465</v>
      </c>
      <c r="I81" s="608"/>
      <c r="J81" s="608"/>
      <c r="K81" s="623">
        <v>12000000</v>
      </c>
      <c r="L81" s="611">
        <f t="shared" ref="L81:L112" si="3">+K81/$D$158</f>
        <v>19887.634863023915</v>
      </c>
      <c r="M81" s="614">
        <v>100</v>
      </c>
      <c r="N81" s="614">
        <v>0</v>
      </c>
      <c r="O81" s="631" t="s">
        <v>466</v>
      </c>
      <c r="P81" s="608" t="s">
        <v>465</v>
      </c>
      <c r="Q81" s="618" t="s">
        <v>479</v>
      </c>
      <c r="R81" s="618" t="s">
        <v>532</v>
      </c>
      <c r="S81" s="615" t="s">
        <v>533</v>
      </c>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row>
    <row r="82" spans="1:53" s="19" customFormat="1" ht="31.5">
      <c r="A82" s="607" t="s">
        <v>341</v>
      </c>
      <c r="B82" s="608" t="s">
        <v>8</v>
      </c>
      <c r="C82" s="608"/>
      <c r="D82" s="616">
        <v>1858238</v>
      </c>
      <c r="E82" s="674" t="s">
        <v>534</v>
      </c>
      <c r="F82" s="613" t="s">
        <v>530</v>
      </c>
      <c r="G82" s="613" t="s">
        <v>531</v>
      </c>
      <c r="H82" s="608" t="s">
        <v>465</v>
      </c>
      <c r="I82" s="608"/>
      <c r="J82" s="608"/>
      <c r="K82" s="623">
        <v>4192500</v>
      </c>
      <c r="L82" s="611">
        <f t="shared" si="3"/>
        <v>6948.2424302689806</v>
      </c>
      <c r="M82" s="614">
        <v>100</v>
      </c>
      <c r="N82" s="614">
        <v>0</v>
      </c>
      <c r="O82" s="631" t="s">
        <v>466</v>
      </c>
      <c r="P82" s="608" t="s">
        <v>465</v>
      </c>
      <c r="Q82" s="618" t="s">
        <v>479</v>
      </c>
      <c r="R82" s="618" t="s">
        <v>532</v>
      </c>
      <c r="S82" s="615" t="s">
        <v>533</v>
      </c>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row>
    <row r="83" spans="1:53" s="19" customFormat="1" ht="31.5">
      <c r="A83" s="607" t="s">
        <v>341</v>
      </c>
      <c r="B83" s="608" t="s">
        <v>8</v>
      </c>
      <c r="C83" s="608"/>
      <c r="D83" s="616">
        <v>1858205</v>
      </c>
      <c r="E83" s="674" t="s">
        <v>535</v>
      </c>
      <c r="F83" s="613" t="s">
        <v>530</v>
      </c>
      <c r="G83" s="613" t="s">
        <v>531</v>
      </c>
      <c r="H83" s="608" t="s">
        <v>465</v>
      </c>
      <c r="I83" s="608"/>
      <c r="J83" s="608"/>
      <c r="K83" s="623">
        <v>12000000</v>
      </c>
      <c r="L83" s="611">
        <f t="shared" si="3"/>
        <v>19887.634863023915</v>
      </c>
      <c r="M83" s="614">
        <v>100</v>
      </c>
      <c r="N83" s="614">
        <v>0</v>
      </c>
      <c r="O83" s="631" t="s">
        <v>466</v>
      </c>
      <c r="P83" s="608" t="s">
        <v>465</v>
      </c>
      <c r="Q83" s="618" t="s">
        <v>479</v>
      </c>
      <c r="R83" s="618" t="s">
        <v>532</v>
      </c>
      <c r="S83" s="615" t="s">
        <v>533</v>
      </c>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row>
    <row r="84" spans="1:53" s="19" customFormat="1" ht="31.5">
      <c r="A84" s="607" t="s">
        <v>341</v>
      </c>
      <c r="B84" s="608" t="s">
        <v>8</v>
      </c>
      <c r="C84" s="608"/>
      <c r="D84" s="616">
        <v>1858233</v>
      </c>
      <c r="E84" s="674" t="s">
        <v>536</v>
      </c>
      <c r="F84" s="613" t="s">
        <v>530</v>
      </c>
      <c r="G84" s="613" t="s">
        <v>531</v>
      </c>
      <c r="H84" s="608" t="s">
        <v>465</v>
      </c>
      <c r="I84" s="608"/>
      <c r="J84" s="608"/>
      <c r="K84" s="623">
        <v>4550000</v>
      </c>
      <c r="L84" s="611">
        <f t="shared" si="3"/>
        <v>7540.7282188965683</v>
      </c>
      <c r="M84" s="614">
        <v>100</v>
      </c>
      <c r="N84" s="614">
        <v>0</v>
      </c>
      <c r="O84" s="631" t="s">
        <v>466</v>
      </c>
      <c r="P84" s="608" t="s">
        <v>465</v>
      </c>
      <c r="Q84" s="618" t="s">
        <v>479</v>
      </c>
      <c r="R84" s="618" t="s">
        <v>532</v>
      </c>
      <c r="S84" s="615" t="s">
        <v>533</v>
      </c>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row>
    <row r="85" spans="1:53" s="19" customFormat="1" ht="31.5">
      <c r="A85" s="607" t="s">
        <v>341</v>
      </c>
      <c r="B85" s="608" t="s">
        <v>8</v>
      </c>
      <c r="C85" s="608"/>
      <c r="D85" s="616">
        <v>1858212</v>
      </c>
      <c r="E85" s="674" t="s">
        <v>537</v>
      </c>
      <c r="F85" s="613" t="s">
        <v>530</v>
      </c>
      <c r="G85" s="613" t="s">
        <v>531</v>
      </c>
      <c r="H85" s="608" t="s">
        <v>465</v>
      </c>
      <c r="I85" s="608"/>
      <c r="J85" s="608"/>
      <c r="K85" s="623">
        <v>3575000</v>
      </c>
      <c r="L85" s="611">
        <f t="shared" si="3"/>
        <v>5924.857886275875</v>
      </c>
      <c r="M85" s="614">
        <v>100</v>
      </c>
      <c r="N85" s="614">
        <v>0</v>
      </c>
      <c r="O85" s="631" t="s">
        <v>466</v>
      </c>
      <c r="P85" s="608" t="s">
        <v>465</v>
      </c>
      <c r="Q85" s="618" t="s">
        <v>479</v>
      </c>
      <c r="R85" s="618" t="s">
        <v>532</v>
      </c>
      <c r="S85" s="615" t="s">
        <v>533</v>
      </c>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row>
    <row r="86" spans="1:53" s="19" customFormat="1" ht="31.5">
      <c r="A86" s="607" t="s">
        <v>341</v>
      </c>
      <c r="B86" s="608" t="s">
        <v>8</v>
      </c>
      <c r="C86" s="608"/>
      <c r="D86" s="616">
        <v>1858201</v>
      </c>
      <c r="E86" s="674" t="s">
        <v>538</v>
      </c>
      <c r="F86" s="613" t="s">
        <v>530</v>
      </c>
      <c r="G86" s="613" t="s">
        <v>531</v>
      </c>
      <c r="H86" s="608" t="s">
        <v>465</v>
      </c>
      <c r="I86" s="608"/>
      <c r="J86" s="608"/>
      <c r="K86" s="623">
        <v>7800000</v>
      </c>
      <c r="L86" s="611">
        <f t="shared" si="3"/>
        <v>12926.962660965544</v>
      </c>
      <c r="M86" s="614">
        <v>100</v>
      </c>
      <c r="N86" s="614">
        <v>0</v>
      </c>
      <c r="O86" s="631" t="s">
        <v>466</v>
      </c>
      <c r="P86" s="608" t="s">
        <v>465</v>
      </c>
      <c r="Q86" s="618" t="s">
        <v>479</v>
      </c>
      <c r="R86" s="618" t="s">
        <v>532</v>
      </c>
      <c r="S86" s="615" t="s">
        <v>533</v>
      </c>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row>
    <row r="87" spans="1:53" s="19" customFormat="1" ht="31.5">
      <c r="A87" s="607" t="s">
        <v>341</v>
      </c>
      <c r="B87" s="608" t="s">
        <v>8</v>
      </c>
      <c r="C87" s="608"/>
      <c r="D87" s="616">
        <v>1858218</v>
      </c>
      <c r="E87" s="674" t="s">
        <v>539</v>
      </c>
      <c r="F87" s="613" t="s">
        <v>530</v>
      </c>
      <c r="G87" s="613" t="s">
        <v>531</v>
      </c>
      <c r="H87" s="608" t="s">
        <v>465</v>
      </c>
      <c r="I87" s="608"/>
      <c r="J87" s="608"/>
      <c r="K87" s="623">
        <v>7150000.0000000009</v>
      </c>
      <c r="L87" s="611">
        <f t="shared" si="3"/>
        <v>11849.715772551752</v>
      </c>
      <c r="M87" s="614">
        <v>100</v>
      </c>
      <c r="N87" s="614">
        <v>0</v>
      </c>
      <c r="O87" s="631" t="s">
        <v>466</v>
      </c>
      <c r="P87" s="608" t="s">
        <v>465</v>
      </c>
      <c r="Q87" s="618" t="s">
        <v>479</v>
      </c>
      <c r="R87" s="618" t="s">
        <v>532</v>
      </c>
      <c r="S87" s="615" t="s">
        <v>533</v>
      </c>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row>
    <row r="88" spans="1:53" s="19" customFormat="1" ht="31.5">
      <c r="A88" s="607" t="s">
        <v>341</v>
      </c>
      <c r="B88" s="608" t="s">
        <v>8</v>
      </c>
      <c r="C88" s="608"/>
      <c r="D88" s="616">
        <v>1858270</v>
      </c>
      <c r="E88" s="674" t="s">
        <v>540</v>
      </c>
      <c r="F88" s="613" t="s">
        <v>530</v>
      </c>
      <c r="G88" s="613" t="s">
        <v>531</v>
      </c>
      <c r="H88" s="608" t="s">
        <v>465</v>
      </c>
      <c r="I88" s="608"/>
      <c r="J88" s="608"/>
      <c r="K88" s="623">
        <v>5500000</v>
      </c>
      <c r="L88" s="611">
        <f t="shared" si="3"/>
        <v>9115.1659788859615</v>
      </c>
      <c r="M88" s="614">
        <v>100</v>
      </c>
      <c r="N88" s="614">
        <v>0</v>
      </c>
      <c r="O88" s="631" t="s">
        <v>466</v>
      </c>
      <c r="P88" s="608" t="s">
        <v>465</v>
      </c>
      <c r="Q88" s="618" t="s">
        <v>479</v>
      </c>
      <c r="R88" s="618" t="s">
        <v>532</v>
      </c>
      <c r="S88" s="615" t="s">
        <v>533</v>
      </c>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row>
    <row r="89" spans="1:53" s="19" customFormat="1" ht="47.25">
      <c r="A89" s="607" t="s">
        <v>341</v>
      </c>
      <c r="B89" s="608" t="s">
        <v>8</v>
      </c>
      <c r="C89" s="608"/>
      <c r="D89" s="616">
        <v>1858253</v>
      </c>
      <c r="E89" s="674" t="s">
        <v>541</v>
      </c>
      <c r="F89" s="613" t="s">
        <v>530</v>
      </c>
      <c r="G89" s="613" t="s">
        <v>531</v>
      </c>
      <c r="H89" s="608" t="s">
        <v>465</v>
      </c>
      <c r="I89" s="608"/>
      <c r="J89" s="608"/>
      <c r="K89" s="623">
        <v>9100000</v>
      </c>
      <c r="L89" s="611">
        <f t="shared" si="3"/>
        <v>15081.456437793137</v>
      </c>
      <c r="M89" s="614">
        <v>100</v>
      </c>
      <c r="N89" s="614">
        <v>0</v>
      </c>
      <c r="O89" s="631" t="s">
        <v>466</v>
      </c>
      <c r="P89" s="608" t="s">
        <v>465</v>
      </c>
      <c r="Q89" s="618" t="s">
        <v>479</v>
      </c>
      <c r="R89" s="618" t="s">
        <v>532</v>
      </c>
      <c r="S89" s="615" t="s">
        <v>533</v>
      </c>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row>
    <row r="90" spans="1:53" s="19" customFormat="1" ht="31.5">
      <c r="A90" s="607" t="s">
        <v>341</v>
      </c>
      <c r="B90" s="608" t="s">
        <v>8</v>
      </c>
      <c r="C90" s="608"/>
      <c r="D90" s="616">
        <v>1858214</v>
      </c>
      <c r="E90" s="674" t="s">
        <v>542</v>
      </c>
      <c r="F90" s="613" t="s">
        <v>530</v>
      </c>
      <c r="G90" s="613" t="s">
        <v>531</v>
      </c>
      <c r="H90" s="608" t="s">
        <v>465</v>
      </c>
      <c r="I90" s="608"/>
      <c r="J90" s="608"/>
      <c r="K90" s="623">
        <v>2538250</v>
      </c>
      <c r="L90" s="611">
        <f t="shared" si="3"/>
        <v>4206.6490992558711</v>
      </c>
      <c r="M90" s="614">
        <v>100</v>
      </c>
      <c r="N90" s="614">
        <v>0</v>
      </c>
      <c r="O90" s="631" t="s">
        <v>466</v>
      </c>
      <c r="P90" s="608" t="s">
        <v>465</v>
      </c>
      <c r="Q90" s="618" t="s">
        <v>479</v>
      </c>
      <c r="R90" s="618" t="s">
        <v>532</v>
      </c>
      <c r="S90" s="615" t="s">
        <v>533</v>
      </c>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row>
    <row r="91" spans="1:53" s="19" customFormat="1" ht="47.25">
      <c r="A91" s="607" t="s">
        <v>341</v>
      </c>
      <c r="B91" s="608" t="s">
        <v>8</v>
      </c>
      <c r="C91" s="608"/>
      <c r="D91" s="616">
        <v>1858219</v>
      </c>
      <c r="E91" s="674" t="s">
        <v>543</v>
      </c>
      <c r="F91" s="613" t="s">
        <v>530</v>
      </c>
      <c r="G91" s="613" t="s">
        <v>531</v>
      </c>
      <c r="H91" s="608" t="s">
        <v>465</v>
      </c>
      <c r="I91" s="608"/>
      <c r="J91" s="608"/>
      <c r="K91" s="623">
        <v>7800000</v>
      </c>
      <c r="L91" s="611">
        <f t="shared" si="3"/>
        <v>12926.962660965544</v>
      </c>
      <c r="M91" s="614">
        <v>100</v>
      </c>
      <c r="N91" s="614">
        <v>0</v>
      </c>
      <c r="O91" s="631" t="s">
        <v>466</v>
      </c>
      <c r="P91" s="608" t="s">
        <v>465</v>
      </c>
      <c r="Q91" s="618" t="s">
        <v>479</v>
      </c>
      <c r="R91" s="618" t="s">
        <v>532</v>
      </c>
      <c r="S91" s="615" t="s">
        <v>533</v>
      </c>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row>
    <row r="92" spans="1:53" s="19" customFormat="1" ht="31.5">
      <c r="A92" s="607" t="s">
        <v>341</v>
      </c>
      <c r="B92" s="608" t="s">
        <v>8</v>
      </c>
      <c r="C92" s="608"/>
      <c r="D92" s="616">
        <v>1858236</v>
      </c>
      <c r="E92" s="674" t="s">
        <v>544</v>
      </c>
      <c r="F92" s="613" t="s">
        <v>530</v>
      </c>
      <c r="G92" s="613" t="s">
        <v>531</v>
      </c>
      <c r="H92" s="608" t="s">
        <v>465</v>
      </c>
      <c r="I92" s="608"/>
      <c r="J92" s="608"/>
      <c r="K92" s="623">
        <v>2115000</v>
      </c>
      <c r="L92" s="611">
        <f t="shared" si="3"/>
        <v>3505.1956446079653</v>
      </c>
      <c r="M92" s="614">
        <v>100</v>
      </c>
      <c r="N92" s="614">
        <v>0</v>
      </c>
      <c r="O92" s="631" t="s">
        <v>466</v>
      </c>
      <c r="P92" s="608" t="s">
        <v>465</v>
      </c>
      <c r="Q92" s="618" t="s">
        <v>479</v>
      </c>
      <c r="R92" s="618" t="s">
        <v>532</v>
      </c>
      <c r="S92" s="615" t="s">
        <v>533</v>
      </c>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row>
    <row r="93" spans="1:53" s="19" customFormat="1" ht="31.5">
      <c r="A93" s="607" t="s">
        <v>341</v>
      </c>
      <c r="B93" s="608" t="s">
        <v>8</v>
      </c>
      <c r="C93" s="608"/>
      <c r="D93" s="616">
        <v>1858207</v>
      </c>
      <c r="E93" s="674" t="s">
        <v>545</v>
      </c>
      <c r="F93" s="613" t="s">
        <v>530</v>
      </c>
      <c r="G93" s="613" t="s">
        <v>531</v>
      </c>
      <c r="H93" s="608" t="s">
        <v>465</v>
      </c>
      <c r="I93" s="608"/>
      <c r="J93" s="608"/>
      <c r="K93" s="623">
        <v>8100000</v>
      </c>
      <c r="L93" s="611">
        <f t="shared" si="3"/>
        <v>13424.153532541142</v>
      </c>
      <c r="M93" s="614">
        <v>100</v>
      </c>
      <c r="N93" s="614">
        <v>0</v>
      </c>
      <c r="O93" s="631" t="s">
        <v>466</v>
      </c>
      <c r="P93" s="608" t="s">
        <v>465</v>
      </c>
      <c r="Q93" s="618" t="s">
        <v>479</v>
      </c>
      <c r="R93" s="675">
        <v>43152</v>
      </c>
      <c r="S93" s="615" t="s">
        <v>533</v>
      </c>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row>
    <row r="94" spans="1:53" s="19" customFormat="1" ht="31.5">
      <c r="A94" s="607" t="s">
        <v>341</v>
      </c>
      <c r="B94" s="608" t="s">
        <v>8</v>
      </c>
      <c r="C94" s="608"/>
      <c r="D94" s="616">
        <v>1858208</v>
      </c>
      <c r="E94" s="674" t="s">
        <v>546</v>
      </c>
      <c r="F94" s="613" t="s">
        <v>530</v>
      </c>
      <c r="G94" s="613" t="s">
        <v>531</v>
      </c>
      <c r="H94" s="608" t="s">
        <v>465</v>
      </c>
      <c r="I94" s="608"/>
      <c r="J94" s="608"/>
      <c r="K94" s="623">
        <v>9600000</v>
      </c>
      <c r="L94" s="611">
        <f t="shared" si="3"/>
        <v>15910.107890419133</v>
      </c>
      <c r="M94" s="614">
        <v>100</v>
      </c>
      <c r="N94" s="614">
        <v>0</v>
      </c>
      <c r="O94" s="631" t="s">
        <v>466</v>
      </c>
      <c r="P94" s="608" t="s">
        <v>465</v>
      </c>
      <c r="Q94" s="618" t="s">
        <v>479</v>
      </c>
      <c r="R94" s="618" t="s">
        <v>532</v>
      </c>
      <c r="S94" s="615" t="s">
        <v>533</v>
      </c>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row>
    <row r="95" spans="1:53" s="19" customFormat="1" ht="31.5">
      <c r="A95" s="607" t="s">
        <v>341</v>
      </c>
      <c r="B95" s="608" t="s">
        <v>8</v>
      </c>
      <c r="C95" s="608"/>
      <c r="D95" s="616">
        <v>1858234</v>
      </c>
      <c r="E95" s="674" t="s">
        <v>547</v>
      </c>
      <c r="F95" s="613" t="s">
        <v>530</v>
      </c>
      <c r="G95" s="613" t="s">
        <v>531</v>
      </c>
      <c r="H95" s="608" t="s">
        <v>465</v>
      </c>
      <c r="I95" s="608"/>
      <c r="J95" s="608"/>
      <c r="K95" s="623">
        <v>4961450</v>
      </c>
      <c r="L95" s="611">
        <f t="shared" si="3"/>
        <v>8222.6254992624999</v>
      </c>
      <c r="M95" s="614">
        <v>100</v>
      </c>
      <c r="N95" s="614">
        <v>0</v>
      </c>
      <c r="O95" s="631" t="s">
        <v>466</v>
      </c>
      <c r="P95" s="608" t="s">
        <v>465</v>
      </c>
      <c r="Q95" s="618" t="s">
        <v>479</v>
      </c>
      <c r="R95" s="618" t="s">
        <v>532</v>
      </c>
      <c r="S95" s="615" t="s">
        <v>533</v>
      </c>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row>
    <row r="96" spans="1:53" s="19" customFormat="1" ht="31.5">
      <c r="A96" s="607" t="s">
        <v>341</v>
      </c>
      <c r="B96" s="608" t="s">
        <v>8</v>
      </c>
      <c r="C96" s="608"/>
      <c r="D96" s="616">
        <v>1858273</v>
      </c>
      <c r="E96" s="674" t="s">
        <v>548</v>
      </c>
      <c r="F96" s="613" t="s">
        <v>530</v>
      </c>
      <c r="G96" s="613" t="s">
        <v>531</v>
      </c>
      <c r="H96" s="608" t="s">
        <v>465</v>
      </c>
      <c r="I96" s="608"/>
      <c r="J96" s="608"/>
      <c r="K96" s="623">
        <v>9750000</v>
      </c>
      <c r="L96" s="611">
        <f t="shared" si="3"/>
        <v>16158.703326206931</v>
      </c>
      <c r="M96" s="614">
        <v>100</v>
      </c>
      <c r="N96" s="614">
        <v>0</v>
      </c>
      <c r="O96" s="631" t="s">
        <v>466</v>
      </c>
      <c r="P96" s="608" t="s">
        <v>465</v>
      </c>
      <c r="Q96" s="618" t="s">
        <v>479</v>
      </c>
      <c r="R96" s="618" t="s">
        <v>532</v>
      </c>
      <c r="S96" s="615" t="s">
        <v>533</v>
      </c>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row>
    <row r="97" spans="1:53" s="19" customFormat="1" ht="31.5">
      <c r="A97" s="607" t="s">
        <v>341</v>
      </c>
      <c r="B97" s="608" t="s">
        <v>8</v>
      </c>
      <c r="C97" s="608"/>
      <c r="D97" s="616">
        <v>1858239</v>
      </c>
      <c r="E97" s="674" t="s">
        <v>549</v>
      </c>
      <c r="F97" s="613" t="s">
        <v>530</v>
      </c>
      <c r="G97" s="613" t="s">
        <v>531</v>
      </c>
      <c r="H97" s="608" t="s">
        <v>465</v>
      </c>
      <c r="I97" s="608"/>
      <c r="J97" s="608"/>
      <c r="K97" s="623">
        <v>9847500</v>
      </c>
      <c r="L97" s="611">
        <f t="shared" si="3"/>
        <v>16320.290359469</v>
      </c>
      <c r="M97" s="614">
        <v>100</v>
      </c>
      <c r="N97" s="614">
        <v>0</v>
      </c>
      <c r="O97" s="631" t="s">
        <v>466</v>
      </c>
      <c r="P97" s="608" t="s">
        <v>465</v>
      </c>
      <c r="Q97" s="618" t="s">
        <v>479</v>
      </c>
      <c r="R97" s="618" t="s">
        <v>532</v>
      </c>
      <c r="S97" s="615" t="s">
        <v>533</v>
      </c>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row>
    <row r="98" spans="1:53" s="19" customFormat="1" ht="31.5">
      <c r="A98" s="607" t="s">
        <v>341</v>
      </c>
      <c r="B98" s="608" t="s">
        <v>8</v>
      </c>
      <c r="C98" s="608"/>
      <c r="D98" s="616">
        <v>1858232</v>
      </c>
      <c r="E98" s="674" t="s">
        <v>550</v>
      </c>
      <c r="F98" s="613" t="s">
        <v>530</v>
      </c>
      <c r="G98" s="613" t="s">
        <v>531</v>
      </c>
      <c r="H98" s="608" t="s">
        <v>465</v>
      </c>
      <c r="I98" s="608"/>
      <c r="J98" s="608"/>
      <c r="K98" s="623">
        <v>3307850</v>
      </c>
      <c r="L98" s="611">
        <f t="shared" si="3"/>
        <v>5482.1094151378047</v>
      </c>
      <c r="M98" s="614">
        <v>100</v>
      </c>
      <c r="N98" s="614">
        <v>0</v>
      </c>
      <c r="O98" s="631" t="s">
        <v>466</v>
      </c>
      <c r="P98" s="608" t="s">
        <v>465</v>
      </c>
      <c r="Q98" s="618" t="s">
        <v>479</v>
      </c>
      <c r="R98" s="618" t="s">
        <v>532</v>
      </c>
      <c r="S98" s="615" t="s">
        <v>533</v>
      </c>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row>
    <row r="99" spans="1:53" s="19" customFormat="1" ht="31.5">
      <c r="A99" s="607" t="s">
        <v>341</v>
      </c>
      <c r="B99" s="608" t="s">
        <v>8</v>
      </c>
      <c r="C99" s="608"/>
      <c r="D99" s="616">
        <v>1858209</v>
      </c>
      <c r="E99" s="674" t="s">
        <v>551</v>
      </c>
      <c r="F99" s="613" t="s">
        <v>530</v>
      </c>
      <c r="G99" s="613" t="s">
        <v>531</v>
      </c>
      <c r="H99" s="608" t="s">
        <v>465</v>
      </c>
      <c r="I99" s="608"/>
      <c r="J99" s="608"/>
      <c r="K99" s="623">
        <v>4550000</v>
      </c>
      <c r="L99" s="611">
        <f t="shared" si="3"/>
        <v>7540.7282188965683</v>
      </c>
      <c r="M99" s="614">
        <v>100</v>
      </c>
      <c r="N99" s="614">
        <v>0</v>
      </c>
      <c r="O99" s="631" t="s">
        <v>466</v>
      </c>
      <c r="P99" s="608" t="s">
        <v>465</v>
      </c>
      <c r="Q99" s="618" t="s">
        <v>479</v>
      </c>
      <c r="R99" s="618" t="s">
        <v>532</v>
      </c>
      <c r="S99" s="615" t="s">
        <v>533</v>
      </c>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row>
    <row r="100" spans="1:53" s="19" customFormat="1" ht="31.5">
      <c r="A100" s="607" t="s">
        <v>341</v>
      </c>
      <c r="B100" s="608" t="s">
        <v>8</v>
      </c>
      <c r="C100" s="608"/>
      <c r="D100" s="616">
        <v>1858230</v>
      </c>
      <c r="E100" s="674" t="s">
        <v>552</v>
      </c>
      <c r="F100" s="613" t="s">
        <v>530</v>
      </c>
      <c r="G100" s="613" t="s">
        <v>531</v>
      </c>
      <c r="H100" s="608" t="s">
        <v>465</v>
      </c>
      <c r="I100" s="608"/>
      <c r="J100" s="608"/>
      <c r="K100" s="623">
        <v>8190000</v>
      </c>
      <c r="L100" s="611">
        <f t="shared" si="3"/>
        <v>13573.310794013822</v>
      </c>
      <c r="M100" s="614">
        <v>100</v>
      </c>
      <c r="N100" s="614">
        <v>0</v>
      </c>
      <c r="O100" s="631" t="s">
        <v>466</v>
      </c>
      <c r="P100" s="608" t="s">
        <v>465</v>
      </c>
      <c r="Q100" s="618" t="s">
        <v>479</v>
      </c>
      <c r="R100" s="618" t="s">
        <v>532</v>
      </c>
      <c r="S100" s="615" t="s">
        <v>533</v>
      </c>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row>
    <row r="101" spans="1:53" s="19" customFormat="1" ht="47.25">
      <c r="A101" s="607" t="s">
        <v>341</v>
      </c>
      <c r="B101" s="608" t="s">
        <v>8</v>
      </c>
      <c r="C101" s="608"/>
      <c r="D101" s="616">
        <v>1858231</v>
      </c>
      <c r="E101" s="674" t="s">
        <v>553</v>
      </c>
      <c r="F101" s="613" t="s">
        <v>530</v>
      </c>
      <c r="G101" s="613" t="s">
        <v>531</v>
      </c>
      <c r="H101" s="608" t="s">
        <v>465</v>
      </c>
      <c r="I101" s="608"/>
      <c r="J101" s="608"/>
      <c r="K101" s="623">
        <v>17644998.800000001</v>
      </c>
      <c r="L101" s="611">
        <f t="shared" si="3"/>
        <v>29243.10777440793</v>
      </c>
      <c r="M101" s="614">
        <v>100</v>
      </c>
      <c r="N101" s="614">
        <v>0</v>
      </c>
      <c r="O101" s="631" t="s">
        <v>466</v>
      </c>
      <c r="P101" s="608" t="s">
        <v>465</v>
      </c>
      <c r="Q101" s="618" t="s">
        <v>479</v>
      </c>
      <c r="R101" s="618" t="s">
        <v>532</v>
      </c>
      <c r="S101" s="615" t="s">
        <v>533</v>
      </c>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row>
    <row r="102" spans="1:53" s="19" customFormat="1" ht="47.25">
      <c r="A102" s="607" t="s">
        <v>341</v>
      </c>
      <c r="B102" s="608" t="s">
        <v>8</v>
      </c>
      <c r="C102" s="608"/>
      <c r="D102" s="616">
        <v>1858255</v>
      </c>
      <c r="E102" s="674" t="s">
        <v>554</v>
      </c>
      <c r="F102" s="613" t="s">
        <v>530</v>
      </c>
      <c r="G102" s="613" t="s">
        <v>531</v>
      </c>
      <c r="H102" s="608" t="s">
        <v>465</v>
      </c>
      <c r="I102" s="608"/>
      <c r="J102" s="608"/>
      <c r="K102" s="623">
        <v>4561573.5</v>
      </c>
      <c r="L102" s="611">
        <f t="shared" si="3"/>
        <v>7559.9090140705021</v>
      </c>
      <c r="M102" s="614">
        <v>100</v>
      </c>
      <c r="N102" s="614">
        <v>0</v>
      </c>
      <c r="O102" s="631" t="s">
        <v>466</v>
      </c>
      <c r="P102" s="608" t="s">
        <v>465</v>
      </c>
      <c r="Q102" s="618" t="s">
        <v>479</v>
      </c>
      <c r="R102" s="618" t="s">
        <v>532</v>
      </c>
      <c r="S102" s="615" t="s">
        <v>533</v>
      </c>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row>
    <row r="103" spans="1:53" s="19" customFormat="1" ht="47.25">
      <c r="A103" s="607" t="s">
        <v>341</v>
      </c>
      <c r="B103" s="608" t="s">
        <v>8</v>
      </c>
      <c r="C103" s="608"/>
      <c r="D103" s="616">
        <v>1858250</v>
      </c>
      <c r="E103" s="674" t="s">
        <v>555</v>
      </c>
      <c r="F103" s="613" t="s">
        <v>530</v>
      </c>
      <c r="G103" s="613" t="s">
        <v>531</v>
      </c>
      <c r="H103" s="608" t="s">
        <v>465</v>
      </c>
      <c r="I103" s="608"/>
      <c r="J103" s="608"/>
      <c r="K103" s="623">
        <v>6500000</v>
      </c>
      <c r="L103" s="611">
        <f t="shared" si="3"/>
        <v>10772.468884137954</v>
      </c>
      <c r="M103" s="614">
        <v>100</v>
      </c>
      <c r="N103" s="614">
        <v>0</v>
      </c>
      <c r="O103" s="631" t="s">
        <v>466</v>
      </c>
      <c r="P103" s="608" t="s">
        <v>465</v>
      </c>
      <c r="Q103" s="618" t="s">
        <v>479</v>
      </c>
      <c r="R103" s="618" t="s">
        <v>532</v>
      </c>
      <c r="S103" s="615" t="s">
        <v>533</v>
      </c>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row>
    <row r="104" spans="1:53" s="19" customFormat="1" ht="31.5">
      <c r="A104" s="607" t="s">
        <v>341</v>
      </c>
      <c r="B104" s="608" t="s">
        <v>8</v>
      </c>
      <c r="C104" s="608"/>
      <c r="D104" s="616">
        <v>1858275</v>
      </c>
      <c r="E104" s="674" t="s">
        <v>556</v>
      </c>
      <c r="F104" s="613" t="s">
        <v>530</v>
      </c>
      <c r="G104" s="613" t="s">
        <v>531</v>
      </c>
      <c r="H104" s="608" t="s">
        <v>465</v>
      </c>
      <c r="I104" s="608"/>
      <c r="J104" s="608"/>
      <c r="K104" s="623">
        <v>6750000</v>
      </c>
      <c r="L104" s="611">
        <f t="shared" si="3"/>
        <v>11186.794610450952</v>
      </c>
      <c r="M104" s="614">
        <v>100</v>
      </c>
      <c r="N104" s="614">
        <v>0</v>
      </c>
      <c r="O104" s="631" t="s">
        <v>466</v>
      </c>
      <c r="P104" s="608" t="s">
        <v>465</v>
      </c>
      <c r="Q104" s="618" t="s">
        <v>479</v>
      </c>
      <c r="R104" s="618" t="s">
        <v>532</v>
      </c>
      <c r="S104" s="615" t="s">
        <v>533</v>
      </c>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row>
    <row r="105" spans="1:53" s="19" customFormat="1" ht="47.25">
      <c r="A105" s="607" t="s">
        <v>341</v>
      </c>
      <c r="B105" s="608" t="s">
        <v>8</v>
      </c>
      <c r="C105" s="608"/>
      <c r="D105" s="616">
        <v>1858203</v>
      </c>
      <c r="E105" s="674" t="s">
        <v>557</v>
      </c>
      <c r="F105" s="613" t="s">
        <v>530</v>
      </c>
      <c r="G105" s="613" t="s">
        <v>531</v>
      </c>
      <c r="H105" s="608" t="s">
        <v>465</v>
      </c>
      <c r="I105" s="608"/>
      <c r="J105" s="608"/>
      <c r="K105" s="623">
        <v>5850000</v>
      </c>
      <c r="L105" s="611">
        <f t="shared" si="3"/>
        <v>9695.2219957241596</v>
      </c>
      <c r="M105" s="614">
        <v>100</v>
      </c>
      <c r="N105" s="614">
        <v>0</v>
      </c>
      <c r="O105" s="631" t="s">
        <v>466</v>
      </c>
      <c r="P105" s="608" t="s">
        <v>465</v>
      </c>
      <c r="Q105" s="618" t="s">
        <v>479</v>
      </c>
      <c r="R105" s="618" t="s">
        <v>532</v>
      </c>
      <c r="S105" s="615" t="s">
        <v>533</v>
      </c>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row>
    <row r="106" spans="1:53" s="19" customFormat="1" ht="31.5">
      <c r="A106" s="607" t="s">
        <v>341</v>
      </c>
      <c r="B106" s="608" t="s">
        <v>8</v>
      </c>
      <c r="C106" s="608"/>
      <c r="D106" s="616">
        <v>1858225</v>
      </c>
      <c r="E106" s="674" t="s">
        <v>558</v>
      </c>
      <c r="F106" s="613" t="s">
        <v>530</v>
      </c>
      <c r="G106" s="613" t="s">
        <v>531</v>
      </c>
      <c r="H106" s="608" t="s">
        <v>465</v>
      </c>
      <c r="I106" s="608"/>
      <c r="J106" s="608"/>
      <c r="K106" s="623">
        <v>4550000</v>
      </c>
      <c r="L106" s="611">
        <f t="shared" si="3"/>
        <v>7540.7282188965683</v>
      </c>
      <c r="M106" s="614">
        <v>100</v>
      </c>
      <c r="N106" s="614">
        <v>0</v>
      </c>
      <c r="O106" s="631" t="s">
        <v>466</v>
      </c>
      <c r="P106" s="608" t="s">
        <v>465</v>
      </c>
      <c r="Q106" s="618" t="s">
        <v>479</v>
      </c>
      <c r="R106" s="618" t="s">
        <v>532</v>
      </c>
      <c r="S106" s="615" t="s">
        <v>533</v>
      </c>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row>
    <row r="107" spans="1:53" s="19" customFormat="1" ht="31.5">
      <c r="A107" s="607" t="s">
        <v>341</v>
      </c>
      <c r="B107" s="608" t="s">
        <v>8</v>
      </c>
      <c r="C107" s="608"/>
      <c r="D107" s="616">
        <v>1858266</v>
      </c>
      <c r="E107" s="674" t="s">
        <v>559</v>
      </c>
      <c r="F107" s="613" t="s">
        <v>530</v>
      </c>
      <c r="G107" s="613" t="s">
        <v>531</v>
      </c>
      <c r="H107" s="608" t="s">
        <v>465</v>
      </c>
      <c r="I107" s="608"/>
      <c r="J107" s="608"/>
      <c r="K107" s="623">
        <v>7150000</v>
      </c>
      <c r="L107" s="611">
        <f t="shared" si="3"/>
        <v>11849.71577255175</v>
      </c>
      <c r="M107" s="614">
        <v>100</v>
      </c>
      <c r="N107" s="614">
        <v>0</v>
      </c>
      <c r="O107" s="631" t="s">
        <v>466</v>
      </c>
      <c r="P107" s="608" t="s">
        <v>465</v>
      </c>
      <c r="Q107" s="618" t="s">
        <v>479</v>
      </c>
      <c r="R107" s="618" t="s">
        <v>532</v>
      </c>
      <c r="S107" s="615" t="s">
        <v>533</v>
      </c>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row>
    <row r="108" spans="1:53" s="19" customFormat="1" ht="31.5">
      <c r="A108" s="607" t="s">
        <v>341</v>
      </c>
      <c r="B108" s="608" t="s">
        <v>8</v>
      </c>
      <c r="C108" s="608"/>
      <c r="D108" s="616">
        <v>1858271</v>
      </c>
      <c r="E108" s="674" t="s">
        <v>560</v>
      </c>
      <c r="F108" s="613" t="s">
        <v>530</v>
      </c>
      <c r="G108" s="613" t="s">
        <v>531</v>
      </c>
      <c r="H108" s="608" t="s">
        <v>465</v>
      </c>
      <c r="I108" s="608"/>
      <c r="J108" s="608"/>
      <c r="K108" s="623">
        <v>2106500</v>
      </c>
      <c r="L108" s="611">
        <f t="shared" si="3"/>
        <v>3491.1085699133232</v>
      </c>
      <c r="M108" s="614">
        <v>100</v>
      </c>
      <c r="N108" s="614">
        <v>0</v>
      </c>
      <c r="O108" s="631" t="s">
        <v>466</v>
      </c>
      <c r="P108" s="608" t="s">
        <v>465</v>
      </c>
      <c r="Q108" s="618" t="s">
        <v>479</v>
      </c>
      <c r="R108" s="618" t="s">
        <v>532</v>
      </c>
      <c r="S108" s="615" t="s">
        <v>533</v>
      </c>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row>
    <row r="109" spans="1:53" s="19" customFormat="1" ht="31.5">
      <c r="A109" s="607" t="s">
        <v>341</v>
      </c>
      <c r="B109" s="608" t="s">
        <v>8</v>
      </c>
      <c r="C109" s="608"/>
      <c r="D109" s="616">
        <v>1858259</v>
      </c>
      <c r="E109" s="674" t="s">
        <v>561</v>
      </c>
      <c r="F109" s="613" t="s">
        <v>530</v>
      </c>
      <c r="G109" s="613" t="s">
        <v>531</v>
      </c>
      <c r="H109" s="608" t="s">
        <v>465</v>
      </c>
      <c r="I109" s="608"/>
      <c r="J109" s="608"/>
      <c r="K109" s="623">
        <v>4800000</v>
      </c>
      <c r="L109" s="611">
        <f t="shared" si="3"/>
        <v>7955.0539452095663</v>
      </c>
      <c r="M109" s="614">
        <v>100</v>
      </c>
      <c r="N109" s="614">
        <v>0</v>
      </c>
      <c r="O109" s="631" t="s">
        <v>466</v>
      </c>
      <c r="P109" s="608" t="s">
        <v>465</v>
      </c>
      <c r="Q109" s="618" t="s">
        <v>479</v>
      </c>
      <c r="R109" s="618" t="s">
        <v>532</v>
      </c>
      <c r="S109" s="615" t="s">
        <v>533</v>
      </c>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row>
    <row r="110" spans="1:53" s="19" customFormat="1" ht="31.5">
      <c r="A110" s="607" t="s">
        <v>341</v>
      </c>
      <c r="B110" s="608" t="s">
        <v>8</v>
      </c>
      <c r="C110" s="608"/>
      <c r="D110" s="616">
        <v>1858240</v>
      </c>
      <c r="E110" s="674" t="s">
        <v>562</v>
      </c>
      <c r="F110" s="613" t="s">
        <v>530</v>
      </c>
      <c r="G110" s="613" t="s">
        <v>531</v>
      </c>
      <c r="H110" s="608" t="s">
        <v>465</v>
      </c>
      <c r="I110" s="608"/>
      <c r="J110" s="608"/>
      <c r="K110" s="623">
        <v>7800000</v>
      </c>
      <c r="L110" s="611">
        <f t="shared" si="3"/>
        <v>12926.962660965544</v>
      </c>
      <c r="M110" s="614">
        <v>100</v>
      </c>
      <c r="N110" s="614">
        <v>0</v>
      </c>
      <c r="O110" s="631" t="s">
        <v>466</v>
      </c>
      <c r="P110" s="608" t="s">
        <v>465</v>
      </c>
      <c r="Q110" s="618" t="s">
        <v>479</v>
      </c>
      <c r="R110" s="618" t="s">
        <v>532</v>
      </c>
      <c r="S110" s="615" t="s">
        <v>533</v>
      </c>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row>
    <row r="111" spans="1:53" s="19" customFormat="1" ht="31.5">
      <c r="A111" s="607" t="s">
        <v>341</v>
      </c>
      <c r="B111" s="608" t="s">
        <v>8</v>
      </c>
      <c r="C111" s="608"/>
      <c r="D111" s="616">
        <v>1858260</v>
      </c>
      <c r="E111" s="674" t="s">
        <v>563</v>
      </c>
      <c r="F111" s="613" t="s">
        <v>530</v>
      </c>
      <c r="G111" s="613" t="s">
        <v>531</v>
      </c>
      <c r="H111" s="608" t="s">
        <v>465</v>
      </c>
      <c r="I111" s="608"/>
      <c r="J111" s="608"/>
      <c r="K111" s="623">
        <v>5500000</v>
      </c>
      <c r="L111" s="611">
        <f t="shared" si="3"/>
        <v>9115.1659788859615</v>
      </c>
      <c r="M111" s="614">
        <v>100</v>
      </c>
      <c r="N111" s="614">
        <v>0</v>
      </c>
      <c r="O111" s="631" t="s">
        <v>466</v>
      </c>
      <c r="P111" s="608" t="s">
        <v>465</v>
      </c>
      <c r="Q111" s="618" t="s">
        <v>479</v>
      </c>
      <c r="R111" s="618" t="s">
        <v>532</v>
      </c>
      <c r="S111" s="615" t="s">
        <v>533</v>
      </c>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row>
    <row r="112" spans="1:53" s="19" customFormat="1" ht="47.25">
      <c r="A112" s="607" t="s">
        <v>341</v>
      </c>
      <c r="B112" s="608" t="s">
        <v>8</v>
      </c>
      <c r="C112" s="608"/>
      <c r="D112" s="616">
        <v>1858268</v>
      </c>
      <c r="E112" s="674" t="s">
        <v>564</v>
      </c>
      <c r="F112" s="613" t="s">
        <v>530</v>
      </c>
      <c r="G112" s="613" t="s">
        <v>531</v>
      </c>
      <c r="H112" s="608" t="s">
        <v>465</v>
      </c>
      <c r="I112" s="608"/>
      <c r="J112" s="608"/>
      <c r="K112" s="623">
        <v>5250000</v>
      </c>
      <c r="L112" s="611">
        <f t="shared" si="3"/>
        <v>8700.8402525729634</v>
      </c>
      <c r="M112" s="614">
        <v>100</v>
      </c>
      <c r="N112" s="614">
        <v>0</v>
      </c>
      <c r="O112" s="631" t="s">
        <v>466</v>
      </c>
      <c r="P112" s="608" t="s">
        <v>465</v>
      </c>
      <c r="Q112" s="618" t="s">
        <v>479</v>
      </c>
      <c r="R112" s="618" t="s">
        <v>532</v>
      </c>
      <c r="S112" s="615" t="s">
        <v>533</v>
      </c>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row>
    <row r="113" spans="1:53" s="19" customFormat="1" ht="31.5">
      <c r="A113" s="607" t="s">
        <v>341</v>
      </c>
      <c r="B113" s="608" t="s">
        <v>8</v>
      </c>
      <c r="C113" s="608"/>
      <c r="D113" s="616">
        <v>1858229</v>
      </c>
      <c r="E113" s="674" t="s">
        <v>565</v>
      </c>
      <c r="F113" s="613" t="s">
        <v>530</v>
      </c>
      <c r="G113" s="613" t="s">
        <v>531</v>
      </c>
      <c r="H113" s="608" t="s">
        <v>465</v>
      </c>
      <c r="I113" s="608"/>
      <c r="J113" s="608"/>
      <c r="K113" s="623">
        <v>5500000</v>
      </c>
      <c r="L113" s="611">
        <f t="shared" ref="L113:L135" si="4">+K113/$D$158</f>
        <v>9115.1659788859615</v>
      </c>
      <c r="M113" s="614">
        <v>100</v>
      </c>
      <c r="N113" s="614">
        <v>0</v>
      </c>
      <c r="O113" s="631" t="s">
        <v>466</v>
      </c>
      <c r="P113" s="608" t="s">
        <v>465</v>
      </c>
      <c r="Q113" s="618" t="s">
        <v>479</v>
      </c>
      <c r="R113" s="618" t="s">
        <v>532</v>
      </c>
      <c r="S113" s="615" t="s">
        <v>533</v>
      </c>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row>
    <row r="114" spans="1:53" s="19" customFormat="1" ht="31.5">
      <c r="A114" s="607" t="s">
        <v>341</v>
      </c>
      <c r="B114" s="608" t="s">
        <v>8</v>
      </c>
      <c r="C114" s="608"/>
      <c r="D114" s="616">
        <v>1858261</v>
      </c>
      <c r="E114" s="674" t="s">
        <v>566</v>
      </c>
      <c r="F114" s="613" t="s">
        <v>530</v>
      </c>
      <c r="G114" s="613" t="s">
        <v>531</v>
      </c>
      <c r="H114" s="608" t="s">
        <v>465</v>
      </c>
      <c r="I114" s="608"/>
      <c r="J114" s="608"/>
      <c r="K114" s="623">
        <v>2340000</v>
      </c>
      <c r="L114" s="611">
        <f t="shared" si="4"/>
        <v>3878.0887982896634</v>
      </c>
      <c r="M114" s="614">
        <v>100</v>
      </c>
      <c r="N114" s="614">
        <v>0</v>
      </c>
      <c r="O114" s="631" t="s">
        <v>466</v>
      </c>
      <c r="P114" s="608" t="s">
        <v>465</v>
      </c>
      <c r="Q114" s="618" t="s">
        <v>479</v>
      </c>
      <c r="R114" s="618" t="s">
        <v>532</v>
      </c>
      <c r="S114" s="615" t="s">
        <v>533</v>
      </c>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row>
    <row r="115" spans="1:53" s="19" customFormat="1" ht="31.5">
      <c r="A115" s="607" t="s">
        <v>341</v>
      </c>
      <c r="B115" s="608" t="s">
        <v>8</v>
      </c>
      <c r="C115" s="608"/>
      <c r="D115" s="616">
        <v>1858241</v>
      </c>
      <c r="E115" s="674" t="s">
        <v>567</v>
      </c>
      <c r="F115" s="613" t="s">
        <v>530</v>
      </c>
      <c r="G115" s="613" t="s">
        <v>531</v>
      </c>
      <c r="H115" s="608" t="s">
        <v>465</v>
      </c>
      <c r="I115" s="608"/>
      <c r="J115" s="608"/>
      <c r="K115" s="623">
        <v>7800000</v>
      </c>
      <c r="L115" s="611">
        <f t="shared" si="4"/>
        <v>12926.962660965544</v>
      </c>
      <c r="M115" s="614">
        <v>100</v>
      </c>
      <c r="N115" s="614">
        <v>0</v>
      </c>
      <c r="O115" s="631" t="s">
        <v>466</v>
      </c>
      <c r="P115" s="608" t="s">
        <v>465</v>
      </c>
      <c r="Q115" s="618" t="s">
        <v>479</v>
      </c>
      <c r="R115" s="618" t="s">
        <v>532</v>
      </c>
      <c r="S115" s="615" t="s">
        <v>533</v>
      </c>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row>
    <row r="116" spans="1:53" s="19" customFormat="1" ht="31.5">
      <c r="A116" s="607" t="s">
        <v>341</v>
      </c>
      <c r="B116" s="608" t="s">
        <v>8</v>
      </c>
      <c r="C116" s="608"/>
      <c r="D116" s="616">
        <v>1858262</v>
      </c>
      <c r="E116" s="674" t="s">
        <v>568</v>
      </c>
      <c r="F116" s="613" t="s">
        <v>530</v>
      </c>
      <c r="G116" s="613" t="s">
        <v>531</v>
      </c>
      <c r="H116" s="608" t="s">
        <v>465</v>
      </c>
      <c r="I116" s="608"/>
      <c r="J116" s="608"/>
      <c r="K116" s="623">
        <v>4730000</v>
      </c>
      <c r="L116" s="611">
        <f t="shared" si="4"/>
        <v>7839.0427418419267</v>
      </c>
      <c r="M116" s="614">
        <v>100</v>
      </c>
      <c r="N116" s="614">
        <v>0</v>
      </c>
      <c r="O116" s="631" t="s">
        <v>466</v>
      </c>
      <c r="P116" s="608" t="s">
        <v>465</v>
      </c>
      <c r="Q116" s="618" t="s">
        <v>479</v>
      </c>
      <c r="R116" s="618" t="s">
        <v>532</v>
      </c>
      <c r="S116" s="615" t="s">
        <v>533</v>
      </c>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row>
    <row r="117" spans="1:53" s="19" customFormat="1" ht="31.5">
      <c r="A117" s="607" t="s">
        <v>341</v>
      </c>
      <c r="B117" s="608" t="s">
        <v>8</v>
      </c>
      <c r="C117" s="608"/>
      <c r="D117" s="616">
        <v>1858220</v>
      </c>
      <c r="E117" s="674" t="s">
        <v>569</v>
      </c>
      <c r="F117" s="613" t="s">
        <v>530</v>
      </c>
      <c r="G117" s="613" t="s">
        <v>531</v>
      </c>
      <c r="H117" s="608" t="s">
        <v>465</v>
      </c>
      <c r="I117" s="608"/>
      <c r="J117" s="608"/>
      <c r="K117" s="623">
        <v>9100000</v>
      </c>
      <c r="L117" s="611">
        <f t="shared" si="4"/>
        <v>15081.456437793137</v>
      </c>
      <c r="M117" s="614">
        <v>100</v>
      </c>
      <c r="N117" s="614">
        <v>0</v>
      </c>
      <c r="O117" s="631" t="s">
        <v>466</v>
      </c>
      <c r="P117" s="608" t="s">
        <v>465</v>
      </c>
      <c r="Q117" s="618" t="s">
        <v>479</v>
      </c>
      <c r="R117" s="618" t="s">
        <v>532</v>
      </c>
      <c r="S117" s="615" t="s">
        <v>533</v>
      </c>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row>
    <row r="118" spans="1:53" s="19" customFormat="1" ht="31.5">
      <c r="A118" s="607" t="s">
        <v>341</v>
      </c>
      <c r="B118" s="608" t="s">
        <v>8</v>
      </c>
      <c r="C118" s="608"/>
      <c r="D118" s="616">
        <v>1858272</v>
      </c>
      <c r="E118" s="674" t="s">
        <v>570</v>
      </c>
      <c r="F118" s="613" t="s">
        <v>530</v>
      </c>
      <c r="G118" s="613" t="s">
        <v>531</v>
      </c>
      <c r="H118" s="608" t="s">
        <v>465</v>
      </c>
      <c r="I118" s="608"/>
      <c r="J118" s="608"/>
      <c r="K118" s="623">
        <v>13000000</v>
      </c>
      <c r="L118" s="611">
        <f t="shared" si="4"/>
        <v>21544.937768275908</v>
      </c>
      <c r="M118" s="614">
        <v>100</v>
      </c>
      <c r="N118" s="614">
        <v>0</v>
      </c>
      <c r="O118" s="631" t="s">
        <v>466</v>
      </c>
      <c r="P118" s="608" t="s">
        <v>465</v>
      </c>
      <c r="Q118" s="618" t="s">
        <v>479</v>
      </c>
      <c r="R118" s="618" t="s">
        <v>532</v>
      </c>
      <c r="S118" s="615" t="s">
        <v>533</v>
      </c>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row>
    <row r="119" spans="1:53" s="19" customFormat="1" ht="31.5">
      <c r="A119" s="607" t="s">
        <v>341</v>
      </c>
      <c r="B119" s="608" t="s">
        <v>8</v>
      </c>
      <c r="C119" s="608"/>
      <c r="D119" s="616">
        <v>1858263</v>
      </c>
      <c r="E119" s="674" t="s">
        <v>571</v>
      </c>
      <c r="F119" s="613" t="s">
        <v>530</v>
      </c>
      <c r="G119" s="613" t="s">
        <v>531</v>
      </c>
      <c r="H119" s="608" t="s">
        <v>465</v>
      </c>
      <c r="I119" s="608"/>
      <c r="J119" s="608"/>
      <c r="K119" s="623">
        <v>8800000</v>
      </c>
      <c r="L119" s="611">
        <f t="shared" si="4"/>
        <v>14584.265566217538</v>
      </c>
      <c r="M119" s="614">
        <v>100</v>
      </c>
      <c r="N119" s="614">
        <v>0</v>
      </c>
      <c r="O119" s="631" t="s">
        <v>466</v>
      </c>
      <c r="P119" s="608" t="s">
        <v>465</v>
      </c>
      <c r="Q119" s="618" t="s">
        <v>479</v>
      </c>
      <c r="R119" s="618" t="s">
        <v>532</v>
      </c>
      <c r="S119" s="615" t="s">
        <v>533</v>
      </c>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row>
    <row r="120" spans="1:53" s="19" customFormat="1" ht="47.25">
      <c r="A120" s="607" t="s">
        <v>341</v>
      </c>
      <c r="B120" s="608" t="s">
        <v>8</v>
      </c>
      <c r="C120" s="608"/>
      <c r="D120" s="616">
        <v>1858215</v>
      </c>
      <c r="E120" s="674" t="s">
        <v>572</v>
      </c>
      <c r="F120" s="613" t="s">
        <v>530</v>
      </c>
      <c r="G120" s="613" t="s">
        <v>531</v>
      </c>
      <c r="H120" s="608" t="s">
        <v>465</v>
      </c>
      <c r="I120" s="608"/>
      <c r="J120" s="608"/>
      <c r="K120" s="623">
        <v>2050000</v>
      </c>
      <c r="L120" s="611">
        <f t="shared" si="4"/>
        <v>3397.4709557665856</v>
      </c>
      <c r="M120" s="614">
        <v>100</v>
      </c>
      <c r="N120" s="614">
        <v>0</v>
      </c>
      <c r="O120" s="631" t="s">
        <v>466</v>
      </c>
      <c r="P120" s="608" t="s">
        <v>465</v>
      </c>
      <c r="Q120" s="618" t="s">
        <v>479</v>
      </c>
      <c r="R120" s="618" t="s">
        <v>532</v>
      </c>
      <c r="S120" s="615" t="s">
        <v>533</v>
      </c>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row>
    <row r="121" spans="1:53" s="19" customFormat="1" ht="31.5">
      <c r="A121" s="607" t="s">
        <v>341</v>
      </c>
      <c r="B121" s="608" t="s">
        <v>8</v>
      </c>
      <c r="C121" s="608"/>
      <c r="D121" s="616">
        <v>1858210</v>
      </c>
      <c r="E121" s="674" t="s">
        <v>573</v>
      </c>
      <c r="F121" s="613" t="s">
        <v>530</v>
      </c>
      <c r="G121" s="613" t="s">
        <v>531</v>
      </c>
      <c r="H121" s="608" t="s">
        <v>465</v>
      </c>
      <c r="I121" s="608"/>
      <c r="J121" s="608"/>
      <c r="K121" s="623">
        <v>15000000</v>
      </c>
      <c r="L121" s="611">
        <f t="shared" si="4"/>
        <v>24859.543578779892</v>
      </c>
      <c r="M121" s="614">
        <v>100</v>
      </c>
      <c r="N121" s="614">
        <v>0</v>
      </c>
      <c r="O121" s="631" t="s">
        <v>466</v>
      </c>
      <c r="P121" s="608" t="s">
        <v>465</v>
      </c>
      <c r="Q121" s="618" t="s">
        <v>479</v>
      </c>
      <c r="R121" s="618" t="s">
        <v>532</v>
      </c>
      <c r="S121" s="615" t="s">
        <v>533</v>
      </c>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row>
    <row r="122" spans="1:53" s="19" customFormat="1" ht="31.5">
      <c r="A122" s="607" t="s">
        <v>341</v>
      </c>
      <c r="B122" s="608" t="s">
        <v>8</v>
      </c>
      <c r="C122" s="608"/>
      <c r="D122" s="616">
        <v>1858211</v>
      </c>
      <c r="E122" s="674" t="s">
        <v>574</v>
      </c>
      <c r="F122" s="613" t="s">
        <v>530</v>
      </c>
      <c r="G122" s="613" t="s">
        <v>531</v>
      </c>
      <c r="H122" s="608" t="s">
        <v>465</v>
      </c>
      <c r="I122" s="608"/>
      <c r="J122" s="608"/>
      <c r="K122" s="623">
        <v>16750000</v>
      </c>
      <c r="L122" s="611">
        <f t="shared" si="4"/>
        <v>27759.823662970881</v>
      </c>
      <c r="M122" s="614">
        <v>100</v>
      </c>
      <c r="N122" s="614">
        <v>0</v>
      </c>
      <c r="O122" s="631" t="s">
        <v>466</v>
      </c>
      <c r="P122" s="608" t="s">
        <v>465</v>
      </c>
      <c r="Q122" s="618" t="s">
        <v>479</v>
      </c>
      <c r="R122" s="618" t="s">
        <v>532</v>
      </c>
      <c r="S122" s="615" t="s">
        <v>533</v>
      </c>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row>
    <row r="123" spans="1:53" s="19" customFormat="1" ht="31.5">
      <c r="A123" s="607" t="s">
        <v>341</v>
      </c>
      <c r="B123" s="608" t="s">
        <v>8</v>
      </c>
      <c r="C123" s="608"/>
      <c r="D123" s="616">
        <v>1858274</v>
      </c>
      <c r="E123" s="674" t="s">
        <v>575</v>
      </c>
      <c r="F123" s="613" t="s">
        <v>530</v>
      </c>
      <c r="G123" s="613" t="s">
        <v>531</v>
      </c>
      <c r="H123" s="608" t="s">
        <v>465</v>
      </c>
      <c r="I123" s="608"/>
      <c r="J123" s="608"/>
      <c r="K123" s="623">
        <v>6000000</v>
      </c>
      <c r="L123" s="611">
        <f t="shared" si="4"/>
        <v>9943.8174315119577</v>
      </c>
      <c r="M123" s="614">
        <v>100</v>
      </c>
      <c r="N123" s="614">
        <v>0</v>
      </c>
      <c r="O123" s="631" t="s">
        <v>466</v>
      </c>
      <c r="P123" s="608" t="s">
        <v>465</v>
      </c>
      <c r="Q123" s="618" t="s">
        <v>479</v>
      </c>
      <c r="R123" s="618" t="s">
        <v>532</v>
      </c>
      <c r="S123" s="615" t="s">
        <v>533</v>
      </c>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row>
    <row r="124" spans="1:53" s="19" customFormat="1" ht="31.5">
      <c r="A124" s="607" t="s">
        <v>341</v>
      </c>
      <c r="B124" s="608" t="s">
        <v>8</v>
      </c>
      <c r="C124" s="608"/>
      <c r="D124" s="616">
        <v>1858224</v>
      </c>
      <c r="E124" s="674" t="s">
        <v>576</v>
      </c>
      <c r="F124" s="613" t="s">
        <v>530</v>
      </c>
      <c r="G124" s="613" t="s">
        <v>531</v>
      </c>
      <c r="H124" s="608" t="s">
        <v>465</v>
      </c>
      <c r="I124" s="608"/>
      <c r="J124" s="608"/>
      <c r="K124" s="623">
        <v>7000000</v>
      </c>
      <c r="L124" s="611">
        <f t="shared" si="4"/>
        <v>11601.12033676395</v>
      </c>
      <c r="M124" s="614">
        <v>100</v>
      </c>
      <c r="N124" s="614">
        <v>0</v>
      </c>
      <c r="O124" s="631" t="s">
        <v>466</v>
      </c>
      <c r="P124" s="608" t="s">
        <v>465</v>
      </c>
      <c r="Q124" s="618" t="s">
        <v>479</v>
      </c>
      <c r="R124" s="618" t="s">
        <v>532</v>
      </c>
      <c r="S124" s="615" t="s">
        <v>533</v>
      </c>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row>
    <row r="125" spans="1:53" s="19" customFormat="1" ht="31.5">
      <c r="A125" s="607" t="s">
        <v>341</v>
      </c>
      <c r="B125" s="608" t="s">
        <v>8</v>
      </c>
      <c r="C125" s="608"/>
      <c r="D125" s="616">
        <v>1858264</v>
      </c>
      <c r="E125" s="674" t="s">
        <v>577</v>
      </c>
      <c r="F125" s="613" t="s">
        <v>530</v>
      </c>
      <c r="G125" s="613" t="s">
        <v>531</v>
      </c>
      <c r="H125" s="608" t="s">
        <v>465</v>
      </c>
      <c r="I125" s="608"/>
      <c r="J125" s="608"/>
      <c r="K125" s="623">
        <v>6000000</v>
      </c>
      <c r="L125" s="611">
        <f t="shared" si="4"/>
        <v>9943.8174315119577</v>
      </c>
      <c r="M125" s="614">
        <v>100</v>
      </c>
      <c r="N125" s="614">
        <v>0</v>
      </c>
      <c r="O125" s="631" t="s">
        <v>466</v>
      </c>
      <c r="P125" s="608" t="s">
        <v>465</v>
      </c>
      <c r="Q125" s="618" t="s">
        <v>479</v>
      </c>
      <c r="R125" s="618" t="s">
        <v>532</v>
      </c>
      <c r="S125" s="615" t="s">
        <v>533</v>
      </c>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row>
    <row r="126" spans="1:53" s="19" customFormat="1" ht="31.5">
      <c r="A126" s="607" t="s">
        <v>341</v>
      </c>
      <c r="B126" s="608" t="s">
        <v>8</v>
      </c>
      <c r="C126" s="608"/>
      <c r="D126" s="616">
        <v>1858252</v>
      </c>
      <c r="E126" s="674" t="s">
        <v>578</v>
      </c>
      <c r="F126" s="613" t="s">
        <v>530</v>
      </c>
      <c r="G126" s="613" t="s">
        <v>531</v>
      </c>
      <c r="H126" s="608" t="s">
        <v>465</v>
      </c>
      <c r="I126" s="608"/>
      <c r="J126" s="608"/>
      <c r="K126" s="623">
        <v>7500000</v>
      </c>
      <c r="L126" s="611">
        <f t="shared" si="4"/>
        <v>12429.771789389946</v>
      </c>
      <c r="M126" s="614">
        <v>100</v>
      </c>
      <c r="N126" s="614">
        <v>0</v>
      </c>
      <c r="O126" s="631" t="s">
        <v>466</v>
      </c>
      <c r="P126" s="608" t="s">
        <v>465</v>
      </c>
      <c r="Q126" s="618" t="s">
        <v>479</v>
      </c>
      <c r="R126" s="618" t="s">
        <v>532</v>
      </c>
      <c r="S126" s="615" t="s">
        <v>533</v>
      </c>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row>
    <row r="127" spans="1:53" s="19" customFormat="1" ht="47.25">
      <c r="A127" s="607" t="s">
        <v>341</v>
      </c>
      <c r="B127" s="608" t="s">
        <v>8</v>
      </c>
      <c r="C127" s="608"/>
      <c r="D127" s="616">
        <v>1858269</v>
      </c>
      <c r="E127" s="674" t="s">
        <v>579</v>
      </c>
      <c r="F127" s="613" t="s">
        <v>530</v>
      </c>
      <c r="G127" s="613" t="s">
        <v>531</v>
      </c>
      <c r="H127" s="608" t="s">
        <v>465</v>
      </c>
      <c r="I127" s="608"/>
      <c r="J127" s="608"/>
      <c r="K127" s="623">
        <v>11400000</v>
      </c>
      <c r="L127" s="611">
        <f t="shared" si="4"/>
        <v>18893.253119872719</v>
      </c>
      <c r="M127" s="614">
        <v>100</v>
      </c>
      <c r="N127" s="614">
        <v>0</v>
      </c>
      <c r="O127" s="631" t="s">
        <v>466</v>
      </c>
      <c r="P127" s="608" t="s">
        <v>465</v>
      </c>
      <c r="Q127" s="618" t="s">
        <v>479</v>
      </c>
      <c r="R127" s="618" t="s">
        <v>532</v>
      </c>
      <c r="S127" s="615" t="s">
        <v>533</v>
      </c>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row>
    <row r="128" spans="1:53" s="19" customFormat="1" ht="31.5">
      <c r="A128" s="607" t="s">
        <v>341</v>
      </c>
      <c r="B128" s="608" t="s">
        <v>8</v>
      </c>
      <c r="C128" s="608"/>
      <c r="D128" s="616">
        <v>1858265</v>
      </c>
      <c r="E128" s="674" t="s">
        <v>580</v>
      </c>
      <c r="F128" s="613" t="s">
        <v>530</v>
      </c>
      <c r="G128" s="613" t="s">
        <v>531</v>
      </c>
      <c r="H128" s="608" t="s">
        <v>465</v>
      </c>
      <c r="I128" s="608"/>
      <c r="J128" s="608"/>
      <c r="K128" s="623">
        <v>11000000</v>
      </c>
      <c r="L128" s="611">
        <f t="shared" si="4"/>
        <v>18230.331957771923</v>
      </c>
      <c r="M128" s="614">
        <v>100</v>
      </c>
      <c r="N128" s="614">
        <v>0</v>
      </c>
      <c r="O128" s="631" t="s">
        <v>466</v>
      </c>
      <c r="P128" s="608" t="s">
        <v>465</v>
      </c>
      <c r="Q128" s="618" t="s">
        <v>479</v>
      </c>
      <c r="R128" s="618" t="s">
        <v>532</v>
      </c>
      <c r="S128" s="615" t="s">
        <v>533</v>
      </c>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row>
    <row r="129" spans="1:61" s="19" customFormat="1" ht="31.5">
      <c r="A129" s="607" t="s">
        <v>341</v>
      </c>
      <c r="B129" s="608" t="s">
        <v>8</v>
      </c>
      <c r="C129" s="608"/>
      <c r="D129" s="616">
        <v>1858204</v>
      </c>
      <c r="E129" s="674" t="s">
        <v>581</v>
      </c>
      <c r="F129" s="613" t="s">
        <v>530</v>
      </c>
      <c r="G129" s="613" t="s">
        <v>531</v>
      </c>
      <c r="H129" s="608" t="s">
        <v>465</v>
      </c>
      <c r="I129" s="608"/>
      <c r="J129" s="608"/>
      <c r="K129" s="623">
        <v>18600000</v>
      </c>
      <c r="L129" s="611">
        <f t="shared" si="4"/>
        <v>30825.834037687069</v>
      </c>
      <c r="M129" s="614">
        <v>100</v>
      </c>
      <c r="N129" s="614">
        <v>0</v>
      </c>
      <c r="O129" s="631" t="s">
        <v>466</v>
      </c>
      <c r="P129" s="608" t="s">
        <v>465</v>
      </c>
      <c r="Q129" s="618" t="s">
        <v>479</v>
      </c>
      <c r="R129" s="675">
        <v>43119</v>
      </c>
      <c r="S129" s="615" t="s">
        <v>533</v>
      </c>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row>
    <row r="130" spans="1:61" s="19" customFormat="1" ht="31.5">
      <c r="A130" s="607" t="s">
        <v>341</v>
      </c>
      <c r="B130" s="608" t="s">
        <v>8</v>
      </c>
      <c r="C130" s="608"/>
      <c r="D130" s="616">
        <v>1858213</v>
      </c>
      <c r="E130" s="674" t="s">
        <v>582</v>
      </c>
      <c r="F130" s="613" t="s">
        <v>530</v>
      </c>
      <c r="G130" s="613" t="s">
        <v>531</v>
      </c>
      <c r="H130" s="608" t="s">
        <v>465</v>
      </c>
      <c r="I130" s="608"/>
      <c r="J130" s="608"/>
      <c r="K130" s="623">
        <v>13080000</v>
      </c>
      <c r="L130" s="611">
        <f t="shared" si="4"/>
        <v>21677.522000696066</v>
      </c>
      <c r="M130" s="614">
        <v>100</v>
      </c>
      <c r="N130" s="614">
        <v>0</v>
      </c>
      <c r="O130" s="631" t="s">
        <v>466</v>
      </c>
      <c r="P130" s="608" t="s">
        <v>465</v>
      </c>
      <c r="Q130" s="618" t="s">
        <v>479</v>
      </c>
      <c r="R130" s="618" t="s">
        <v>518</v>
      </c>
      <c r="S130" s="615" t="s">
        <v>533</v>
      </c>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row>
    <row r="131" spans="1:61" s="19" customFormat="1" ht="31.5">
      <c r="A131" s="607" t="s">
        <v>341</v>
      </c>
      <c r="B131" s="608" t="s">
        <v>8</v>
      </c>
      <c r="C131" s="608"/>
      <c r="D131" s="616">
        <v>1858237</v>
      </c>
      <c r="E131" s="674" t="s">
        <v>583</v>
      </c>
      <c r="F131" s="613" t="s">
        <v>530</v>
      </c>
      <c r="G131" s="613" t="s">
        <v>531</v>
      </c>
      <c r="H131" s="608" t="s">
        <v>465</v>
      </c>
      <c r="I131" s="608"/>
      <c r="J131" s="608"/>
      <c r="K131" s="623">
        <v>10800000</v>
      </c>
      <c r="L131" s="611">
        <f t="shared" si="4"/>
        <v>17898.871376721523</v>
      </c>
      <c r="M131" s="614">
        <v>100</v>
      </c>
      <c r="N131" s="614">
        <v>0</v>
      </c>
      <c r="O131" s="631" t="s">
        <v>466</v>
      </c>
      <c r="P131" s="608" t="s">
        <v>465</v>
      </c>
      <c r="Q131" s="618" t="s">
        <v>479</v>
      </c>
      <c r="R131" s="618" t="s">
        <v>518</v>
      </c>
      <c r="S131" s="615" t="s">
        <v>533</v>
      </c>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row>
    <row r="132" spans="1:61" s="19" customFormat="1" ht="31.5">
      <c r="A132" s="607" t="s">
        <v>341</v>
      </c>
      <c r="B132" s="608" t="s">
        <v>8</v>
      </c>
      <c r="C132" s="608"/>
      <c r="D132" s="616" t="s">
        <v>584</v>
      </c>
      <c r="E132" s="674" t="s">
        <v>585</v>
      </c>
      <c r="F132" s="613" t="s">
        <v>530</v>
      </c>
      <c r="G132" s="613" t="s">
        <v>531</v>
      </c>
      <c r="H132" s="608" t="s">
        <v>465</v>
      </c>
      <c r="I132" s="608"/>
      <c r="J132" s="608"/>
      <c r="K132" s="623">
        <v>133126378</v>
      </c>
      <c r="L132" s="611">
        <f t="shared" si="4"/>
        <v>220630.73302507499</v>
      </c>
      <c r="M132" s="614">
        <v>100</v>
      </c>
      <c r="N132" s="614">
        <v>0</v>
      </c>
      <c r="O132" s="631" t="s">
        <v>466</v>
      </c>
      <c r="P132" s="608" t="s">
        <v>465</v>
      </c>
      <c r="Q132" s="618" t="s">
        <v>479</v>
      </c>
      <c r="R132" s="618" t="s">
        <v>518</v>
      </c>
      <c r="S132" s="615" t="s">
        <v>533</v>
      </c>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row>
    <row r="133" spans="1:61" s="19" customFormat="1" ht="63">
      <c r="A133" s="607" t="s">
        <v>341</v>
      </c>
      <c r="B133" s="608" t="s">
        <v>8</v>
      </c>
      <c r="C133" s="608"/>
      <c r="D133" s="616">
        <v>1858279</v>
      </c>
      <c r="E133" s="619" t="s">
        <v>586</v>
      </c>
      <c r="F133" s="613" t="s">
        <v>530</v>
      </c>
      <c r="G133" s="613" t="s">
        <v>531</v>
      </c>
      <c r="H133" s="608" t="s">
        <v>465</v>
      </c>
      <c r="I133" s="608"/>
      <c r="J133" s="608"/>
      <c r="K133" s="623">
        <v>80000000</v>
      </c>
      <c r="L133" s="611">
        <f t="shared" si="4"/>
        <v>132584.23242015945</v>
      </c>
      <c r="M133" s="614">
        <v>100</v>
      </c>
      <c r="N133" s="614">
        <v>0</v>
      </c>
      <c r="O133" s="631" t="s">
        <v>466</v>
      </c>
      <c r="P133" s="608" t="s">
        <v>465</v>
      </c>
      <c r="Q133" s="618" t="s">
        <v>479</v>
      </c>
      <c r="R133" s="618" t="s">
        <v>518</v>
      </c>
      <c r="S133" s="615" t="s">
        <v>533</v>
      </c>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row>
    <row r="134" spans="1:61" s="19" customFormat="1" ht="31.5">
      <c r="A134" s="607" t="s">
        <v>341</v>
      </c>
      <c r="B134" s="608" t="s">
        <v>8</v>
      </c>
      <c r="C134" s="608"/>
      <c r="D134" s="616">
        <v>1858276</v>
      </c>
      <c r="E134" s="676" t="s">
        <v>587</v>
      </c>
      <c r="F134" s="613" t="s">
        <v>530</v>
      </c>
      <c r="G134" s="613" t="s">
        <v>531</v>
      </c>
      <c r="H134" s="608" t="s">
        <v>465</v>
      </c>
      <c r="I134" s="608"/>
      <c r="J134" s="608"/>
      <c r="K134" s="623">
        <v>8800000</v>
      </c>
      <c r="L134" s="611">
        <f t="shared" si="4"/>
        <v>14584.265566217538</v>
      </c>
      <c r="M134" s="614">
        <v>100</v>
      </c>
      <c r="N134" s="614">
        <v>0</v>
      </c>
      <c r="O134" s="631" t="s">
        <v>466</v>
      </c>
      <c r="P134" s="608" t="s">
        <v>465</v>
      </c>
      <c r="Q134" s="618" t="s">
        <v>479</v>
      </c>
      <c r="R134" s="618" t="s">
        <v>518</v>
      </c>
      <c r="S134" s="615" t="s">
        <v>533</v>
      </c>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row>
    <row r="135" spans="1:61" s="19" customFormat="1" ht="31.5">
      <c r="A135" s="607" t="s">
        <v>341</v>
      </c>
      <c r="B135" s="608" t="s">
        <v>8</v>
      </c>
      <c r="C135" s="608"/>
      <c r="D135" s="616">
        <v>1858277</v>
      </c>
      <c r="E135" s="619" t="s">
        <v>588</v>
      </c>
      <c r="F135" s="613" t="s">
        <v>530</v>
      </c>
      <c r="G135" s="613" t="s">
        <v>531</v>
      </c>
      <c r="H135" s="608" t="s">
        <v>465</v>
      </c>
      <c r="I135" s="608"/>
      <c r="J135" s="608"/>
      <c r="K135" s="623">
        <v>2031000</v>
      </c>
      <c r="L135" s="611">
        <f t="shared" si="4"/>
        <v>3365.9822005667975</v>
      </c>
      <c r="M135" s="614">
        <v>100</v>
      </c>
      <c r="N135" s="614">
        <v>0</v>
      </c>
      <c r="O135" s="631" t="s">
        <v>466</v>
      </c>
      <c r="P135" s="608" t="s">
        <v>465</v>
      </c>
      <c r="Q135" s="618" t="s">
        <v>479</v>
      </c>
      <c r="R135" s="618" t="s">
        <v>518</v>
      </c>
      <c r="S135" s="615" t="s">
        <v>533</v>
      </c>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row>
    <row r="136" spans="1:61" s="19" customFormat="1" ht="31.5">
      <c r="A136" s="607" t="s">
        <v>341</v>
      </c>
      <c r="B136" s="608" t="s">
        <v>8</v>
      </c>
      <c r="C136" s="608">
        <v>2019</v>
      </c>
      <c r="D136" s="608"/>
      <c r="E136" s="612" t="s">
        <v>486</v>
      </c>
      <c r="F136" s="613" t="s">
        <v>525</v>
      </c>
      <c r="G136" s="613" t="s">
        <v>589</v>
      </c>
      <c r="H136" s="608" t="s">
        <v>465</v>
      </c>
      <c r="I136" s="608"/>
      <c r="J136" s="608"/>
      <c r="K136" s="617">
        <f>+L136*$D$159</f>
        <v>628017700</v>
      </c>
      <c r="L136" s="614">
        <f>+PEP!G12</f>
        <v>984199.49851120519</v>
      </c>
      <c r="M136" s="614">
        <v>100</v>
      </c>
      <c r="N136" s="614">
        <v>0</v>
      </c>
      <c r="O136" s="631" t="s">
        <v>466</v>
      </c>
      <c r="P136" s="608" t="s">
        <v>465</v>
      </c>
      <c r="Q136" s="618" t="s">
        <v>479</v>
      </c>
      <c r="R136" s="618" t="s">
        <v>532</v>
      </c>
      <c r="S136" s="615" t="s">
        <v>533</v>
      </c>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row>
    <row r="137" spans="1:61" s="19" customFormat="1" ht="31.5">
      <c r="A137" s="607" t="s">
        <v>341</v>
      </c>
      <c r="B137" s="608" t="s">
        <v>8</v>
      </c>
      <c r="C137" s="608">
        <v>2020</v>
      </c>
      <c r="D137" s="608"/>
      <c r="E137" s="612" t="s">
        <v>488</v>
      </c>
      <c r="F137" s="613" t="s">
        <v>525</v>
      </c>
      <c r="G137" s="613" t="s">
        <v>590</v>
      </c>
      <c r="H137" s="608" t="s">
        <v>465</v>
      </c>
      <c r="I137" s="608"/>
      <c r="J137" s="608"/>
      <c r="K137" s="617">
        <f>+L137*$D$160</f>
        <v>568547100</v>
      </c>
      <c r="L137" s="614">
        <f>+PEP!H12</f>
        <v>891000</v>
      </c>
      <c r="M137" s="614">
        <v>100</v>
      </c>
      <c r="N137" s="614">
        <v>0</v>
      </c>
      <c r="O137" s="631" t="s">
        <v>466</v>
      </c>
      <c r="P137" s="608" t="s">
        <v>465</v>
      </c>
      <c r="Q137" s="618" t="s">
        <v>479</v>
      </c>
      <c r="R137" s="618" t="s">
        <v>532</v>
      </c>
      <c r="S137" s="615" t="s">
        <v>533</v>
      </c>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row>
    <row r="138" spans="1:61" s="19" customFormat="1" ht="31.5">
      <c r="A138" s="607" t="s">
        <v>341</v>
      </c>
      <c r="B138" s="608" t="s">
        <v>8</v>
      </c>
      <c r="C138" s="608">
        <v>2021</v>
      </c>
      <c r="D138" s="608"/>
      <c r="E138" s="612" t="s">
        <v>490</v>
      </c>
      <c r="F138" s="613" t="s">
        <v>525</v>
      </c>
      <c r="G138" s="613" t="s">
        <v>591</v>
      </c>
      <c r="H138" s="608" t="s">
        <v>465</v>
      </c>
      <c r="I138" s="608"/>
      <c r="J138" s="608"/>
      <c r="K138" s="617">
        <f>+L138*$D$161</f>
        <v>405661787.17839223</v>
      </c>
      <c r="L138" s="614">
        <f>+PEP!I12</f>
        <v>635733.87741481303</v>
      </c>
      <c r="M138" s="614">
        <v>100</v>
      </c>
      <c r="N138" s="614">
        <v>0</v>
      </c>
      <c r="O138" s="631" t="s">
        <v>466</v>
      </c>
      <c r="P138" s="608" t="s">
        <v>465</v>
      </c>
      <c r="Q138" s="618" t="s">
        <v>479</v>
      </c>
      <c r="R138" s="618" t="s">
        <v>532</v>
      </c>
      <c r="S138" s="615" t="s">
        <v>533</v>
      </c>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row>
    <row r="139" spans="1:61" s="19" customFormat="1">
      <c r="A139" s="607"/>
      <c r="B139" s="608" t="s">
        <v>508</v>
      </c>
      <c r="C139" s="608"/>
      <c r="D139" s="608"/>
      <c r="E139" s="609"/>
      <c r="F139" s="609"/>
      <c r="G139" s="609"/>
      <c r="H139" s="608"/>
      <c r="I139" s="677"/>
      <c r="J139" s="677"/>
      <c r="K139" s="610">
        <f>K80+K136+K137+K138</f>
        <v>2217724587.4783921</v>
      </c>
      <c r="L139" s="611">
        <f>L80+L136+L137+L138</f>
        <v>3531000</v>
      </c>
      <c r="M139" s="611">
        <f>SUM(M80:M80)</f>
        <v>100</v>
      </c>
      <c r="N139" s="611">
        <f>SUM(N80:N80)</f>
        <v>0</v>
      </c>
      <c r="O139" s="678"/>
      <c r="P139" s="608"/>
      <c r="Q139" s="608"/>
      <c r="R139" s="608"/>
      <c r="S139" s="608"/>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row>
    <row r="140" spans="1:61" s="21" customFormat="1">
      <c r="B140" s="34"/>
      <c r="C140" s="34"/>
      <c r="D140" s="34"/>
      <c r="E140" s="138"/>
      <c r="F140" s="138"/>
      <c r="G140" s="138"/>
      <c r="H140" s="34"/>
      <c r="I140" s="34"/>
      <c r="J140" s="34"/>
      <c r="K140" s="235"/>
      <c r="L140" s="35"/>
      <c r="M140" s="35"/>
      <c r="N140" s="35"/>
      <c r="O140" s="36"/>
      <c r="P140" s="34"/>
      <c r="Q140" s="34"/>
      <c r="R140" s="34"/>
      <c r="S140" s="34"/>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19"/>
      <c r="BC140" s="19"/>
      <c r="BD140" s="19"/>
      <c r="BE140" s="19"/>
      <c r="BF140" s="19"/>
      <c r="BG140" s="19"/>
      <c r="BH140" s="19"/>
      <c r="BI140" s="19"/>
    </row>
    <row r="141" spans="1:61" s="21" customFormat="1" hidden="1">
      <c r="A141" s="643" t="s">
        <v>435</v>
      </c>
      <c r="B141" s="643" t="s">
        <v>592</v>
      </c>
      <c r="C141" s="643"/>
      <c r="D141" s="643"/>
      <c r="E141" s="643"/>
      <c r="F141" s="643"/>
      <c r="G141" s="643"/>
      <c r="H141" s="643"/>
      <c r="I141" s="643"/>
      <c r="J141" s="643"/>
      <c r="K141" s="643"/>
      <c r="L141" s="643"/>
      <c r="M141" s="643"/>
      <c r="N141" s="643"/>
      <c r="O141" s="643"/>
      <c r="P141" s="643"/>
      <c r="Q141" s="643"/>
      <c r="R141" s="643"/>
      <c r="S141" s="643"/>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19"/>
      <c r="BC141" s="19"/>
      <c r="BD141" s="19"/>
      <c r="BE141" s="19"/>
      <c r="BF141" s="19"/>
      <c r="BG141" s="19"/>
      <c r="BH141" s="19"/>
      <c r="BI141" s="19"/>
    </row>
    <row r="142" spans="1:61" s="21" customFormat="1" hidden="1">
      <c r="A142" s="643"/>
      <c r="B142" s="643" t="s">
        <v>437</v>
      </c>
      <c r="C142" s="328" t="s">
        <v>438</v>
      </c>
      <c r="D142" s="643" t="s">
        <v>439</v>
      </c>
      <c r="E142" s="644" t="s">
        <v>440</v>
      </c>
      <c r="F142" s="644" t="s">
        <v>441</v>
      </c>
      <c r="G142" s="644" t="s">
        <v>442</v>
      </c>
      <c r="H142" s="643" t="s">
        <v>459</v>
      </c>
      <c r="I142" s="643"/>
      <c r="J142" s="643"/>
      <c r="K142" s="649"/>
      <c r="L142" s="679" t="s">
        <v>446</v>
      </c>
      <c r="M142" s="679"/>
      <c r="N142" s="679"/>
      <c r="O142" s="643" t="s">
        <v>447</v>
      </c>
      <c r="P142" s="643" t="s">
        <v>448</v>
      </c>
      <c r="Q142" s="643" t="s">
        <v>449</v>
      </c>
      <c r="R142" s="643"/>
      <c r="S142" s="643" t="s">
        <v>450</v>
      </c>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19"/>
      <c r="BC142" s="19"/>
      <c r="BD142" s="19"/>
      <c r="BE142" s="19"/>
      <c r="BF142" s="19"/>
      <c r="BG142" s="19"/>
      <c r="BH142" s="19"/>
      <c r="BI142" s="19"/>
    </row>
    <row r="143" spans="1:61" s="21" customFormat="1" ht="31.5" hidden="1">
      <c r="A143" s="648"/>
      <c r="B143" s="643"/>
      <c r="C143" s="326"/>
      <c r="D143" s="643" t="s">
        <v>439</v>
      </c>
      <c r="E143" s="644"/>
      <c r="F143" s="644"/>
      <c r="G143" s="644"/>
      <c r="H143" s="643"/>
      <c r="I143" s="643" t="s">
        <v>445</v>
      </c>
      <c r="J143" s="643"/>
      <c r="K143" s="649" t="s">
        <v>451</v>
      </c>
      <c r="L143" s="648" t="s">
        <v>452</v>
      </c>
      <c r="M143" s="650" t="s">
        <v>453</v>
      </c>
      <c r="N143" s="651" t="s">
        <v>454</v>
      </c>
      <c r="O143" s="643"/>
      <c r="P143" s="643"/>
      <c r="Q143" s="648" t="s">
        <v>510</v>
      </c>
      <c r="R143" s="648" t="s">
        <v>456</v>
      </c>
      <c r="S143" s="643"/>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19"/>
      <c r="BC143" s="19"/>
      <c r="BD143" s="19"/>
      <c r="BE143" s="19"/>
      <c r="BF143" s="19"/>
      <c r="BG143" s="19"/>
      <c r="BH143" s="19"/>
      <c r="BI143" s="19"/>
    </row>
    <row r="144" spans="1:61" s="19" customFormat="1" hidden="1">
      <c r="A144" s="607"/>
      <c r="B144" s="608"/>
      <c r="C144" s="608"/>
      <c r="D144" s="608"/>
      <c r="E144" s="680"/>
      <c r="F144" s="681"/>
      <c r="G144" s="681"/>
      <c r="H144" s="608"/>
      <c r="I144" s="677"/>
      <c r="J144" s="677"/>
      <c r="K144" s="610"/>
      <c r="L144" s="611"/>
      <c r="M144" s="611"/>
      <c r="N144" s="611"/>
      <c r="O144" s="678"/>
      <c r="P144" s="608"/>
      <c r="Q144" s="608"/>
      <c r="R144" s="608"/>
      <c r="S144" s="608"/>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row>
    <row r="145" spans="1:61" s="21" customFormat="1" hidden="1">
      <c r="B145" s="34"/>
      <c r="C145" s="34"/>
      <c r="D145" s="34"/>
      <c r="E145" s="138"/>
      <c r="F145" s="138"/>
      <c r="G145" s="138"/>
      <c r="H145" s="34"/>
      <c r="I145" s="34"/>
      <c r="J145" s="34"/>
      <c r="K145" s="235"/>
      <c r="L145" s="34"/>
      <c r="M145" s="39"/>
      <c r="N145" s="36"/>
      <c r="O145" s="36"/>
      <c r="P145" s="34"/>
      <c r="Q145" s="34"/>
      <c r="R145" s="34"/>
      <c r="S145" s="34"/>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19"/>
      <c r="BC145" s="19"/>
      <c r="BD145" s="19"/>
      <c r="BE145" s="19"/>
      <c r="BF145" s="19"/>
      <c r="BG145" s="19"/>
      <c r="BH145" s="19"/>
      <c r="BI145" s="19"/>
    </row>
    <row r="146" spans="1:61" s="21" customFormat="1" hidden="1">
      <c r="A146" s="643" t="s">
        <v>435</v>
      </c>
      <c r="B146" s="643" t="s">
        <v>593</v>
      </c>
      <c r="C146" s="643"/>
      <c r="D146" s="643"/>
      <c r="E146" s="643"/>
      <c r="F146" s="643"/>
      <c r="G146" s="643"/>
      <c r="H146" s="643"/>
      <c r="I146" s="643"/>
      <c r="J146" s="643"/>
      <c r="K146" s="643"/>
      <c r="L146" s="643"/>
      <c r="M146" s="643"/>
      <c r="N146" s="643"/>
      <c r="O146" s="643"/>
      <c r="P146" s="643"/>
      <c r="Q146" s="643"/>
      <c r="R146" s="643"/>
      <c r="S146" s="643"/>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19"/>
      <c r="BC146" s="19"/>
      <c r="BD146" s="19"/>
      <c r="BE146" s="19"/>
      <c r="BF146" s="19"/>
      <c r="BG146" s="19"/>
      <c r="BH146" s="19"/>
      <c r="BI146" s="19"/>
    </row>
    <row r="147" spans="1:61" s="21" customFormat="1" hidden="1">
      <c r="A147" s="643"/>
      <c r="B147" s="643" t="s">
        <v>437</v>
      </c>
      <c r="C147" s="328" t="s">
        <v>438</v>
      </c>
      <c r="D147" s="643" t="s">
        <v>439</v>
      </c>
      <c r="E147" s="644" t="s">
        <v>594</v>
      </c>
      <c r="F147" s="643" t="s">
        <v>441</v>
      </c>
      <c r="G147" s="643"/>
      <c r="H147" s="643"/>
      <c r="I147" s="643" t="s">
        <v>445</v>
      </c>
      <c r="J147" s="643"/>
      <c r="K147" s="649"/>
      <c r="L147" s="679" t="s">
        <v>446</v>
      </c>
      <c r="M147" s="679"/>
      <c r="N147" s="679"/>
      <c r="O147" s="643" t="s">
        <v>447</v>
      </c>
      <c r="P147" s="682" t="s">
        <v>595</v>
      </c>
      <c r="Q147" s="643" t="s">
        <v>449</v>
      </c>
      <c r="R147" s="643"/>
      <c r="S147" s="643" t="s">
        <v>596</v>
      </c>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19"/>
      <c r="BC147" s="19"/>
      <c r="BD147" s="19"/>
      <c r="BE147" s="19"/>
      <c r="BF147" s="19"/>
      <c r="BG147" s="19"/>
      <c r="BH147" s="19"/>
      <c r="BI147" s="19"/>
    </row>
    <row r="148" spans="1:61" s="21" customFormat="1" ht="31.5" hidden="1">
      <c r="A148" s="648"/>
      <c r="B148" s="643"/>
      <c r="C148" s="326"/>
      <c r="D148" s="643" t="s">
        <v>439</v>
      </c>
      <c r="E148" s="644"/>
      <c r="F148" s="643"/>
      <c r="G148" s="643"/>
      <c r="H148" s="643"/>
      <c r="I148" s="643"/>
      <c r="J148" s="643"/>
      <c r="K148" s="649"/>
      <c r="L148" s="648" t="s">
        <v>452</v>
      </c>
      <c r="M148" s="648" t="s">
        <v>453</v>
      </c>
      <c r="N148" s="650" t="s">
        <v>454</v>
      </c>
      <c r="O148" s="643"/>
      <c r="P148" s="682"/>
      <c r="Q148" s="648" t="s">
        <v>597</v>
      </c>
      <c r="R148" s="648" t="s">
        <v>598</v>
      </c>
      <c r="S148" s="643"/>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19"/>
      <c r="BC148" s="19"/>
      <c r="BD148" s="19"/>
      <c r="BE148" s="19"/>
      <c r="BF148" s="19"/>
      <c r="BG148" s="19"/>
      <c r="BH148" s="19"/>
      <c r="BI148" s="19"/>
    </row>
    <row r="149" spans="1:61" s="19" customFormat="1" hidden="1">
      <c r="A149" s="607"/>
      <c r="B149" s="608" t="s">
        <v>508</v>
      </c>
      <c r="C149" s="608"/>
      <c r="D149" s="608"/>
      <c r="E149" s="609"/>
      <c r="F149" s="677"/>
      <c r="G149" s="677"/>
      <c r="H149" s="677"/>
      <c r="I149" s="677"/>
      <c r="J149" s="677"/>
      <c r="K149" s="683"/>
      <c r="L149" s="608"/>
      <c r="M149" s="608"/>
      <c r="N149" s="684"/>
      <c r="O149" s="678"/>
      <c r="P149" s="678"/>
      <c r="Q149" s="608"/>
      <c r="R149" s="608"/>
      <c r="S149" s="608"/>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row>
    <row r="150" spans="1:61" s="105" customFormat="1" hidden="1">
      <c r="A150" s="607"/>
      <c r="B150" s="685"/>
      <c r="C150" s="685"/>
      <c r="D150" s="685"/>
      <c r="E150" s="681"/>
      <c r="F150" s="681"/>
      <c r="G150" s="681"/>
      <c r="H150" s="685"/>
      <c r="I150" s="685"/>
      <c r="J150" s="685"/>
      <c r="K150" s="686"/>
      <c r="L150" s="687"/>
      <c r="M150" s="688"/>
      <c r="N150" s="688"/>
      <c r="O150" s="685"/>
      <c r="P150" s="685"/>
      <c r="Q150" s="685"/>
      <c r="R150" s="685"/>
      <c r="S150" s="685"/>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689"/>
      <c r="BC150" s="685"/>
      <c r="BD150" s="685"/>
      <c r="BE150" s="685"/>
      <c r="BF150" s="685"/>
      <c r="BG150" s="685"/>
      <c r="BH150" s="685"/>
      <c r="BI150" s="685"/>
    </row>
    <row r="151" spans="1:61" s="19" customFormat="1">
      <c r="E151" s="265"/>
      <c r="F151" s="265"/>
      <c r="G151" s="265"/>
      <c r="K151" s="233"/>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row>
    <row r="152" spans="1:61" s="19" customFormat="1">
      <c r="B152" s="690" t="s">
        <v>428</v>
      </c>
      <c r="C152" s="690"/>
      <c r="D152" s="690"/>
      <c r="E152" s="691"/>
      <c r="F152" s="691"/>
      <c r="G152" s="691"/>
      <c r="H152" s="690"/>
      <c r="I152" s="690"/>
      <c r="J152" s="690"/>
      <c r="K152" s="692">
        <f>+K139+K52+K144+K47+K12+K7+K69+K75+K150</f>
        <v>3194203130.3611045</v>
      </c>
      <c r="L152" s="693">
        <f>+L139+L52+L144+L47+L12+L7+L69+L75+L150</f>
        <v>5081000</v>
      </c>
      <c r="M152" s="693">
        <v>100</v>
      </c>
      <c r="N152" s="694">
        <f>+N139+N52+N144+N149+N47+N12+N7+N69+N150</f>
        <v>0</v>
      </c>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row>
    <row r="153" spans="1:61" s="19" customFormat="1">
      <c r="B153" s="690">
        <v>2018</v>
      </c>
      <c r="C153" s="690"/>
      <c r="D153" s="690"/>
      <c r="E153" s="691"/>
      <c r="F153" s="691"/>
      <c r="G153" s="691"/>
      <c r="H153" s="690"/>
      <c r="I153" s="690"/>
      <c r="J153" s="690"/>
      <c r="K153" s="692">
        <f>+K17+K36+K57+K80</f>
        <v>834124000.29999995</v>
      </c>
      <c r="L153" s="693">
        <f>+L17+L36+L57+L80</f>
        <v>1382396.1290376042</v>
      </c>
      <c r="M153" s="693">
        <v>100</v>
      </c>
      <c r="N153" s="694">
        <f>+N140+N53+N145+N150+N48+N13+N8+N70+N152</f>
        <v>0</v>
      </c>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row>
    <row r="154" spans="1:61" s="19" customFormat="1">
      <c r="B154" s="690">
        <v>2019</v>
      </c>
      <c r="C154" s="690"/>
      <c r="D154" s="690"/>
      <c r="E154" s="691"/>
      <c r="F154" s="691"/>
      <c r="G154" s="691"/>
      <c r="H154" s="690"/>
      <c r="I154" s="690"/>
      <c r="J154" s="690"/>
      <c r="K154" s="692">
        <f t="shared" ref="K154:L156" si="5">+K33+K66+K136</f>
        <v>872410000</v>
      </c>
      <c r="L154" s="693">
        <f t="shared" si="5"/>
        <v>1367199.4985112052</v>
      </c>
      <c r="M154" s="693">
        <v>100</v>
      </c>
      <c r="N154" s="694">
        <f>+N141+N54+N146+N152+N49+N14+N9+N71+N153</f>
        <v>0</v>
      </c>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row>
    <row r="155" spans="1:61" s="19" customFormat="1">
      <c r="B155" s="690">
        <v>2020</v>
      </c>
      <c r="C155" s="690"/>
      <c r="D155" s="690"/>
      <c r="E155" s="691"/>
      <c r="F155" s="691"/>
      <c r="G155" s="691"/>
      <c r="H155" s="690"/>
      <c r="I155" s="690"/>
      <c r="J155" s="690"/>
      <c r="K155" s="692">
        <f t="shared" si="5"/>
        <v>818682300</v>
      </c>
      <c r="L155" s="693">
        <f t="shared" si="5"/>
        <v>1283000</v>
      </c>
      <c r="M155" s="694">
        <v>100</v>
      </c>
      <c r="N155" s="694">
        <f>+N142+N55+N147+N153+N50+N15+N10+N72+N154</f>
        <v>0</v>
      </c>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row>
    <row r="156" spans="1:61" s="18" customFormat="1">
      <c r="B156" s="690">
        <v>2021</v>
      </c>
      <c r="C156" s="690"/>
      <c r="D156" s="690"/>
      <c r="E156" s="691"/>
      <c r="F156" s="691"/>
      <c r="G156" s="691"/>
      <c r="H156" s="690"/>
      <c r="I156" s="690"/>
      <c r="J156" s="690"/>
      <c r="K156" s="692">
        <f t="shared" si="5"/>
        <v>668986830.06110501</v>
      </c>
      <c r="L156" s="693">
        <f t="shared" si="5"/>
        <v>1048404.3724511908</v>
      </c>
      <c r="M156" s="694">
        <v>100</v>
      </c>
      <c r="N156" s="694">
        <v>0</v>
      </c>
      <c r="P156" s="19"/>
      <c r="Q156" s="19"/>
      <c r="R156" s="19"/>
      <c r="S156" s="19"/>
    </row>
    <row r="157" spans="1:61" s="18" customFormat="1">
      <c r="B157" s="19"/>
      <c r="C157" s="19"/>
      <c r="D157" s="19"/>
      <c r="E157" s="265"/>
      <c r="F157" s="265"/>
      <c r="G157" s="265"/>
      <c r="H157" s="19"/>
      <c r="I157" s="19"/>
      <c r="J157" s="19"/>
      <c r="K157" s="233"/>
      <c r="L157" s="27"/>
      <c r="M157" s="32"/>
      <c r="N157" s="32"/>
      <c r="P157" s="19"/>
      <c r="Q157" s="19"/>
      <c r="R157" s="19"/>
      <c r="S157" s="19"/>
    </row>
    <row r="158" spans="1:61" s="18" customFormat="1" ht="31.5" hidden="1">
      <c r="B158" s="18" t="s">
        <v>599</v>
      </c>
      <c r="D158" s="18">
        <v>603.39</v>
      </c>
      <c r="E158" s="145"/>
      <c r="F158" s="145"/>
      <c r="G158" s="145"/>
      <c r="K158" s="240">
        <f>872410000-802091700</f>
        <v>70318300</v>
      </c>
    </row>
    <row r="159" spans="1:61" s="18" customFormat="1" ht="31.5" hidden="1">
      <c r="B159" s="18" t="s">
        <v>600</v>
      </c>
      <c r="D159" s="18">
        <v>638.1</v>
      </c>
      <c r="E159" s="145"/>
      <c r="F159" s="145"/>
      <c r="G159" s="145"/>
      <c r="K159" s="239">
        <f>+K158/D159</f>
        <v>110199.49851120514</v>
      </c>
    </row>
    <row r="160" spans="1:61" s="18" customFormat="1" ht="31.5" hidden="1">
      <c r="B160" s="18" t="s">
        <v>601</v>
      </c>
      <c r="D160" s="18">
        <v>638.1</v>
      </c>
      <c r="E160" s="145"/>
      <c r="F160" s="145"/>
      <c r="G160" s="145"/>
      <c r="K160" s="239">
        <v>110199.49851120514</v>
      </c>
    </row>
    <row r="161" spans="2:13" s="18" customFormat="1" ht="31.5" hidden="1">
      <c r="B161" s="18" t="s">
        <v>602</v>
      </c>
      <c r="D161" s="18">
        <v>638.1</v>
      </c>
      <c r="E161" s="145"/>
      <c r="F161" s="145"/>
      <c r="G161" s="145"/>
      <c r="K161" s="239"/>
    </row>
    <row r="162" spans="2:13" s="18" customFormat="1" hidden="1">
      <c r="E162" s="145"/>
      <c r="F162" s="145"/>
      <c r="G162" s="145"/>
      <c r="K162" s="239"/>
    </row>
    <row r="163" spans="2:13" s="18" customFormat="1">
      <c r="E163" s="145"/>
      <c r="F163" s="145"/>
      <c r="G163" s="145"/>
      <c r="K163" s="239"/>
    </row>
    <row r="164" spans="2:13" s="18" customFormat="1">
      <c r="E164" s="145"/>
      <c r="F164" s="145"/>
      <c r="G164" s="145"/>
      <c r="K164" s="239"/>
    </row>
    <row r="165" spans="2:13" s="18" customFormat="1">
      <c r="E165" s="145"/>
      <c r="F165" s="145"/>
      <c r="G165" s="145"/>
      <c r="K165" s="239"/>
    </row>
    <row r="166" spans="2:13" s="18" customFormat="1">
      <c r="E166" s="145"/>
      <c r="F166" s="145"/>
      <c r="G166" s="145"/>
      <c r="K166" s="239"/>
    </row>
    <row r="167" spans="2:13" s="18" customFormat="1">
      <c r="D167" s="42"/>
      <c r="E167" s="145"/>
      <c r="F167" s="145"/>
      <c r="G167" s="145"/>
      <c r="H167" s="43"/>
      <c r="I167" s="43"/>
      <c r="J167" s="43"/>
      <c r="K167" s="238"/>
    </row>
    <row r="168" spans="2:13" s="18" customFormat="1">
      <c r="D168" s="42"/>
      <c r="E168" s="145"/>
      <c r="F168" s="145"/>
      <c r="G168" s="145"/>
      <c r="H168" s="42"/>
      <c r="I168" s="43"/>
      <c r="J168" s="43"/>
      <c r="K168" s="238"/>
    </row>
    <row r="169" spans="2:13" s="18" customFormat="1">
      <c r="D169" s="44"/>
      <c r="E169" s="267"/>
      <c r="F169" s="267"/>
      <c r="G169" s="267"/>
      <c r="H169" s="44"/>
      <c r="I169" s="45"/>
      <c r="J169" s="45"/>
      <c r="K169" s="238"/>
      <c r="L169" s="42"/>
      <c r="M169" s="42"/>
    </row>
    <row r="170" spans="2:13" s="18" customFormat="1">
      <c r="B170" s="46"/>
      <c r="C170" s="46"/>
      <c r="D170" s="44"/>
      <c r="E170" s="267"/>
      <c r="F170" s="267"/>
      <c r="G170" s="267"/>
      <c r="H170" s="44"/>
      <c r="I170" s="45"/>
      <c r="J170" s="45"/>
      <c r="K170" s="238"/>
    </row>
    <row r="171" spans="2:13" s="18" customFormat="1">
      <c r="D171" s="43"/>
      <c r="E171" s="145"/>
      <c r="F171" s="145"/>
      <c r="G171" s="145"/>
      <c r="H171" s="42"/>
      <c r="I171" s="43"/>
      <c r="J171" s="43"/>
      <c r="K171" s="240"/>
    </row>
    <row r="172" spans="2:13" s="18" customFormat="1">
      <c r="E172" s="145"/>
      <c r="F172" s="145"/>
      <c r="G172" s="145"/>
      <c r="I172" s="43"/>
      <c r="K172" s="239"/>
    </row>
    <row r="173" spans="2:13" s="18" customFormat="1">
      <c r="E173" s="145"/>
      <c r="F173" s="145"/>
      <c r="G173" s="145"/>
      <c r="I173" s="43"/>
      <c r="K173" s="239"/>
    </row>
    <row r="174" spans="2:13" s="18" customFormat="1">
      <c r="E174" s="145"/>
      <c r="F174" s="145"/>
      <c r="G174" s="145"/>
      <c r="I174" s="43"/>
      <c r="K174" s="239"/>
    </row>
    <row r="175" spans="2:13" s="18" customFormat="1">
      <c r="E175" s="145"/>
      <c r="F175" s="145"/>
      <c r="G175" s="145"/>
      <c r="K175" s="239"/>
    </row>
    <row r="176" spans="2:13" s="18" customFormat="1">
      <c r="E176" s="145"/>
      <c r="F176" s="145"/>
      <c r="G176" s="145"/>
      <c r="K176" s="239"/>
    </row>
    <row r="177" spans="1:12" s="18" customFormat="1">
      <c r="D177" s="47"/>
      <c r="E177" s="268"/>
      <c r="F177" s="268"/>
      <c r="G177" s="268"/>
      <c r="H177" s="47"/>
      <c r="K177" s="239"/>
      <c r="L177" s="47"/>
    </row>
    <row r="178" spans="1:12" s="18" customFormat="1">
      <c r="D178" s="47"/>
      <c r="E178" s="268"/>
      <c r="F178" s="268"/>
      <c r="G178" s="268"/>
      <c r="H178" s="47"/>
      <c r="K178" s="239"/>
    </row>
    <row r="179" spans="1:12" s="18" customFormat="1">
      <c r="A179" s="42"/>
      <c r="D179" s="47"/>
      <c r="E179" s="268"/>
      <c r="F179" s="268"/>
      <c r="G179" s="268"/>
      <c r="H179" s="47"/>
      <c r="K179" s="239"/>
    </row>
    <row r="180" spans="1:12" s="18" customFormat="1">
      <c r="D180" s="47"/>
      <c r="E180" s="268"/>
      <c r="F180" s="268"/>
      <c r="G180" s="268"/>
      <c r="H180" s="47"/>
      <c r="K180" s="239"/>
    </row>
    <row r="181" spans="1:12" s="18" customFormat="1">
      <c r="D181" s="47"/>
      <c r="E181" s="268"/>
      <c r="F181" s="268"/>
      <c r="G181" s="268"/>
      <c r="H181" s="47"/>
      <c r="K181" s="239"/>
    </row>
    <row r="182" spans="1:12" s="18" customFormat="1">
      <c r="D182" s="47"/>
      <c r="E182" s="268"/>
      <c r="F182" s="268"/>
      <c r="G182" s="268"/>
      <c r="H182" s="47"/>
      <c r="K182" s="239"/>
    </row>
    <row r="183" spans="1:12" s="18" customFormat="1">
      <c r="D183" s="47"/>
      <c r="E183" s="268"/>
      <c r="F183" s="268"/>
      <c r="G183" s="268"/>
      <c r="H183" s="47"/>
      <c r="K183" s="239"/>
    </row>
    <row r="184" spans="1:12" s="18" customFormat="1">
      <c r="E184" s="145"/>
      <c r="F184" s="145"/>
      <c r="G184" s="145"/>
      <c r="K184" s="239"/>
    </row>
    <row r="185" spans="1:12" s="18" customFormat="1">
      <c r="E185" s="145"/>
      <c r="F185" s="145"/>
      <c r="G185" s="145"/>
      <c r="K185" s="239"/>
    </row>
    <row r="186" spans="1:12" s="18" customFormat="1">
      <c r="E186" s="145"/>
      <c r="F186" s="145"/>
      <c r="G186" s="145"/>
      <c r="K186" s="239"/>
    </row>
    <row r="187" spans="1:12" s="18" customFormat="1">
      <c r="E187" s="145"/>
      <c r="F187" s="145"/>
      <c r="G187" s="145"/>
      <c r="K187" s="239"/>
    </row>
    <row r="188" spans="1:12" s="18" customFormat="1">
      <c r="E188" s="145"/>
      <c r="F188" s="145"/>
      <c r="G188" s="145"/>
      <c r="K188" s="239"/>
    </row>
    <row r="189" spans="1:12" s="18" customFormat="1">
      <c r="E189" s="145"/>
      <c r="F189" s="145"/>
      <c r="G189" s="145"/>
      <c r="K189" s="239"/>
    </row>
    <row r="190" spans="1:12" s="18" customFormat="1">
      <c r="E190" s="145"/>
      <c r="F190" s="145"/>
      <c r="G190" s="145"/>
      <c r="K190" s="239"/>
    </row>
    <row r="191" spans="1:12" s="18" customFormat="1">
      <c r="E191" s="145"/>
      <c r="F191" s="145"/>
      <c r="G191" s="145"/>
      <c r="K191" s="239"/>
    </row>
    <row r="192" spans="1:12" s="18" customFormat="1">
      <c r="E192" s="145"/>
      <c r="F192" s="145"/>
      <c r="G192" s="145"/>
      <c r="K192" s="239"/>
    </row>
    <row r="193" spans="5:11" s="18" customFormat="1">
      <c r="E193" s="145"/>
      <c r="F193" s="145"/>
      <c r="G193" s="145"/>
      <c r="K193" s="239"/>
    </row>
  </sheetData>
  <mergeCells count="148">
    <mergeCell ref="C15:C16"/>
    <mergeCell ref="C50:C51"/>
    <mergeCell ref="C55:C56"/>
    <mergeCell ref="C72:C73"/>
    <mergeCell ref="C78:C79"/>
    <mergeCell ref="C142:C143"/>
    <mergeCell ref="C147:C148"/>
    <mergeCell ref="L147:N147"/>
    <mergeCell ref="O147:O148"/>
    <mergeCell ref="I139:J139"/>
    <mergeCell ref="O50:O51"/>
    <mergeCell ref="J15:J16"/>
    <mergeCell ref="L15:N15"/>
    <mergeCell ref="O15:O16"/>
    <mergeCell ref="P147:P148"/>
    <mergeCell ref="Q147:R147"/>
    <mergeCell ref="S147:S148"/>
    <mergeCell ref="F149:H149"/>
    <mergeCell ref="I149:J149"/>
    <mergeCell ref="I144:J144"/>
    <mergeCell ref="A146:A147"/>
    <mergeCell ref="B146:S146"/>
    <mergeCell ref="B147:B148"/>
    <mergeCell ref="D147:D148"/>
    <mergeCell ref="E147:E148"/>
    <mergeCell ref="F147:H148"/>
    <mergeCell ref="I147:J148"/>
    <mergeCell ref="A141:A142"/>
    <mergeCell ref="B141:S141"/>
    <mergeCell ref="B142:B143"/>
    <mergeCell ref="D142:D143"/>
    <mergeCell ref="E142:E143"/>
    <mergeCell ref="F142:F143"/>
    <mergeCell ref="G142:G143"/>
    <mergeCell ref="H142:H143"/>
    <mergeCell ref="I142:J142"/>
    <mergeCell ref="L142:N142"/>
    <mergeCell ref="O142:O143"/>
    <mergeCell ref="P142:P143"/>
    <mergeCell ref="Q142:R142"/>
    <mergeCell ref="S142:S143"/>
    <mergeCell ref="I143:J143"/>
    <mergeCell ref="A77:A78"/>
    <mergeCell ref="B77:S77"/>
    <mergeCell ref="B78:B79"/>
    <mergeCell ref="D78:D79"/>
    <mergeCell ref="E78:E79"/>
    <mergeCell ref="F78:F79"/>
    <mergeCell ref="G78:G79"/>
    <mergeCell ref="H78:H79"/>
    <mergeCell ref="H72:H73"/>
    <mergeCell ref="I72:J72"/>
    <mergeCell ref="K72:N72"/>
    <mergeCell ref="O72:O73"/>
    <mergeCell ref="Q72:R72"/>
    <mergeCell ref="S72:S73"/>
    <mergeCell ref="I73:J73"/>
    <mergeCell ref="I78:J78"/>
    <mergeCell ref="L78:N78"/>
    <mergeCell ref="O78:O79"/>
    <mergeCell ref="P78:P79"/>
    <mergeCell ref="Q78:R78"/>
    <mergeCell ref="S78:S79"/>
    <mergeCell ref="I79:J79"/>
    <mergeCell ref="I74:J74"/>
    <mergeCell ref="I75:J75"/>
    <mergeCell ref="A71:A73"/>
    <mergeCell ref="B71:S71"/>
    <mergeCell ref="B72:B73"/>
    <mergeCell ref="D72:D73"/>
    <mergeCell ref="E72:E73"/>
    <mergeCell ref="F72:F73"/>
    <mergeCell ref="G72:G73"/>
    <mergeCell ref="F55:F56"/>
    <mergeCell ref="G55:G56"/>
    <mergeCell ref="H55:H56"/>
    <mergeCell ref="I55:I56"/>
    <mergeCell ref="J55:M55"/>
    <mergeCell ref="O55:O56"/>
    <mergeCell ref="P50:P51"/>
    <mergeCell ref="Q50:R50"/>
    <mergeCell ref="S50:S51"/>
    <mergeCell ref="I51:J51"/>
    <mergeCell ref="A54:A55"/>
    <mergeCell ref="B54:S54"/>
    <mergeCell ref="B55:B56"/>
    <mergeCell ref="D55:D56"/>
    <mergeCell ref="E55:E56"/>
    <mergeCell ref="A49:A50"/>
    <mergeCell ref="B49:S49"/>
    <mergeCell ref="B50:B51"/>
    <mergeCell ref="D50:D51"/>
    <mergeCell ref="E50:E51"/>
    <mergeCell ref="F50:F51"/>
    <mergeCell ref="G50:G51"/>
    <mergeCell ref="H50:H51"/>
    <mergeCell ref="I50:J50"/>
    <mergeCell ref="L50:N50"/>
    <mergeCell ref="P55:P56"/>
    <mergeCell ref="Q55:R55"/>
    <mergeCell ref="S55:S56"/>
    <mergeCell ref="P15:P16"/>
    <mergeCell ref="Q15:R15"/>
    <mergeCell ref="S15:S16"/>
    <mergeCell ref="S10:S11"/>
    <mergeCell ref="A14:A15"/>
    <mergeCell ref="B14:S14"/>
    <mergeCell ref="B15:B16"/>
    <mergeCell ref="D15:D16"/>
    <mergeCell ref="E15:E16"/>
    <mergeCell ref="F15:F16"/>
    <mergeCell ref="G15:G16"/>
    <mergeCell ref="H15:H16"/>
    <mergeCell ref="I15:I16"/>
    <mergeCell ref="I10:I11"/>
    <mergeCell ref="J10:J11"/>
    <mergeCell ref="L10:N10"/>
    <mergeCell ref="O10:O11"/>
    <mergeCell ref="P10:P11"/>
    <mergeCell ref="Q10:R10"/>
    <mergeCell ref="A9:A10"/>
    <mergeCell ref="B9:S9"/>
    <mergeCell ref="B10:B11"/>
    <mergeCell ref="D10:D11"/>
    <mergeCell ref="E10:E11"/>
    <mergeCell ref="F10:F11"/>
    <mergeCell ref="G10:G11"/>
    <mergeCell ref="H10:H11"/>
    <mergeCell ref="H5:H6"/>
    <mergeCell ref="I5:I6"/>
    <mergeCell ref="J5:J6"/>
    <mergeCell ref="C5:C6"/>
    <mergeCell ref="C10:C11"/>
    <mergeCell ref="L5:N5"/>
    <mergeCell ref="O5:O6"/>
    <mergeCell ref="P5:P6"/>
    <mergeCell ref="B1:S1"/>
    <mergeCell ref="B2:S2"/>
    <mergeCell ref="B3:S3"/>
    <mergeCell ref="A4:A5"/>
    <mergeCell ref="B4:S4"/>
    <mergeCell ref="B5:B6"/>
    <mergeCell ref="D5:D6"/>
    <mergeCell ref="E5:E6"/>
    <mergeCell ref="F5:F6"/>
    <mergeCell ref="G5:G6"/>
    <mergeCell ref="Q5:R5"/>
    <mergeCell ref="S5:S6"/>
  </mergeCells>
  <conditionalFormatting sqref="E134">
    <cfRule type="cellIs" dxfId="1" priority="1" operator="lessThan">
      <formula>0</formula>
    </cfRule>
  </conditionalFormatting>
  <conditionalFormatting sqref="E81:E132">
    <cfRule type="cellIs" dxfId="0" priority="2" operator="lessThan">
      <formula>0</formula>
    </cfRule>
  </conditionalFormatting>
  <dataValidations count="3">
    <dataValidation type="list" allowBlank="1" showInputMessage="1" showErrorMessage="1" sqref="H74:H75" xr:uid="{00000000-0002-0000-0400-000000000000}">
      <formula1>$W$12:$W$13</formula1>
    </dataValidation>
    <dataValidation type="list" allowBlank="1" showInputMessage="1" showErrorMessage="1" sqref="P74:P75" xr:uid="{00000000-0002-0000-0400-000001000000}">
      <formula1>$W$2:$W$4</formula1>
    </dataValidation>
    <dataValidation type="list" allowBlank="1" showInputMessage="1" showErrorMessage="1" sqref="H7 H144:H145 P7 P12 H12 P144:P145 H52 P52 P57:P69 H57:H69 P80:P140 H80:H140 H17:H47 P17:P47" xr:uid="{00000000-0002-0000-0400-000002000000}">
      <formula1>#REF!</formula1>
    </dataValidation>
  </dataValidations>
  <pageMargins left="0.7" right="0.7" top="0.75" bottom="0.75" header="0.3" footer="0.3"/>
  <pageSetup orientation="portrait"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I133"/>
  <sheetViews>
    <sheetView topLeftCell="A23" zoomScale="70" zoomScaleNormal="70" workbookViewId="0">
      <selection activeCell="A29" sqref="A29"/>
    </sheetView>
  </sheetViews>
  <sheetFormatPr defaultColWidth="19.140625" defaultRowHeight="15.75"/>
  <cols>
    <col min="1" max="1" width="10.85546875" style="48" customWidth="1"/>
    <col min="2" max="2" width="11.42578125" style="48" hidden="1" customWidth="1"/>
    <col min="3" max="3" width="9.140625" style="48" customWidth="1"/>
    <col min="4" max="4" width="19.85546875" style="48" customWidth="1"/>
    <col min="5" max="5" width="38.42578125" style="269" customWidth="1"/>
    <col min="6" max="6" width="37.42578125" style="269" customWidth="1"/>
    <col min="7" max="7" width="36.28515625" style="269" customWidth="1"/>
    <col min="8" max="8" width="12.140625" style="49" customWidth="1"/>
    <col min="9" max="10" width="0" style="49" hidden="1" customWidth="1"/>
    <col min="11" max="11" width="26" style="242" customWidth="1"/>
    <col min="12" max="12" width="19.140625" style="242"/>
    <col min="13" max="14" width="19.140625" style="49"/>
    <col min="15" max="16" width="25.42578125" style="49" customWidth="1"/>
    <col min="17" max="17" width="28.28515625" style="49" customWidth="1"/>
    <col min="18" max="18" width="25.42578125" style="49" customWidth="1"/>
    <col min="19" max="19" width="175.140625" style="49" customWidth="1"/>
    <col min="20" max="61" width="19.140625" style="18"/>
    <col min="62" max="16384" width="19.140625" style="48"/>
  </cols>
  <sheetData>
    <row r="1" spans="1:61" s="18" customFormat="1">
      <c r="B1" s="315" t="s">
        <v>55</v>
      </c>
      <c r="C1" s="315"/>
      <c r="D1" s="315"/>
      <c r="E1" s="315"/>
      <c r="F1" s="315"/>
      <c r="G1" s="315"/>
      <c r="H1" s="315"/>
      <c r="I1" s="315"/>
      <c r="J1" s="315"/>
      <c r="K1" s="315"/>
      <c r="L1" s="315"/>
      <c r="M1" s="315"/>
      <c r="N1" s="315"/>
      <c r="O1" s="315"/>
      <c r="P1" s="315"/>
      <c r="Q1" s="315"/>
      <c r="R1" s="315"/>
      <c r="S1" s="315"/>
    </row>
    <row r="2" spans="1:61" s="19" customFormat="1">
      <c r="B2" s="316" t="s">
        <v>433</v>
      </c>
      <c r="C2" s="316"/>
      <c r="D2" s="316"/>
      <c r="E2" s="316"/>
      <c r="F2" s="316"/>
      <c r="G2" s="316"/>
      <c r="H2" s="316"/>
      <c r="I2" s="316"/>
      <c r="J2" s="316"/>
      <c r="K2" s="316"/>
      <c r="L2" s="316"/>
      <c r="M2" s="316"/>
      <c r="N2" s="316"/>
      <c r="O2" s="316"/>
      <c r="P2" s="316"/>
      <c r="Q2" s="316"/>
      <c r="R2" s="316"/>
      <c r="S2" s="316"/>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61" s="19" customFormat="1">
      <c r="B3" s="317" t="s">
        <v>603</v>
      </c>
      <c r="C3" s="317"/>
      <c r="D3" s="317"/>
      <c r="E3" s="317"/>
      <c r="F3" s="317"/>
      <c r="G3" s="317"/>
      <c r="H3" s="317"/>
      <c r="I3" s="317"/>
      <c r="J3" s="317"/>
      <c r="K3" s="317"/>
      <c r="L3" s="317"/>
      <c r="M3" s="317"/>
      <c r="N3" s="317"/>
      <c r="O3" s="317"/>
      <c r="P3" s="317"/>
      <c r="Q3" s="317"/>
      <c r="R3" s="317"/>
      <c r="S3" s="317"/>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61" s="21" customFormat="1">
      <c r="A4" s="599" t="s">
        <v>435</v>
      </c>
      <c r="B4" s="695" t="s">
        <v>436</v>
      </c>
      <c r="C4" s="695"/>
      <c r="D4" s="695"/>
      <c r="E4" s="695"/>
      <c r="F4" s="695"/>
      <c r="G4" s="695"/>
      <c r="H4" s="695"/>
      <c r="I4" s="695"/>
      <c r="J4" s="695"/>
      <c r="K4" s="695"/>
      <c r="L4" s="695"/>
      <c r="M4" s="695"/>
      <c r="N4" s="695"/>
      <c r="O4" s="695"/>
      <c r="P4" s="695"/>
      <c r="Q4" s="695"/>
      <c r="R4" s="695"/>
      <c r="S4" s="695"/>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19"/>
      <c r="BC4" s="19"/>
      <c r="BD4" s="19"/>
      <c r="BE4" s="19"/>
      <c r="BF4" s="19"/>
      <c r="BG4" s="19"/>
      <c r="BH4" s="19"/>
      <c r="BI4" s="19"/>
    </row>
    <row r="5" spans="1:61" s="21" customFormat="1">
      <c r="A5" s="599"/>
      <c r="B5" s="599" t="s">
        <v>437</v>
      </c>
      <c r="C5" s="599" t="s">
        <v>438</v>
      </c>
      <c r="D5" s="599" t="s">
        <v>439</v>
      </c>
      <c r="E5" s="600" t="s">
        <v>440</v>
      </c>
      <c r="F5" s="600" t="s">
        <v>441</v>
      </c>
      <c r="G5" s="600" t="s">
        <v>442</v>
      </c>
      <c r="H5" s="599" t="s">
        <v>443</v>
      </c>
      <c r="I5" s="599" t="s">
        <v>444</v>
      </c>
      <c r="J5" s="599" t="s">
        <v>445</v>
      </c>
      <c r="K5" s="601"/>
      <c r="L5" s="602" t="s">
        <v>446</v>
      </c>
      <c r="M5" s="602"/>
      <c r="N5" s="602"/>
      <c r="O5" s="599" t="s">
        <v>447</v>
      </c>
      <c r="P5" s="599" t="s">
        <v>448</v>
      </c>
      <c r="Q5" s="599" t="s">
        <v>449</v>
      </c>
      <c r="R5" s="599"/>
      <c r="S5" s="599" t="s">
        <v>450</v>
      </c>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19"/>
      <c r="BC5" s="19"/>
      <c r="BD5" s="19"/>
      <c r="BE5" s="19"/>
      <c r="BF5" s="19"/>
      <c r="BG5" s="19"/>
      <c r="BH5" s="19"/>
      <c r="BI5" s="19"/>
    </row>
    <row r="6" spans="1:61" s="21" customFormat="1" ht="31.5">
      <c r="A6" s="603"/>
      <c r="B6" s="599"/>
      <c r="C6" s="599"/>
      <c r="D6" s="599" t="s">
        <v>439</v>
      </c>
      <c r="E6" s="600"/>
      <c r="F6" s="600"/>
      <c r="G6" s="600"/>
      <c r="H6" s="599"/>
      <c r="I6" s="599"/>
      <c r="J6" s="599"/>
      <c r="K6" s="604" t="s">
        <v>451</v>
      </c>
      <c r="L6" s="604" t="s">
        <v>452</v>
      </c>
      <c r="M6" s="606" t="s">
        <v>453</v>
      </c>
      <c r="N6" s="606" t="s">
        <v>454</v>
      </c>
      <c r="O6" s="599"/>
      <c r="P6" s="599"/>
      <c r="Q6" s="603" t="s">
        <v>455</v>
      </c>
      <c r="R6" s="603" t="s">
        <v>456</v>
      </c>
      <c r="S6" s="599"/>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19"/>
      <c r="BC6" s="19"/>
      <c r="BD6" s="19"/>
      <c r="BE6" s="19"/>
      <c r="BF6" s="19"/>
      <c r="BG6" s="19"/>
      <c r="BH6" s="19"/>
      <c r="BI6" s="19"/>
    </row>
    <row r="7" spans="1:61" s="19" customFormat="1">
      <c r="A7" s="607"/>
      <c r="B7" s="608" t="s">
        <v>457</v>
      </c>
      <c r="C7" s="608"/>
      <c r="D7" s="608"/>
      <c r="E7" s="609"/>
      <c r="F7" s="609"/>
      <c r="G7" s="609"/>
      <c r="H7" s="608"/>
      <c r="I7" s="608"/>
      <c r="J7" s="608"/>
      <c r="K7" s="610"/>
      <c r="L7" s="610"/>
      <c r="M7" s="611"/>
      <c r="N7" s="611"/>
      <c r="O7" s="608"/>
      <c r="P7" s="608"/>
      <c r="Q7" s="608"/>
      <c r="R7" s="608"/>
      <c r="S7" s="608"/>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row>
    <row r="8" spans="1:61" s="21" customFormat="1">
      <c r="E8" s="264"/>
      <c r="F8" s="264"/>
      <c r="G8" s="264"/>
      <c r="K8" s="227"/>
      <c r="L8" s="228"/>
      <c r="M8" s="23"/>
      <c r="N8" s="23"/>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19"/>
      <c r="BC8" s="19"/>
      <c r="BD8" s="19"/>
      <c r="BE8" s="19"/>
      <c r="BF8" s="19"/>
      <c r="BG8" s="19"/>
      <c r="BH8" s="19"/>
      <c r="BI8" s="19"/>
    </row>
    <row r="9" spans="1:61" s="21" customFormat="1">
      <c r="A9" s="599" t="s">
        <v>435</v>
      </c>
      <c r="B9" s="599" t="s">
        <v>458</v>
      </c>
      <c r="C9" s="599"/>
      <c r="D9" s="599"/>
      <c r="E9" s="599"/>
      <c r="F9" s="599"/>
      <c r="G9" s="599"/>
      <c r="H9" s="599"/>
      <c r="I9" s="599"/>
      <c r="J9" s="599"/>
      <c r="K9" s="599"/>
      <c r="L9" s="599"/>
      <c r="M9" s="599"/>
      <c r="N9" s="599"/>
      <c r="O9" s="599"/>
      <c r="P9" s="599"/>
      <c r="Q9" s="599"/>
      <c r="R9" s="599"/>
      <c r="S9" s="599"/>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19"/>
      <c r="BC9" s="19"/>
      <c r="BD9" s="19"/>
      <c r="BE9" s="19"/>
      <c r="BF9" s="19"/>
      <c r="BG9" s="19"/>
      <c r="BH9" s="19"/>
      <c r="BI9" s="19"/>
    </row>
    <row r="10" spans="1:61" s="21" customFormat="1">
      <c r="A10" s="599"/>
      <c r="B10" s="599" t="s">
        <v>437</v>
      </c>
      <c r="C10" s="599" t="s">
        <v>438</v>
      </c>
      <c r="D10" s="599" t="s">
        <v>439</v>
      </c>
      <c r="E10" s="600" t="s">
        <v>440</v>
      </c>
      <c r="F10" s="600" t="s">
        <v>441</v>
      </c>
      <c r="G10" s="600" t="s">
        <v>442</v>
      </c>
      <c r="H10" s="599" t="s">
        <v>459</v>
      </c>
      <c r="I10" s="599" t="s">
        <v>444</v>
      </c>
      <c r="J10" s="599" t="s">
        <v>445</v>
      </c>
      <c r="K10" s="601"/>
      <c r="L10" s="602" t="s">
        <v>446</v>
      </c>
      <c r="M10" s="602"/>
      <c r="N10" s="602"/>
      <c r="O10" s="599" t="s">
        <v>447</v>
      </c>
      <c r="P10" s="599" t="s">
        <v>448</v>
      </c>
      <c r="Q10" s="599" t="s">
        <v>449</v>
      </c>
      <c r="R10" s="599"/>
      <c r="S10" s="599" t="s">
        <v>450</v>
      </c>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19"/>
      <c r="BC10" s="19"/>
      <c r="BD10" s="19"/>
      <c r="BE10" s="19"/>
      <c r="BF10" s="19"/>
      <c r="BG10" s="19"/>
      <c r="BH10" s="19"/>
      <c r="BI10" s="19"/>
    </row>
    <row r="11" spans="1:61" s="21" customFormat="1" ht="31.5">
      <c r="A11" s="603"/>
      <c r="B11" s="599"/>
      <c r="C11" s="599"/>
      <c r="D11" s="599" t="s">
        <v>439</v>
      </c>
      <c r="E11" s="600"/>
      <c r="F11" s="600"/>
      <c r="G11" s="600"/>
      <c r="H11" s="599"/>
      <c r="I11" s="599"/>
      <c r="J11" s="599"/>
      <c r="K11" s="604" t="s">
        <v>451</v>
      </c>
      <c r="L11" s="604" t="s">
        <v>452</v>
      </c>
      <c r="M11" s="606" t="s">
        <v>453</v>
      </c>
      <c r="N11" s="606" t="s">
        <v>454</v>
      </c>
      <c r="O11" s="599"/>
      <c r="P11" s="599"/>
      <c r="Q11" s="603" t="s">
        <v>455</v>
      </c>
      <c r="R11" s="603" t="s">
        <v>456</v>
      </c>
      <c r="S11" s="599"/>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19"/>
      <c r="BC11" s="19"/>
      <c r="BD11" s="19"/>
      <c r="BE11" s="19"/>
      <c r="BF11" s="19"/>
      <c r="BG11" s="19"/>
      <c r="BH11" s="19"/>
      <c r="BI11" s="19"/>
    </row>
    <row r="12" spans="1:61" s="19" customFormat="1" ht="94.5">
      <c r="A12" s="607" t="s">
        <v>364</v>
      </c>
      <c r="B12" s="608" t="s">
        <v>291</v>
      </c>
      <c r="C12" s="608">
        <v>2018</v>
      </c>
      <c r="D12" s="608"/>
      <c r="E12" s="612" t="s">
        <v>604</v>
      </c>
      <c r="F12" s="681">
        <v>2018</v>
      </c>
      <c r="G12" s="681" t="s">
        <v>605</v>
      </c>
      <c r="H12" s="696"/>
      <c r="I12" s="696"/>
      <c r="J12" s="696"/>
      <c r="K12" s="697">
        <f>SUM(K13:K20)</f>
        <v>78258382</v>
      </c>
      <c r="L12" s="697">
        <f>SUM(L13:L20)</f>
        <v>129697.84384892028</v>
      </c>
      <c r="M12" s="698"/>
      <c r="N12" s="698"/>
      <c r="O12" s="696"/>
      <c r="P12" s="696"/>
      <c r="Q12" s="696"/>
      <c r="R12" s="696"/>
      <c r="S12" s="696"/>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row>
    <row r="13" spans="1:61" s="19" customFormat="1" ht="31.5">
      <c r="A13" s="607"/>
      <c r="B13" s="608" t="s">
        <v>291</v>
      </c>
      <c r="C13" s="608"/>
      <c r="D13" s="608"/>
      <c r="E13" s="612" t="s">
        <v>606</v>
      </c>
      <c r="F13" s="681" t="s">
        <v>607</v>
      </c>
      <c r="G13" s="681" t="s">
        <v>605</v>
      </c>
      <c r="H13" s="615" t="s">
        <v>465</v>
      </c>
      <c r="I13" s="608"/>
      <c r="J13" s="608"/>
      <c r="K13" s="617">
        <v>1242108</v>
      </c>
      <c r="L13" s="610">
        <f t="shared" ref="L13:L19" si="0">+K13/$D$109</f>
        <v>2058.5491970367425</v>
      </c>
      <c r="M13" s="611">
        <v>100</v>
      </c>
      <c r="N13" s="611">
        <v>0</v>
      </c>
      <c r="O13" s="608" t="s">
        <v>466</v>
      </c>
      <c r="P13" s="608" t="s">
        <v>465</v>
      </c>
      <c r="Q13" s="615" t="s">
        <v>608</v>
      </c>
      <c r="R13" s="699">
        <v>43234</v>
      </c>
      <c r="S13" s="615" t="s">
        <v>609</v>
      </c>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row>
    <row r="14" spans="1:61" s="19" customFormat="1" ht="31.5">
      <c r="A14" s="607"/>
      <c r="B14" s="608" t="s">
        <v>291</v>
      </c>
      <c r="C14" s="608"/>
      <c r="D14" s="608"/>
      <c r="E14" s="612" t="s">
        <v>606</v>
      </c>
      <c r="F14" s="681" t="s">
        <v>610</v>
      </c>
      <c r="G14" s="681" t="s">
        <v>605</v>
      </c>
      <c r="H14" s="615" t="s">
        <v>465</v>
      </c>
      <c r="I14" s="608"/>
      <c r="J14" s="608"/>
      <c r="K14" s="617">
        <v>650349</v>
      </c>
      <c r="L14" s="610">
        <f t="shared" si="0"/>
        <v>1077.8252871277284</v>
      </c>
      <c r="M14" s="611">
        <v>100</v>
      </c>
      <c r="N14" s="611">
        <v>0</v>
      </c>
      <c r="O14" s="608" t="s">
        <v>466</v>
      </c>
      <c r="P14" s="608" t="s">
        <v>465</v>
      </c>
      <c r="Q14" s="615" t="s">
        <v>608</v>
      </c>
      <c r="R14" s="699">
        <v>43234</v>
      </c>
      <c r="S14" s="615" t="s">
        <v>609</v>
      </c>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row>
    <row r="15" spans="1:61" s="19" customFormat="1" ht="31.5">
      <c r="A15" s="607"/>
      <c r="B15" s="608" t="s">
        <v>291</v>
      </c>
      <c r="C15" s="608"/>
      <c r="D15" s="608"/>
      <c r="E15" s="612" t="s">
        <v>606</v>
      </c>
      <c r="F15" s="681" t="s">
        <v>611</v>
      </c>
      <c r="G15" s="681" t="s">
        <v>605</v>
      </c>
      <c r="H15" s="615" t="s">
        <v>465</v>
      </c>
      <c r="I15" s="608"/>
      <c r="J15" s="608"/>
      <c r="K15" s="617">
        <v>10625000</v>
      </c>
      <c r="L15" s="610">
        <f t="shared" si="0"/>
        <v>17608.843368302427</v>
      </c>
      <c r="M15" s="611">
        <v>100</v>
      </c>
      <c r="N15" s="611">
        <v>0</v>
      </c>
      <c r="O15" s="608" t="s">
        <v>466</v>
      </c>
      <c r="P15" s="608" t="s">
        <v>465</v>
      </c>
      <c r="Q15" s="615" t="s">
        <v>612</v>
      </c>
      <c r="R15" s="699">
        <v>43248</v>
      </c>
      <c r="S15" s="615" t="s">
        <v>613</v>
      </c>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row>
    <row r="16" spans="1:61" s="19" customFormat="1" ht="31.5">
      <c r="A16" s="607"/>
      <c r="B16" s="608" t="s">
        <v>291</v>
      </c>
      <c r="C16" s="608"/>
      <c r="D16" s="608"/>
      <c r="E16" s="612" t="s">
        <v>606</v>
      </c>
      <c r="F16" s="681" t="s">
        <v>614</v>
      </c>
      <c r="G16" s="681" t="s">
        <v>605</v>
      </c>
      <c r="H16" s="615" t="s">
        <v>465</v>
      </c>
      <c r="I16" s="608"/>
      <c r="J16" s="608"/>
      <c r="K16" s="617">
        <v>2878848</v>
      </c>
      <c r="L16" s="610">
        <f t="shared" si="0"/>
        <v>4771.1231541788893</v>
      </c>
      <c r="M16" s="611">
        <v>100</v>
      </c>
      <c r="N16" s="611">
        <v>0</v>
      </c>
      <c r="O16" s="608" t="s">
        <v>466</v>
      </c>
      <c r="P16" s="608" t="s">
        <v>465</v>
      </c>
      <c r="Q16" s="615" t="s">
        <v>608</v>
      </c>
      <c r="R16" s="615" t="s">
        <v>615</v>
      </c>
      <c r="S16" s="615" t="s">
        <v>616</v>
      </c>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row>
    <row r="17" spans="1:61" s="19" customFormat="1" ht="31.5">
      <c r="A17" s="607"/>
      <c r="B17" s="608" t="s">
        <v>291</v>
      </c>
      <c r="C17" s="608"/>
      <c r="D17" s="608"/>
      <c r="E17" s="612" t="s">
        <v>606</v>
      </c>
      <c r="F17" s="681" t="s">
        <v>617</v>
      </c>
      <c r="G17" s="681" t="s">
        <v>605</v>
      </c>
      <c r="H17" s="615" t="s">
        <v>465</v>
      </c>
      <c r="I17" s="608"/>
      <c r="J17" s="608"/>
      <c r="K17" s="617">
        <v>3689952</v>
      </c>
      <c r="L17" s="610">
        <f t="shared" si="0"/>
        <v>6115.3681698404016</v>
      </c>
      <c r="M17" s="611">
        <v>100</v>
      </c>
      <c r="N17" s="611">
        <v>0</v>
      </c>
      <c r="O17" s="608" t="s">
        <v>466</v>
      </c>
      <c r="P17" s="608" t="s">
        <v>465</v>
      </c>
      <c r="Q17" s="615" t="s">
        <v>618</v>
      </c>
      <c r="R17" s="615" t="s">
        <v>615</v>
      </c>
      <c r="S17" s="615" t="s">
        <v>616</v>
      </c>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row>
    <row r="18" spans="1:61" s="19" customFormat="1" ht="78.75">
      <c r="A18" s="607"/>
      <c r="B18" s="608" t="s">
        <v>291</v>
      </c>
      <c r="C18" s="608"/>
      <c r="D18" s="608"/>
      <c r="E18" s="612" t="s">
        <v>606</v>
      </c>
      <c r="F18" s="681" t="s">
        <v>619</v>
      </c>
      <c r="G18" s="681" t="s">
        <v>605</v>
      </c>
      <c r="H18" s="615" t="s">
        <v>465</v>
      </c>
      <c r="I18" s="608"/>
      <c r="J18" s="608"/>
      <c r="K18" s="617">
        <v>34500000</v>
      </c>
      <c r="L18" s="610">
        <f t="shared" si="0"/>
        <v>57176.950231193754</v>
      </c>
      <c r="M18" s="611">
        <v>100</v>
      </c>
      <c r="N18" s="611">
        <v>0</v>
      </c>
      <c r="O18" s="608" t="s">
        <v>466</v>
      </c>
      <c r="P18" s="608" t="s">
        <v>465</v>
      </c>
      <c r="Q18" s="615" t="s">
        <v>618</v>
      </c>
      <c r="R18" s="615" t="s">
        <v>615</v>
      </c>
      <c r="S18" s="615" t="s">
        <v>616</v>
      </c>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row>
    <row r="19" spans="1:61" s="19" customFormat="1" ht="63">
      <c r="A19" s="607"/>
      <c r="B19" s="608" t="s">
        <v>291</v>
      </c>
      <c r="C19" s="608"/>
      <c r="D19" s="608"/>
      <c r="E19" s="612" t="s">
        <v>606</v>
      </c>
      <c r="F19" s="681" t="s">
        <v>620</v>
      </c>
      <c r="G19" s="681" t="s">
        <v>605</v>
      </c>
      <c r="H19" s="615" t="s">
        <v>465</v>
      </c>
      <c r="I19" s="608"/>
      <c r="J19" s="608"/>
      <c r="K19" s="617">
        <v>863402</v>
      </c>
      <c r="L19" s="610">
        <f t="shared" si="0"/>
        <v>1430.9186430003813</v>
      </c>
      <c r="M19" s="611">
        <v>100</v>
      </c>
      <c r="N19" s="611">
        <v>0</v>
      </c>
      <c r="O19" s="608" t="s">
        <v>466</v>
      </c>
      <c r="P19" s="608" t="s">
        <v>465</v>
      </c>
      <c r="Q19" s="615" t="s">
        <v>618</v>
      </c>
      <c r="R19" s="615" t="s">
        <v>615</v>
      </c>
      <c r="S19" s="615" t="s">
        <v>616</v>
      </c>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row>
    <row r="20" spans="1:61" s="19" customFormat="1" ht="31.5">
      <c r="A20" s="607"/>
      <c r="B20" s="608"/>
      <c r="C20" s="608"/>
      <c r="D20" s="608"/>
      <c r="E20" s="612" t="s">
        <v>606</v>
      </c>
      <c r="F20" s="681" t="s">
        <v>621</v>
      </c>
      <c r="G20" s="681" t="s">
        <v>605</v>
      </c>
      <c r="H20" s="615" t="s">
        <v>465</v>
      </c>
      <c r="I20" s="608"/>
      <c r="J20" s="608"/>
      <c r="K20" s="617">
        <v>23808723</v>
      </c>
      <c r="L20" s="610">
        <f>+K20/$D$109</f>
        <v>39458.265798239947</v>
      </c>
      <c r="M20" s="611"/>
      <c r="N20" s="611"/>
      <c r="O20" s="608"/>
      <c r="P20" s="608"/>
      <c r="Q20" s="615"/>
      <c r="R20" s="615"/>
      <c r="S20" s="615"/>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row>
    <row r="21" spans="1:61" s="19" customFormat="1" ht="78.75">
      <c r="A21" s="607" t="s">
        <v>364</v>
      </c>
      <c r="B21" s="608" t="s">
        <v>291</v>
      </c>
      <c r="C21" s="608">
        <v>2019</v>
      </c>
      <c r="D21" s="608"/>
      <c r="E21" s="612" t="s">
        <v>622</v>
      </c>
      <c r="F21" s="681" t="s">
        <v>623</v>
      </c>
      <c r="G21" s="681" t="s">
        <v>624</v>
      </c>
      <c r="H21" s="615" t="s">
        <v>465</v>
      </c>
      <c r="I21" s="608"/>
      <c r="J21" s="608"/>
      <c r="K21" s="697">
        <f>L21*D110</f>
        <v>63810000</v>
      </c>
      <c r="L21" s="610">
        <v>100000</v>
      </c>
      <c r="M21" s="611">
        <v>100</v>
      </c>
      <c r="N21" s="611">
        <v>0</v>
      </c>
      <c r="O21" s="608" t="s">
        <v>466</v>
      </c>
      <c r="P21" s="608" t="s">
        <v>465</v>
      </c>
      <c r="Q21" s="615" t="s">
        <v>625</v>
      </c>
      <c r="R21" s="615" t="s">
        <v>467</v>
      </c>
      <c r="S21" s="615" t="s">
        <v>626</v>
      </c>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row>
    <row r="22" spans="1:61" s="19" customFormat="1" ht="78.75">
      <c r="A22" s="607" t="s">
        <v>364</v>
      </c>
      <c r="B22" s="608" t="s">
        <v>291</v>
      </c>
      <c r="C22" s="608">
        <v>2020</v>
      </c>
      <c r="D22" s="608"/>
      <c r="E22" s="612" t="s">
        <v>627</v>
      </c>
      <c r="F22" s="681" t="s">
        <v>623</v>
      </c>
      <c r="G22" s="681" t="s">
        <v>624</v>
      </c>
      <c r="H22" s="615" t="s">
        <v>465</v>
      </c>
      <c r="I22" s="608"/>
      <c r="J22" s="608"/>
      <c r="K22" s="697">
        <v>65000000</v>
      </c>
      <c r="L22" s="610">
        <f>+K22/$D$111</f>
        <v>101864.91145588465</v>
      </c>
      <c r="M22" s="611">
        <v>100</v>
      </c>
      <c r="N22" s="611">
        <v>0</v>
      </c>
      <c r="O22" s="608" t="s">
        <v>466</v>
      </c>
      <c r="P22" s="608" t="s">
        <v>465</v>
      </c>
      <c r="Q22" s="615" t="s">
        <v>625</v>
      </c>
      <c r="R22" s="615" t="s">
        <v>467</v>
      </c>
      <c r="S22" s="615" t="s">
        <v>626</v>
      </c>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row>
    <row r="23" spans="1:61" s="19" customFormat="1" ht="78.75">
      <c r="A23" s="607" t="s">
        <v>364</v>
      </c>
      <c r="B23" s="608" t="s">
        <v>291</v>
      </c>
      <c r="C23" s="608">
        <v>2021</v>
      </c>
      <c r="D23" s="608"/>
      <c r="E23" s="612" t="s">
        <v>628</v>
      </c>
      <c r="F23" s="681" t="s">
        <v>623</v>
      </c>
      <c r="G23" s="681" t="s">
        <v>624</v>
      </c>
      <c r="H23" s="615" t="s">
        <v>465</v>
      </c>
      <c r="I23" s="608"/>
      <c r="J23" s="608"/>
      <c r="K23" s="697">
        <f>+L23*$D$112</f>
        <v>43669805.84000396</v>
      </c>
      <c r="L23" s="610">
        <f>+PEP!I44</f>
        <v>68437.244695195041</v>
      </c>
      <c r="M23" s="611">
        <v>100</v>
      </c>
      <c r="N23" s="611">
        <v>0</v>
      </c>
      <c r="O23" s="608" t="s">
        <v>466</v>
      </c>
      <c r="P23" s="608" t="s">
        <v>465</v>
      </c>
      <c r="Q23" s="615" t="s">
        <v>625</v>
      </c>
      <c r="R23" s="615" t="s">
        <v>467</v>
      </c>
      <c r="S23" s="615" t="s">
        <v>626</v>
      </c>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row>
    <row r="24" spans="1:61" s="19" customFormat="1">
      <c r="A24" s="607"/>
      <c r="B24" s="608" t="s">
        <v>457</v>
      </c>
      <c r="C24" s="608"/>
      <c r="D24" s="608"/>
      <c r="E24" s="609"/>
      <c r="F24" s="609"/>
      <c r="G24" s="609"/>
      <c r="H24" s="608"/>
      <c r="I24" s="608"/>
      <c r="J24" s="608"/>
      <c r="K24" s="610">
        <f>K12+K21+K22+K23</f>
        <v>250738187.84000397</v>
      </c>
      <c r="L24" s="610">
        <f>L12+L21+L22+L23</f>
        <v>400000</v>
      </c>
      <c r="M24" s="611">
        <v>100</v>
      </c>
      <c r="N24" s="611">
        <f>SUM(N13:N13)</f>
        <v>0</v>
      </c>
      <c r="O24" s="608"/>
      <c r="P24" s="608"/>
      <c r="Q24" s="608"/>
      <c r="R24" s="608"/>
      <c r="S24" s="608"/>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row>
    <row r="25" spans="1:61" s="21" customFormat="1">
      <c r="E25" s="264"/>
      <c r="F25" s="264"/>
      <c r="G25" s="264"/>
      <c r="K25" s="227"/>
      <c r="L25" s="228"/>
      <c r="M25" s="23"/>
      <c r="N25" s="24"/>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19"/>
      <c r="BC25" s="19"/>
      <c r="BD25" s="19"/>
      <c r="BE25" s="19"/>
      <c r="BF25" s="19"/>
      <c r="BG25" s="19"/>
      <c r="BH25" s="19"/>
      <c r="BI25" s="19"/>
    </row>
    <row r="26" spans="1:61" s="21" customFormat="1">
      <c r="A26" s="599" t="s">
        <v>435</v>
      </c>
      <c r="B26" s="599" t="s">
        <v>460</v>
      </c>
      <c r="C26" s="599"/>
      <c r="D26" s="599"/>
      <c r="E26" s="599"/>
      <c r="F26" s="599"/>
      <c r="G26" s="599"/>
      <c r="H26" s="599"/>
      <c r="I26" s="599"/>
      <c r="J26" s="599"/>
      <c r="K26" s="599"/>
      <c r="L26" s="599"/>
      <c r="M26" s="599"/>
      <c r="N26" s="599"/>
      <c r="O26" s="599"/>
      <c r="P26" s="599"/>
      <c r="Q26" s="599"/>
      <c r="R26" s="599"/>
      <c r="S26" s="599"/>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19"/>
      <c r="BC26" s="19"/>
      <c r="BD26" s="19"/>
      <c r="BE26" s="19"/>
      <c r="BF26" s="19"/>
      <c r="BG26" s="19"/>
      <c r="BH26" s="19"/>
      <c r="BI26" s="19"/>
    </row>
    <row r="27" spans="1:61" s="21" customFormat="1">
      <c r="A27" s="599"/>
      <c r="B27" s="599" t="s">
        <v>437</v>
      </c>
      <c r="C27" s="599" t="s">
        <v>438</v>
      </c>
      <c r="D27" s="599" t="s">
        <v>439</v>
      </c>
      <c r="E27" s="600" t="s">
        <v>440</v>
      </c>
      <c r="F27" s="600" t="s">
        <v>441</v>
      </c>
      <c r="G27" s="600" t="s">
        <v>442</v>
      </c>
      <c r="H27" s="599" t="s">
        <v>459</v>
      </c>
      <c r="I27" s="599" t="s">
        <v>444</v>
      </c>
      <c r="J27" s="599" t="s">
        <v>445</v>
      </c>
      <c r="K27" s="601"/>
      <c r="L27" s="602" t="s">
        <v>446</v>
      </c>
      <c r="M27" s="602"/>
      <c r="N27" s="602"/>
      <c r="O27" s="599" t="s">
        <v>447</v>
      </c>
      <c r="P27" s="599" t="s">
        <v>448</v>
      </c>
      <c r="Q27" s="599" t="s">
        <v>449</v>
      </c>
      <c r="R27" s="599"/>
      <c r="S27" s="599" t="s">
        <v>450</v>
      </c>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19"/>
      <c r="BC27" s="19"/>
      <c r="BD27" s="19"/>
      <c r="BE27" s="19"/>
      <c r="BF27" s="19"/>
      <c r="BG27" s="19"/>
      <c r="BH27" s="19"/>
      <c r="BI27" s="19"/>
    </row>
    <row r="28" spans="1:61" s="21" customFormat="1" ht="31.5">
      <c r="A28" s="603"/>
      <c r="B28" s="599"/>
      <c r="C28" s="599"/>
      <c r="D28" s="599" t="s">
        <v>439</v>
      </c>
      <c r="E28" s="600"/>
      <c r="F28" s="600"/>
      <c r="G28" s="600"/>
      <c r="H28" s="599"/>
      <c r="I28" s="599"/>
      <c r="J28" s="599"/>
      <c r="K28" s="604" t="s">
        <v>451</v>
      </c>
      <c r="L28" s="604" t="s">
        <v>452</v>
      </c>
      <c r="M28" s="606" t="s">
        <v>453</v>
      </c>
      <c r="N28" s="606" t="s">
        <v>454</v>
      </c>
      <c r="O28" s="599"/>
      <c r="P28" s="599"/>
      <c r="Q28" s="603" t="s">
        <v>461</v>
      </c>
      <c r="R28" s="603" t="s">
        <v>456</v>
      </c>
      <c r="S28" s="599"/>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19"/>
      <c r="BC28" s="19"/>
      <c r="BD28" s="19"/>
      <c r="BE28" s="19"/>
      <c r="BF28" s="19"/>
      <c r="BG28" s="19"/>
      <c r="BH28" s="19"/>
      <c r="BI28" s="19"/>
    </row>
    <row r="29" spans="1:61" s="19" customFormat="1" ht="94.5">
      <c r="A29" s="607" t="s">
        <v>99</v>
      </c>
      <c r="B29" s="608" t="s">
        <v>291</v>
      </c>
      <c r="C29" s="608">
        <v>2018</v>
      </c>
      <c r="D29" s="608"/>
      <c r="E29" s="612" t="s">
        <v>629</v>
      </c>
      <c r="F29" s="613" t="s">
        <v>630</v>
      </c>
      <c r="G29" s="613"/>
      <c r="H29" s="611"/>
      <c r="I29" s="608"/>
      <c r="J29" s="608"/>
      <c r="K29" s="697">
        <f>SUM(K30:K38)</f>
        <v>97275514</v>
      </c>
      <c r="L29" s="700">
        <f>+K29/$D$109</f>
        <v>161214.99196208091</v>
      </c>
      <c r="M29" s="614"/>
      <c r="N29" s="614"/>
      <c r="O29" s="608"/>
      <c r="P29" s="608"/>
      <c r="Q29" s="615"/>
      <c r="R29" s="615"/>
      <c r="S29" s="615"/>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row>
    <row r="30" spans="1:61" s="19" customFormat="1" ht="94.5">
      <c r="A30" s="607"/>
      <c r="B30" s="608" t="s">
        <v>291</v>
      </c>
      <c r="C30" s="608">
        <v>2018</v>
      </c>
      <c r="D30" s="608"/>
      <c r="E30" s="612" t="s">
        <v>629</v>
      </c>
      <c r="F30" s="613" t="s">
        <v>630</v>
      </c>
      <c r="G30" s="613" t="s">
        <v>631</v>
      </c>
      <c r="H30" s="611" t="s">
        <v>465</v>
      </c>
      <c r="I30" s="608"/>
      <c r="J30" s="608"/>
      <c r="K30" s="617">
        <v>11700000</v>
      </c>
      <c r="L30" s="610">
        <f>+K30/$D$109</f>
        <v>19390.443991448319</v>
      </c>
      <c r="M30" s="614">
        <v>100</v>
      </c>
      <c r="N30" s="614">
        <v>0</v>
      </c>
      <c r="O30" s="608" t="s">
        <v>466</v>
      </c>
      <c r="P30" s="608" t="s">
        <v>465</v>
      </c>
      <c r="Q30" s="615" t="s">
        <v>632</v>
      </c>
      <c r="R30" s="699">
        <v>43209</v>
      </c>
      <c r="S30" s="615" t="s">
        <v>633</v>
      </c>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row>
    <row r="31" spans="1:61" s="19" customFormat="1" ht="346.5">
      <c r="A31" s="607"/>
      <c r="B31" s="608"/>
      <c r="C31" s="608">
        <v>2018</v>
      </c>
      <c r="D31" s="608"/>
      <c r="E31" s="612" t="s">
        <v>629</v>
      </c>
      <c r="F31" s="613" t="s">
        <v>634</v>
      </c>
      <c r="G31" s="613" t="s">
        <v>631</v>
      </c>
      <c r="H31" s="611" t="s">
        <v>465</v>
      </c>
      <c r="I31" s="608"/>
      <c r="J31" s="608"/>
      <c r="K31" s="617">
        <v>877837</v>
      </c>
      <c r="L31" s="610">
        <f t="shared" ref="L31:L33" si="1">+K31/$D$109</f>
        <v>1454.8418104376938</v>
      </c>
      <c r="M31" s="614"/>
      <c r="N31" s="614"/>
      <c r="O31" s="608"/>
      <c r="P31" s="608"/>
      <c r="Q31" s="615"/>
      <c r="R31" s="699"/>
      <c r="S31" s="615"/>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row>
    <row r="32" spans="1:61" s="19" customFormat="1" ht="78.75">
      <c r="A32" s="607"/>
      <c r="B32" s="608"/>
      <c r="C32" s="608">
        <v>2018</v>
      </c>
      <c r="D32" s="608"/>
      <c r="E32" s="612" t="s">
        <v>629</v>
      </c>
      <c r="F32" s="613" t="s">
        <v>635</v>
      </c>
      <c r="G32" s="613" t="s">
        <v>631</v>
      </c>
      <c r="H32" s="611" t="s">
        <v>465</v>
      </c>
      <c r="I32" s="608"/>
      <c r="J32" s="608"/>
      <c r="K32" s="617">
        <v>1308173</v>
      </c>
      <c r="L32" s="610">
        <f t="shared" si="1"/>
        <v>2168.0389134722154</v>
      </c>
      <c r="M32" s="614"/>
      <c r="N32" s="614"/>
      <c r="O32" s="608"/>
      <c r="P32" s="608"/>
      <c r="Q32" s="615"/>
      <c r="R32" s="699"/>
      <c r="S32" s="615"/>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row>
    <row r="33" spans="1:61" s="19" customFormat="1" ht="63">
      <c r="A33" s="607"/>
      <c r="B33" s="608"/>
      <c r="C33" s="608">
        <v>2018</v>
      </c>
      <c r="D33" s="608"/>
      <c r="E33" s="612" t="s">
        <v>629</v>
      </c>
      <c r="F33" s="613" t="s">
        <v>636</v>
      </c>
      <c r="G33" s="613" t="s">
        <v>631</v>
      </c>
      <c r="H33" s="611" t="s">
        <v>465</v>
      </c>
      <c r="I33" s="608"/>
      <c r="J33" s="608"/>
      <c r="K33" s="617">
        <v>3989925</v>
      </c>
      <c r="L33" s="610">
        <f t="shared" si="1"/>
        <v>6612.5142942375578</v>
      </c>
      <c r="M33" s="614"/>
      <c r="N33" s="614"/>
      <c r="O33" s="608"/>
      <c r="P33" s="608"/>
      <c r="Q33" s="615"/>
      <c r="R33" s="699"/>
      <c r="S33" s="615"/>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row>
    <row r="34" spans="1:61" s="19" customFormat="1">
      <c r="A34" s="607"/>
      <c r="B34" s="608"/>
      <c r="C34" s="608">
        <v>2018</v>
      </c>
      <c r="D34" s="608"/>
      <c r="E34" s="612"/>
      <c r="F34" s="613"/>
      <c r="G34" s="613"/>
      <c r="H34" s="611"/>
      <c r="I34" s="608"/>
      <c r="J34" s="608"/>
      <c r="K34" s="617"/>
      <c r="L34" s="610"/>
      <c r="M34" s="614"/>
      <c r="N34" s="614"/>
      <c r="O34" s="608"/>
      <c r="P34" s="608"/>
      <c r="Q34" s="615"/>
      <c r="R34" s="699"/>
      <c r="S34" s="615"/>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row>
    <row r="35" spans="1:61" s="19" customFormat="1" ht="47.25">
      <c r="A35" s="607" t="s">
        <v>103</v>
      </c>
      <c r="B35" s="608" t="s">
        <v>291</v>
      </c>
      <c r="C35" s="608">
        <v>2018</v>
      </c>
      <c r="D35" s="608"/>
      <c r="E35" s="612" t="s">
        <v>637</v>
      </c>
      <c r="F35" s="613" t="s">
        <v>638</v>
      </c>
      <c r="G35" s="613" t="s">
        <v>631</v>
      </c>
      <c r="H35" s="611" t="s">
        <v>465</v>
      </c>
      <c r="I35" s="608"/>
      <c r="J35" s="608"/>
      <c r="K35" s="617">
        <v>20000000</v>
      </c>
      <c r="L35" s="610">
        <f>+K35/$D$109</f>
        <v>33146.058105039861</v>
      </c>
      <c r="M35" s="614">
        <v>100</v>
      </c>
      <c r="N35" s="614">
        <v>0</v>
      </c>
      <c r="O35" s="608" t="s">
        <v>466</v>
      </c>
      <c r="P35" s="608" t="s">
        <v>465</v>
      </c>
      <c r="Q35" s="615" t="s">
        <v>618</v>
      </c>
      <c r="R35" s="699">
        <v>43314</v>
      </c>
      <c r="S35" s="615" t="s">
        <v>639</v>
      </c>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row>
    <row r="36" spans="1:61" s="19" customFormat="1" ht="47.25">
      <c r="A36" s="607" t="s">
        <v>103</v>
      </c>
      <c r="B36" s="608" t="s">
        <v>291</v>
      </c>
      <c r="C36" s="608">
        <v>2018</v>
      </c>
      <c r="D36" s="608"/>
      <c r="E36" s="612" t="s">
        <v>637</v>
      </c>
      <c r="F36" s="613" t="s">
        <v>640</v>
      </c>
      <c r="G36" s="613" t="s">
        <v>631</v>
      </c>
      <c r="H36" s="611" t="s">
        <v>465</v>
      </c>
      <c r="I36" s="608"/>
      <c r="J36" s="608"/>
      <c r="K36" s="617">
        <v>970690</v>
      </c>
      <c r="L36" s="610">
        <f>+K36/$D$109</f>
        <v>1608.7273570990571</v>
      </c>
      <c r="M36" s="614">
        <v>100</v>
      </c>
      <c r="N36" s="614">
        <v>0</v>
      </c>
      <c r="O36" s="608" t="s">
        <v>466</v>
      </c>
      <c r="P36" s="608" t="s">
        <v>465</v>
      </c>
      <c r="Q36" s="615" t="s">
        <v>641</v>
      </c>
      <c r="R36" s="699">
        <v>43328</v>
      </c>
      <c r="S36" s="615" t="s">
        <v>642</v>
      </c>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row>
    <row r="37" spans="1:61" s="19" customFormat="1" ht="78.75">
      <c r="A37" s="607" t="s">
        <v>103</v>
      </c>
      <c r="B37" s="608" t="s">
        <v>291</v>
      </c>
      <c r="C37" s="608">
        <v>2018</v>
      </c>
      <c r="D37" s="608"/>
      <c r="E37" s="612" t="s">
        <v>637</v>
      </c>
      <c r="F37" s="613" t="s">
        <v>643</v>
      </c>
      <c r="G37" s="613" t="s">
        <v>631</v>
      </c>
      <c r="H37" s="611" t="s">
        <v>465</v>
      </c>
      <c r="I37" s="608"/>
      <c r="J37" s="608"/>
      <c r="K37" s="617">
        <v>20000000</v>
      </c>
      <c r="L37" s="610">
        <f>+K37/$D$109</f>
        <v>33146.058105039861</v>
      </c>
      <c r="M37" s="614">
        <v>100</v>
      </c>
      <c r="N37" s="614">
        <v>0</v>
      </c>
      <c r="O37" s="608" t="s">
        <v>466</v>
      </c>
      <c r="P37" s="608" t="s">
        <v>465</v>
      </c>
      <c r="Q37" s="615"/>
      <c r="R37" s="699"/>
      <c r="S37" s="615"/>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row>
    <row r="38" spans="1:61" s="19" customFormat="1" ht="78.75">
      <c r="A38" s="607" t="s">
        <v>108</v>
      </c>
      <c r="B38" s="608" t="s">
        <v>291</v>
      </c>
      <c r="C38" s="608">
        <v>2018</v>
      </c>
      <c r="D38" s="608"/>
      <c r="E38" s="612" t="s">
        <v>644</v>
      </c>
      <c r="F38" s="613" t="s">
        <v>109</v>
      </c>
      <c r="G38" s="613" t="s">
        <v>631</v>
      </c>
      <c r="H38" s="611" t="s">
        <v>465</v>
      </c>
      <c r="I38" s="608"/>
      <c r="J38" s="608"/>
      <c r="K38" s="617">
        <v>38428889</v>
      </c>
      <c r="L38" s="610">
        <f>+K38/$D$109</f>
        <v>63688.309385306355</v>
      </c>
      <c r="M38" s="614">
        <v>100</v>
      </c>
      <c r="N38" s="614">
        <v>0</v>
      </c>
      <c r="O38" s="608" t="s">
        <v>466</v>
      </c>
      <c r="P38" s="608" t="s">
        <v>465</v>
      </c>
      <c r="Q38" s="615" t="s">
        <v>645</v>
      </c>
      <c r="R38" s="615">
        <v>43336</v>
      </c>
      <c r="S38" s="615" t="s">
        <v>646</v>
      </c>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row>
    <row r="39" spans="1:61" s="19" customFormat="1" ht="94.5">
      <c r="A39" s="607" t="s">
        <v>339</v>
      </c>
      <c r="B39" s="608" t="s">
        <v>291</v>
      </c>
      <c r="C39" s="608">
        <v>2019</v>
      </c>
      <c r="D39" s="608"/>
      <c r="E39" s="612" t="s">
        <v>647</v>
      </c>
      <c r="F39" s="613" t="s">
        <v>648</v>
      </c>
      <c r="G39" s="613" t="s">
        <v>631</v>
      </c>
      <c r="H39" s="608" t="s">
        <v>465</v>
      </c>
      <c r="I39" s="608"/>
      <c r="J39" s="608"/>
      <c r="K39" s="697">
        <f>L39*D110</f>
        <v>111667500</v>
      </c>
      <c r="L39" s="700">
        <v>175000</v>
      </c>
      <c r="M39" s="614">
        <v>100</v>
      </c>
      <c r="N39" s="614">
        <v>0</v>
      </c>
      <c r="O39" s="608" t="s">
        <v>466</v>
      </c>
      <c r="P39" s="608" t="s">
        <v>465</v>
      </c>
      <c r="Q39" s="615" t="s">
        <v>467</v>
      </c>
      <c r="R39" s="615" t="s">
        <v>467</v>
      </c>
      <c r="S39" s="615" t="s">
        <v>649</v>
      </c>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row>
    <row r="40" spans="1:61" s="19" customFormat="1" ht="94.5">
      <c r="A40" s="607" t="s">
        <v>339</v>
      </c>
      <c r="B40" s="608" t="s">
        <v>291</v>
      </c>
      <c r="C40" s="608">
        <v>2020</v>
      </c>
      <c r="D40" s="608"/>
      <c r="E40" s="612" t="s">
        <v>650</v>
      </c>
      <c r="F40" s="613" t="s">
        <v>648</v>
      </c>
      <c r="G40" s="613" t="s">
        <v>631</v>
      </c>
      <c r="H40" s="608" t="s">
        <v>465</v>
      </c>
      <c r="I40" s="608"/>
      <c r="J40" s="608"/>
      <c r="K40" s="697">
        <v>113750000</v>
      </c>
      <c r="L40" s="700">
        <f>+K40/$D$111</f>
        <v>178263.59504779815</v>
      </c>
      <c r="M40" s="614">
        <v>100</v>
      </c>
      <c r="N40" s="614">
        <v>0</v>
      </c>
      <c r="O40" s="608" t="s">
        <v>466</v>
      </c>
      <c r="P40" s="608" t="s">
        <v>465</v>
      </c>
      <c r="Q40" s="615" t="s">
        <v>467</v>
      </c>
      <c r="R40" s="615" t="s">
        <v>467</v>
      </c>
      <c r="S40" s="615" t="s">
        <v>649</v>
      </c>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row>
    <row r="41" spans="1:61" s="19" customFormat="1" ht="94.5">
      <c r="A41" s="607" t="s">
        <v>339</v>
      </c>
      <c r="B41" s="608" t="s">
        <v>291</v>
      </c>
      <c r="C41" s="608">
        <v>2021</v>
      </c>
      <c r="D41" s="608"/>
      <c r="E41" s="612" t="s">
        <v>651</v>
      </c>
      <c r="F41" s="613" t="s">
        <v>648</v>
      </c>
      <c r="G41" s="613" t="s">
        <v>631</v>
      </c>
      <c r="H41" s="608" t="s">
        <v>465</v>
      </c>
      <c r="I41" s="608"/>
      <c r="J41" s="608"/>
      <c r="K41" s="697">
        <f>+L41*$D$109</f>
        <v>107649661.38410908</v>
      </c>
      <c r="L41" s="700">
        <f>PEP!$I$10</f>
        <v>178408.09656127726</v>
      </c>
      <c r="M41" s="614">
        <v>100</v>
      </c>
      <c r="N41" s="614">
        <v>0</v>
      </c>
      <c r="O41" s="608" t="s">
        <v>466</v>
      </c>
      <c r="P41" s="608" t="s">
        <v>465</v>
      </c>
      <c r="Q41" s="615" t="s">
        <v>467</v>
      </c>
      <c r="R41" s="615" t="s">
        <v>467</v>
      </c>
      <c r="S41" s="615" t="s">
        <v>652</v>
      </c>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row>
    <row r="42" spans="1:61" s="19" customFormat="1">
      <c r="A42" s="607"/>
      <c r="B42" s="608" t="s">
        <v>508</v>
      </c>
      <c r="C42" s="608"/>
      <c r="D42" s="608"/>
      <c r="E42" s="609"/>
      <c r="F42" s="609"/>
      <c r="G42" s="609"/>
      <c r="H42" s="608"/>
      <c r="I42" s="608"/>
      <c r="J42" s="608"/>
      <c r="K42" s="610">
        <f>K29+K39+K40+K41</f>
        <v>430342675.38410908</v>
      </c>
      <c r="L42" s="610">
        <f>L29+L39+L40+L41</f>
        <v>692886.68357115635</v>
      </c>
      <c r="M42" s="611">
        <v>100</v>
      </c>
      <c r="N42" s="611">
        <f>SUM(N30:N41)</f>
        <v>0</v>
      </c>
      <c r="O42" s="608"/>
      <c r="P42" s="608"/>
      <c r="Q42" s="608"/>
      <c r="R42" s="608"/>
      <c r="S42" s="608"/>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row>
    <row r="43" spans="1:61" s="21" customFormat="1" ht="16.5" thickBot="1">
      <c r="E43" s="264"/>
      <c r="F43" s="264"/>
      <c r="G43" s="264"/>
      <c r="K43" s="227"/>
      <c r="L43" s="228"/>
      <c r="M43" s="23"/>
      <c r="N43" s="23"/>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19"/>
      <c r="BC43" s="19"/>
      <c r="BD43" s="19"/>
      <c r="BE43" s="19"/>
      <c r="BF43" s="19"/>
      <c r="BG43" s="19"/>
      <c r="BH43" s="19"/>
      <c r="BI43" s="19"/>
    </row>
    <row r="44" spans="1:61" s="21" customFormat="1">
      <c r="A44" s="599" t="s">
        <v>435</v>
      </c>
      <c r="B44" s="320" t="s">
        <v>509</v>
      </c>
      <c r="C44" s="321"/>
      <c r="D44" s="321"/>
      <c r="E44" s="321"/>
      <c r="F44" s="321"/>
      <c r="G44" s="321"/>
      <c r="H44" s="321"/>
      <c r="I44" s="321"/>
      <c r="J44" s="321"/>
      <c r="K44" s="321"/>
      <c r="L44" s="321"/>
      <c r="M44" s="321"/>
      <c r="N44" s="321"/>
      <c r="O44" s="321"/>
      <c r="P44" s="321"/>
      <c r="Q44" s="321"/>
      <c r="R44" s="321"/>
      <c r="S44" s="322"/>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19"/>
      <c r="BC44" s="19"/>
      <c r="BD44" s="19"/>
      <c r="BE44" s="19"/>
      <c r="BF44" s="19"/>
      <c r="BG44" s="19"/>
      <c r="BH44" s="19"/>
      <c r="BI44" s="19"/>
    </row>
    <row r="45" spans="1:61" s="21" customFormat="1">
      <c r="A45" s="599"/>
      <c r="B45" s="621" t="s">
        <v>437</v>
      </c>
      <c r="C45" s="599" t="s">
        <v>438</v>
      </c>
      <c r="D45" s="599" t="s">
        <v>439</v>
      </c>
      <c r="E45" s="600" t="s">
        <v>440</v>
      </c>
      <c r="F45" s="600" t="s">
        <v>441</v>
      </c>
      <c r="G45" s="600" t="s">
        <v>442</v>
      </c>
      <c r="H45" s="599" t="s">
        <v>459</v>
      </c>
      <c r="I45" s="599"/>
      <c r="J45" s="599"/>
      <c r="K45" s="601"/>
      <c r="L45" s="602" t="s">
        <v>446</v>
      </c>
      <c r="M45" s="602"/>
      <c r="N45" s="602"/>
      <c r="O45" s="599" t="s">
        <v>447</v>
      </c>
      <c r="P45" s="599" t="s">
        <v>448</v>
      </c>
      <c r="Q45" s="599" t="s">
        <v>449</v>
      </c>
      <c r="R45" s="599"/>
      <c r="S45" s="622" t="s">
        <v>450</v>
      </c>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19"/>
      <c r="BC45" s="19"/>
      <c r="BD45" s="19"/>
      <c r="BE45" s="19"/>
      <c r="BF45" s="19"/>
      <c r="BG45" s="19"/>
      <c r="BH45" s="19"/>
      <c r="BI45" s="19"/>
    </row>
    <row r="46" spans="1:61" s="21" customFormat="1" ht="31.5">
      <c r="A46" s="603"/>
      <c r="B46" s="621"/>
      <c r="C46" s="599"/>
      <c r="D46" s="599" t="s">
        <v>439</v>
      </c>
      <c r="E46" s="600"/>
      <c r="F46" s="600"/>
      <c r="G46" s="600"/>
      <c r="H46" s="599"/>
      <c r="I46" s="599" t="s">
        <v>445</v>
      </c>
      <c r="J46" s="599"/>
      <c r="K46" s="601" t="s">
        <v>451</v>
      </c>
      <c r="L46" s="601" t="s">
        <v>452</v>
      </c>
      <c r="M46" s="605" t="s">
        <v>453</v>
      </c>
      <c r="N46" s="606" t="s">
        <v>454</v>
      </c>
      <c r="O46" s="599"/>
      <c r="P46" s="599"/>
      <c r="Q46" s="603" t="s">
        <v>510</v>
      </c>
      <c r="R46" s="603" t="s">
        <v>456</v>
      </c>
      <c r="S46" s="622"/>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19"/>
      <c r="BC46" s="19"/>
      <c r="BD46" s="19"/>
      <c r="BE46" s="19"/>
      <c r="BF46" s="19"/>
      <c r="BG46" s="19"/>
      <c r="BH46" s="19"/>
      <c r="BI46" s="19"/>
    </row>
    <row r="47" spans="1:61" s="25" customFormat="1" ht="31.5">
      <c r="A47" s="701" t="s">
        <v>366</v>
      </c>
      <c r="B47" s="702" t="s">
        <v>291</v>
      </c>
      <c r="C47" s="702">
        <v>2018</v>
      </c>
      <c r="D47" s="702" t="s">
        <v>366</v>
      </c>
      <c r="E47" s="703" t="s">
        <v>653</v>
      </c>
      <c r="F47" s="704"/>
      <c r="G47" s="704"/>
      <c r="H47" s="702"/>
      <c r="I47" s="702"/>
      <c r="J47" s="702"/>
      <c r="K47" s="705">
        <f>SUM(K48:K49)</f>
        <v>0</v>
      </c>
      <c r="L47" s="705">
        <f>SUM(L48:L49)</f>
        <v>0</v>
      </c>
      <c r="M47" s="706"/>
      <c r="N47" s="706"/>
      <c r="O47" s="707"/>
      <c r="P47" s="702"/>
      <c r="Q47" s="708"/>
      <c r="R47" s="708"/>
      <c r="S47" s="708"/>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19"/>
      <c r="BC47" s="19"/>
      <c r="BD47" s="19"/>
      <c r="BE47" s="19"/>
    </row>
    <row r="48" spans="1:61" s="19" customFormat="1" ht="94.5">
      <c r="A48" s="607" t="s">
        <v>366</v>
      </c>
      <c r="B48" s="608" t="s">
        <v>291</v>
      </c>
      <c r="C48" s="608">
        <v>2018</v>
      </c>
      <c r="D48" s="608"/>
      <c r="E48" s="612" t="s">
        <v>654</v>
      </c>
      <c r="F48" s="613" t="s">
        <v>655</v>
      </c>
      <c r="G48" s="613" t="s">
        <v>656</v>
      </c>
      <c r="H48" s="608" t="s">
        <v>465</v>
      </c>
      <c r="I48" s="608"/>
      <c r="J48" s="608"/>
      <c r="K48" s="617">
        <v>0</v>
      </c>
      <c r="L48" s="610">
        <f>+K48/$D$109</f>
        <v>0</v>
      </c>
      <c r="M48" s="614">
        <v>100</v>
      </c>
      <c r="N48" s="614">
        <v>0</v>
      </c>
      <c r="O48" s="631" t="s">
        <v>466</v>
      </c>
      <c r="P48" s="608" t="s">
        <v>465</v>
      </c>
      <c r="Q48" s="615" t="s">
        <v>467</v>
      </c>
      <c r="R48" s="615" t="s">
        <v>467</v>
      </c>
      <c r="S48" s="615" t="s">
        <v>472</v>
      </c>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row>
    <row r="49" spans="1:61" s="19" customFormat="1" ht="78.75">
      <c r="A49" s="607" t="s">
        <v>366</v>
      </c>
      <c r="B49" s="608" t="s">
        <v>291</v>
      </c>
      <c r="C49" s="608">
        <v>2018</v>
      </c>
      <c r="D49" s="608"/>
      <c r="E49" s="612" t="s">
        <v>657</v>
      </c>
      <c r="F49" s="613" t="s">
        <v>658</v>
      </c>
      <c r="G49" s="613" t="s">
        <v>656</v>
      </c>
      <c r="H49" s="608" t="s">
        <v>465</v>
      </c>
      <c r="I49" s="608"/>
      <c r="J49" s="608"/>
      <c r="K49" s="617">
        <v>0</v>
      </c>
      <c r="L49" s="610">
        <f>+K49/$D$109</f>
        <v>0</v>
      </c>
      <c r="M49" s="614">
        <v>100</v>
      </c>
      <c r="N49" s="614">
        <v>0</v>
      </c>
      <c r="O49" s="631" t="s">
        <v>466</v>
      </c>
      <c r="P49" s="608" t="s">
        <v>465</v>
      </c>
      <c r="Q49" s="615" t="s">
        <v>467</v>
      </c>
      <c r="R49" s="615" t="s">
        <v>467</v>
      </c>
      <c r="S49" s="615" t="s">
        <v>472</v>
      </c>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row>
    <row r="50" spans="1:61" s="19" customFormat="1" ht="31.5">
      <c r="A50" s="607" t="s">
        <v>366</v>
      </c>
      <c r="B50" s="608" t="s">
        <v>291</v>
      </c>
      <c r="C50" s="608">
        <v>2019</v>
      </c>
      <c r="D50" s="608"/>
      <c r="E50" s="612" t="s">
        <v>659</v>
      </c>
      <c r="F50" s="613" t="s">
        <v>625</v>
      </c>
      <c r="G50" s="613" t="s">
        <v>660</v>
      </c>
      <c r="H50" s="608" t="s">
        <v>465</v>
      </c>
      <c r="I50" s="608"/>
      <c r="J50" s="608"/>
      <c r="K50" s="617">
        <f>L50*D110</f>
        <v>31905000</v>
      </c>
      <c r="L50" s="610">
        <v>50000</v>
      </c>
      <c r="M50" s="614">
        <v>100</v>
      </c>
      <c r="N50" s="614">
        <v>0</v>
      </c>
      <c r="O50" s="631" t="s">
        <v>466</v>
      </c>
      <c r="P50" s="608" t="s">
        <v>465</v>
      </c>
      <c r="Q50" s="615" t="s">
        <v>467</v>
      </c>
      <c r="R50" s="615" t="s">
        <v>467</v>
      </c>
      <c r="S50" s="615"/>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row>
    <row r="51" spans="1:61" s="19" customFormat="1" ht="31.5">
      <c r="A51" s="607" t="s">
        <v>366</v>
      </c>
      <c r="B51" s="608" t="s">
        <v>291</v>
      </c>
      <c r="C51" s="608">
        <v>2020</v>
      </c>
      <c r="D51" s="608"/>
      <c r="E51" s="612" t="s">
        <v>661</v>
      </c>
      <c r="F51" s="613" t="s">
        <v>625</v>
      </c>
      <c r="G51" s="613" t="s">
        <v>662</v>
      </c>
      <c r="H51" s="608" t="s">
        <v>465</v>
      </c>
      <c r="I51" s="608"/>
      <c r="J51" s="608"/>
      <c r="K51" s="617">
        <v>60000000</v>
      </c>
      <c r="L51" s="610">
        <f>+K51/$D$111</f>
        <v>94029.149036201212</v>
      </c>
      <c r="M51" s="614">
        <v>100</v>
      </c>
      <c r="N51" s="614">
        <v>0</v>
      </c>
      <c r="O51" s="631" t="s">
        <v>466</v>
      </c>
      <c r="P51" s="608" t="s">
        <v>465</v>
      </c>
      <c r="Q51" s="615" t="s">
        <v>467</v>
      </c>
      <c r="R51" s="615" t="s">
        <v>467</v>
      </c>
      <c r="S51" s="615"/>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row>
    <row r="52" spans="1:61" s="19" customFormat="1" ht="31.5">
      <c r="A52" s="607" t="s">
        <v>366</v>
      </c>
      <c r="B52" s="608" t="s">
        <v>291</v>
      </c>
      <c r="C52" s="608">
        <v>2021</v>
      </c>
      <c r="D52" s="608"/>
      <c r="E52" s="612" t="s">
        <v>663</v>
      </c>
      <c r="F52" s="613" t="s">
        <v>625</v>
      </c>
      <c r="G52" s="613" t="s">
        <v>664</v>
      </c>
      <c r="H52" s="608" t="s">
        <v>465</v>
      </c>
      <c r="I52" s="608"/>
      <c r="J52" s="608"/>
      <c r="K52" s="610">
        <f>L52*$D$111</f>
        <v>35715000.000000007</v>
      </c>
      <c r="L52" s="623">
        <f>+PEP!I45</f>
        <v>55970.850963798788</v>
      </c>
      <c r="M52" s="614">
        <v>100</v>
      </c>
      <c r="N52" s="614">
        <v>0</v>
      </c>
      <c r="O52" s="631" t="s">
        <v>466</v>
      </c>
      <c r="P52" s="608" t="s">
        <v>465</v>
      </c>
      <c r="Q52" s="615" t="s">
        <v>467</v>
      </c>
      <c r="R52" s="615" t="s">
        <v>467</v>
      </c>
      <c r="S52" s="615"/>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row>
    <row r="53" spans="1:61" s="25" customFormat="1" ht="31.5">
      <c r="A53" s="701" t="s">
        <v>399</v>
      </c>
      <c r="B53" s="702" t="s">
        <v>291</v>
      </c>
      <c r="C53" s="702">
        <v>2018</v>
      </c>
      <c r="D53" s="702" t="s">
        <v>401</v>
      </c>
      <c r="E53" s="703" t="s">
        <v>665</v>
      </c>
      <c r="F53" s="704" t="s">
        <v>312</v>
      </c>
      <c r="G53" s="704" t="s">
        <v>666</v>
      </c>
      <c r="H53" s="702" t="s">
        <v>465</v>
      </c>
      <c r="I53" s="702"/>
      <c r="J53" s="702"/>
      <c r="K53" s="709">
        <v>90000000</v>
      </c>
      <c r="L53" s="709">
        <f>+K53/$D$109</f>
        <v>149157.26147267935</v>
      </c>
      <c r="M53" s="706"/>
      <c r="N53" s="706"/>
      <c r="O53" s="707"/>
      <c r="P53" s="702"/>
      <c r="Q53" s="708"/>
      <c r="R53" s="708"/>
      <c r="S53" s="708"/>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19"/>
      <c r="BC53" s="19"/>
      <c r="BD53" s="19"/>
      <c r="BE53" s="19"/>
    </row>
    <row r="54" spans="1:61" s="25" customFormat="1" ht="31.5">
      <c r="A54" s="701" t="s">
        <v>401</v>
      </c>
      <c r="B54" s="702" t="s">
        <v>291</v>
      </c>
      <c r="C54" s="702">
        <v>2018</v>
      </c>
      <c r="D54" s="702" t="s">
        <v>401</v>
      </c>
      <c r="E54" s="703" t="s">
        <v>665</v>
      </c>
      <c r="F54" s="704" t="s">
        <v>314</v>
      </c>
      <c r="G54" s="704" t="s">
        <v>667</v>
      </c>
      <c r="H54" s="702" t="s">
        <v>465</v>
      </c>
      <c r="I54" s="702"/>
      <c r="J54" s="702"/>
      <c r="K54" s="705"/>
      <c r="L54" s="709">
        <f>+K54/$D$109</f>
        <v>0</v>
      </c>
      <c r="M54" s="706">
        <v>100</v>
      </c>
      <c r="N54" s="706">
        <v>0</v>
      </c>
      <c r="O54" s="707" t="s">
        <v>668</v>
      </c>
      <c r="P54" s="702" t="s">
        <v>465</v>
      </c>
      <c r="Q54" s="708" t="s">
        <v>467</v>
      </c>
      <c r="R54" s="708" t="s">
        <v>467</v>
      </c>
      <c r="S54" s="708" t="s">
        <v>472</v>
      </c>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19"/>
      <c r="BC54" s="19"/>
      <c r="BD54" s="19"/>
      <c r="BE54" s="19"/>
    </row>
    <row r="55" spans="1:61" s="25" customFormat="1" ht="31.5">
      <c r="A55" s="701" t="s">
        <v>669</v>
      </c>
      <c r="B55" s="702" t="s">
        <v>291</v>
      </c>
      <c r="C55" s="702">
        <v>2018</v>
      </c>
      <c r="D55" s="702" t="s">
        <v>669</v>
      </c>
      <c r="E55" s="703" t="s">
        <v>665</v>
      </c>
      <c r="F55" s="704" t="s">
        <v>670</v>
      </c>
      <c r="G55" s="704" t="s">
        <v>671</v>
      </c>
      <c r="H55" s="702" t="s">
        <v>465</v>
      </c>
      <c r="I55" s="702"/>
      <c r="J55" s="702"/>
      <c r="K55" s="705">
        <v>5225000</v>
      </c>
      <c r="L55" s="709">
        <f>+K55/$D$109</f>
        <v>8659.4076799416634</v>
      </c>
      <c r="M55" s="706">
        <v>100</v>
      </c>
      <c r="N55" s="706">
        <v>0</v>
      </c>
      <c r="O55" s="707" t="s">
        <v>668</v>
      </c>
      <c r="P55" s="702" t="s">
        <v>465</v>
      </c>
      <c r="Q55" s="708" t="s">
        <v>467</v>
      </c>
      <c r="R55" s="708" t="s">
        <v>467</v>
      </c>
      <c r="S55" s="708" t="s">
        <v>672</v>
      </c>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19"/>
      <c r="BC55" s="19"/>
      <c r="BD55" s="19"/>
      <c r="BE55" s="19"/>
    </row>
    <row r="56" spans="1:61" s="25" customFormat="1" ht="31.5">
      <c r="A56" s="701" t="s">
        <v>669</v>
      </c>
      <c r="B56" s="702" t="s">
        <v>291</v>
      </c>
      <c r="C56" s="702">
        <v>2018</v>
      </c>
      <c r="D56" s="702" t="s">
        <v>669</v>
      </c>
      <c r="E56" s="703" t="s">
        <v>665</v>
      </c>
      <c r="F56" s="704" t="s">
        <v>673</v>
      </c>
      <c r="G56" s="704" t="s">
        <v>671</v>
      </c>
      <c r="H56" s="702" t="s">
        <v>465</v>
      </c>
      <c r="I56" s="702"/>
      <c r="J56" s="702"/>
      <c r="K56" s="705">
        <v>28000000</v>
      </c>
      <c r="L56" s="709">
        <f>+K56/$D$109</f>
        <v>46404.4813470558</v>
      </c>
      <c r="M56" s="706"/>
      <c r="N56" s="706"/>
      <c r="O56" s="707"/>
      <c r="P56" s="702"/>
      <c r="Q56" s="708"/>
      <c r="R56" s="708"/>
      <c r="S56" s="708"/>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19"/>
      <c r="BC56" s="19"/>
      <c r="BD56" s="19"/>
      <c r="BE56" s="19"/>
    </row>
    <row r="57" spans="1:61" s="19" customFormat="1" ht="63">
      <c r="A57" s="607" t="s">
        <v>399</v>
      </c>
      <c r="B57" s="608" t="s">
        <v>291</v>
      </c>
      <c r="C57" s="608">
        <v>2019</v>
      </c>
      <c r="D57" s="608" t="s">
        <v>399</v>
      </c>
      <c r="E57" s="612" t="s">
        <v>674</v>
      </c>
      <c r="F57" s="613" t="s">
        <v>675</v>
      </c>
      <c r="G57" s="613" t="s">
        <v>676</v>
      </c>
      <c r="H57" s="608" t="s">
        <v>465</v>
      </c>
      <c r="I57" s="608"/>
      <c r="J57" s="608"/>
      <c r="K57" s="617">
        <f>L57*D110</f>
        <v>82953000</v>
      </c>
      <c r="L57" s="610">
        <v>130000</v>
      </c>
      <c r="M57" s="614">
        <v>100</v>
      </c>
      <c r="N57" s="614">
        <v>0</v>
      </c>
      <c r="O57" s="631" t="s">
        <v>668</v>
      </c>
      <c r="P57" s="608" t="s">
        <v>465</v>
      </c>
      <c r="Q57" s="615" t="s">
        <v>467</v>
      </c>
      <c r="R57" s="615" t="s">
        <v>467</v>
      </c>
      <c r="S57" s="615" t="s">
        <v>475</v>
      </c>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row>
    <row r="58" spans="1:61" s="19" customFormat="1" ht="63">
      <c r="A58" s="607" t="s">
        <v>399</v>
      </c>
      <c r="B58" s="608" t="s">
        <v>291</v>
      </c>
      <c r="C58" s="608">
        <v>2020</v>
      </c>
      <c r="D58" s="608" t="s">
        <v>399</v>
      </c>
      <c r="E58" s="612" t="s">
        <v>677</v>
      </c>
      <c r="F58" s="613" t="s">
        <v>675</v>
      </c>
      <c r="G58" s="613" t="s">
        <v>676</v>
      </c>
      <c r="H58" s="608" t="s">
        <v>465</v>
      </c>
      <c r="I58" s="608"/>
      <c r="J58" s="608"/>
      <c r="K58" s="617">
        <v>15891798.065927509</v>
      </c>
      <c r="L58" s="610">
        <f>+K58/$D$111</f>
        <v>24904.870813238533</v>
      </c>
      <c r="M58" s="614">
        <v>100</v>
      </c>
      <c r="N58" s="614">
        <v>0</v>
      </c>
      <c r="O58" s="631" t="s">
        <v>668</v>
      </c>
      <c r="P58" s="608" t="s">
        <v>465</v>
      </c>
      <c r="Q58" s="615" t="s">
        <v>467</v>
      </c>
      <c r="R58" s="615" t="s">
        <v>467</v>
      </c>
      <c r="S58" s="615"/>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row>
    <row r="59" spans="1:61" s="19" customFormat="1" ht="63">
      <c r="A59" s="607" t="s">
        <v>399</v>
      </c>
      <c r="B59" s="608" t="s">
        <v>291</v>
      </c>
      <c r="C59" s="608">
        <v>2021</v>
      </c>
      <c r="D59" s="608" t="s">
        <v>399</v>
      </c>
      <c r="E59" s="612" t="s">
        <v>678</v>
      </c>
      <c r="F59" s="613" t="s">
        <v>675</v>
      </c>
      <c r="G59" s="613" t="s">
        <v>676</v>
      </c>
      <c r="H59" s="608" t="s">
        <v>465</v>
      </c>
      <c r="I59" s="608"/>
      <c r="J59" s="608"/>
      <c r="K59" s="617">
        <f>L59*D110</f>
        <v>557685.80022871355</v>
      </c>
      <c r="L59" s="623">
        <f>+PEP!I71</f>
        <v>873.97868708464739</v>
      </c>
      <c r="M59" s="614">
        <v>100</v>
      </c>
      <c r="N59" s="614">
        <v>0</v>
      </c>
      <c r="O59" s="631" t="s">
        <v>668</v>
      </c>
      <c r="P59" s="608" t="s">
        <v>465</v>
      </c>
      <c r="Q59" s="615" t="s">
        <v>467</v>
      </c>
      <c r="R59" s="615" t="s">
        <v>467</v>
      </c>
      <c r="S59" s="615"/>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row>
    <row r="60" spans="1:61" s="19" customFormat="1">
      <c r="A60" s="607"/>
      <c r="B60" s="608" t="s">
        <v>508</v>
      </c>
      <c r="C60" s="608"/>
      <c r="D60" s="608"/>
      <c r="E60" s="609"/>
      <c r="F60" s="609"/>
      <c r="G60" s="609"/>
      <c r="H60" s="608"/>
      <c r="I60" s="608"/>
      <c r="J60" s="608"/>
      <c r="K60" s="623">
        <f>K47+K53+K57+K58+K50+K55+K56+K51+K52+SUM(K59:K59)</f>
        <v>350247483.86615622</v>
      </c>
      <c r="L60" s="623">
        <f>L47+L53+L57+L58+L50+L55+L56+L51+L52+SUM(L59:L59)</f>
        <v>560000</v>
      </c>
      <c r="M60" s="614">
        <v>100</v>
      </c>
      <c r="N60" s="614">
        <f>SUM(N48:N59)</f>
        <v>0</v>
      </c>
      <c r="O60" s="615"/>
      <c r="P60" s="608"/>
      <c r="Q60" s="608"/>
      <c r="R60" s="608"/>
      <c r="S60" s="608"/>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row>
    <row r="61" spans="1:61" s="21" customFormat="1">
      <c r="E61" s="264"/>
      <c r="F61" s="264"/>
      <c r="G61" s="264"/>
      <c r="H61" s="26">
        <f>+K56</f>
        <v>28000000</v>
      </c>
      <c r="K61" s="229">
        <v>35</v>
      </c>
      <c r="L61" s="230"/>
      <c r="M61" s="27"/>
      <c r="N61" s="27"/>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19"/>
      <c r="BC61" s="19"/>
      <c r="BD61" s="19"/>
      <c r="BE61" s="19"/>
      <c r="BF61" s="19"/>
      <c r="BG61" s="19"/>
      <c r="BH61" s="19"/>
      <c r="BI61" s="19"/>
    </row>
    <row r="62" spans="1:61" s="21" customFormat="1">
      <c r="A62" s="643" t="s">
        <v>435</v>
      </c>
      <c r="B62" s="643" t="s">
        <v>511</v>
      </c>
      <c r="C62" s="643"/>
      <c r="D62" s="643"/>
      <c r="E62" s="643"/>
      <c r="F62" s="643"/>
      <c r="G62" s="643"/>
      <c r="H62" s="643"/>
      <c r="I62" s="643"/>
      <c r="J62" s="643"/>
      <c r="K62" s="643"/>
      <c r="L62" s="643"/>
      <c r="M62" s="643"/>
      <c r="N62" s="643"/>
      <c r="O62" s="643"/>
      <c r="P62" s="643"/>
      <c r="Q62" s="643"/>
      <c r="R62" s="643"/>
      <c r="S62" s="643"/>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19"/>
      <c r="BC62" s="19"/>
      <c r="BD62" s="19"/>
      <c r="BE62" s="19"/>
      <c r="BF62" s="19"/>
      <c r="BG62" s="19"/>
      <c r="BH62" s="19"/>
      <c r="BI62" s="19"/>
    </row>
    <row r="63" spans="1:61" s="21" customFormat="1">
      <c r="A63" s="643"/>
      <c r="B63" s="643" t="s">
        <v>437</v>
      </c>
      <c r="C63" s="643" t="s">
        <v>438</v>
      </c>
      <c r="D63" s="643" t="s">
        <v>439</v>
      </c>
      <c r="E63" s="644" t="s">
        <v>440</v>
      </c>
      <c r="F63" s="644" t="s">
        <v>441</v>
      </c>
      <c r="G63" s="644" t="s">
        <v>442</v>
      </c>
      <c r="H63" s="643" t="s">
        <v>459</v>
      </c>
      <c r="I63" s="643" t="s">
        <v>445</v>
      </c>
      <c r="J63" s="679" t="s">
        <v>446</v>
      </c>
      <c r="K63" s="679"/>
      <c r="L63" s="679"/>
      <c r="M63" s="679"/>
      <c r="N63" s="651"/>
      <c r="O63" s="643" t="s">
        <v>447</v>
      </c>
      <c r="P63" s="643" t="s">
        <v>448</v>
      </c>
      <c r="Q63" s="643" t="s">
        <v>449</v>
      </c>
      <c r="R63" s="643"/>
      <c r="S63" s="643" t="s">
        <v>450</v>
      </c>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19"/>
      <c r="BC63" s="19"/>
      <c r="BD63" s="19"/>
      <c r="BE63" s="19"/>
      <c r="BF63" s="19"/>
      <c r="BG63" s="19"/>
      <c r="BH63" s="19"/>
      <c r="BI63" s="19"/>
    </row>
    <row r="64" spans="1:61" s="21" customFormat="1" ht="31.5">
      <c r="A64" s="280"/>
      <c r="B64" s="328"/>
      <c r="C64" s="643"/>
      <c r="D64" s="328" t="s">
        <v>439</v>
      </c>
      <c r="E64" s="329"/>
      <c r="F64" s="329"/>
      <c r="G64" s="329"/>
      <c r="H64" s="328"/>
      <c r="I64" s="328"/>
      <c r="J64" s="205" t="s">
        <v>512</v>
      </c>
      <c r="K64" s="231" t="s">
        <v>451</v>
      </c>
      <c r="L64" s="231" t="s">
        <v>452</v>
      </c>
      <c r="M64" s="40" t="s">
        <v>453</v>
      </c>
      <c r="N64" s="205" t="s">
        <v>454</v>
      </c>
      <c r="O64" s="328"/>
      <c r="P64" s="328"/>
      <c r="Q64" s="280" t="s">
        <v>513</v>
      </c>
      <c r="R64" s="280" t="s">
        <v>514</v>
      </c>
      <c r="S64" s="328"/>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19"/>
      <c r="BC64" s="19"/>
      <c r="BD64" s="19"/>
      <c r="BE64" s="19"/>
      <c r="BF64" s="19"/>
      <c r="BG64" s="19"/>
      <c r="BH64" s="19"/>
      <c r="BI64" s="19"/>
    </row>
    <row r="65" spans="1:61" s="19" customFormat="1">
      <c r="A65" s="28"/>
      <c r="B65" s="29" t="s">
        <v>508</v>
      </c>
      <c r="C65" s="29"/>
      <c r="D65" s="29"/>
      <c r="E65" s="129"/>
      <c r="F65" s="129"/>
      <c r="G65" s="129"/>
      <c r="H65" s="29"/>
      <c r="I65" s="29"/>
      <c r="J65" s="30"/>
      <c r="K65" s="232"/>
      <c r="L65" s="232"/>
      <c r="M65" s="30"/>
      <c r="N65" s="31"/>
      <c r="O65" s="29"/>
      <c r="P65" s="29"/>
      <c r="Q65" s="29"/>
      <c r="R65" s="29"/>
      <c r="S65" s="29"/>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row>
    <row r="66" spans="1:61" s="19" customFormat="1">
      <c r="E66" s="265"/>
      <c r="F66" s="265"/>
      <c r="G66" s="265"/>
      <c r="K66" s="233"/>
      <c r="L66" s="230"/>
      <c r="M66" s="32"/>
      <c r="N66" s="32"/>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row>
    <row r="67" spans="1:61" s="19" customFormat="1">
      <c r="A67" s="323" t="s">
        <v>435</v>
      </c>
      <c r="B67" s="641" t="s">
        <v>522</v>
      </c>
      <c r="C67" s="331"/>
      <c r="D67" s="331"/>
      <c r="E67" s="331"/>
      <c r="F67" s="331"/>
      <c r="G67" s="331"/>
      <c r="H67" s="331"/>
      <c r="I67" s="331"/>
      <c r="J67" s="331"/>
      <c r="K67" s="331"/>
      <c r="L67" s="331"/>
      <c r="M67" s="331"/>
      <c r="N67" s="331"/>
      <c r="O67" s="331"/>
      <c r="P67" s="331"/>
      <c r="Q67" s="331"/>
      <c r="R67" s="331"/>
      <c r="S67" s="642"/>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row>
    <row r="68" spans="1:61" s="19" customFormat="1" ht="47.25">
      <c r="A68" s="324"/>
      <c r="B68" s="328" t="s">
        <v>437</v>
      </c>
      <c r="C68" s="643" t="s">
        <v>438</v>
      </c>
      <c r="D68" s="643" t="s">
        <v>439</v>
      </c>
      <c r="E68" s="644" t="s">
        <v>440</v>
      </c>
      <c r="F68" s="644" t="s">
        <v>441</v>
      </c>
      <c r="G68" s="329" t="s">
        <v>523</v>
      </c>
      <c r="H68" s="643" t="s">
        <v>459</v>
      </c>
      <c r="I68" s="645"/>
      <c r="J68" s="645"/>
      <c r="K68" s="646" t="s">
        <v>446</v>
      </c>
      <c r="L68" s="330"/>
      <c r="M68" s="330"/>
      <c r="N68" s="647"/>
      <c r="O68" s="328" t="s">
        <v>447</v>
      </c>
      <c r="P68" s="648" t="s">
        <v>448</v>
      </c>
      <c r="Q68" s="643" t="s">
        <v>449</v>
      </c>
      <c r="R68" s="643"/>
      <c r="S68" s="328" t="s">
        <v>450</v>
      </c>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row>
    <row r="69" spans="1:61" s="19" customFormat="1" ht="31.5">
      <c r="A69" s="325"/>
      <c r="B69" s="326"/>
      <c r="C69" s="643"/>
      <c r="D69" s="643" t="s">
        <v>439</v>
      </c>
      <c r="E69" s="644"/>
      <c r="F69" s="644"/>
      <c r="G69" s="327"/>
      <c r="H69" s="643"/>
      <c r="I69" s="643" t="s">
        <v>445</v>
      </c>
      <c r="J69" s="643"/>
      <c r="K69" s="649" t="s">
        <v>451</v>
      </c>
      <c r="L69" s="234" t="s">
        <v>452</v>
      </c>
      <c r="M69" s="650" t="s">
        <v>453</v>
      </c>
      <c r="N69" s="651" t="s">
        <v>454</v>
      </c>
      <c r="O69" s="326"/>
      <c r="P69" s="648" t="s">
        <v>510</v>
      </c>
      <c r="Q69" s="648" t="s">
        <v>510</v>
      </c>
      <c r="R69" s="648" t="s">
        <v>456</v>
      </c>
      <c r="S69" s="326"/>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row>
    <row r="70" spans="1:61" s="19" customFormat="1">
      <c r="A70" s="607"/>
      <c r="B70" s="608"/>
      <c r="C70" s="608"/>
      <c r="D70" s="608"/>
      <c r="E70" s="612"/>
      <c r="F70" s="613"/>
      <c r="G70" s="613"/>
      <c r="H70" s="608"/>
      <c r="I70" s="608"/>
      <c r="J70" s="608"/>
      <c r="K70" s="617"/>
      <c r="L70" s="617"/>
      <c r="M70" s="631"/>
      <c r="N70" s="608"/>
      <c r="O70" s="615"/>
      <c r="P70" s="608"/>
      <c r="Q70" s="615"/>
      <c r="R70" s="685"/>
      <c r="S70" s="685"/>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row>
    <row r="71" spans="1:61" s="19" customFormat="1">
      <c r="A71" s="652"/>
      <c r="B71" s="653"/>
      <c r="C71" s="653"/>
      <c r="D71" s="653"/>
      <c r="E71" s="654"/>
      <c r="F71" s="655"/>
      <c r="G71" s="655"/>
      <c r="H71" s="656"/>
      <c r="I71" s="657"/>
      <c r="J71" s="658"/>
      <c r="K71" s="659"/>
      <c r="L71" s="659"/>
      <c r="M71" s="660"/>
      <c r="N71" s="660"/>
      <c r="O71" s="656"/>
      <c r="P71" s="656"/>
      <c r="Q71" s="661"/>
      <c r="R71" s="661"/>
      <c r="S71" s="662"/>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row>
    <row r="72" spans="1:61" s="19" customFormat="1">
      <c r="A72" s="28"/>
      <c r="B72" s="29" t="s">
        <v>508</v>
      </c>
      <c r="C72" s="29"/>
      <c r="D72" s="29"/>
      <c r="E72" s="129"/>
      <c r="F72" s="129"/>
      <c r="G72" s="129"/>
      <c r="H72" s="29"/>
      <c r="I72" s="29"/>
      <c r="J72" s="30"/>
      <c r="K72" s="232"/>
      <c r="L72" s="232"/>
      <c r="M72" s="30"/>
      <c r="N72" s="31"/>
      <c r="O72" s="29"/>
      <c r="P72" s="29"/>
      <c r="Q72" s="29"/>
      <c r="R72" s="29"/>
      <c r="S72" s="29"/>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row>
    <row r="73" spans="1:61" s="19" customFormat="1">
      <c r="E73" s="265"/>
      <c r="F73" s="265"/>
      <c r="G73" s="265"/>
      <c r="H73" s="226"/>
      <c r="K73" s="233">
        <v>100</v>
      </c>
      <c r="L73" s="230"/>
      <c r="M73" s="32"/>
      <c r="N73" s="32"/>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row>
    <row r="74" spans="1:61" s="21" customFormat="1">
      <c r="A74" s="599" t="s">
        <v>435</v>
      </c>
      <c r="B74" s="599" t="s">
        <v>524</v>
      </c>
      <c r="C74" s="599"/>
      <c r="D74" s="599"/>
      <c r="E74" s="599"/>
      <c r="F74" s="599"/>
      <c r="G74" s="599"/>
      <c r="H74" s="599"/>
      <c r="I74" s="599"/>
      <c r="J74" s="599"/>
      <c r="K74" s="599"/>
      <c r="L74" s="599"/>
      <c r="M74" s="599"/>
      <c r="N74" s="599"/>
      <c r="O74" s="599"/>
      <c r="P74" s="599"/>
      <c r="Q74" s="599"/>
      <c r="R74" s="599"/>
      <c r="S74" s="599"/>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19"/>
      <c r="BC74" s="19"/>
      <c r="BD74" s="19"/>
      <c r="BE74" s="19"/>
      <c r="BF74" s="19"/>
      <c r="BG74" s="19"/>
      <c r="BH74" s="19"/>
      <c r="BI74" s="19"/>
    </row>
    <row r="75" spans="1:61" s="21" customFormat="1">
      <c r="A75" s="599"/>
      <c r="B75" s="599" t="s">
        <v>437</v>
      </c>
      <c r="C75" s="599" t="s">
        <v>438</v>
      </c>
      <c r="D75" s="599" t="s">
        <v>439</v>
      </c>
      <c r="E75" s="600" t="s">
        <v>440</v>
      </c>
      <c r="F75" s="600" t="s">
        <v>441</v>
      </c>
      <c r="G75" s="600" t="s">
        <v>442</v>
      </c>
      <c r="H75" s="599" t="s">
        <v>459</v>
      </c>
      <c r="I75" s="599"/>
      <c r="J75" s="599"/>
      <c r="K75" s="601"/>
      <c r="L75" s="602" t="s">
        <v>446</v>
      </c>
      <c r="M75" s="602"/>
      <c r="N75" s="602"/>
      <c r="O75" s="599" t="s">
        <v>447</v>
      </c>
      <c r="P75" s="599" t="s">
        <v>448</v>
      </c>
      <c r="Q75" s="599" t="s">
        <v>449</v>
      </c>
      <c r="R75" s="599"/>
      <c r="S75" s="599" t="s">
        <v>450</v>
      </c>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19"/>
      <c r="BC75" s="19"/>
      <c r="BD75" s="19"/>
      <c r="BE75" s="19"/>
      <c r="BF75" s="19"/>
      <c r="BG75" s="19"/>
      <c r="BH75" s="19"/>
      <c r="BI75" s="19"/>
    </row>
    <row r="76" spans="1:61" s="21" customFormat="1" ht="31.5">
      <c r="A76" s="603"/>
      <c r="B76" s="599"/>
      <c r="C76" s="599"/>
      <c r="D76" s="599" t="s">
        <v>439</v>
      </c>
      <c r="E76" s="600"/>
      <c r="F76" s="600"/>
      <c r="G76" s="600"/>
      <c r="H76" s="599"/>
      <c r="I76" s="599" t="s">
        <v>445</v>
      </c>
      <c r="J76" s="599"/>
      <c r="K76" s="601" t="s">
        <v>451</v>
      </c>
      <c r="L76" s="601" t="s">
        <v>452</v>
      </c>
      <c r="M76" s="605" t="s">
        <v>453</v>
      </c>
      <c r="N76" s="606" t="s">
        <v>454</v>
      </c>
      <c r="O76" s="599"/>
      <c r="P76" s="599"/>
      <c r="Q76" s="603" t="s">
        <v>510</v>
      </c>
      <c r="R76" s="603" t="s">
        <v>456</v>
      </c>
      <c r="S76" s="599"/>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19"/>
      <c r="BC76" s="19"/>
      <c r="BD76" s="19"/>
      <c r="BE76" s="19"/>
      <c r="BF76" s="19"/>
      <c r="BG76" s="19"/>
      <c r="BH76" s="19"/>
      <c r="BI76" s="19"/>
    </row>
    <row r="77" spans="1:61" s="19" customFormat="1" ht="63">
      <c r="A77" s="607" t="s">
        <v>337</v>
      </c>
      <c r="B77" s="608" t="s">
        <v>291</v>
      </c>
      <c r="C77" s="608">
        <v>2018</v>
      </c>
      <c r="D77" s="608"/>
      <c r="E77" s="612" t="s">
        <v>679</v>
      </c>
      <c r="F77" s="681" t="s">
        <v>680</v>
      </c>
      <c r="G77" s="681" t="s">
        <v>681</v>
      </c>
      <c r="H77" s="615" t="s">
        <v>465</v>
      </c>
      <c r="I77" s="608"/>
      <c r="J77" s="608"/>
      <c r="K77" s="610">
        <v>325000000</v>
      </c>
      <c r="L77" s="610">
        <f>+K77/$D$109</f>
        <v>538623.44420689775</v>
      </c>
      <c r="M77" s="611">
        <v>100</v>
      </c>
      <c r="N77" s="611">
        <v>0</v>
      </c>
      <c r="O77" s="608" t="s">
        <v>466</v>
      </c>
      <c r="P77" s="608" t="s">
        <v>465</v>
      </c>
      <c r="Q77" s="615" t="s">
        <v>467</v>
      </c>
      <c r="R77" s="615" t="s">
        <v>467</v>
      </c>
      <c r="S77" s="615" t="s">
        <v>682</v>
      </c>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row>
    <row r="78" spans="1:61" s="19" customFormat="1" ht="63">
      <c r="A78" s="607" t="s">
        <v>337</v>
      </c>
      <c r="B78" s="608" t="s">
        <v>291</v>
      </c>
      <c r="C78" s="608">
        <v>2019</v>
      </c>
      <c r="D78" s="608"/>
      <c r="E78" s="612" t="s">
        <v>683</v>
      </c>
      <c r="F78" s="681" t="s">
        <v>684</v>
      </c>
      <c r="G78" s="681" t="s">
        <v>681</v>
      </c>
      <c r="H78" s="615" t="s">
        <v>465</v>
      </c>
      <c r="I78" s="608"/>
      <c r="J78" s="608"/>
      <c r="K78" s="617">
        <f>+L78*$D$110</f>
        <v>319050000</v>
      </c>
      <c r="L78" s="610">
        <f>+PEP!G9</f>
        <v>500000</v>
      </c>
      <c r="M78" s="611">
        <v>100</v>
      </c>
      <c r="N78" s="611">
        <v>0</v>
      </c>
      <c r="O78" s="608" t="s">
        <v>466</v>
      </c>
      <c r="P78" s="608" t="s">
        <v>465</v>
      </c>
      <c r="Q78" s="615" t="s">
        <v>467</v>
      </c>
      <c r="R78" s="615" t="s">
        <v>467</v>
      </c>
      <c r="S78" s="615" t="s">
        <v>685</v>
      </c>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row>
    <row r="79" spans="1:61" s="19" customFormat="1" ht="63">
      <c r="A79" s="607" t="s">
        <v>337</v>
      </c>
      <c r="B79" s="608" t="s">
        <v>291</v>
      </c>
      <c r="C79" s="608">
        <v>2020</v>
      </c>
      <c r="D79" s="608"/>
      <c r="E79" s="612" t="s">
        <v>686</v>
      </c>
      <c r="F79" s="681" t="s">
        <v>687</v>
      </c>
      <c r="G79" s="681" t="s">
        <v>681</v>
      </c>
      <c r="H79" s="615" t="s">
        <v>465</v>
      </c>
      <c r="I79" s="608"/>
      <c r="J79" s="608"/>
      <c r="K79" s="617">
        <f>+L79*$D$111</f>
        <v>319050000</v>
      </c>
      <c r="L79" s="610">
        <f>+PEP!H9</f>
        <v>500000</v>
      </c>
      <c r="M79" s="611">
        <v>100</v>
      </c>
      <c r="N79" s="611">
        <v>0</v>
      </c>
      <c r="O79" s="608" t="s">
        <v>466</v>
      </c>
      <c r="P79" s="608" t="s">
        <v>465</v>
      </c>
      <c r="Q79" s="615" t="s">
        <v>467</v>
      </c>
      <c r="R79" s="615" t="s">
        <v>467</v>
      </c>
      <c r="S79" s="615" t="s">
        <v>685</v>
      </c>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row>
    <row r="80" spans="1:61" s="19" customFormat="1" ht="63">
      <c r="A80" s="607" t="s">
        <v>337</v>
      </c>
      <c r="B80" s="608" t="s">
        <v>291</v>
      </c>
      <c r="C80" s="608">
        <v>2021</v>
      </c>
      <c r="D80" s="608"/>
      <c r="E80" s="612" t="s">
        <v>688</v>
      </c>
      <c r="F80" s="681" t="s">
        <v>689</v>
      </c>
      <c r="G80" s="681" t="s">
        <v>681</v>
      </c>
      <c r="H80" s="615" t="s">
        <v>465</v>
      </c>
      <c r="I80" s="608"/>
      <c r="J80" s="608"/>
      <c r="K80" s="617">
        <f>+L80*$D$112</f>
        <v>294404380.25157863</v>
      </c>
      <c r="L80" s="610">
        <f>+PEP!I9</f>
        <v>461376.55579310236</v>
      </c>
      <c r="M80" s="611">
        <v>100</v>
      </c>
      <c r="N80" s="611">
        <v>0</v>
      </c>
      <c r="O80" s="608" t="s">
        <v>466</v>
      </c>
      <c r="P80" s="608" t="s">
        <v>465</v>
      </c>
      <c r="Q80" s="615" t="s">
        <v>467</v>
      </c>
      <c r="R80" s="615" t="s">
        <v>467</v>
      </c>
      <c r="S80" s="615" t="s">
        <v>685</v>
      </c>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row>
    <row r="81" spans="1:61" s="19" customFormat="1">
      <c r="A81" s="607"/>
      <c r="B81" s="608" t="s">
        <v>508</v>
      </c>
      <c r="C81" s="608"/>
      <c r="D81" s="608"/>
      <c r="E81" s="609"/>
      <c r="F81" s="609"/>
      <c r="G81" s="609"/>
      <c r="H81" s="608"/>
      <c r="I81" s="677"/>
      <c r="J81" s="677"/>
      <c r="K81" s="610">
        <f>K77+K78+K79+K80</f>
        <v>1257504380.2515786</v>
      </c>
      <c r="L81" s="610">
        <f>L77+L78+L79+L80</f>
        <v>2000000</v>
      </c>
      <c r="M81" s="611">
        <v>100</v>
      </c>
      <c r="N81" s="611">
        <v>0</v>
      </c>
      <c r="O81" s="678"/>
      <c r="P81" s="608"/>
      <c r="Q81" s="608"/>
      <c r="R81" s="608"/>
      <c r="S81" s="608"/>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row>
    <row r="82" spans="1:61" s="21" customFormat="1">
      <c r="B82" s="34"/>
      <c r="C82" s="34"/>
      <c r="D82" s="34"/>
      <c r="E82" s="138"/>
      <c r="F82" s="138"/>
      <c r="G82" s="138"/>
      <c r="H82" s="34"/>
      <c r="I82" s="34"/>
      <c r="J82" s="34"/>
      <c r="K82" s="235"/>
      <c r="L82" s="236"/>
      <c r="M82" s="35"/>
      <c r="N82" s="35"/>
      <c r="O82" s="36"/>
      <c r="P82" s="34"/>
      <c r="Q82" s="34"/>
      <c r="R82" s="34"/>
      <c r="S82" s="34"/>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19"/>
      <c r="BC82" s="19"/>
      <c r="BD82" s="19"/>
      <c r="BE82" s="19"/>
      <c r="BF82" s="19"/>
      <c r="BG82" s="19"/>
      <c r="BH82" s="19"/>
      <c r="BI82" s="19"/>
    </row>
    <row r="83" spans="1:61" s="21" customFormat="1">
      <c r="A83" s="599" t="s">
        <v>435</v>
      </c>
      <c r="B83" s="599" t="s">
        <v>592</v>
      </c>
      <c r="C83" s="599"/>
      <c r="D83" s="599"/>
      <c r="E83" s="599"/>
      <c r="F83" s="599"/>
      <c r="G83" s="599"/>
      <c r="H83" s="599"/>
      <c r="I83" s="599"/>
      <c r="J83" s="599"/>
      <c r="K83" s="599"/>
      <c r="L83" s="599"/>
      <c r="M83" s="599"/>
      <c r="N83" s="599"/>
      <c r="O83" s="599"/>
      <c r="P83" s="599"/>
      <c r="Q83" s="599"/>
      <c r="R83" s="599"/>
      <c r="S83" s="599"/>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19"/>
      <c r="BC83" s="19"/>
      <c r="BD83" s="19"/>
      <c r="BE83" s="19"/>
      <c r="BF83" s="19"/>
      <c r="BG83" s="19"/>
      <c r="BH83" s="19"/>
      <c r="BI83" s="19"/>
    </row>
    <row r="84" spans="1:61" s="21" customFormat="1">
      <c r="A84" s="599"/>
      <c r="B84" s="599" t="s">
        <v>437</v>
      </c>
      <c r="C84" s="599" t="s">
        <v>438</v>
      </c>
      <c r="D84" s="599" t="s">
        <v>439</v>
      </c>
      <c r="E84" s="600" t="s">
        <v>440</v>
      </c>
      <c r="F84" s="600" t="s">
        <v>441</v>
      </c>
      <c r="G84" s="600" t="s">
        <v>442</v>
      </c>
      <c r="H84" s="599" t="s">
        <v>459</v>
      </c>
      <c r="I84" s="599"/>
      <c r="J84" s="599"/>
      <c r="K84" s="601"/>
      <c r="L84" s="602" t="s">
        <v>446</v>
      </c>
      <c r="M84" s="602"/>
      <c r="N84" s="602"/>
      <c r="O84" s="599" t="s">
        <v>447</v>
      </c>
      <c r="P84" s="599" t="s">
        <v>448</v>
      </c>
      <c r="Q84" s="599" t="s">
        <v>449</v>
      </c>
      <c r="R84" s="599"/>
      <c r="S84" s="599" t="s">
        <v>450</v>
      </c>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19"/>
      <c r="BC84" s="19"/>
      <c r="BD84" s="19"/>
      <c r="BE84" s="19"/>
      <c r="BF84" s="19"/>
      <c r="BG84" s="19"/>
      <c r="BH84" s="19"/>
      <c r="BI84" s="19"/>
    </row>
    <row r="85" spans="1:61" s="21" customFormat="1" ht="31.5">
      <c r="A85" s="603"/>
      <c r="B85" s="599"/>
      <c r="C85" s="599"/>
      <c r="D85" s="599" t="s">
        <v>439</v>
      </c>
      <c r="E85" s="600"/>
      <c r="F85" s="600"/>
      <c r="G85" s="600"/>
      <c r="H85" s="599"/>
      <c r="I85" s="599" t="s">
        <v>445</v>
      </c>
      <c r="J85" s="599"/>
      <c r="K85" s="601" t="s">
        <v>451</v>
      </c>
      <c r="L85" s="601" t="s">
        <v>452</v>
      </c>
      <c r="M85" s="605" t="s">
        <v>453</v>
      </c>
      <c r="N85" s="606" t="s">
        <v>454</v>
      </c>
      <c r="O85" s="599"/>
      <c r="P85" s="599"/>
      <c r="Q85" s="603" t="s">
        <v>510</v>
      </c>
      <c r="R85" s="603" t="s">
        <v>456</v>
      </c>
      <c r="S85" s="599"/>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19"/>
      <c r="BC85" s="19"/>
      <c r="BD85" s="19"/>
      <c r="BE85" s="19"/>
      <c r="BF85" s="19"/>
      <c r="BG85" s="19"/>
      <c r="BH85" s="19"/>
      <c r="BI85" s="19"/>
    </row>
    <row r="86" spans="1:61" s="38" customFormat="1" ht="31.5">
      <c r="A86" s="710" t="s">
        <v>339</v>
      </c>
      <c r="B86" s="711" t="s">
        <v>291</v>
      </c>
      <c r="C86" s="711">
        <v>2018</v>
      </c>
      <c r="D86" s="711"/>
      <c r="E86" s="712" t="s">
        <v>690</v>
      </c>
      <c r="F86" s="712"/>
      <c r="G86" s="712"/>
      <c r="H86" s="711"/>
      <c r="I86" s="711"/>
      <c r="J86" s="711"/>
      <c r="K86" s="697">
        <f>SUM(K87:K90)</f>
        <v>4292104</v>
      </c>
      <c r="L86" s="697">
        <f>SUM(L87:L90)</f>
        <v>7113.3164288437001</v>
      </c>
      <c r="M86" s="713"/>
      <c r="N86" s="713"/>
      <c r="O86" s="711"/>
      <c r="P86" s="711"/>
      <c r="Q86" s="714"/>
      <c r="R86" s="714"/>
      <c r="S86" s="711"/>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c r="AX86" s="37"/>
      <c r="AY86" s="37"/>
      <c r="AZ86" s="37"/>
      <c r="BA86" s="37"/>
    </row>
    <row r="87" spans="1:61" s="19" customFormat="1" ht="94.5">
      <c r="A87" s="607" t="s">
        <v>339</v>
      </c>
      <c r="B87" s="608" t="s">
        <v>291</v>
      </c>
      <c r="C87" s="608"/>
      <c r="D87" s="608"/>
      <c r="E87" s="609" t="s">
        <v>691</v>
      </c>
      <c r="F87" s="609" t="s">
        <v>692</v>
      </c>
      <c r="G87" s="609" t="s">
        <v>631</v>
      </c>
      <c r="H87" s="608" t="s">
        <v>465</v>
      </c>
      <c r="I87" s="608"/>
      <c r="J87" s="608"/>
      <c r="K87" s="617">
        <v>1204342</v>
      </c>
      <c r="L87" s="610">
        <f>+K87/$D$109</f>
        <v>1995.9594955169957</v>
      </c>
      <c r="M87" s="614">
        <v>100</v>
      </c>
      <c r="N87" s="614">
        <v>0</v>
      </c>
      <c r="O87" s="608" t="s">
        <v>466</v>
      </c>
      <c r="P87" s="608" t="s">
        <v>465</v>
      </c>
      <c r="Q87" s="615" t="s">
        <v>693</v>
      </c>
      <c r="R87" s="615" t="s">
        <v>467</v>
      </c>
      <c r="S87" s="608" t="s">
        <v>694</v>
      </c>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row>
    <row r="88" spans="1:61" s="19" customFormat="1" ht="78.75">
      <c r="A88" s="607" t="s">
        <v>339</v>
      </c>
      <c r="B88" s="608" t="s">
        <v>291</v>
      </c>
      <c r="C88" s="608"/>
      <c r="D88" s="608"/>
      <c r="E88" s="609" t="s">
        <v>691</v>
      </c>
      <c r="F88" s="609" t="s">
        <v>695</v>
      </c>
      <c r="G88" s="609" t="s">
        <v>631</v>
      </c>
      <c r="H88" s="608" t="s">
        <v>465</v>
      </c>
      <c r="I88" s="608"/>
      <c r="J88" s="608"/>
      <c r="K88" s="617">
        <v>967200</v>
      </c>
      <c r="L88" s="610">
        <f>+K88/$D$109</f>
        <v>1602.9433699597275</v>
      </c>
      <c r="M88" s="614">
        <v>100</v>
      </c>
      <c r="N88" s="614">
        <v>0</v>
      </c>
      <c r="O88" s="608" t="s">
        <v>466</v>
      </c>
      <c r="P88" s="608" t="s">
        <v>465</v>
      </c>
      <c r="Q88" s="615" t="s">
        <v>696</v>
      </c>
      <c r="R88" s="615" t="s">
        <v>467</v>
      </c>
      <c r="S88" s="608" t="s">
        <v>694</v>
      </c>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row>
    <row r="89" spans="1:61" s="19" customFormat="1" ht="126">
      <c r="A89" s="607" t="s">
        <v>339</v>
      </c>
      <c r="B89" s="608" t="s">
        <v>291</v>
      </c>
      <c r="C89" s="608"/>
      <c r="D89" s="608"/>
      <c r="E89" s="609" t="s">
        <v>691</v>
      </c>
      <c r="F89" s="609" t="s">
        <v>697</v>
      </c>
      <c r="G89" s="609" t="s">
        <v>631</v>
      </c>
      <c r="H89" s="608" t="s">
        <v>465</v>
      </c>
      <c r="I89" s="608"/>
      <c r="J89" s="608"/>
      <c r="K89" s="617">
        <v>971139</v>
      </c>
      <c r="L89" s="610">
        <f>+K89/$D$109</f>
        <v>1609.4714861035152</v>
      </c>
      <c r="M89" s="614">
        <v>100</v>
      </c>
      <c r="N89" s="614">
        <v>0</v>
      </c>
      <c r="O89" s="608" t="s">
        <v>466</v>
      </c>
      <c r="P89" s="608" t="s">
        <v>465</v>
      </c>
      <c r="Q89" s="615" t="s">
        <v>467</v>
      </c>
      <c r="R89" s="615" t="s">
        <v>467</v>
      </c>
      <c r="S89" s="608" t="s">
        <v>694</v>
      </c>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row>
    <row r="90" spans="1:61" s="19" customFormat="1" ht="47.25">
      <c r="A90" s="607" t="s">
        <v>339</v>
      </c>
      <c r="B90" s="608" t="s">
        <v>291</v>
      </c>
      <c r="C90" s="608"/>
      <c r="D90" s="608"/>
      <c r="E90" s="609" t="s">
        <v>691</v>
      </c>
      <c r="F90" s="609"/>
      <c r="G90" s="609" t="s">
        <v>631</v>
      </c>
      <c r="H90" s="608" t="s">
        <v>465</v>
      </c>
      <c r="I90" s="608"/>
      <c r="J90" s="608"/>
      <c r="K90" s="617">
        <v>1149423</v>
      </c>
      <c r="L90" s="610">
        <f>+K90/$D$109</f>
        <v>1904.9420772634614</v>
      </c>
      <c r="M90" s="614">
        <v>100</v>
      </c>
      <c r="N90" s="614">
        <v>0</v>
      </c>
      <c r="O90" s="608" t="s">
        <v>466</v>
      </c>
      <c r="P90" s="608" t="s">
        <v>465</v>
      </c>
      <c r="Q90" s="615" t="s">
        <v>467</v>
      </c>
      <c r="R90" s="615" t="s">
        <v>467</v>
      </c>
      <c r="S90" s="608" t="s">
        <v>694</v>
      </c>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row>
    <row r="91" spans="1:61" s="19" customFormat="1" ht="94.5">
      <c r="A91" s="607" t="s">
        <v>339</v>
      </c>
      <c r="B91" s="608" t="s">
        <v>291</v>
      </c>
      <c r="C91" s="608">
        <v>2019</v>
      </c>
      <c r="D91" s="608"/>
      <c r="E91" s="612" t="s">
        <v>698</v>
      </c>
      <c r="F91" s="613" t="s">
        <v>699</v>
      </c>
      <c r="G91" s="613" t="s">
        <v>631</v>
      </c>
      <c r="H91" s="608" t="s">
        <v>465</v>
      </c>
      <c r="I91" s="608"/>
      <c r="J91" s="608"/>
      <c r="K91" s="617"/>
      <c r="L91" s="610">
        <f>+K91/$D$110</f>
        <v>0</v>
      </c>
      <c r="M91" s="614">
        <v>100</v>
      </c>
      <c r="N91" s="614">
        <v>0</v>
      </c>
      <c r="O91" s="631" t="s">
        <v>466</v>
      </c>
      <c r="P91" s="608" t="s">
        <v>465</v>
      </c>
      <c r="Q91" s="618" t="s">
        <v>467</v>
      </c>
      <c r="R91" s="618" t="s">
        <v>467</v>
      </c>
      <c r="S91" s="618" t="s">
        <v>700</v>
      </c>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row>
    <row r="92" spans="1:61" s="19" customFormat="1" ht="94.5">
      <c r="A92" s="607" t="s">
        <v>339</v>
      </c>
      <c r="B92" s="608" t="s">
        <v>291</v>
      </c>
      <c r="C92" s="608">
        <v>2020</v>
      </c>
      <c r="D92" s="608"/>
      <c r="E92" s="609" t="s">
        <v>701</v>
      </c>
      <c r="F92" s="609" t="s">
        <v>699</v>
      </c>
      <c r="G92" s="609" t="s">
        <v>631</v>
      </c>
      <c r="H92" s="608" t="s">
        <v>465</v>
      </c>
      <c r="I92" s="608"/>
      <c r="J92" s="608"/>
      <c r="K92" s="617"/>
      <c r="L92" s="610">
        <f>+K92/$D$111</f>
        <v>0</v>
      </c>
      <c r="M92" s="614">
        <v>100</v>
      </c>
      <c r="N92" s="614">
        <v>0</v>
      </c>
      <c r="O92" s="608" t="s">
        <v>466</v>
      </c>
      <c r="P92" s="608" t="s">
        <v>465</v>
      </c>
      <c r="Q92" s="615" t="s">
        <v>467</v>
      </c>
      <c r="R92" s="615" t="s">
        <v>467</v>
      </c>
      <c r="S92" s="608" t="s">
        <v>700</v>
      </c>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row>
    <row r="93" spans="1:61" s="19" customFormat="1" ht="94.5">
      <c r="A93" s="607" t="s">
        <v>339</v>
      </c>
      <c r="B93" s="608" t="s">
        <v>291</v>
      </c>
      <c r="C93" s="608">
        <v>2021</v>
      </c>
      <c r="D93" s="608"/>
      <c r="E93" s="609" t="s">
        <v>702</v>
      </c>
      <c r="F93" s="609" t="s">
        <v>699</v>
      </c>
      <c r="G93" s="609" t="s">
        <v>631</v>
      </c>
      <c r="H93" s="608" t="s">
        <v>465</v>
      </c>
      <c r="I93" s="608"/>
      <c r="J93" s="608"/>
      <c r="K93" s="617"/>
      <c r="L93" s="610">
        <f>+K93/$D$111</f>
        <v>0</v>
      </c>
      <c r="M93" s="614">
        <v>100</v>
      </c>
      <c r="N93" s="614">
        <v>0</v>
      </c>
      <c r="O93" s="608" t="s">
        <v>466</v>
      </c>
      <c r="P93" s="608" t="s">
        <v>465</v>
      </c>
      <c r="Q93" s="615" t="s">
        <v>467</v>
      </c>
      <c r="R93" s="615" t="s">
        <v>467</v>
      </c>
      <c r="S93" s="608" t="s">
        <v>700</v>
      </c>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row>
    <row r="94" spans="1:61" s="19" customFormat="1">
      <c r="A94" s="607"/>
      <c r="B94" s="608" t="s">
        <v>508</v>
      </c>
      <c r="C94" s="608"/>
      <c r="D94" s="608"/>
      <c r="E94" s="680"/>
      <c r="F94" s="681"/>
      <c r="G94" s="681"/>
      <c r="H94" s="608"/>
      <c r="I94" s="677"/>
      <c r="J94" s="677"/>
      <c r="K94" s="610">
        <f>K86+K91+K92+K93</f>
        <v>4292104</v>
      </c>
      <c r="L94" s="610">
        <f>L86+L91+L92+L93</f>
        <v>7113.3164288437001</v>
      </c>
      <c r="M94" s="611">
        <v>100</v>
      </c>
      <c r="N94" s="611">
        <v>0</v>
      </c>
      <c r="O94" s="678"/>
      <c r="P94" s="608"/>
      <c r="Q94" s="608"/>
      <c r="R94" s="608"/>
      <c r="S94" s="608"/>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row>
    <row r="95" spans="1:61" s="21" customFormat="1">
      <c r="B95" s="34"/>
      <c r="C95" s="34"/>
      <c r="D95" s="34"/>
      <c r="E95" s="138"/>
      <c r="F95" s="138"/>
      <c r="G95" s="138"/>
      <c r="H95" s="34"/>
      <c r="I95" s="34"/>
      <c r="J95" s="34"/>
      <c r="K95" s="235"/>
      <c r="L95" s="235"/>
      <c r="M95" s="39"/>
      <c r="N95" s="36"/>
      <c r="O95" s="36"/>
      <c r="P95" s="34"/>
      <c r="Q95" s="34"/>
      <c r="R95" s="34"/>
      <c r="S95" s="34"/>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19"/>
      <c r="BC95" s="19"/>
      <c r="BD95" s="19"/>
      <c r="BE95" s="19"/>
      <c r="BF95" s="19"/>
      <c r="BG95" s="19"/>
      <c r="BH95" s="19"/>
      <c r="BI95" s="19"/>
    </row>
    <row r="96" spans="1:61" s="21" customFormat="1" hidden="1">
      <c r="A96" s="643" t="s">
        <v>435</v>
      </c>
      <c r="B96" s="643" t="s">
        <v>593</v>
      </c>
      <c r="C96" s="643"/>
      <c r="D96" s="643"/>
      <c r="E96" s="643"/>
      <c r="F96" s="643"/>
      <c r="G96" s="643"/>
      <c r="H96" s="643"/>
      <c r="I96" s="643"/>
      <c r="J96" s="643"/>
      <c r="K96" s="643"/>
      <c r="L96" s="643"/>
      <c r="M96" s="643"/>
      <c r="N96" s="643"/>
      <c r="O96" s="643"/>
      <c r="P96" s="643"/>
      <c r="Q96" s="643"/>
      <c r="R96" s="643"/>
      <c r="S96" s="643"/>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19"/>
      <c r="BC96" s="19"/>
      <c r="BD96" s="19"/>
      <c r="BE96" s="19"/>
      <c r="BF96" s="19"/>
      <c r="BG96" s="19"/>
      <c r="BH96" s="19"/>
      <c r="BI96" s="19"/>
    </row>
    <row r="97" spans="1:61" s="21" customFormat="1" hidden="1">
      <c r="A97" s="643"/>
      <c r="B97" s="643" t="s">
        <v>437</v>
      </c>
      <c r="C97" s="643" t="s">
        <v>438</v>
      </c>
      <c r="D97" s="643" t="s">
        <v>439</v>
      </c>
      <c r="E97" s="644" t="s">
        <v>594</v>
      </c>
      <c r="F97" s="643" t="s">
        <v>441</v>
      </c>
      <c r="G97" s="643"/>
      <c r="H97" s="643"/>
      <c r="I97" s="643" t="s">
        <v>445</v>
      </c>
      <c r="J97" s="643"/>
      <c r="K97" s="649"/>
      <c r="L97" s="679" t="s">
        <v>446</v>
      </c>
      <c r="M97" s="679"/>
      <c r="N97" s="679"/>
      <c r="O97" s="643" t="s">
        <v>447</v>
      </c>
      <c r="P97" s="682" t="s">
        <v>595</v>
      </c>
      <c r="Q97" s="643" t="s">
        <v>449</v>
      </c>
      <c r="R97" s="643"/>
      <c r="S97" s="643" t="s">
        <v>596</v>
      </c>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19"/>
      <c r="BC97" s="19"/>
      <c r="BD97" s="19"/>
      <c r="BE97" s="19"/>
      <c r="BF97" s="19"/>
      <c r="BG97" s="19"/>
      <c r="BH97" s="19"/>
      <c r="BI97" s="19"/>
    </row>
    <row r="98" spans="1:61" s="21" customFormat="1" ht="47.25" hidden="1">
      <c r="A98" s="280"/>
      <c r="B98" s="643"/>
      <c r="C98" s="643"/>
      <c r="D98" s="643" t="s">
        <v>439</v>
      </c>
      <c r="E98" s="644"/>
      <c r="F98" s="643"/>
      <c r="G98" s="643"/>
      <c r="H98" s="643"/>
      <c r="I98" s="643"/>
      <c r="J98" s="643"/>
      <c r="K98" s="231"/>
      <c r="L98" s="231" t="s">
        <v>452</v>
      </c>
      <c r="M98" s="280" t="s">
        <v>453</v>
      </c>
      <c r="N98" s="40" t="s">
        <v>454</v>
      </c>
      <c r="O98" s="643"/>
      <c r="P98" s="682"/>
      <c r="Q98" s="280" t="s">
        <v>597</v>
      </c>
      <c r="R98" s="280" t="s">
        <v>598</v>
      </c>
      <c r="S98" s="643"/>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19"/>
      <c r="BC98" s="19"/>
      <c r="BD98" s="19"/>
      <c r="BE98" s="19"/>
      <c r="BF98" s="19"/>
      <c r="BG98" s="19"/>
      <c r="BH98" s="19"/>
      <c r="BI98" s="19"/>
    </row>
    <row r="99" spans="1:61" s="204" customFormat="1" hidden="1">
      <c r="A99" s="607"/>
      <c r="B99" s="608" t="s">
        <v>508</v>
      </c>
      <c r="C99" s="608"/>
      <c r="D99" s="608"/>
      <c r="E99" s="609"/>
      <c r="F99" s="677"/>
      <c r="G99" s="677"/>
      <c r="H99" s="677"/>
      <c r="I99" s="677"/>
      <c r="J99" s="677"/>
      <c r="K99" s="683"/>
      <c r="L99" s="683"/>
      <c r="M99" s="608"/>
      <c r="N99" s="684"/>
      <c r="O99" s="678"/>
      <c r="P99" s="678"/>
      <c r="Q99" s="608"/>
      <c r="R99" s="608"/>
      <c r="S99" s="608"/>
      <c r="T99" s="685"/>
      <c r="U99" s="685"/>
      <c r="V99" s="685"/>
      <c r="W99" s="685"/>
      <c r="X99" s="685"/>
      <c r="Y99" s="685"/>
      <c r="Z99" s="685"/>
      <c r="AA99" s="685"/>
      <c r="AB99" s="685"/>
      <c r="AC99" s="685"/>
      <c r="AD99" s="685"/>
      <c r="AE99" s="685"/>
      <c r="AF99" s="685"/>
      <c r="AG99" s="685"/>
      <c r="AH99" s="685"/>
      <c r="AI99" s="685"/>
      <c r="AJ99" s="685"/>
      <c r="AK99" s="685"/>
      <c r="AL99" s="685"/>
      <c r="AM99" s="685"/>
      <c r="AN99" s="685"/>
      <c r="AO99" s="685"/>
      <c r="AP99" s="685"/>
      <c r="AQ99" s="685"/>
      <c r="AR99" s="685"/>
      <c r="AS99" s="685"/>
      <c r="AT99" s="685"/>
      <c r="AU99" s="685"/>
      <c r="AV99" s="685"/>
      <c r="AW99" s="685"/>
      <c r="AX99" s="685"/>
      <c r="AY99" s="685"/>
      <c r="AZ99" s="685"/>
      <c r="BA99" s="685"/>
      <c r="BB99" s="685"/>
      <c r="BC99" s="685"/>
      <c r="BD99" s="685"/>
      <c r="BE99" s="685"/>
      <c r="BF99" s="685"/>
      <c r="BG99" s="685"/>
      <c r="BH99" s="685"/>
      <c r="BI99" s="685"/>
    </row>
    <row r="100" spans="1:61" s="20" customFormat="1" hidden="1">
      <c r="A100" s="41"/>
      <c r="E100" s="266"/>
      <c r="F100" s="266"/>
      <c r="G100" s="266"/>
      <c r="K100" s="237"/>
      <c r="L100" s="237"/>
    </row>
    <row r="101" spans="1:61" s="20" customFormat="1" hidden="1">
      <c r="E101" s="266"/>
      <c r="F101" s="266"/>
      <c r="G101" s="266"/>
      <c r="K101" s="237"/>
      <c r="L101" s="237"/>
    </row>
    <row r="102" spans="1:61" s="20" customFormat="1">
      <c r="E102" s="266"/>
      <c r="F102" s="266"/>
      <c r="G102" s="266"/>
      <c r="K102" s="237"/>
      <c r="L102" s="237"/>
      <c r="P102" s="332"/>
      <c r="Q102" s="332"/>
      <c r="R102" s="332"/>
      <c r="S102" s="332"/>
    </row>
    <row r="103" spans="1:61" s="20" customFormat="1">
      <c r="E103" s="266"/>
      <c r="F103" s="266"/>
      <c r="G103" s="266"/>
      <c r="K103" s="237"/>
      <c r="L103" s="237"/>
      <c r="P103" s="282"/>
      <c r="Q103" s="282"/>
      <c r="R103" s="282"/>
      <c r="S103" s="282"/>
    </row>
    <row r="104" spans="1:61" s="20" customFormat="1">
      <c r="B104" s="690" t="s">
        <v>428</v>
      </c>
      <c r="C104" s="690"/>
      <c r="D104" s="685"/>
      <c r="E104" s="681"/>
      <c r="F104" s="681"/>
      <c r="G104" s="681"/>
      <c r="H104" s="685"/>
      <c r="I104" s="685"/>
      <c r="J104" s="685"/>
      <c r="K104" s="692">
        <f>+K24+K42+K60+K81+K94</f>
        <v>2293124831.3418479</v>
      </c>
      <c r="L104" s="692">
        <f>+L24+L42+L60+L81+L94</f>
        <v>3660000</v>
      </c>
      <c r="M104" s="694">
        <v>100</v>
      </c>
      <c r="N104" s="694">
        <v>0</v>
      </c>
      <c r="P104" s="282"/>
      <c r="Q104" s="282"/>
      <c r="R104" s="282"/>
      <c r="S104" s="282"/>
    </row>
    <row r="105" spans="1:61" s="18" customFormat="1">
      <c r="B105" s="690">
        <v>2018</v>
      </c>
      <c r="C105" s="690"/>
      <c r="D105" s="685"/>
      <c r="E105" s="681"/>
      <c r="F105" s="681"/>
      <c r="G105" s="681"/>
      <c r="H105" s="685"/>
      <c r="I105" s="685"/>
      <c r="J105" s="685"/>
      <c r="K105" s="692">
        <f>+K12+K29+K47+K53+K55+K56+K77+K86</f>
        <v>628051000</v>
      </c>
      <c r="L105" s="692">
        <f>+L12+L29+L47+L53+L77+L86</f>
        <v>985806.85791942198</v>
      </c>
      <c r="M105" s="694">
        <v>100</v>
      </c>
      <c r="N105" s="694">
        <v>0</v>
      </c>
    </row>
    <row r="106" spans="1:61" s="18" customFormat="1">
      <c r="B106" s="690">
        <v>2019</v>
      </c>
      <c r="C106" s="690"/>
      <c r="D106" s="685"/>
      <c r="E106" s="681"/>
      <c r="F106" s="681"/>
      <c r="G106" s="681"/>
      <c r="H106" s="685"/>
      <c r="I106" s="685"/>
      <c r="J106" s="685"/>
      <c r="K106" s="692">
        <f t="shared" ref="K106:L108" si="2">+K21+K39+K50+K57+K78+K91</f>
        <v>609385500</v>
      </c>
      <c r="L106" s="692">
        <f t="shared" si="2"/>
        <v>955000</v>
      </c>
      <c r="M106" s="694">
        <v>100</v>
      </c>
      <c r="N106" s="694">
        <v>0</v>
      </c>
    </row>
    <row r="107" spans="1:61" s="18" customFormat="1">
      <c r="B107" s="690">
        <v>2020</v>
      </c>
      <c r="C107" s="690"/>
      <c r="D107" s="685"/>
      <c r="E107" s="681"/>
      <c r="F107" s="681"/>
      <c r="G107" s="681"/>
      <c r="H107" s="685"/>
      <c r="I107" s="685"/>
      <c r="J107" s="685"/>
      <c r="K107" s="692">
        <f t="shared" si="2"/>
        <v>573691798.06592751</v>
      </c>
      <c r="L107" s="692">
        <f t="shared" si="2"/>
        <v>899062.52635312255</v>
      </c>
      <c r="M107" s="694">
        <v>100</v>
      </c>
      <c r="N107" s="694">
        <v>0</v>
      </c>
    </row>
    <row r="108" spans="1:61" s="18" customFormat="1">
      <c r="B108" s="690">
        <v>2021</v>
      </c>
      <c r="C108" s="690"/>
      <c r="D108" s="685"/>
      <c r="E108" s="681"/>
      <c r="F108" s="681"/>
      <c r="G108" s="681"/>
      <c r="H108" s="685"/>
      <c r="I108" s="685"/>
      <c r="J108" s="685"/>
      <c r="K108" s="692">
        <f t="shared" si="2"/>
        <v>481996533.27592039</v>
      </c>
      <c r="L108" s="692">
        <f t="shared" si="2"/>
        <v>765066.72670045809</v>
      </c>
      <c r="M108" s="694">
        <v>100</v>
      </c>
      <c r="N108" s="694">
        <v>0</v>
      </c>
    </row>
    <row r="109" spans="1:61" s="18" customFormat="1" ht="47.25">
      <c r="B109" s="18" t="s">
        <v>599</v>
      </c>
      <c r="D109" s="18">
        <v>603.39</v>
      </c>
      <c r="E109" s="145"/>
      <c r="F109" s="145"/>
      <c r="G109" s="145"/>
      <c r="K109" s="238">
        <v>628051000</v>
      </c>
      <c r="L109" s="239"/>
    </row>
    <row r="110" spans="1:61" s="18" customFormat="1" ht="47.25">
      <c r="B110" s="18" t="s">
        <v>600</v>
      </c>
      <c r="D110" s="18">
        <v>638.1</v>
      </c>
      <c r="E110" s="145"/>
      <c r="F110" s="145"/>
      <c r="G110" s="145"/>
      <c r="K110" s="240"/>
      <c r="L110" s="239"/>
    </row>
    <row r="111" spans="1:61" s="18" customFormat="1" ht="47.25">
      <c r="B111" s="18" t="s">
        <v>601</v>
      </c>
      <c r="D111" s="18">
        <v>638.1</v>
      </c>
      <c r="E111" s="145"/>
      <c r="F111" s="145"/>
      <c r="G111" s="145"/>
      <c r="K111" s="239"/>
      <c r="L111" s="239">
        <v>5081000</v>
      </c>
    </row>
    <row r="112" spans="1:61" s="18" customFormat="1" ht="47.25">
      <c r="B112" s="18" t="s">
        <v>602</v>
      </c>
      <c r="D112" s="18">
        <v>638.1</v>
      </c>
      <c r="E112" s="145"/>
      <c r="F112" s="145"/>
      <c r="G112" s="145"/>
      <c r="K112" s="239"/>
      <c r="L112" s="239">
        <v>7754000.0452497629</v>
      </c>
    </row>
    <row r="113" spans="1:13" s="18" customFormat="1">
      <c r="E113" s="145"/>
      <c r="F113" s="145"/>
      <c r="G113" s="145"/>
      <c r="K113" s="239"/>
      <c r="L113" s="239">
        <v>6302200</v>
      </c>
    </row>
    <row r="114" spans="1:13" s="18" customFormat="1">
      <c r="E114" s="145"/>
      <c r="F114" s="145"/>
      <c r="G114" s="145"/>
      <c r="K114" s="239"/>
      <c r="L114" s="239">
        <v>1996999.9931045289</v>
      </c>
    </row>
    <row r="115" spans="1:13" s="18" customFormat="1">
      <c r="E115" s="145"/>
      <c r="F115" s="145"/>
      <c r="G115" s="145"/>
      <c r="K115" s="239"/>
      <c r="L115" s="239">
        <v>2205800</v>
      </c>
    </row>
    <row r="116" spans="1:13" s="18" customFormat="1">
      <c r="D116" s="42"/>
      <c r="E116" s="145"/>
      <c r="F116" s="145"/>
      <c r="G116" s="145"/>
      <c r="H116" s="43"/>
      <c r="I116" s="43"/>
      <c r="J116" s="43"/>
      <c r="K116" s="238"/>
      <c r="L116" s="239"/>
    </row>
    <row r="117" spans="1:13" s="18" customFormat="1">
      <c r="D117" s="42"/>
      <c r="E117" s="145"/>
      <c r="F117" s="145"/>
      <c r="G117" s="145"/>
      <c r="H117" s="42"/>
      <c r="I117" s="43"/>
      <c r="J117" s="43"/>
      <c r="K117" s="238"/>
      <c r="L117" s="239"/>
    </row>
    <row r="118" spans="1:13" s="18" customFormat="1">
      <c r="D118" s="44"/>
      <c r="E118" s="267"/>
      <c r="F118" s="267"/>
      <c r="G118" s="267"/>
      <c r="H118" s="44"/>
      <c r="I118" s="45"/>
      <c r="J118" s="45"/>
      <c r="K118" s="238"/>
      <c r="L118" s="238"/>
      <c r="M118" s="42"/>
    </row>
    <row r="119" spans="1:13" s="18" customFormat="1">
      <c r="B119" s="46"/>
      <c r="C119" s="46"/>
      <c r="D119" s="44"/>
      <c r="E119" s="267"/>
      <c r="F119" s="267"/>
      <c r="G119" s="267"/>
      <c r="H119" s="44"/>
      <c r="I119" s="45"/>
      <c r="J119" s="45"/>
      <c r="K119" s="238"/>
      <c r="L119" s="239"/>
    </row>
    <row r="120" spans="1:13" s="18" customFormat="1">
      <c r="D120" s="43"/>
      <c r="E120" s="145"/>
      <c r="F120" s="145"/>
      <c r="G120" s="145"/>
      <c r="H120" s="42"/>
      <c r="I120" s="43"/>
      <c r="J120" s="43"/>
      <c r="K120" s="240"/>
      <c r="L120" s="239"/>
    </row>
    <row r="121" spans="1:13" s="18" customFormat="1">
      <c r="E121" s="145"/>
      <c r="F121" s="145"/>
      <c r="G121" s="145"/>
      <c r="I121" s="43"/>
      <c r="K121" s="239"/>
      <c r="L121" s="239"/>
    </row>
    <row r="122" spans="1:13" s="18" customFormat="1">
      <c r="E122" s="145"/>
      <c r="F122" s="145"/>
      <c r="G122" s="145"/>
      <c r="I122" s="43"/>
      <c r="K122" s="239"/>
      <c r="L122" s="239"/>
    </row>
    <row r="123" spans="1:13" s="18" customFormat="1">
      <c r="E123" s="145"/>
      <c r="F123" s="145"/>
      <c r="G123" s="145"/>
      <c r="I123" s="43"/>
      <c r="K123" s="239"/>
      <c r="L123" s="239"/>
    </row>
    <row r="124" spans="1:13" s="18" customFormat="1">
      <c r="E124" s="145"/>
      <c r="F124" s="145"/>
      <c r="G124" s="145"/>
      <c r="K124" s="239"/>
      <c r="L124" s="239"/>
    </row>
    <row r="125" spans="1:13" s="18" customFormat="1">
      <c r="E125" s="145"/>
      <c r="F125" s="145"/>
      <c r="G125" s="145"/>
      <c r="K125" s="239"/>
      <c r="L125" s="239"/>
    </row>
    <row r="126" spans="1:13" s="18" customFormat="1">
      <c r="D126" s="47"/>
      <c r="E126" s="268"/>
      <c r="F126" s="268"/>
      <c r="G126" s="268"/>
      <c r="H126" s="47"/>
      <c r="K126" s="239"/>
      <c r="L126" s="241"/>
    </row>
    <row r="127" spans="1:13" s="18" customFormat="1">
      <c r="D127" s="47"/>
      <c r="E127" s="268"/>
      <c r="F127" s="268"/>
      <c r="G127" s="268"/>
      <c r="H127" s="47"/>
      <c r="K127" s="239"/>
      <c r="L127" s="239"/>
    </row>
    <row r="128" spans="1:13" s="18" customFormat="1">
      <c r="A128" s="42"/>
      <c r="D128" s="47"/>
      <c r="E128" s="268"/>
      <c r="F128" s="268"/>
      <c r="G128" s="268"/>
      <c r="H128" s="47"/>
      <c r="K128" s="239"/>
      <c r="L128" s="239"/>
    </row>
    <row r="129" spans="4:12" s="18" customFormat="1">
      <c r="D129" s="47"/>
      <c r="E129" s="268"/>
      <c r="F129" s="268"/>
      <c r="G129" s="268"/>
      <c r="H129" s="47"/>
      <c r="K129" s="239"/>
      <c r="L129" s="239"/>
    </row>
    <row r="130" spans="4:12" s="18" customFormat="1">
      <c r="D130" s="47"/>
      <c r="E130" s="268"/>
      <c r="F130" s="268"/>
      <c r="G130" s="268"/>
      <c r="H130" s="47"/>
      <c r="K130" s="239"/>
      <c r="L130" s="239"/>
    </row>
    <row r="131" spans="4:12" s="18" customFormat="1">
      <c r="D131" s="47"/>
      <c r="E131" s="268"/>
      <c r="F131" s="268"/>
      <c r="G131" s="268"/>
      <c r="H131" s="47"/>
      <c r="K131" s="239"/>
      <c r="L131" s="239"/>
    </row>
    <row r="132" spans="4:12" s="18" customFormat="1">
      <c r="D132" s="47"/>
      <c r="E132" s="268"/>
      <c r="F132" s="268"/>
      <c r="G132" s="268"/>
      <c r="H132" s="47"/>
      <c r="K132" s="239"/>
      <c r="L132" s="239"/>
    </row>
    <row r="133" spans="4:12" s="18" customFormat="1">
      <c r="E133" s="145"/>
      <c r="F133" s="145"/>
      <c r="G133" s="145"/>
      <c r="K133" s="239"/>
      <c r="L133" s="239"/>
    </row>
  </sheetData>
  <mergeCells count="148">
    <mergeCell ref="A96:A97"/>
    <mergeCell ref="B96:S96"/>
    <mergeCell ref="B97:B98"/>
    <mergeCell ref="D97:D98"/>
    <mergeCell ref="E97:E98"/>
    <mergeCell ref="F97:H98"/>
    <mergeCell ref="B75:B76"/>
    <mergeCell ref="O84:O85"/>
    <mergeCell ref="P102:S102"/>
    <mergeCell ref="L97:N97"/>
    <mergeCell ref="O97:O98"/>
    <mergeCell ref="P97:P98"/>
    <mergeCell ref="Q97:R97"/>
    <mergeCell ref="S97:S98"/>
    <mergeCell ref="F99:H99"/>
    <mergeCell ref="I99:J99"/>
    <mergeCell ref="I94:J94"/>
    <mergeCell ref="C97:C98"/>
    <mergeCell ref="E84:E85"/>
    <mergeCell ref="F84:F85"/>
    <mergeCell ref="G84:G85"/>
    <mergeCell ref="L84:N84"/>
    <mergeCell ref="H84:H85"/>
    <mergeCell ref="I84:J84"/>
    <mergeCell ref="H68:H69"/>
    <mergeCell ref="F63:F64"/>
    <mergeCell ref="S75:S76"/>
    <mergeCell ref="I76:J76"/>
    <mergeCell ref="I71:J71"/>
    <mergeCell ref="I69:J69"/>
    <mergeCell ref="I75:J75"/>
    <mergeCell ref="L75:N75"/>
    <mergeCell ref="O75:O76"/>
    <mergeCell ref="P75:P76"/>
    <mergeCell ref="O68:O69"/>
    <mergeCell ref="I68:J68"/>
    <mergeCell ref="K68:N68"/>
    <mergeCell ref="Q75:R75"/>
    <mergeCell ref="Q68:R68"/>
    <mergeCell ref="S68:S69"/>
    <mergeCell ref="F75:F76"/>
    <mergeCell ref="B67:S67"/>
    <mergeCell ref="B68:B69"/>
    <mergeCell ref="D68:D69"/>
    <mergeCell ref="E68:E69"/>
    <mergeCell ref="F68:F69"/>
    <mergeCell ref="G68:G69"/>
    <mergeCell ref="E75:E76"/>
    <mergeCell ref="B83:S83"/>
    <mergeCell ref="B84:B85"/>
    <mergeCell ref="D84:D85"/>
    <mergeCell ref="P84:P85"/>
    <mergeCell ref="Q84:R84"/>
    <mergeCell ref="I97:J98"/>
    <mergeCell ref="G75:G76"/>
    <mergeCell ref="H75:H76"/>
    <mergeCell ref="I81:J81"/>
    <mergeCell ref="A62:A63"/>
    <mergeCell ref="B62:S62"/>
    <mergeCell ref="B63:B64"/>
    <mergeCell ref="D63:D64"/>
    <mergeCell ref="E63:E64"/>
    <mergeCell ref="P63:P64"/>
    <mergeCell ref="Q63:R63"/>
    <mergeCell ref="S63:S64"/>
    <mergeCell ref="S84:S85"/>
    <mergeCell ref="I85:J85"/>
    <mergeCell ref="O63:O64"/>
    <mergeCell ref="A74:A75"/>
    <mergeCell ref="A83:A84"/>
    <mergeCell ref="A67:A69"/>
    <mergeCell ref="B74:S74"/>
    <mergeCell ref="G63:G64"/>
    <mergeCell ref="H63:H64"/>
    <mergeCell ref="C63:C64"/>
    <mergeCell ref="C68:C69"/>
    <mergeCell ref="C75:C76"/>
    <mergeCell ref="C84:C85"/>
    <mergeCell ref="I63:I64"/>
    <mergeCell ref="J63:M63"/>
    <mergeCell ref="D75:D76"/>
    <mergeCell ref="P45:P46"/>
    <mergeCell ref="Q45:R45"/>
    <mergeCell ref="S45:S46"/>
    <mergeCell ref="I46:J46"/>
    <mergeCell ref="L45:N45"/>
    <mergeCell ref="O45:O46"/>
    <mergeCell ref="H45:H46"/>
    <mergeCell ref="I45:J45"/>
    <mergeCell ref="G45:G46"/>
    <mergeCell ref="C45:C46"/>
    <mergeCell ref="H27:H28"/>
    <mergeCell ref="I27:I28"/>
    <mergeCell ref="I10:I11"/>
    <mergeCell ref="J10:J11"/>
    <mergeCell ref="L10:N10"/>
    <mergeCell ref="O10:O11"/>
    <mergeCell ref="A26:A27"/>
    <mergeCell ref="B26:S26"/>
    <mergeCell ref="B27:B28"/>
    <mergeCell ref="D27:D28"/>
    <mergeCell ref="E27:E28"/>
    <mergeCell ref="F27:F28"/>
    <mergeCell ref="G27:G28"/>
    <mergeCell ref="J27:J28"/>
    <mergeCell ref="L27:N27"/>
    <mergeCell ref="O27:O28"/>
    <mergeCell ref="A44:A45"/>
    <mergeCell ref="B44:S44"/>
    <mergeCell ref="B45:B46"/>
    <mergeCell ref="D45:D46"/>
    <mergeCell ref="E45:E46"/>
    <mergeCell ref="F45:F46"/>
    <mergeCell ref="Q27:R27"/>
    <mergeCell ref="S27:S28"/>
    <mergeCell ref="S10:S11"/>
    <mergeCell ref="C10:C11"/>
    <mergeCell ref="C5:C6"/>
    <mergeCell ref="L5:N5"/>
    <mergeCell ref="F5:F6"/>
    <mergeCell ref="G5:G6"/>
    <mergeCell ref="P10:P11"/>
    <mergeCell ref="Q10:R10"/>
    <mergeCell ref="P27:P28"/>
    <mergeCell ref="C27:C28"/>
    <mergeCell ref="B1:S1"/>
    <mergeCell ref="B2:S2"/>
    <mergeCell ref="B3:S3"/>
    <mergeCell ref="A9:A10"/>
    <mergeCell ref="B9:S9"/>
    <mergeCell ref="B10:B11"/>
    <mergeCell ref="D10:D11"/>
    <mergeCell ref="E10:E11"/>
    <mergeCell ref="F10:F11"/>
    <mergeCell ref="G10:G11"/>
    <mergeCell ref="H10:H11"/>
    <mergeCell ref="A4:A5"/>
    <mergeCell ref="B4:S4"/>
    <mergeCell ref="B5:B6"/>
    <mergeCell ref="D5:D6"/>
    <mergeCell ref="E5:E6"/>
    <mergeCell ref="H5:H6"/>
    <mergeCell ref="I5:I6"/>
    <mergeCell ref="J5:J6"/>
    <mergeCell ref="Q5:R5"/>
    <mergeCell ref="S5:S6"/>
    <mergeCell ref="O5:O6"/>
    <mergeCell ref="P5:P6"/>
  </mergeCells>
  <dataValidations count="3">
    <dataValidation type="list" allowBlank="1" showInputMessage="1" showErrorMessage="1" sqref="H70:H72" xr:uid="{00000000-0002-0000-0500-000000000000}">
      <formula1>$W$22:$W$25</formula1>
    </dataValidation>
    <dataValidation type="list" allowBlank="1" showInputMessage="1" showErrorMessage="1" sqref="P71:P72" xr:uid="{00000000-0002-0000-0500-000001000000}">
      <formula1>$W$2:$W$4</formula1>
    </dataValidation>
    <dataValidation type="list" allowBlank="1" showInputMessage="1" showErrorMessage="1" sqref="P48:P60 H7 P70 H94:H95 P7 P65 H65 H77:H82 P77:P82 P94:P95 P30:P42 H30:H42 H48:H60 P13:P24 H13:H24" xr:uid="{00000000-0002-0000-0500-000002000000}">
      <formula1>#REF!</formula1>
    </dataValidation>
  </dataValidations>
  <pageMargins left="0.7" right="0.7" top="0.75" bottom="0.75" header="0.3" footer="0.3"/>
  <pageSetup orientation="portrait"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K181"/>
  <sheetViews>
    <sheetView topLeftCell="A141" zoomScale="50" zoomScaleNormal="50" workbookViewId="0">
      <selection activeCell="L171" sqref="L171"/>
    </sheetView>
  </sheetViews>
  <sheetFormatPr defaultColWidth="11.42578125" defaultRowHeight="15.75"/>
  <cols>
    <col min="1" max="1" width="18" style="48" customWidth="1"/>
    <col min="2" max="2" width="12.28515625" style="48" customWidth="1"/>
    <col min="3" max="3" width="11.140625" style="48" customWidth="1"/>
    <col min="4" max="4" width="26.5703125" style="48" hidden="1" customWidth="1"/>
    <col min="5" max="5" width="32.28515625" style="49" customWidth="1"/>
    <col min="6" max="6" width="60.28515625" style="49" customWidth="1"/>
    <col min="7" max="9" width="28.85546875" style="49" customWidth="1"/>
    <col min="10" max="10" width="24.5703125" style="49" customWidth="1"/>
    <col min="11" max="11" width="27.28515625" style="49" bestFit="1" customWidth="1"/>
    <col min="12" max="12" width="16.42578125" style="49" customWidth="1"/>
    <col min="13" max="13" width="27.140625" style="261" customWidth="1"/>
    <col min="14" max="14" width="24.42578125" style="261" customWidth="1"/>
    <col min="15" max="15" width="23.7109375" style="261" customWidth="1"/>
    <col min="16" max="16" width="22.42578125" style="261" customWidth="1"/>
    <col min="17" max="17" width="27.140625" style="49" customWidth="1"/>
    <col min="18" max="18" width="31.42578125" style="49" customWidth="1"/>
    <col min="19" max="21" width="29.5703125" style="49" customWidth="1"/>
    <col min="22" max="63" width="11.42578125" style="18"/>
    <col min="64" max="16384" width="11.42578125" style="48"/>
  </cols>
  <sheetData>
    <row r="1" spans="1:63" s="18" customFormat="1">
      <c r="B1" s="315" t="s">
        <v>55</v>
      </c>
      <c r="C1" s="315"/>
      <c r="D1" s="315"/>
      <c r="E1" s="315"/>
      <c r="F1" s="315"/>
      <c r="G1" s="315"/>
      <c r="H1" s="315"/>
      <c r="I1" s="315"/>
      <c r="J1" s="315"/>
      <c r="K1" s="315"/>
      <c r="L1" s="315"/>
      <c r="M1" s="315"/>
      <c r="N1" s="315"/>
      <c r="O1" s="315"/>
      <c r="P1" s="315"/>
      <c r="Q1" s="315"/>
      <c r="R1" s="315"/>
      <c r="S1" s="315"/>
      <c r="T1" s="315"/>
      <c r="U1" s="315"/>
    </row>
    <row r="2" spans="1:63" s="19" customFormat="1">
      <c r="B2" s="316" t="s">
        <v>433</v>
      </c>
      <c r="C2" s="316"/>
      <c r="D2" s="316"/>
      <c r="E2" s="316"/>
      <c r="F2" s="316"/>
      <c r="G2" s="316"/>
      <c r="H2" s="316"/>
      <c r="I2" s="316"/>
      <c r="J2" s="316"/>
      <c r="K2" s="316"/>
      <c r="L2" s="316"/>
      <c r="M2" s="316"/>
      <c r="N2" s="316"/>
      <c r="O2" s="316"/>
      <c r="P2" s="316"/>
      <c r="Q2" s="316"/>
      <c r="R2" s="316"/>
      <c r="S2" s="316"/>
      <c r="T2" s="316"/>
      <c r="U2" s="316"/>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row>
    <row r="3" spans="1:63" s="19" customFormat="1">
      <c r="B3" s="317" t="s">
        <v>434</v>
      </c>
      <c r="C3" s="317"/>
      <c r="D3" s="317"/>
      <c r="E3" s="317"/>
      <c r="F3" s="317"/>
      <c r="G3" s="317"/>
      <c r="H3" s="317"/>
      <c r="I3" s="317"/>
      <c r="J3" s="317"/>
      <c r="K3" s="317"/>
      <c r="L3" s="317"/>
      <c r="M3" s="317"/>
      <c r="N3" s="317"/>
      <c r="O3" s="317"/>
      <c r="P3" s="317"/>
      <c r="Q3" s="317"/>
      <c r="R3" s="317"/>
      <c r="S3" s="317"/>
      <c r="T3" s="317"/>
      <c r="U3" s="317"/>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row>
    <row r="4" spans="1:63" s="21" customFormat="1" hidden="1">
      <c r="A4" s="643" t="s">
        <v>435</v>
      </c>
      <c r="B4" s="643" t="s">
        <v>436</v>
      </c>
      <c r="C4" s="643"/>
      <c r="D4" s="643"/>
      <c r="E4" s="643"/>
      <c r="F4" s="643"/>
      <c r="G4" s="643"/>
      <c r="H4" s="643"/>
      <c r="I4" s="643"/>
      <c r="J4" s="643"/>
      <c r="K4" s="643"/>
      <c r="L4" s="643"/>
      <c r="M4" s="643"/>
      <c r="N4" s="643"/>
      <c r="O4" s="643"/>
      <c r="P4" s="643"/>
      <c r="Q4" s="643"/>
      <c r="R4" s="643"/>
      <c r="S4" s="643"/>
      <c r="T4" s="643"/>
      <c r="U4" s="643"/>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19"/>
      <c r="BE4" s="19"/>
      <c r="BF4" s="19"/>
      <c r="BG4" s="19"/>
      <c r="BH4" s="19"/>
      <c r="BI4" s="19"/>
      <c r="BJ4" s="19"/>
      <c r="BK4" s="19"/>
    </row>
    <row r="5" spans="1:63" s="21" customFormat="1" ht="31.5" hidden="1">
      <c r="A5" s="643"/>
      <c r="B5" s="643" t="s">
        <v>437</v>
      </c>
      <c r="C5" s="328" t="s">
        <v>438</v>
      </c>
      <c r="D5" s="648" t="s">
        <v>439</v>
      </c>
      <c r="E5" s="643" t="s">
        <v>440</v>
      </c>
      <c r="F5" s="643" t="s">
        <v>441</v>
      </c>
      <c r="G5" s="643" t="s">
        <v>442</v>
      </c>
      <c r="H5" s="648"/>
      <c r="I5" s="648"/>
      <c r="J5" s="643" t="s">
        <v>443</v>
      </c>
      <c r="K5" s="715" t="s">
        <v>444</v>
      </c>
      <c r="L5" s="643" t="s">
        <v>445</v>
      </c>
      <c r="M5" s="716"/>
      <c r="N5" s="717" t="s">
        <v>446</v>
      </c>
      <c r="O5" s="717"/>
      <c r="P5" s="717"/>
      <c r="Q5" s="643" t="s">
        <v>447</v>
      </c>
      <c r="R5" s="643" t="s">
        <v>448</v>
      </c>
      <c r="S5" s="643" t="s">
        <v>449</v>
      </c>
      <c r="T5" s="643"/>
      <c r="U5" s="643" t="s">
        <v>450</v>
      </c>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19"/>
      <c r="BE5" s="19"/>
      <c r="BF5" s="19"/>
      <c r="BG5" s="19"/>
      <c r="BH5" s="19"/>
      <c r="BI5" s="19"/>
      <c r="BJ5" s="19"/>
      <c r="BK5" s="19"/>
    </row>
    <row r="6" spans="1:63" s="21" customFormat="1" ht="31.5" hidden="1">
      <c r="A6" s="648"/>
      <c r="B6" s="643"/>
      <c r="C6" s="326"/>
      <c r="D6" s="648" t="s">
        <v>439</v>
      </c>
      <c r="E6" s="643"/>
      <c r="F6" s="643"/>
      <c r="G6" s="643"/>
      <c r="H6" s="648"/>
      <c r="I6" s="648"/>
      <c r="J6" s="643"/>
      <c r="K6" s="715"/>
      <c r="L6" s="643"/>
      <c r="M6" s="718" t="s">
        <v>451</v>
      </c>
      <c r="N6" s="718" t="s">
        <v>452</v>
      </c>
      <c r="O6" s="719" t="s">
        <v>453</v>
      </c>
      <c r="P6" s="719" t="s">
        <v>454</v>
      </c>
      <c r="Q6" s="643"/>
      <c r="R6" s="643"/>
      <c r="S6" s="648" t="s">
        <v>455</v>
      </c>
      <c r="T6" s="648" t="s">
        <v>456</v>
      </c>
      <c r="U6" s="643"/>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19"/>
      <c r="BE6" s="19"/>
      <c r="BF6" s="19"/>
      <c r="BG6" s="19"/>
      <c r="BH6" s="19"/>
      <c r="BI6" s="19"/>
      <c r="BJ6" s="19"/>
      <c r="BK6" s="19"/>
    </row>
    <row r="7" spans="1:63" s="19" customFormat="1" hidden="1">
      <c r="A7" s="607"/>
      <c r="B7" s="608" t="s">
        <v>457</v>
      </c>
      <c r="C7" s="608"/>
      <c r="D7" s="608"/>
      <c r="E7" s="608"/>
      <c r="F7" s="608"/>
      <c r="G7" s="608"/>
      <c r="H7" s="608"/>
      <c r="I7" s="608"/>
      <c r="J7" s="608"/>
      <c r="K7" s="608"/>
      <c r="L7" s="608"/>
      <c r="M7" s="720"/>
      <c r="N7" s="720"/>
      <c r="O7" s="720"/>
      <c r="P7" s="720"/>
      <c r="Q7" s="608"/>
      <c r="R7" s="608"/>
      <c r="S7" s="608"/>
      <c r="T7" s="608"/>
      <c r="U7" s="608"/>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row>
    <row r="8" spans="1:63" s="21" customFormat="1" hidden="1">
      <c r="K8" s="106"/>
      <c r="M8" s="243"/>
      <c r="N8" s="244"/>
      <c r="O8" s="245"/>
      <c r="P8" s="245"/>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19"/>
      <c r="BE8" s="19"/>
      <c r="BF8" s="19"/>
      <c r="BG8" s="19"/>
      <c r="BH8" s="19"/>
      <c r="BI8" s="19"/>
      <c r="BJ8" s="19"/>
      <c r="BK8" s="19"/>
    </row>
    <row r="9" spans="1:63" s="21" customFormat="1" hidden="1">
      <c r="A9" s="643" t="s">
        <v>435</v>
      </c>
      <c r="B9" s="643" t="s">
        <v>458</v>
      </c>
      <c r="C9" s="643"/>
      <c r="D9" s="643"/>
      <c r="E9" s="643"/>
      <c r="F9" s="643"/>
      <c r="G9" s="643"/>
      <c r="H9" s="643"/>
      <c r="I9" s="643"/>
      <c r="J9" s="643"/>
      <c r="K9" s="643"/>
      <c r="L9" s="643"/>
      <c r="M9" s="643"/>
      <c r="N9" s="643"/>
      <c r="O9" s="643"/>
      <c r="P9" s="643"/>
      <c r="Q9" s="643"/>
      <c r="R9" s="643"/>
      <c r="S9" s="643"/>
      <c r="T9" s="643"/>
      <c r="U9" s="643"/>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19"/>
      <c r="BE9" s="19"/>
      <c r="BF9" s="19"/>
      <c r="BG9" s="19"/>
      <c r="BH9" s="19"/>
      <c r="BI9" s="19"/>
      <c r="BJ9" s="19"/>
      <c r="BK9" s="19"/>
    </row>
    <row r="10" spans="1:63" s="21" customFormat="1" ht="31.5" hidden="1">
      <c r="A10" s="643"/>
      <c r="B10" s="643" t="s">
        <v>437</v>
      </c>
      <c r="C10" s="648"/>
      <c r="D10" s="648" t="s">
        <v>439</v>
      </c>
      <c r="E10" s="643" t="s">
        <v>440</v>
      </c>
      <c r="F10" s="643" t="s">
        <v>441</v>
      </c>
      <c r="G10" s="643" t="s">
        <v>442</v>
      </c>
      <c r="H10" s="648"/>
      <c r="I10" s="648"/>
      <c r="J10" s="643" t="s">
        <v>459</v>
      </c>
      <c r="K10" s="715" t="s">
        <v>444</v>
      </c>
      <c r="L10" s="643" t="s">
        <v>445</v>
      </c>
      <c r="M10" s="716"/>
      <c r="N10" s="717" t="s">
        <v>446</v>
      </c>
      <c r="O10" s="717"/>
      <c r="P10" s="717"/>
      <c r="Q10" s="643" t="s">
        <v>447</v>
      </c>
      <c r="R10" s="643" t="s">
        <v>448</v>
      </c>
      <c r="S10" s="643" t="s">
        <v>449</v>
      </c>
      <c r="T10" s="643"/>
      <c r="U10" s="643" t="s">
        <v>450</v>
      </c>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19"/>
      <c r="BE10" s="19"/>
      <c r="BF10" s="19"/>
      <c r="BG10" s="19"/>
      <c r="BH10" s="19"/>
      <c r="BI10" s="19"/>
      <c r="BJ10" s="19"/>
      <c r="BK10" s="19"/>
    </row>
    <row r="11" spans="1:63" s="21" customFormat="1" ht="31.5" hidden="1">
      <c r="A11" s="648"/>
      <c r="B11" s="643"/>
      <c r="C11" s="648"/>
      <c r="D11" s="648" t="s">
        <v>439</v>
      </c>
      <c r="E11" s="643"/>
      <c r="F11" s="643"/>
      <c r="G11" s="643"/>
      <c r="H11" s="648"/>
      <c r="I11" s="648"/>
      <c r="J11" s="643"/>
      <c r="K11" s="715"/>
      <c r="L11" s="643"/>
      <c r="M11" s="718" t="s">
        <v>451</v>
      </c>
      <c r="N11" s="718" t="s">
        <v>452</v>
      </c>
      <c r="O11" s="719" t="s">
        <v>453</v>
      </c>
      <c r="P11" s="719" t="s">
        <v>454</v>
      </c>
      <c r="Q11" s="643"/>
      <c r="R11" s="643"/>
      <c r="S11" s="648" t="s">
        <v>455</v>
      </c>
      <c r="T11" s="648" t="s">
        <v>456</v>
      </c>
      <c r="U11" s="643"/>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19"/>
      <c r="BE11" s="19"/>
      <c r="BF11" s="19"/>
      <c r="BG11" s="19"/>
      <c r="BH11" s="19"/>
      <c r="BI11" s="19"/>
      <c r="BJ11" s="19"/>
      <c r="BK11" s="19"/>
    </row>
    <row r="12" spans="1:63" s="19" customFormat="1" hidden="1">
      <c r="A12" s="607"/>
      <c r="B12" s="608" t="s">
        <v>457</v>
      </c>
      <c r="C12" s="608"/>
      <c r="D12" s="608"/>
      <c r="E12" s="608"/>
      <c r="F12" s="608"/>
      <c r="G12" s="608"/>
      <c r="H12" s="608"/>
      <c r="I12" s="608"/>
      <c r="J12" s="608"/>
      <c r="K12" s="608"/>
      <c r="L12" s="608"/>
      <c r="M12" s="720"/>
      <c r="N12" s="720"/>
      <c r="O12" s="720"/>
      <c r="P12" s="720"/>
      <c r="Q12" s="608"/>
      <c r="R12" s="608"/>
      <c r="S12" s="608"/>
      <c r="T12" s="608"/>
      <c r="U12" s="608"/>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row>
    <row r="13" spans="1:63" s="21" customFormat="1" hidden="1">
      <c r="K13" s="106"/>
      <c r="M13" s="243"/>
      <c r="N13" s="244"/>
      <c r="O13" s="245"/>
      <c r="P13" s="246"/>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19"/>
      <c r="BE13" s="19"/>
      <c r="BF13" s="19"/>
      <c r="BG13" s="19"/>
      <c r="BH13" s="19"/>
      <c r="BI13" s="19"/>
      <c r="BJ13" s="19"/>
      <c r="BK13" s="19"/>
    </row>
    <row r="14" spans="1:63" s="21" customFormat="1" hidden="1">
      <c r="A14" s="643" t="s">
        <v>435</v>
      </c>
      <c r="B14" s="643" t="s">
        <v>460</v>
      </c>
      <c r="C14" s="643"/>
      <c r="D14" s="643"/>
      <c r="E14" s="643"/>
      <c r="F14" s="643"/>
      <c r="G14" s="643"/>
      <c r="H14" s="643"/>
      <c r="I14" s="643"/>
      <c r="J14" s="643"/>
      <c r="K14" s="643"/>
      <c r="L14" s="643"/>
      <c r="M14" s="643"/>
      <c r="N14" s="643"/>
      <c r="O14" s="643"/>
      <c r="P14" s="643"/>
      <c r="Q14" s="643"/>
      <c r="R14" s="643"/>
      <c r="S14" s="643"/>
      <c r="T14" s="643"/>
      <c r="U14" s="643"/>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19"/>
      <c r="BE14" s="19"/>
      <c r="BF14" s="19"/>
      <c r="BG14" s="19"/>
      <c r="BH14" s="19"/>
      <c r="BI14" s="19"/>
      <c r="BJ14" s="19"/>
      <c r="BK14" s="19"/>
    </row>
    <row r="15" spans="1:63" s="21" customFormat="1" ht="31.5" hidden="1">
      <c r="A15" s="643"/>
      <c r="B15" s="643" t="s">
        <v>437</v>
      </c>
      <c r="C15" s="328" t="s">
        <v>438</v>
      </c>
      <c r="D15" s="648" t="s">
        <v>439</v>
      </c>
      <c r="E15" s="643" t="s">
        <v>440</v>
      </c>
      <c r="F15" s="643" t="s">
        <v>441</v>
      </c>
      <c r="G15" s="643" t="s">
        <v>442</v>
      </c>
      <c r="H15" s="648"/>
      <c r="I15" s="648"/>
      <c r="J15" s="643" t="s">
        <v>459</v>
      </c>
      <c r="K15" s="715" t="s">
        <v>444</v>
      </c>
      <c r="L15" s="643" t="s">
        <v>445</v>
      </c>
      <c r="M15" s="716"/>
      <c r="N15" s="717" t="s">
        <v>446</v>
      </c>
      <c r="O15" s="717"/>
      <c r="P15" s="717"/>
      <c r="Q15" s="643" t="s">
        <v>447</v>
      </c>
      <c r="R15" s="643" t="s">
        <v>448</v>
      </c>
      <c r="S15" s="643" t="s">
        <v>449</v>
      </c>
      <c r="T15" s="643"/>
      <c r="U15" s="643" t="s">
        <v>450</v>
      </c>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19"/>
      <c r="BE15" s="19"/>
      <c r="BF15" s="19"/>
      <c r="BG15" s="19"/>
      <c r="BH15" s="19"/>
      <c r="BI15" s="19"/>
      <c r="BJ15" s="19"/>
      <c r="BK15" s="19"/>
    </row>
    <row r="16" spans="1:63" s="21" customFormat="1" ht="31.5" hidden="1">
      <c r="A16" s="648"/>
      <c r="B16" s="643"/>
      <c r="C16" s="326"/>
      <c r="D16" s="648" t="s">
        <v>439</v>
      </c>
      <c r="E16" s="643"/>
      <c r="F16" s="643"/>
      <c r="G16" s="643"/>
      <c r="H16" s="648"/>
      <c r="I16" s="648"/>
      <c r="J16" s="643"/>
      <c r="K16" s="715"/>
      <c r="L16" s="643"/>
      <c r="M16" s="718" t="s">
        <v>451</v>
      </c>
      <c r="N16" s="718" t="s">
        <v>452</v>
      </c>
      <c r="O16" s="719" t="s">
        <v>453</v>
      </c>
      <c r="P16" s="719" t="s">
        <v>454</v>
      </c>
      <c r="Q16" s="643"/>
      <c r="R16" s="643"/>
      <c r="S16" s="648" t="s">
        <v>461</v>
      </c>
      <c r="T16" s="648" t="s">
        <v>456</v>
      </c>
      <c r="U16" s="643"/>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19"/>
      <c r="BE16" s="19"/>
      <c r="BF16" s="19"/>
      <c r="BG16" s="19"/>
      <c r="BH16" s="19"/>
      <c r="BI16" s="19"/>
      <c r="BJ16" s="19"/>
      <c r="BK16" s="19"/>
    </row>
    <row r="17" spans="1:63" s="19" customFormat="1" hidden="1">
      <c r="A17" s="607"/>
      <c r="B17" s="608" t="s">
        <v>508</v>
      </c>
      <c r="C17" s="608"/>
      <c r="D17" s="608"/>
      <c r="E17" s="608"/>
      <c r="F17" s="608"/>
      <c r="G17" s="608"/>
      <c r="H17" s="608"/>
      <c r="I17" s="608"/>
      <c r="J17" s="608"/>
      <c r="K17" s="608"/>
      <c r="L17" s="608"/>
      <c r="M17" s="720"/>
      <c r="N17" s="720"/>
      <c r="O17" s="720"/>
      <c r="P17" s="720"/>
      <c r="Q17" s="608"/>
      <c r="R17" s="608"/>
      <c r="S17" s="608"/>
      <c r="T17" s="608"/>
      <c r="U17" s="608"/>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row>
    <row r="18" spans="1:63" s="21" customFormat="1" ht="16.5" hidden="1" thickBot="1">
      <c r="K18" s="106"/>
      <c r="M18" s="243"/>
      <c r="N18" s="244"/>
      <c r="O18" s="245"/>
      <c r="P18" s="245"/>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19"/>
      <c r="BE18" s="19"/>
      <c r="BF18" s="19"/>
      <c r="BG18" s="19"/>
      <c r="BH18" s="19"/>
      <c r="BI18" s="19"/>
      <c r="BJ18" s="19"/>
      <c r="BK18" s="19"/>
    </row>
    <row r="19" spans="1:63" s="21" customFormat="1" hidden="1">
      <c r="A19" s="643" t="s">
        <v>435</v>
      </c>
      <c r="B19" s="333" t="s">
        <v>509</v>
      </c>
      <c r="C19" s="334"/>
      <c r="D19" s="334"/>
      <c r="E19" s="334"/>
      <c r="F19" s="334"/>
      <c r="G19" s="334"/>
      <c r="H19" s="334"/>
      <c r="I19" s="334"/>
      <c r="J19" s="334"/>
      <c r="K19" s="334"/>
      <c r="L19" s="334"/>
      <c r="M19" s="334"/>
      <c r="N19" s="334"/>
      <c r="O19" s="334"/>
      <c r="P19" s="334"/>
      <c r="Q19" s="334"/>
      <c r="R19" s="334"/>
      <c r="S19" s="334"/>
      <c r="T19" s="334"/>
      <c r="U19" s="335"/>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19"/>
      <c r="BE19" s="19"/>
      <c r="BF19" s="19"/>
      <c r="BG19" s="19"/>
      <c r="BH19" s="19"/>
      <c r="BI19" s="19"/>
      <c r="BJ19" s="19"/>
      <c r="BK19" s="19"/>
    </row>
    <row r="20" spans="1:63" s="21" customFormat="1" ht="31.5" hidden="1">
      <c r="A20" s="643"/>
      <c r="B20" s="721" t="s">
        <v>437</v>
      </c>
      <c r="C20" s="328" t="s">
        <v>438</v>
      </c>
      <c r="D20" s="648" t="s">
        <v>439</v>
      </c>
      <c r="E20" s="643" t="s">
        <v>440</v>
      </c>
      <c r="F20" s="643" t="s">
        <v>441</v>
      </c>
      <c r="G20" s="643" t="s">
        <v>442</v>
      </c>
      <c r="H20" s="648"/>
      <c r="I20" s="648"/>
      <c r="J20" s="643" t="s">
        <v>459</v>
      </c>
      <c r="K20" s="643"/>
      <c r="L20" s="643"/>
      <c r="M20" s="716"/>
      <c r="N20" s="717" t="s">
        <v>446</v>
      </c>
      <c r="O20" s="717"/>
      <c r="P20" s="717"/>
      <c r="Q20" s="643" t="s">
        <v>447</v>
      </c>
      <c r="R20" s="643" t="s">
        <v>448</v>
      </c>
      <c r="S20" s="643" t="s">
        <v>449</v>
      </c>
      <c r="T20" s="643"/>
      <c r="U20" s="722" t="s">
        <v>450</v>
      </c>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19"/>
      <c r="BE20" s="19"/>
      <c r="BF20" s="19"/>
      <c r="BG20" s="19"/>
      <c r="BH20" s="19"/>
      <c r="BI20" s="19"/>
      <c r="BJ20" s="19"/>
      <c r="BK20" s="19"/>
    </row>
    <row r="21" spans="1:63" s="21" customFormat="1" ht="31.5" hidden="1">
      <c r="A21" s="648"/>
      <c r="B21" s="721"/>
      <c r="C21" s="326"/>
      <c r="D21" s="648" t="s">
        <v>439</v>
      </c>
      <c r="E21" s="643"/>
      <c r="F21" s="643"/>
      <c r="G21" s="643"/>
      <c r="H21" s="648"/>
      <c r="I21" s="648"/>
      <c r="J21" s="643"/>
      <c r="K21" s="643" t="s">
        <v>445</v>
      </c>
      <c r="L21" s="643"/>
      <c r="M21" s="716" t="s">
        <v>451</v>
      </c>
      <c r="N21" s="716" t="s">
        <v>452</v>
      </c>
      <c r="O21" s="718" t="s">
        <v>453</v>
      </c>
      <c r="P21" s="719" t="s">
        <v>454</v>
      </c>
      <c r="Q21" s="643"/>
      <c r="R21" s="643"/>
      <c r="S21" s="648" t="s">
        <v>510</v>
      </c>
      <c r="T21" s="648" t="s">
        <v>456</v>
      </c>
      <c r="U21" s="722"/>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19"/>
      <c r="BE21" s="19"/>
      <c r="BF21" s="19"/>
      <c r="BG21" s="19"/>
      <c r="BH21" s="19"/>
      <c r="BI21" s="19"/>
      <c r="BJ21" s="19"/>
      <c r="BK21" s="19"/>
    </row>
    <row r="22" spans="1:63" s="19" customFormat="1" hidden="1">
      <c r="A22" s="607"/>
      <c r="B22" s="608" t="s">
        <v>508</v>
      </c>
      <c r="C22" s="608"/>
      <c r="D22" s="608"/>
      <c r="E22" s="608"/>
      <c r="F22" s="608"/>
      <c r="G22" s="608"/>
      <c r="H22" s="608"/>
      <c r="I22" s="608"/>
      <c r="J22" s="608"/>
      <c r="K22" s="608"/>
      <c r="L22" s="608"/>
      <c r="M22" s="723"/>
      <c r="N22" s="723"/>
      <c r="O22" s="723"/>
      <c r="P22" s="723"/>
      <c r="Q22" s="615"/>
      <c r="R22" s="608"/>
      <c r="S22" s="608"/>
      <c r="T22" s="608"/>
      <c r="U22" s="608"/>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row>
    <row r="23" spans="1:63" s="21" customFormat="1" hidden="1">
      <c r="J23" s="26"/>
      <c r="K23" s="106"/>
      <c r="M23" s="243"/>
      <c r="N23" s="247"/>
      <c r="O23" s="247"/>
      <c r="P23" s="247"/>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19"/>
      <c r="BE23" s="19"/>
      <c r="BF23" s="19"/>
      <c r="BG23" s="19"/>
      <c r="BH23" s="19"/>
      <c r="BI23" s="19"/>
      <c r="BJ23" s="19"/>
      <c r="BK23" s="19"/>
    </row>
    <row r="24" spans="1:63" s="21" customFormat="1" hidden="1">
      <c r="A24" s="643" t="s">
        <v>435</v>
      </c>
      <c r="B24" s="643" t="s">
        <v>511</v>
      </c>
      <c r="C24" s="643"/>
      <c r="D24" s="643"/>
      <c r="E24" s="643"/>
      <c r="F24" s="643"/>
      <c r="G24" s="643"/>
      <c r="H24" s="643"/>
      <c r="I24" s="643"/>
      <c r="J24" s="643"/>
      <c r="K24" s="643"/>
      <c r="L24" s="643"/>
      <c r="M24" s="643"/>
      <c r="N24" s="643"/>
      <c r="O24" s="643"/>
      <c r="P24" s="643"/>
      <c r="Q24" s="643"/>
      <c r="R24" s="643"/>
      <c r="S24" s="643"/>
      <c r="T24" s="643"/>
      <c r="U24" s="643"/>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19"/>
      <c r="BE24" s="19"/>
      <c r="BF24" s="19"/>
      <c r="BG24" s="19"/>
      <c r="BH24" s="19"/>
      <c r="BI24" s="19"/>
      <c r="BJ24" s="19"/>
      <c r="BK24" s="19"/>
    </row>
    <row r="25" spans="1:63" s="21" customFormat="1" ht="31.5" hidden="1">
      <c r="A25" s="643"/>
      <c r="B25" s="643" t="s">
        <v>437</v>
      </c>
      <c r="C25" s="328" t="s">
        <v>438</v>
      </c>
      <c r="D25" s="648" t="s">
        <v>439</v>
      </c>
      <c r="E25" s="643" t="s">
        <v>440</v>
      </c>
      <c r="F25" s="643" t="s">
        <v>441</v>
      </c>
      <c r="G25" s="643" t="s">
        <v>442</v>
      </c>
      <c r="H25" s="648"/>
      <c r="I25" s="648"/>
      <c r="J25" s="643" t="s">
        <v>459</v>
      </c>
      <c r="K25" s="715" t="s">
        <v>445</v>
      </c>
      <c r="L25" s="679" t="s">
        <v>446</v>
      </c>
      <c r="M25" s="679"/>
      <c r="N25" s="679"/>
      <c r="O25" s="679"/>
      <c r="P25" s="719"/>
      <c r="Q25" s="643" t="s">
        <v>447</v>
      </c>
      <c r="R25" s="643" t="s">
        <v>448</v>
      </c>
      <c r="S25" s="643" t="s">
        <v>449</v>
      </c>
      <c r="T25" s="643"/>
      <c r="U25" s="643" t="s">
        <v>450</v>
      </c>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19"/>
      <c r="BE25" s="19"/>
      <c r="BF25" s="19"/>
      <c r="BG25" s="19"/>
      <c r="BH25" s="19"/>
      <c r="BI25" s="19"/>
      <c r="BJ25" s="19"/>
      <c r="BK25" s="19"/>
    </row>
    <row r="26" spans="1:63" s="21" customFormat="1" ht="47.25" hidden="1">
      <c r="A26" s="280"/>
      <c r="B26" s="328"/>
      <c r="C26" s="326"/>
      <c r="D26" s="280" t="s">
        <v>439</v>
      </c>
      <c r="E26" s="328"/>
      <c r="F26" s="328"/>
      <c r="G26" s="328"/>
      <c r="H26" s="280"/>
      <c r="I26" s="280"/>
      <c r="J26" s="328"/>
      <c r="K26" s="724"/>
      <c r="L26" s="205" t="s">
        <v>512</v>
      </c>
      <c r="M26" s="725" t="s">
        <v>451</v>
      </c>
      <c r="N26" s="725" t="s">
        <v>452</v>
      </c>
      <c r="O26" s="726" t="s">
        <v>453</v>
      </c>
      <c r="P26" s="727" t="s">
        <v>454</v>
      </c>
      <c r="Q26" s="328"/>
      <c r="R26" s="328"/>
      <c r="S26" s="280" t="s">
        <v>513</v>
      </c>
      <c r="T26" s="280" t="s">
        <v>514</v>
      </c>
      <c r="U26" s="328"/>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19"/>
      <c r="BE26" s="19"/>
      <c r="BF26" s="19"/>
      <c r="BG26" s="19"/>
      <c r="BH26" s="19"/>
      <c r="BI26" s="19"/>
      <c r="BJ26" s="19"/>
      <c r="BK26" s="19"/>
    </row>
    <row r="27" spans="1:63" s="19" customFormat="1" hidden="1">
      <c r="A27" s="28"/>
      <c r="B27" s="29" t="s">
        <v>508</v>
      </c>
      <c r="C27" s="29"/>
      <c r="D27" s="29"/>
      <c r="E27" s="29"/>
      <c r="F27" s="29"/>
      <c r="G27" s="29"/>
      <c r="H27" s="29"/>
      <c r="I27" s="29"/>
      <c r="J27" s="29"/>
      <c r="K27" s="29"/>
      <c r="L27" s="30"/>
      <c r="M27" s="248"/>
      <c r="N27" s="248"/>
      <c r="O27" s="248"/>
      <c r="P27" s="249"/>
      <c r="Q27" s="29"/>
      <c r="R27" s="29"/>
      <c r="S27" s="29"/>
      <c r="T27" s="29"/>
      <c r="U27" s="29"/>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row>
    <row r="28" spans="1:63" s="19" customFormat="1" hidden="1">
      <c r="K28" s="107"/>
      <c r="M28" s="250"/>
      <c r="N28" s="247"/>
      <c r="O28" s="251"/>
      <c r="P28" s="251"/>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row>
    <row r="29" spans="1:63" s="19" customFormat="1" hidden="1">
      <c r="A29" s="323" t="s">
        <v>435</v>
      </c>
      <c r="B29" s="643" t="s">
        <v>522</v>
      </c>
      <c r="C29" s="643"/>
      <c r="D29" s="643"/>
      <c r="E29" s="643"/>
      <c r="F29" s="643"/>
      <c r="G29" s="643"/>
      <c r="H29" s="643"/>
      <c r="I29" s="643"/>
      <c r="J29" s="643"/>
      <c r="K29" s="643"/>
      <c r="L29" s="643"/>
      <c r="M29" s="643"/>
      <c r="N29" s="643"/>
      <c r="O29" s="643"/>
      <c r="P29" s="643"/>
      <c r="Q29" s="643"/>
      <c r="R29" s="643"/>
      <c r="S29" s="643"/>
      <c r="T29" s="643"/>
      <c r="U29" s="643"/>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row>
    <row r="30" spans="1:63" s="19" customFormat="1" ht="47.25" hidden="1">
      <c r="A30" s="324"/>
      <c r="B30" s="328" t="s">
        <v>437</v>
      </c>
      <c r="C30" s="328" t="s">
        <v>438</v>
      </c>
      <c r="D30" s="648" t="s">
        <v>439</v>
      </c>
      <c r="E30" s="643" t="s">
        <v>440</v>
      </c>
      <c r="F30" s="643" t="s">
        <v>441</v>
      </c>
      <c r="G30" s="328" t="s">
        <v>523</v>
      </c>
      <c r="H30" s="280"/>
      <c r="I30" s="280"/>
      <c r="J30" s="643" t="s">
        <v>459</v>
      </c>
      <c r="K30" s="645"/>
      <c r="L30" s="645"/>
      <c r="M30" s="728" t="s">
        <v>446</v>
      </c>
      <c r="N30" s="729"/>
      <c r="O30" s="729"/>
      <c r="P30" s="730"/>
      <c r="Q30" s="328" t="s">
        <v>447</v>
      </c>
      <c r="R30" s="648" t="s">
        <v>448</v>
      </c>
      <c r="S30" s="643" t="s">
        <v>449</v>
      </c>
      <c r="T30" s="643"/>
      <c r="U30" s="328" t="s">
        <v>450</v>
      </c>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row>
    <row r="31" spans="1:63" s="19" customFormat="1" ht="31.5" hidden="1">
      <c r="A31" s="325"/>
      <c r="B31" s="326"/>
      <c r="C31" s="326"/>
      <c r="D31" s="648" t="s">
        <v>439</v>
      </c>
      <c r="E31" s="643"/>
      <c r="F31" s="643"/>
      <c r="G31" s="326"/>
      <c r="H31" s="281"/>
      <c r="I31" s="281"/>
      <c r="J31" s="643"/>
      <c r="K31" s="643" t="s">
        <v>445</v>
      </c>
      <c r="L31" s="643"/>
      <c r="M31" s="716" t="s">
        <v>451</v>
      </c>
      <c r="N31" s="252" t="s">
        <v>452</v>
      </c>
      <c r="O31" s="718" t="s">
        <v>453</v>
      </c>
      <c r="P31" s="719" t="s">
        <v>454</v>
      </c>
      <c r="Q31" s="326"/>
      <c r="R31" s="648" t="s">
        <v>510</v>
      </c>
      <c r="S31" s="648" t="s">
        <v>510</v>
      </c>
      <c r="T31" s="648" t="s">
        <v>456</v>
      </c>
      <c r="U31" s="326"/>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row>
    <row r="32" spans="1:63" s="19" customFormat="1" ht="16.5" hidden="1" thickBot="1">
      <c r="A32" s="663"/>
      <c r="B32" s="664"/>
      <c r="C32" s="664"/>
      <c r="D32" s="664"/>
      <c r="E32" s="666"/>
      <c r="F32" s="666"/>
      <c r="G32" s="666"/>
      <c r="H32" s="666"/>
      <c r="I32" s="666"/>
      <c r="J32" s="666"/>
      <c r="K32" s="667"/>
      <c r="L32" s="668"/>
      <c r="M32" s="731"/>
      <c r="N32" s="731"/>
      <c r="O32" s="731"/>
      <c r="P32" s="731"/>
      <c r="Q32" s="671"/>
      <c r="R32" s="666"/>
      <c r="S32" s="666"/>
      <c r="T32" s="666"/>
      <c r="U32" s="672"/>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row>
    <row r="33" spans="1:63" s="19" customFormat="1">
      <c r="K33" s="107"/>
      <c r="M33" s="250"/>
      <c r="N33" s="247"/>
      <c r="O33" s="251"/>
      <c r="P33" s="251"/>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row>
    <row r="34" spans="1:63" s="21" customFormat="1">
      <c r="A34" s="599" t="s">
        <v>435</v>
      </c>
      <c r="B34" s="599" t="s">
        <v>524</v>
      </c>
      <c r="C34" s="599"/>
      <c r="D34" s="599"/>
      <c r="E34" s="599"/>
      <c r="F34" s="599"/>
      <c r="G34" s="599"/>
      <c r="H34" s="599"/>
      <c r="I34" s="599"/>
      <c r="J34" s="599"/>
      <c r="K34" s="599"/>
      <c r="L34" s="599"/>
      <c r="M34" s="599"/>
      <c r="N34" s="599"/>
      <c r="O34" s="599"/>
      <c r="P34" s="599"/>
      <c r="Q34" s="599"/>
      <c r="R34" s="599"/>
      <c r="S34" s="599"/>
      <c r="T34" s="599"/>
      <c r="U34" s="599"/>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19"/>
      <c r="BE34" s="19"/>
      <c r="BF34" s="19"/>
      <c r="BG34" s="19"/>
      <c r="BH34" s="19"/>
      <c r="BI34" s="19"/>
      <c r="BJ34" s="19"/>
      <c r="BK34" s="19"/>
    </row>
    <row r="35" spans="1:63" s="21" customFormat="1" ht="31.5">
      <c r="A35" s="599"/>
      <c r="B35" s="599" t="s">
        <v>437</v>
      </c>
      <c r="C35" s="318" t="s">
        <v>438</v>
      </c>
      <c r="D35" s="603" t="s">
        <v>439</v>
      </c>
      <c r="E35" s="599" t="s">
        <v>440</v>
      </c>
      <c r="F35" s="599" t="s">
        <v>441</v>
      </c>
      <c r="G35" s="599" t="s">
        <v>703</v>
      </c>
      <c r="H35" s="599" t="s">
        <v>704</v>
      </c>
      <c r="I35" s="599" t="s">
        <v>442</v>
      </c>
      <c r="J35" s="599" t="s">
        <v>459</v>
      </c>
      <c r="K35" s="599"/>
      <c r="L35" s="599"/>
      <c r="M35" s="732"/>
      <c r="N35" s="733" t="s">
        <v>446</v>
      </c>
      <c r="O35" s="733"/>
      <c r="P35" s="733"/>
      <c r="Q35" s="599" t="s">
        <v>447</v>
      </c>
      <c r="R35" s="599" t="s">
        <v>448</v>
      </c>
      <c r="S35" s="599" t="s">
        <v>449</v>
      </c>
      <c r="T35" s="599"/>
      <c r="U35" s="599" t="s">
        <v>450</v>
      </c>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19"/>
      <c r="BE35" s="19"/>
      <c r="BF35" s="19"/>
      <c r="BG35" s="19"/>
      <c r="BH35" s="19"/>
      <c r="BI35" s="19"/>
      <c r="BJ35" s="19"/>
      <c r="BK35" s="19"/>
    </row>
    <row r="36" spans="1:63" s="21" customFormat="1" ht="31.5">
      <c r="A36" s="603"/>
      <c r="B36" s="599"/>
      <c r="C36" s="319"/>
      <c r="D36" s="603" t="s">
        <v>439</v>
      </c>
      <c r="E36" s="599"/>
      <c r="F36" s="599"/>
      <c r="G36" s="599"/>
      <c r="H36" s="599" t="s">
        <v>704</v>
      </c>
      <c r="I36" s="599"/>
      <c r="J36" s="599"/>
      <c r="K36" s="599" t="s">
        <v>445</v>
      </c>
      <c r="L36" s="599"/>
      <c r="M36" s="732" t="s">
        <v>451</v>
      </c>
      <c r="N36" s="732" t="s">
        <v>452</v>
      </c>
      <c r="O36" s="734" t="s">
        <v>453</v>
      </c>
      <c r="P36" s="735" t="s">
        <v>454</v>
      </c>
      <c r="Q36" s="599"/>
      <c r="R36" s="599"/>
      <c r="S36" s="603" t="s">
        <v>510</v>
      </c>
      <c r="T36" s="603" t="s">
        <v>456</v>
      </c>
      <c r="U36" s="599"/>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19"/>
      <c r="BE36" s="19"/>
      <c r="BF36" s="19"/>
      <c r="BG36" s="19"/>
      <c r="BH36" s="19"/>
      <c r="BI36" s="19"/>
      <c r="BJ36" s="19"/>
      <c r="BK36" s="19"/>
    </row>
    <row r="37" spans="1:63" s="19" customFormat="1" ht="78.75">
      <c r="A37" s="607" t="s">
        <v>354</v>
      </c>
      <c r="B37" s="608" t="s">
        <v>418</v>
      </c>
      <c r="C37" s="608">
        <v>2018</v>
      </c>
      <c r="D37" s="608"/>
      <c r="E37" s="736" t="s">
        <v>705</v>
      </c>
      <c r="F37" s="611" t="s">
        <v>706</v>
      </c>
      <c r="G37" s="611"/>
      <c r="H37" s="611">
        <v>7</v>
      </c>
      <c r="I37" s="611" t="s">
        <v>355</v>
      </c>
      <c r="J37" s="608" t="s">
        <v>465</v>
      </c>
      <c r="K37" s="608"/>
      <c r="L37" s="608"/>
      <c r="M37" s="737">
        <f>SUM(M38:M44)</f>
        <v>17635185</v>
      </c>
      <c r="N37" s="723">
        <f t="shared" ref="N37:N44" si="0">+M37/$D$156</f>
        <v>29226.843335156369</v>
      </c>
      <c r="O37" s="723">
        <v>100</v>
      </c>
      <c r="P37" s="723">
        <v>0</v>
      </c>
      <c r="Q37" s="631" t="s">
        <v>466</v>
      </c>
      <c r="R37" s="608" t="s">
        <v>465</v>
      </c>
      <c r="S37" s="738" t="s">
        <v>707</v>
      </c>
      <c r="T37" s="738" t="s">
        <v>467</v>
      </c>
      <c r="U37" s="615" t="s">
        <v>708</v>
      </c>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row>
    <row r="38" spans="1:63" s="19" customFormat="1">
      <c r="A38" s="607"/>
      <c r="B38" s="608"/>
      <c r="C38" s="608"/>
      <c r="D38" s="608"/>
      <c r="E38" s="736"/>
      <c r="F38" s="611" t="s">
        <v>709</v>
      </c>
      <c r="G38" s="611" t="s">
        <v>710</v>
      </c>
      <c r="H38" s="611">
        <v>1</v>
      </c>
      <c r="I38" s="611"/>
      <c r="J38" s="608" t="s">
        <v>465</v>
      </c>
      <c r="K38" s="608" t="s">
        <v>711</v>
      </c>
      <c r="L38" s="608" t="s">
        <v>711</v>
      </c>
      <c r="M38" s="739">
        <v>3288812</v>
      </c>
      <c r="N38" s="723">
        <f t="shared" si="0"/>
        <v>5450.5576824276177</v>
      </c>
      <c r="O38" s="723">
        <v>100</v>
      </c>
      <c r="P38" s="723">
        <v>0</v>
      </c>
      <c r="Q38" s="631" t="s">
        <v>466</v>
      </c>
      <c r="R38" s="608"/>
      <c r="S38" s="738"/>
      <c r="T38" s="738"/>
      <c r="U38" s="615"/>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row>
    <row r="39" spans="1:63" s="19" customFormat="1">
      <c r="A39" s="607"/>
      <c r="B39" s="608"/>
      <c r="C39" s="608"/>
      <c r="D39" s="608"/>
      <c r="E39" s="736"/>
      <c r="F39" s="611" t="s">
        <v>712</v>
      </c>
      <c r="G39" s="611" t="s">
        <v>713</v>
      </c>
      <c r="H39" s="611">
        <v>1</v>
      </c>
      <c r="I39" s="611"/>
      <c r="J39" s="608" t="s">
        <v>465</v>
      </c>
      <c r="K39" s="608" t="s">
        <v>711</v>
      </c>
      <c r="L39" s="608" t="s">
        <v>711</v>
      </c>
      <c r="M39" s="739">
        <v>3587800</v>
      </c>
      <c r="N39" s="723">
        <f t="shared" si="0"/>
        <v>5946.0713634631002</v>
      </c>
      <c r="O39" s="723">
        <v>100</v>
      </c>
      <c r="P39" s="723">
        <v>0</v>
      </c>
      <c r="Q39" s="631" t="s">
        <v>466</v>
      </c>
      <c r="R39" s="608"/>
      <c r="S39" s="738"/>
      <c r="T39" s="738"/>
      <c r="U39" s="615"/>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row>
    <row r="40" spans="1:63" s="19" customFormat="1">
      <c r="A40" s="607"/>
      <c r="B40" s="608"/>
      <c r="C40" s="608"/>
      <c r="D40" s="608"/>
      <c r="E40" s="736"/>
      <c r="F40" s="611" t="s">
        <v>714</v>
      </c>
      <c r="G40" s="611" t="s">
        <v>715</v>
      </c>
      <c r="H40" s="611">
        <v>1</v>
      </c>
      <c r="I40" s="611"/>
      <c r="J40" s="608" t="s">
        <v>465</v>
      </c>
      <c r="K40" s="608" t="s">
        <v>711</v>
      </c>
      <c r="L40" s="608" t="s">
        <v>711</v>
      </c>
      <c r="M40" s="739">
        <v>3000000</v>
      </c>
      <c r="N40" s="723">
        <f t="shared" si="0"/>
        <v>4971.9087157559788</v>
      </c>
      <c r="O40" s="723">
        <v>100</v>
      </c>
      <c r="P40" s="723">
        <v>0</v>
      </c>
      <c r="Q40" s="631" t="s">
        <v>466</v>
      </c>
      <c r="R40" s="608"/>
      <c r="S40" s="738"/>
      <c r="T40" s="738"/>
      <c r="U40" s="615"/>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row>
    <row r="41" spans="1:63" s="19" customFormat="1">
      <c r="A41" s="607"/>
      <c r="B41" s="608"/>
      <c r="C41" s="608"/>
      <c r="D41" s="608"/>
      <c r="E41" s="736"/>
      <c r="F41" s="611" t="s">
        <v>716</v>
      </c>
      <c r="G41" s="611" t="s">
        <v>717</v>
      </c>
      <c r="H41" s="611">
        <v>1</v>
      </c>
      <c r="I41" s="611"/>
      <c r="J41" s="608" t="s">
        <v>465</v>
      </c>
      <c r="K41" s="608" t="s">
        <v>711</v>
      </c>
      <c r="L41" s="608" t="s">
        <v>711</v>
      </c>
      <c r="M41" s="739">
        <v>3000000</v>
      </c>
      <c r="N41" s="723">
        <f t="shared" si="0"/>
        <v>4971.9087157559788</v>
      </c>
      <c r="O41" s="723">
        <v>100</v>
      </c>
      <c r="P41" s="723">
        <v>0</v>
      </c>
      <c r="Q41" s="631" t="s">
        <v>466</v>
      </c>
      <c r="R41" s="608"/>
      <c r="S41" s="738"/>
      <c r="T41" s="738"/>
      <c r="U41" s="615"/>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row>
    <row r="42" spans="1:63" s="19" customFormat="1">
      <c r="A42" s="607"/>
      <c r="B42" s="608"/>
      <c r="C42" s="608"/>
      <c r="D42" s="608"/>
      <c r="E42" s="736"/>
      <c r="F42" s="611" t="s">
        <v>718</v>
      </c>
      <c r="G42" s="611" t="s">
        <v>719</v>
      </c>
      <c r="H42" s="611">
        <v>1</v>
      </c>
      <c r="I42" s="611"/>
      <c r="J42" s="608" t="s">
        <v>465</v>
      </c>
      <c r="K42" s="608" t="s">
        <v>711</v>
      </c>
      <c r="L42" s="608" t="s">
        <v>711</v>
      </c>
      <c r="M42" s="739">
        <v>3000000</v>
      </c>
      <c r="N42" s="723">
        <f t="shared" si="0"/>
        <v>4971.9087157559788</v>
      </c>
      <c r="O42" s="723">
        <v>100</v>
      </c>
      <c r="P42" s="723">
        <v>0</v>
      </c>
      <c r="Q42" s="631" t="s">
        <v>466</v>
      </c>
      <c r="R42" s="608"/>
      <c r="S42" s="738"/>
      <c r="T42" s="738"/>
      <c r="U42" s="615"/>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row>
    <row r="43" spans="1:63" s="19" customFormat="1">
      <c r="A43" s="607"/>
      <c r="B43" s="608"/>
      <c r="C43" s="608"/>
      <c r="D43" s="608"/>
      <c r="E43" s="736"/>
      <c r="F43" s="611" t="s">
        <v>720</v>
      </c>
      <c r="G43" s="611" t="s">
        <v>721</v>
      </c>
      <c r="H43" s="611">
        <v>1</v>
      </c>
      <c r="I43" s="611"/>
      <c r="J43" s="608" t="s">
        <v>465</v>
      </c>
      <c r="K43" s="608" t="s">
        <v>711</v>
      </c>
      <c r="L43" s="608" t="s">
        <v>711</v>
      </c>
      <c r="M43" s="739">
        <v>1758573</v>
      </c>
      <c r="N43" s="723">
        <f t="shared" si="0"/>
        <v>2914.4881419977128</v>
      </c>
      <c r="O43" s="723">
        <v>100</v>
      </c>
      <c r="P43" s="723">
        <v>0</v>
      </c>
      <c r="Q43" s="631" t="s">
        <v>466</v>
      </c>
      <c r="R43" s="608"/>
      <c r="S43" s="738"/>
      <c r="T43" s="738"/>
      <c r="U43" s="615"/>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row>
    <row r="44" spans="1:63" s="19" customFormat="1">
      <c r="A44" s="607"/>
      <c r="B44" s="608"/>
      <c r="C44" s="608"/>
      <c r="D44" s="608"/>
      <c r="E44" s="736"/>
      <c r="F44" s="611"/>
      <c r="G44" s="611"/>
      <c r="H44" s="611">
        <v>1</v>
      </c>
      <c r="I44" s="611"/>
      <c r="J44" s="608" t="s">
        <v>465</v>
      </c>
      <c r="K44" s="608" t="s">
        <v>711</v>
      </c>
      <c r="L44" s="608" t="s">
        <v>711</v>
      </c>
      <c r="M44" s="739"/>
      <c r="N44" s="723">
        <f t="shared" si="0"/>
        <v>0</v>
      </c>
      <c r="O44" s="723">
        <v>100</v>
      </c>
      <c r="P44" s="723">
        <v>0</v>
      </c>
      <c r="Q44" s="631" t="s">
        <v>466</v>
      </c>
      <c r="R44" s="608"/>
      <c r="S44" s="738"/>
      <c r="T44" s="738"/>
      <c r="U44" s="615"/>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row>
    <row r="45" spans="1:63" s="19" customFormat="1">
      <c r="A45" s="607"/>
      <c r="B45" s="608"/>
      <c r="C45" s="608"/>
      <c r="D45" s="608"/>
      <c r="E45" s="736"/>
      <c r="F45" s="611"/>
      <c r="G45" s="611"/>
      <c r="H45" s="611"/>
      <c r="I45" s="611"/>
      <c r="J45" s="608"/>
      <c r="K45" s="608"/>
      <c r="L45" s="608"/>
      <c r="M45" s="739"/>
      <c r="N45" s="723"/>
      <c r="O45" s="723"/>
      <c r="P45" s="723"/>
      <c r="Q45" s="631"/>
      <c r="R45" s="608"/>
      <c r="S45" s="738"/>
      <c r="T45" s="738"/>
      <c r="U45" s="615"/>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row>
    <row r="46" spans="1:63" s="19" customFormat="1" ht="63">
      <c r="A46" s="607" t="s">
        <v>354</v>
      </c>
      <c r="B46" s="608" t="s">
        <v>418</v>
      </c>
      <c r="C46" s="608">
        <v>2019</v>
      </c>
      <c r="D46" s="608"/>
      <c r="E46" s="736" t="s">
        <v>722</v>
      </c>
      <c r="F46" s="611" t="s">
        <v>355</v>
      </c>
      <c r="G46" s="611" t="s">
        <v>723</v>
      </c>
      <c r="H46" s="611">
        <v>8</v>
      </c>
      <c r="I46" s="611"/>
      <c r="J46" s="608" t="s">
        <v>465</v>
      </c>
      <c r="K46" s="608"/>
      <c r="L46" s="696"/>
      <c r="M46" s="739">
        <v>19000000</v>
      </c>
      <c r="N46" s="723">
        <f>+M46/$D$157</f>
        <v>29775.897194797053</v>
      </c>
      <c r="O46" s="723">
        <v>100</v>
      </c>
      <c r="P46" s="723">
        <v>0</v>
      </c>
      <c r="Q46" s="631" t="s">
        <v>466</v>
      </c>
      <c r="R46" s="608" t="s">
        <v>465</v>
      </c>
      <c r="S46" s="615" t="s">
        <v>526</v>
      </c>
      <c r="T46" s="615" t="s">
        <v>467</v>
      </c>
      <c r="U46" s="615" t="s">
        <v>708</v>
      </c>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row>
    <row r="47" spans="1:63" s="19" customFormat="1">
      <c r="A47" s="607"/>
      <c r="B47" s="608"/>
      <c r="C47" s="608"/>
      <c r="D47" s="608"/>
      <c r="E47" s="736"/>
      <c r="F47" s="611" t="s">
        <v>720</v>
      </c>
      <c r="G47" s="611" t="s">
        <v>721</v>
      </c>
      <c r="H47" s="611"/>
      <c r="I47" s="611"/>
      <c r="J47" s="608"/>
      <c r="K47" s="608" t="s">
        <v>724</v>
      </c>
      <c r="L47" s="696"/>
      <c r="M47" s="739">
        <v>1101427</v>
      </c>
      <c r="N47" s="723">
        <f t="shared" ref="N47:N49" si="1">+M47/$D$157</f>
        <v>1726.1040589249333</v>
      </c>
      <c r="O47" s="723"/>
      <c r="P47" s="723"/>
      <c r="Q47" s="631"/>
      <c r="R47" s="608"/>
      <c r="S47" s="615"/>
      <c r="T47" s="615"/>
      <c r="U47" s="615"/>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row>
    <row r="48" spans="1:63" s="19" customFormat="1">
      <c r="A48" s="607"/>
      <c r="B48" s="608"/>
      <c r="C48" s="608"/>
      <c r="D48" s="608"/>
      <c r="E48" s="736"/>
      <c r="F48" s="611" t="s">
        <v>725</v>
      </c>
      <c r="G48" s="611" t="s">
        <v>726</v>
      </c>
      <c r="H48" s="611"/>
      <c r="I48" s="611"/>
      <c r="J48" s="608"/>
      <c r="K48" s="608" t="s">
        <v>711</v>
      </c>
      <c r="L48" s="696"/>
      <c r="M48" s="739">
        <v>6723251</v>
      </c>
      <c r="N48" s="723">
        <f t="shared" si="1"/>
        <v>10536.359504779815</v>
      </c>
      <c r="O48" s="723"/>
      <c r="P48" s="723"/>
      <c r="Q48" s="631"/>
      <c r="R48" s="608"/>
      <c r="S48" s="615"/>
      <c r="T48" s="615"/>
      <c r="U48" s="615"/>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row>
    <row r="49" spans="1:55" s="19" customFormat="1">
      <c r="A49" s="607"/>
      <c r="B49" s="608"/>
      <c r="C49" s="608"/>
      <c r="D49" s="608"/>
      <c r="E49" s="736"/>
      <c r="F49" s="611" t="s">
        <v>324</v>
      </c>
      <c r="G49" s="611"/>
      <c r="H49" s="611"/>
      <c r="I49" s="611"/>
      <c r="J49" s="608"/>
      <c r="K49" s="608"/>
      <c r="L49" s="696"/>
      <c r="M49" s="739">
        <f>+M46-M47-M48</f>
        <v>11175322</v>
      </c>
      <c r="N49" s="723">
        <f t="shared" si="1"/>
        <v>17513.433631092306</v>
      </c>
      <c r="O49" s="723"/>
      <c r="P49" s="723"/>
      <c r="Q49" s="631"/>
      <c r="R49" s="608"/>
      <c r="S49" s="615"/>
      <c r="T49" s="615"/>
      <c r="U49" s="615"/>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row>
    <row r="50" spans="1:55" s="19" customFormat="1" ht="63">
      <c r="A50" s="607" t="s">
        <v>354</v>
      </c>
      <c r="B50" s="608" t="s">
        <v>418</v>
      </c>
      <c r="C50" s="608">
        <v>2020</v>
      </c>
      <c r="D50" s="608"/>
      <c r="E50" s="736" t="s">
        <v>727</v>
      </c>
      <c r="F50" s="611" t="s">
        <v>355</v>
      </c>
      <c r="G50" s="611" t="s">
        <v>723</v>
      </c>
      <c r="H50" s="611">
        <v>10</v>
      </c>
      <c r="I50" s="611"/>
      <c r="J50" s="608" t="s">
        <v>465</v>
      </c>
      <c r="K50" s="608"/>
      <c r="L50" s="696"/>
      <c r="M50" s="739">
        <v>23800000</v>
      </c>
      <c r="N50" s="723">
        <f>+M50/$D$158</f>
        <v>37298.229117693147</v>
      </c>
      <c r="O50" s="723">
        <v>100</v>
      </c>
      <c r="P50" s="723">
        <v>0</v>
      </c>
      <c r="Q50" s="631" t="s">
        <v>466</v>
      </c>
      <c r="R50" s="608" t="s">
        <v>465</v>
      </c>
      <c r="S50" s="615" t="s">
        <v>526</v>
      </c>
      <c r="T50" s="615" t="s">
        <v>467</v>
      </c>
      <c r="U50" s="615" t="s">
        <v>708</v>
      </c>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row>
    <row r="51" spans="1:55" s="19" customFormat="1" ht="63">
      <c r="A51" s="607" t="s">
        <v>354</v>
      </c>
      <c r="B51" s="608" t="s">
        <v>418</v>
      </c>
      <c r="C51" s="608">
        <v>2021</v>
      </c>
      <c r="D51" s="608"/>
      <c r="E51" s="736" t="s">
        <v>728</v>
      </c>
      <c r="F51" s="611" t="s">
        <v>355</v>
      </c>
      <c r="G51" s="611" t="s">
        <v>723</v>
      </c>
      <c r="H51" s="611">
        <v>12</v>
      </c>
      <c r="I51" s="611"/>
      <c r="J51" s="608" t="s">
        <v>465</v>
      </c>
      <c r="K51" s="608"/>
      <c r="L51" s="696"/>
      <c r="M51" s="739">
        <v>29920000</v>
      </c>
      <c r="N51" s="723">
        <f>+M51/$D$159</f>
        <v>46889.202319385673</v>
      </c>
      <c r="O51" s="723">
        <v>100</v>
      </c>
      <c r="P51" s="723">
        <v>0</v>
      </c>
      <c r="Q51" s="631" t="s">
        <v>466</v>
      </c>
      <c r="R51" s="608" t="s">
        <v>465</v>
      </c>
      <c r="S51" s="615" t="s">
        <v>526</v>
      </c>
      <c r="T51" s="615" t="s">
        <v>467</v>
      </c>
      <c r="U51" s="615" t="s">
        <v>708</v>
      </c>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row>
    <row r="52" spans="1:55" s="19" customFormat="1" ht="63">
      <c r="A52" s="607" t="s">
        <v>356</v>
      </c>
      <c r="B52" s="608" t="s">
        <v>418</v>
      </c>
      <c r="C52" s="608">
        <v>2018</v>
      </c>
      <c r="D52" s="608"/>
      <c r="E52" s="736" t="s">
        <v>705</v>
      </c>
      <c r="F52" s="611" t="s">
        <v>357</v>
      </c>
      <c r="G52" s="611" t="s">
        <v>729</v>
      </c>
      <c r="H52" s="611">
        <v>69</v>
      </c>
      <c r="I52" s="611"/>
      <c r="J52" s="608" t="s">
        <v>465</v>
      </c>
      <c r="K52" s="608"/>
      <c r="L52" s="608"/>
      <c r="M52" s="737">
        <f>SUM(M53:M60)</f>
        <v>178457000</v>
      </c>
      <c r="N52" s="720">
        <f t="shared" ref="N52:N60" si="2">+M52/$D$156</f>
        <v>295757.30456255493</v>
      </c>
      <c r="O52" s="723">
        <v>100</v>
      </c>
      <c r="P52" s="723">
        <v>0</v>
      </c>
      <c r="Q52" s="631" t="s">
        <v>466</v>
      </c>
      <c r="R52" s="608" t="s">
        <v>465</v>
      </c>
      <c r="S52" s="738"/>
      <c r="T52" s="615" t="s">
        <v>467</v>
      </c>
      <c r="U52" s="615" t="s">
        <v>730</v>
      </c>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row>
    <row r="53" spans="1:55" s="19" customFormat="1">
      <c r="A53" s="607"/>
      <c r="B53" s="608"/>
      <c r="C53" s="608"/>
      <c r="D53" s="608"/>
      <c r="E53" s="736"/>
      <c r="F53" s="611" t="s">
        <v>731</v>
      </c>
      <c r="G53" s="611" t="s">
        <v>732</v>
      </c>
      <c r="H53" s="611">
        <v>10</v>
      </c>
      <c r="I53" s="611"/>
      <c r="J53" s="608" t="s">
        <v>465</v>
      </c>
      <c r="K53" s="608" t="s">
        <v>711</v>
      </c>
      <c r="L53" s="608"/>
      <c r="M53" s="739">
        <v>5500000</v>
      </c>
      <c r="N53" s="720">
        <f t="shared" si="2"/>
        <v>9115.1659788859615</v>
      </c>
      <c r="O53" s="723">
        <v>100</v>
      </c>
      <c r="P53" s="723">
        <v>0</v>
      </c>
      <c r="Q53" s="631" t="s">
        <v>466</v>
      </c>
      <c r="R53" s="608" t="s">
        <v>465</v>
      </c>
      <c r="S53" s="738"/>
      <c r="T53" s="615"/>
      <c r="U53" s="615"/>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row>
    <row r="54" spans="1:55" s="19" customFormat="1" ht="31.5">
      <c r="A54" s="607"/>
      <c r="B54" s="608"/>
      <c r="C54" s="608"/>
      <c r="D54" s="608"/>
      <c r="E54" s="736"/>
      <c r="F54" s="611" t="s">
        <v>733</v>
      </c>
      <c r="G54" s="611" t="s">
        <v>734</v>
      </c>
      <c r="H54" s="611">
        <v>10</v>
      </c>
      <c r="I54" s="611"/>
      <c r="J54" s="608" t="s">
        <v>465</v>
      </c>
      <c r="K54" s="608" t="s">
        <v>711</v>
      </c>
      <c r="L54" s="608"/>
      <c r="M54" s="739">
        <v>40940000</v>
      </c>
      <c r="N54" s="720">
        <f t="shared" si="2"/>
        <v>67849.980941016591</v>
      </c>
      <c r="O54" s="723">
        <v>100</v>
      </c>
      <c r="P54" s="723">
        <v>0</v>
      </c>
      <c r="Q54" s="631" t="s">
        <v>466</v>
      </c>
      <c r="R54" s="608" t="s">
        <v>465</v>
      </c>
      <c r="S54" s="738"/>
      <c r="T54" s="615"/>
      <c r="U54" s="615"/>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row>
    <row r="55" spans="1:55" s="19" customFormat="1" ht="47.25">
      <c r="A55" s="607"/>
      <c r="B55" s="608"/>
      <c r="C55" s="608"/>
      <c r="D55" s="608"/>
      <c r="E55" s="736"/>
      <c r="F55" s="611" t="s">
        <v>735</v>
      </c>
      <c r="G55" s="611" t="s">
        <v>736</v>
      </c>
      <c r="H55" s="611">
        <v>11</v>
      </c>
      <c r="I55" s="611"/>
      <c r="J55" s="608" t="s">
        <v>465</v>
      </c>
      <c r="K55" s="608" t="s">
        <v>711</v>
      </c>
      <c r="L55" s="608"/>
      <c r="M55" s="739">
        <v>41860000</v>
      </c>
      <c r="N55" s="720">
        <f t="shared" si="2"/>
        <v>69374.699613848425</v>
      </c>
      <c r="O55" s="723">
        <v>100</v>
      </c>
      <c r="P55" s="723">
        <v>0</v>
      </c>
      <c r="Q55" s="631" t="s">
        <v>466</v>
      </c>
      <c r="R55" s="608" t="s">
        <v>465</v>
      </c>
      <c r="S55" s="738"/>
      <c r="T55" s="615"/>
      <c r="U55" s="615"/>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row>
    <row r="56" spans="1:55" s="19" customFormat="1" ht="31.5">
      <c r="A56" s="607"/>
      <c r="B56" s="608"/>
      <c r="C56" s="608"/>
      <c r="D56" s="608"/>
      <c r="E56" s="736"/>
      <c r="F56" s="611" t="s">
        <v>737</v>
      </c>
      <c r="G56" s="611" t="s">
        <v>738</v>
      </c>
      <c r="H56" s="611">
        <v>10</v>
      </c>
      <c r="I56" s="611"/>
      <c r="J56" s="608" t="s">
        <v>465</v>
      </c>
      <c r="K56" s="608" t="s">
        <v>724</v>
      </c>
      <c r="L56" s="608"/>
      <c r="M56" s="739">
        <v>34759880</v>
      </c>
      <c r="N56" s="720">
        <f t="shared" si="2"/>
        <v>57607.650110210641</v>
      </c>
      <c r="O56" s="723">
        <v>100</v>
      </c>
      <c r="P56" s="723">
        <v>0</v>
      </c>
      <c r="Q56" s="631" t="s">
        <v>466</v>
      </c>
      <c r="R56" s="608" t="s">
        <v>465</v>
      </c>
      <c r="S56" s="738"/>
      <c r="T56" s="615"/>
      <c r="U56" s="615"/>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row>
    <row r="57" spans="1:55" s="19" customFormat="1" ht="31.5">
      <c r="A57" s="607"/>
      <c r="B57" s="608"/>
      <c r="C57" s="608"/>
      <c r="D57" s="608"/>
      <c r="E57" s="736"/>
      <c r="F57" s="611" t="s">
        <v>739</v>
      </c>
      <c r="G57" s="611" t="s">
        <v>740</v>
      </c>
      <c r="H57" s="611">
        <v>12</v>
      </c>
      <c r="I57" s="611"/>
      <c r="J57" s="608" t="s">
        <v>465</v>
      </c>
      <c r="K57" s="608" t="s">
        <v>711</v>
      </c>
      <c r="L57" s="608"/>
      <c r="M57" s="739">
        <v>5500000</v>
      </c>
      <c r="N57" s="720">
        <f t="shared" si="2"/>
        <v>9115.1659788859615</v>
      </c>
      <c r="O57" s="723">
        <v>100</v>
      </c>
      <c r="P57" s="723">
        <v>0</v>
      </c>
      <c r="Q57" s="631" t="s">
        <v>466</v>
      </c>
      <c r="R57" s="608" t="s">
        <v>465</v>
      </c>
      <c r="S57" s="738"/>
      <c r="T57" s="615"/>
      <c r="U57" s="615"/>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row>
    <row r="58" spans="1:55" s="19" customFormat="1">
      <c r="A58" s="607"/>
      <c r="B58" s="608"/>
      <c r="C58" s="608"/>
      <c r="D58" s="608"/>
      <c r="E58" s="736"/>
      <c r="F58" s="611" t="s">
        <v>741</v>
      </c>
      <c r="G58" s="611" t="s">
        <v>742</v>
      </c>
      <c r="H58" s="611">
        <v>8</v>
      </c>
      <c r="I58" s="611"/>
      <c r="J58" s="608" t="s">
        <v>465</v>
      </c>
      <c r="K58" s="608" t="s">
        <v>724</v>
      </c>
      <c r="L58" s="608"/>
      <c r="M58" s="739">
        <v>21397120</v>
      </c>
      <c r="N58" s="720">
        <f t="shared" si="2"/>
        <v>35461.509140025526</v>
      </c>
      <c r="O58" s="723">
        <v>100</v>
      </c>
      <c r="P58" s="723">
        <v>0</v>
      </c>
      <c r="Q58" s="631" t="s">
        <v>466</v>
      </c>
      <c r="R58" s="608" t="s">
        <v>465</v>
      </c>
      <c r="S58" s="738"/>
      <c r="T58" s="615"/>
      <c r="U58" s="615"/>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row>
    <row r="59" spans="1:55" s="19" customFormat="1" ht="31.5">
      <c r="A59" s="607"/>
      <c r="B59" s="608"/>
      <c r="C59" s="608"/>
      <c r="D59" s="608"/>
      <c r="E59" s="736"/>
      <c r="F59" s="611" t="s">
        <v>743</v>
      </c>
      <c r="G59" s="611" t="s">
        <v>744</v>
      </c>
      <c r="H59" s="611">
        <v>10</v>
      </c>
      <c r="I59" s="611"/>
      <c r="J59" s="608" t="s">
        <v>465</v>
      </c>
      <c r="K59" s="608" t="s">
        <v>724</v>
      </c>
      <c r="L59" s="608"/>
      <c r="M59" s="739">
        <v>23000000</v>
      </c>
      <c r="N59" s="720">
        <f t="shared" si="2"/>
        <v>38117.966820795838</v>
      </c>
      <c r="O59" s="723">
        <v>100</v>
      </c>
      <c r="P59" s="723">
        <v>0</v>
      </c>
      <c r="Q59" s="631" t="s">
        <v>466</v>
      </c>
      <c r="R59" s="608" t="s">
        <v>465</v>
      </c>
      <c r="S59" s="738"/>
      <c r="T59" s="615"/>
      <c r="U59" s="615"/>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row>
    <row r="60" spans="1:55" s="19" customFormat="1">
      <c r="A60" s="607"/>
      <c r="B60" s="608"/>
      <c r="C60" s="608"/>
      <c r="D60" s="608"/>
      <c r="E60" s="736"/>
      <c r="F60" s="611" t="s">
        <v>745</v>
      </c>
      <c r="G60" s="611" t="s">
        <v>746</v>
      </c>
      <c r="H60" s="611">
        <v>10</v>
      </c>
      <c r="I60" s="611"/>
      <c r="J60" s="608" t="s">
        <v>465</v>
      </c>
      <c r="K60" s="608" t="s">
        <v>724</v>
      </c>
      <c r="L60" s="608"/>
      <c r="M60" s="739">
        <v>5500000</v>
      </c>
      <c r="N60" s="720">
        <f t="shared" si="2"/>
        <v>9115.1659788859615</v>
      </c>
      <c r="O60" s="723">
        <v>100</v>
      </c>
      <c r="P60" s="723">
        <v>0</v>
      </c>
      <c r="Q60" s="631" t="s">
        <v>466</v>
      </c>
      <c r="R60" s="608" t="s">
        <v>465</v>
      </c>
      <c r="S60" s="738"/>
      <c r="T60" s="615"/>
      <c r="U60" s="615"/>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row>
    <row r="61" spans="1:55" s="19" customFormat="1" ht="63">
      <c r="A61" s="607" t="s">
        <v>356</v>
      </c>
      <c r="B61" s="608" t="s">
        <v>418</v>
      </c>
      <c r="C61" s="608">
        <v>2019</v>
      </c>
      <c r="D61" s="608"/>
      <c r="E61" s="736" t="s">
        <v>722</v>
      </c>
      <c r="F61" s="611" t="s">
        <v>357</v>
      </c>
      <c r="G61" s="611" t="s">
        <v>723</v>
      </c>
      <c r="H61" s="611">
        <v>58</v>
      </c>
      <c r="I61" s="611"/>
      <c r="J61" s="608" t="s">
        <v>465</v>
      </c>
      <c r="K61" s="608"/>
      <c r="L61" s="608"/>
      <c r="M61" s="739">
        <v>250805000</v>
      </c>
      <c r="N61" s="723">
        <f>+M61/$D$157</f>
        <v>393049.67873374076</v>
      </c>
      <c r="O61" s="723">
        <v>100</v>
      </c>
      <c r="P61" s="723">
        <v>0</v>
      </c>
      <c r="Q61" s="631" t="s">
        <v>466</v>
      </c>
      <c r="R61" s="608" t="s">
        <v>465</v>
      </c>
      <c r="S61" s="615" t="s">
        <v>526</v>
      </c>
      <c r="T61" s="615" t="s">
        <v>467</v>
      </c>
      <c r="U61" s="615" t="s">
        <v>708</v>
      </c>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row>
    <row r="62" spans="1:55" s="19" customFormat="1" ht="31.5">
      <c r="A62" s="607"/>
      <c r="B62" s="608"/>
      <c r="C62" s="608"/>
      <c r="D62" s="608"/>
      <c r="E62" s="736"/>
      <c r="F62" s="611" t="s">
        <v>737</v>
      </c>
      <c r="G62" s="611" t="s">
        <v>738</v>
      </c>
      <c r="H62" s="611">
        <v>10</v>
      </c>
      <c r="I62" s="611"/>
      <c r="J62" s="608" t="s">
        <v>465</v>
      </c>
      <c r="K62" s="608" t="s">
        <v>747</v>
      </c>
      <c r="L62" s="608" t="s">
        <v>747</v>
      </c>
      <c r="M62" s="739">
        <v>11240120</v>
      </c>
      <c r="N62" s="723">
        <f>+M62/$D$157</f>
        <v>17614.981977746433</v>
      </c>
      <c r="O62" s="723"/>
      <c r="P62" s="723"/>
      <c r="Q62" s="631"/>
      <c r="R62" s="608"/>
      <c r="S62" s="615"/>
      <c r="T62" s="615"/>
      <c r="U62" s="615"/>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row>
    <row r="63" spans="1:55" s="19" customFormat="1">
      <c r="A63" s="607"/>
      <c r="B63" s="608"/>
      <c r="C63" s="608"/>
      <c r="D63" s="608"/>
      <c r="E63" s="736"/>
      <c r="F63" s="611" t="s">
        <v>741</v>
      </c>
      <c r="G63" s="611" t="s">
        <v>742</v>
      </c>
      <c r="H63" s="611">
        <v>8</v>
      </c>
      <c r="I63" s="611"/>
      <c r="J63" s="608" t="s">
        <v>465</v>
      </c>
      <c r="K63" s="608" t="s">
        <v>747</v>
      </c>
      <c r="L63" s="608" t="s">
        <v>747</v>
      </c>
      <c r="M63" s="739">
        <v>19433399</v>
      </c>
      <c r="N63" s="723">
        <f>+M63/$D$157</f>
        <v>30455.09951418273</v>
      </c>
      <c r="O63" s="723"/>
      <c r="P63" s="723"/>
      <c r="Q63" s="631"/>
      <c r="R63" s="608"/>
      <c r="S63" s="615"/>
      <c r="T63" s="615"/>
      <c r="U63" s="615"/>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row>
    <row r="64" spans="1:55" s="19" customFormat="1" ht="31.5">
      <c r="A64" s="607"/>
      <c r="B64" s="608"/>
      <c r="C64" s="608"/>
      <c r="D64" s="608"/>
      <c r="E64" s="736"/>
      <c r="F64" s="611" t="s">
        <v>743</v>
      </c>
      <c r="G64" s="611" t="s">
        <v>744</v>
      </c>
      <c r="H64" s="611">
        <v>10</v>
      </c>
      <c r="I64" s="611"/>
      <c r="J64" s="608" t="s">
        <v>465</v>
      </c>
      <c r="K64" s="608" t="s">
        <v>747</v>
      </c>
      <c r="L64" s="608" t="s">
        <v>747</v>
      </c>
      <c r="M64" s="739">
        <v>18400000</v>
      </c>
      <c r="N64" s="723">
        <f>+M64/$D$157</f>
        <v>28835.605704435042</v>
      </c>
      <c r="O64" s="723"/>
      <c r="P64" s="723"/>
      <c r="Q64" s="631"/>
      <c r="R64" s="608"/>
      <c r="S64" s="615"/>
      <c r="T64" s="615"/>
      <c r="U64" s="615"/>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row>
    <row r="65" spans="1:55" s="19" customFormat="1" ht="63">
      <c r="A65" s="607" t="s">
        <v>356</v>
      </c>
      <c r="B65" s="608" t="s">
        <v>418</v>
      </c>
      <c r="C65" s="608">
        <v>2020</v>
      </c>
      <c r="D65" s="608"/>
      <c r="E65" s="736" t="s">
        <v>727</v>
      </c>
      <c r="F65" s="611" t="s">
        <v>357</v>
      </c>
      <c r="G65" s="611" t="s">
        <v>723</v>
      </c>
      <c r="H65" s="611">
        <v>48</v>
      </c>
      <c r="I65" s="611"/>
      <c r="J65" s="608" t="s">
        <v>465</v>
      </c>
      <c r="K65" s="608"/>
      <c r="L65" s="696"/>
      <c r="M65" s="739">
        <v>204000000</v>
      </c>
      <c r="N65" s="723">
        <f>+M65/$D$158</f>
        <v>319699.10672308417</v>
      </c>
      <c r="O65" s="723">
        <v>100</v>
      </c>
      <c r="P65" s="723">
        <v>0</v>
      </c>
      <c r="Q65" s="631" t="s">
        <v>466</v>
      </c>
      <c r="R65" s="608" t="s">
        <v>465</v>
      </c>
      <c r="S65" s="615" t="s">
        <v>526</v>
      </c>
      <c r="T65" s="615" t="s">
        <v>467</v>
      </c>
      <c r="U65" s="615" t="s">
        <v>708</v>
      </c>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row>
    <row r="66" spans="1:55" s="19" customFormat="1" ht="63">
      <c r="A66" s="607" t="s">
        <v>356</v>
      </c>
      <c r="B66" s="608" t="s">
        <v>418</v>
      </c>
      <c r="C66" s="608">
        <v>2021</v>
      </c>
      <c r="D66" s="608"/>
      <c r="E66" s="736" t="s">
        <v>728</v>
      </c>
      <c r="F66" s="611" t="s">
        <v>357</v>
      </c>
      <c r="G66" s="611" t="s">
        <v>723</v>
      </c>
      <c r="H66" s="611">
        <v>48</v>
      </c>
      <c r="I66" s="611"/>
      <c r="J66" s="608" t="s">
        <v>465</v>
      </c>
      <c r="K66" s="608"/>
      <c r="L66" s="696"/>
      <c r="M66" s="739">
        <v>87523000</v>
      </c>
      <c r="N66" s="723">
        <f>+M66/$D$159</f>
        <v>137161.88685159065</v>
      </c>
      <c r="O66" s="723">
        <v>100</v>
      </c>
      <c r="P66" s="723">
        <v>0</v>
      </c>
      <c r="Q66" s="631" t="s">
        <v>466</v>
      </c>
      <c r="R66" s="608" t="s">
        <v>465</v>
      </c>
      <c r="S66" s="615" t="s">
        <v>526</v>
      </c>
      <c r="T66" s="615" t="s">
        <v>467</v>
      </c>
      <c r="U66" s="615" t="s">
        <v>708</v>
      </c>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row>
    <row r="67" spans="1:55" s="19" customFormat="1" ht="63">
      <c r="A67" s="607" t="s">
        <v>358</v>
      </c>
      <c r="B67" s="608" t="s">
        <v>418</v>
      </c>
      <c r="C67" s="608">
        <v>2018</v>
      </c>
      <c r="D67" s="608"/>
      <c r="E67" s="736" t="s">
        <v>705</v>
      </c>
      <c r="F67" s="611" t="s">
        <v>359</v>
      </c>
      <c r="G67" s="611" t="s">
        <v>723</v>
      </c>
      <c r="H67" s="611">
        <v>14</v>
      </c>
      <c r="I67" s="611"/>
      <c r="J67" s="608" t="s">
        <v>465</v>
      </c>
      <c r="K67" s="608"/>
      <c r="L67" s="696"/>
      <c r="M67" s="737">
        <v>19235000</v>
      </c>
      <c r="N67" s="720">
        <f>+M67/$D$156</f>
        <v>31878.221382522086</v>
      </c>
      <c r="O67" s="723">
        <v>100</v>
      </c>
      <c r="P67" s="723">
        <v>0</v>
      </c>
      <c r="Q67" s="631" t="s">
        <v>466</v>
      </c>
      <c r="R67" s="608" t="s">
        <v>465</v>
      </c>
      <c r="S67" s="738" t="s">
        <v>748</v>
      </c>
      <c r="T67" s="615" t="s">
        <v>467</v>
      </c>
      <c r="U67" s="615" t="s">
        <v>708</v>
      </c>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row>
    <row r="68" spans="1:55" s="207" customFormat="1">
      <c r="A68" s="740"/>
      <c r="B68" s="741"/>
      <c r="C68" s="741"/>
      <c r="D68" s="741"/>
      <c r="E68" s="742"/>
      <c r="F68" s="743" t="s">
        <v>749</v>
      </c>
      <c r="G68" s="743" t="s">
        <v>750</v>
      </c>
      <c r="H68" s="743">
        <v>3</v>
      </c>
      <c r="I68" s="743"/>
      <c r="J68" s="741" t="s">
        <v>465</v>
      </c>
      <c r="K68" s="741" t="s">
        <v>711</v>
      </c>
      <c r="L68" s="744"/>
      <c r="M68" s="745">
        <v>7000000</v>
      </c>
      <c r="N68" s="746">
        <f>+M68/$D$156</f>
        <v>11601.12033676395</v>
      </c>
      <c r="O68" s="745">
        <v>100</v>
      </c>
      <c r="P68" s="745">
        <v>0</v>
      </c>
      <c r="Q68" s="747" t="s">
        <v>466</v>
      </c>
      <c r="R68" s="741" t="s">
        <v>465</v>
      </c>
      <c r="S68" s="748"/>
      <c r="T68" s="749"/>
      <c r="U68" s="749"/>
      <c r="V68" s="206"/>
      <c r="W68" s="206"/>
      <c r="X68" s="206"/>
      <c r="Y68" s="206"/>
      <c r="Z68" s="206"/>
      <c r="AA68" s="206"/>
      <c r="AB68" s="206"/>
      <c r="AC68" s="206"/>
      <c r="AD68" s="206"/>
      <c r="AE68" s="206"/>
      <c r="AF68" s="206"/>
      <c r="AG68" s="206"/>
      <c r="AH68" s="206"/>
      <c r="AI68" s="206"/>
      <c r="AJ68" s="206"/>
      <c r="AK68" s="206"/>
      <c r="AL68" s="206"/>
      <c r="AM68" s="206"/>
      <c r="AN68" s="206"/>
      <c r="AO68" s="206"/>
      <c r="AP68" s="206"/>
      <c r="AQ68" s="206"/>
      <c r="AR68" s="206"/>
      <c r="AS68" s="206"/>
      <c r="AT68" s="206"/>
      <c r="AU68" s="206"/>
      <c r="AV68" s="206"/>
      <c r="AW68" s="206"/>
      <c r="AX68" s="206"/>
      <c r="AY68" s="206"/>
      <c r="AZ68" s="206"/>
      <c r="BA68" s="206"/>
      <c r="BB68" s="206"/>
      <c r="BC68" s="206"/>
    </row>
    <row r="69" spans="1:55" s="207" customFormat="1" ht="31.5">
      <c r="A69" s="740"/>
      <c r="B69" s="741"/>
      <c r="C69" s="741"/>
      <c r="D69" s="741"/>
      <c r="E69" s="742"/>
      <c r="F69" s="743" t="s">
        <v>751</v>
      </c>
      <c r="G69" s="743" t="s">
        <v>752</v>
      </c>
      <c r="H69" s="743">
        <v>7</v>
      </c>
      <c r="I69" s="743"/>
      <c r="J69" s="741" t="s">
        <v>465</v>
      </c>
      <c r="K69" s="741" t="s">
        <v>711</v>
      </c>
      <c r="L69" s="744"/>
      <c r="M69" s="745">
        <v>5235000</v>
      </c>
      <c r="N69" s="746">
        <f>+M69/$D$156</f>
        <v>8675.9807089941824</v>
      </c>
      <c r="O69" s="745">
        <v>100</v>
      </c>
      <c r="P69" s="745">
        <v>0</v>
      </c>
      <c r="Q69" s="747" t="s">
        <v>466</v>
      </c>
      <c r="R69" s="741" t="s">
        <v>465</v>
      </c>
      <c r="S69" s="748"/>
      <c r="T69" s="749"/>
      <c r="U69" s="749"/>
      <c r="V69" s="206"/>
      <c r="W69" s="206"/>
      <c r="X69" s="206"/>
      <c r="Y69" s="206"/>
      <c r="Z69" s="206"/>
      <c r="AA69" s="206"/>
      <c r="AB69" s="206"/>
      <c r="AC69" s="206"/>
      <c r="AD69" s="206"/>
      <c r="AE69" s="206"/>
      <c r="AF69" s="206"/>
      <c r="AG69" s="206"/>
      <c r="AH69" s="206"/>
      <c r="AI69" s="206"/>
      <c r="AJ69" s="206"/>
      <c r="AK69" s="206"/>
      <c r="AL69" s="206"/>
      <c r="AM69" s="206"/>
      <c r="AN69" s="206"/>
      <c r="AO69" s="206"/>
      <c r="AP69" s="206"/>
      <c r="AQ69" s="206"/>
      <c r="AR69" s="206"/>
      <c r="AS69" s="206"/>
      <c r="AT69" s="206"/>
      <c r="AU69" s="206"/>
      <c r="AV69" s="206"/>
      <c r="AW69" s="206"/>
      <c r="AX69" s="206"/>
      <c r="AY69" s="206"/>
      <c r="AZ69" s="206"/>
      <c r="BA69" s="206"/>
      <c r="BB69" s="206"/>
      <c r="BC69" s="206"/>
    </row>
    <row r="70" spans="1:55" s="207" customFormat="1" ht="31.5">
      <c r="A70" s="740"/>
      <c r="B70" s="741"/>
      <c r="C70" s="741"/>
      <c r="D70" s="741"/>
      <c r="E70" s="742"/>
      <c r="F70" s="743" t="s">
        <v>753</v>
      </c>
      <c r="G70" s="743" t="s">
        <v>754</v>
      </c>
      <c r="H70" s="743">
        <v>4</v>
      </c>
      <c r="I70" s="743"/>
      <c r="J70" s="741" t="s">
        <v>465</v>
      </c>
      <c r="K70" s="741" t="s">
        <v>711</v>
      </c>
      <c r="L70" s="744"/>
      <c r="M70" s="745">
        <v>7000000</v>
      </c>
      <c r="N70" s="746">
        <f>+M70/$D$156</f>
        <v>11601.12033676395</v>
      </c>
      <c r="O70" s="745">
        <v>100</v>
      </c>
      <c r="P70" s="745">
        <v>0</v>
      </c>
      <c r="Q70" s="747" t="s">
        <v>466</v>
      </c>
      <c r="R70" s="741" t="s">
        <v>465</v>
      </c>
      <c r="S70" s="748"/>
      <c r="T70" s="749"/>
      <c r="U70" s="749"/>
      <c r="V70" s="206"/>
      <c r="W70" s="206"/>
      <c r="X70" s="206"/>
      <c r="Y70" s="206"/>
      <c r="Z70" s="206"/>
      <c r="AA70" s="206"/>
      <c r="AB70" s="206"/>
      <c r="AC70" s="206"/>
      <c r="AD70" s="206"/>
      <c r="AE70" s="206"/>
      <c r="AF70" s="206"/>
      <c r="AG70" s="206"/>
      <c r="AH70" s="206"/>
      <c r="AI70" s="206"/>
      <c r="AJ70" s="206"/>
      <c r="AK70" s="206"/>
      <c r="AL70" s="206"/>
      <c r="AM70" s="206"/>
      <c r="AN70" s="206"/>
      <c r="AO70" s="206"/>
      <c r="AP70" s="206"/>
      <c r="AQ70" s="206"/>
      <c r="AR70" s="206"/>
      <c r="AS70" s="206"/>
      <c r="AT70" s="206"/>
      <c r="AU70" s="206"/>
      <c r="AV70" s="206"/>
      <c r="AW70" s="206"/>
      <c r="AX70" s="206"/>
      <c r="AY70" s="206"/>
      <c r="AZ70" s="206"/>
      <c r="BA70" s="206"/>
      <c r="BB70" s="206"/>
      <c r="BC70" s="206"/>
    </row>
    <row r="71" spans="1:55" s="19" customFormat="1" ht="63">
      <c r="A71" s="607" t="s">
        <v>358</v>
      </c>
      <c r="B71" s="608" t="s">
        <v>418</v>
      </c>
      <c r="C71" s="608">
        <v>2019</v>
      </c>
      <c r="D71" s="608"/>
      <c r="E71" s="736" t="s">
        <v>722</v>
      </c>
      <c r="F71" s="611" t="s">
        <v>359</v>
      </c>
      <c r="G71" s="611" t="s">
        <v>723</v>
      </c>
      <c r="H71" s="611">
        <v>14</v>
      </c>
      <c r="I71" s="611"/>
      <c r="J71" s="608" t="s">
        <v>465</v>
      </c>
      <c r="K71" s="608"/>
      <c r="L71" s="696"/>
      <c r="M71" s="739">
        <f>SUM(M72:M80)</f>
        <v>297287083</v>
      </c>
      <c r="N71" s="723">
        <f>+M71/$D$157</f>
        <v>465894.19056574203</v>
      </c>
      <c r="O71" s="723">
        <v>100</v>
      </c>
      <c r="P71" s="723">
        <v>0</v>
      </c>
      <c r="Q71" s="631" t="s">
        <v>466</v>
      </c>
      <c r="R71" s="608" t="s">
        <v>465</v>
      </c>
      <c r="S71" s="615" t="s">
        <v>526</v>
      </c>
      <c r="T71" s="615" t="s">
        <v>467</v>
      </c>
      <c r="U71" s="615" t="s">
        <v>708</v>
      </c>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row>
    <row r="72" spans="1:55" s="207" customFormat="1" ht="31.5">
      <c r="A72" s="740"/>
      <c r="B72" s="741"/>
      <c r="C72" s="741"/>
      <c r="D72" s="741"/>
      <c r="E72" s="742"/>
      <c r="F72" s="743" t="s">
        <v>755</v>
      </c>
      <c r="G72" s="743" t="s">
        <v>756</v>
      </c>
      <c r="H72" s="743">
        <v>7</v>
      </c>
      <c r="I72" s="743"/>
      <c r="J72" s="741" t="s">
        <v>465</v>
      </c>
      <c r="K72" s="741" t="s">
        <v>711</v>
      </c>
      <c r="L72" s="744"/>
      <c r="M72" s="750">
        <v>38000000</v>
      </c>
      <c r="N72" s="745"/>
      <c r="O72" s="745"/>
      <c r="P72" s="745"/>
      <c r="Q72" s="747"/>
      <c r="R72" s="741"/>
      <c r="S72" s="749"/>
      <c r="T72" s="749"/>
      <c r="U72" s="749"/>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row>
    <row r="73" spans="1:55" s="207" customFormat="1" ht="31.5">
      <c r="A73" s="740"/>
      <c r="B73" s="741"/>
      <c r="C73" s="741"/>
      <c r="D73" s="741"/>
      <c r="E73" s="742"/>
      <c r="F73" s="743" t="s">
        <v>757</v>
      </c>
      <c r="G73" s="743" t="s">
        <v>758</v>
      </c>
      <c r="H73" s="743">
        <v>4</v>
      </c>
      <c r="I73" s="743"/>
      <c r="J73" s="741" t="s">
        <v>465</v>
      </c>
      <c r="K73" s="741" t="s">
        <v>711</v>
      </c>
      <c r="L73" s="744"/>
      <c r="M73" s="750">
        <v>38000000</v>
      </c>
      <c r="N73" s="745"/>
      <c r="O73" s="745"/>
      <c r="P73" s="745"/>
      <c r="Q73" s="747"/>
      <c r="R73" s="741"/>
      <c r="S73" s="749"/>
      <c r="T73" s="749"/>
      <c r="U73" s="749"/>
      <c r="V73" s="206"/>
      <c r="W73" s="206"/>
      <c r="X73" s="206"/>
      <c r="Y73" s="206"/>
      <c r="Z73" s="206"/>
      <c r="AA73" s="206"/>
      <c r="AB73" s="206"/>
      <c r="AC73" s="206"/>
      <c r="AD73" s="206"/>
      <c r="AE73" s="206"/>
      <c r="AF73" s="206"/>
      <c r="AG73" s="206"/>
      <c r="AH73" s="206"/>
      <c r="AI73" s="206"/>
      <c r="AJ73" s="206"/>
      <c r="AK73" s="206"/>
      <c r="AL73" s="206"/>
      <c r="AM73" s="206"/>
      <c r="AN73" s="206"/>
      <c r="AO73" s="206"/>
      <c r="AP73" s="206"/>
      <c r="AQ73" s="206"/>
      <c r="AR73" s="206"/>
      <c r="AS73" s="206"/>
      <c r="AT73" s="206"/>
      <c r="AU73" s="206"/>
      <c r="AV73" s="206"/>
      <c r="AW73" s="206"/>
      <c r="AX73" s="206"/>
      <c r="AY73" s="206"/>
      <c r="AZ73" s="206"/>
      <c r="BA73" s="206"/>
      <c r="BB73" s="206"/>
      <c r="BC73" s="206"/>
    </row>
    <row r="74" spans="1:55" s="207" customFormat="1" ht="31.5">
      <c r="A74" s="740"/>
      <c r="B74" s="741"/>
      <c r="C74" s="741"/>
      <c r="D74" s="741"/>
      <c r="E74" s="742"/>
      <c r="F74" s="743" t="s">
        <v>759</v>
      </c>
      <c r="G74" s="743" t="s">
        <v>760</v>
      </c>
      <c r="H74" s="743">
        <v>3</v>
      </c>
      <c r="I74" s="743"/>
      <c r="J74" s="741" t="s">
        <v>465</v>
      </c>
      <c r="K74" s="741" t="s">
        <v>747</v>
      </c>
      <c r="L74" s="744"/>
      <c r="M74" s="750">
        <v>16160361</v>
      </c>
      <c r="N74" s="745"/>
      <c r="O74" s="745"/>
      <c r="P74" s="745"/>
      <c r="Q74" s="747"/>
      <c r="R74" s="741"/>
      <c r="S74" s="749"/>
      <c r="T74" s="749"/>
      <c r="U74" s="749"/>
      <c r="V74" s="206"/>
      <c r="W74" s="206"/>
      <c r="X74" s="206"/>
      <c r="Y74" s="206"/>
      <c r="Z74" s="206"/>
      <c r="AA74" s="206"/>
      <c r="AB74" s="206"/>
      <c r="AC74" s="206"/>
      <c r="AD74" s="206"/>
      <c r="AE74" s="206"/>
      <c r="AF74" s="206"/>
      <c r="AG74" s="206"/>
      <c r="AH74" s="206"/>
      <c r="AI74" s="206"/>
      <c r="AJ74" s="206"/>
      <c r="AK74" s="206"/>
      <c r="AL74" s="206"/>
      <c r="AM74" s="206"/>
      <c r="AN74" s="206"/>
      <c r="AO74" s="206"/>
      <c r="AP74" s="206"/>
      <c r="AQ74" s="206"/>
      <c r="AR74" s="206"/>
      <c r="AS74" s="206"/>
      <c r="AT74" s="206"/>
      <c r="AU74" s="206"/>
      <c r="AV74" s="206"/>
      <c r="AW74" s="206"/>
      <c r="AX74" s="206"/>
      <c r="AY74" s="206"/>
      <c r="AZ74" s="206"/>
      <c r="BA74" s="206"/>
      <c r="BB74" s="206"/>
      <c r="BC74" s="206"/>
    </row>
    <row r="75" spans="1:55" s="207" customFormat="1">
      <c r="A75" s="740"/>
      <c r="B75" s="741"/>
      <c r="C75" s="741"/>
      <c r="D75" s="741"/>
      <c r="E75" s="742"/>
      <c r="F75" s="743" t="s">
        <v>761</v>
      </c>
      <c r="G75" s="743" t="s">
        <v>762</v>
      </c>
      <c r="H75" s="743">
        <v>3</v>
      </c>
      <c r="I75" s="743"/>
      <c r="J75" s="741" t="s">
        <v>465</v>
      </c>
      <c r="K75" s="741" t="s">
        <v>711</v>
      </c>
      <c r="L75" s="744"/>
      <c r="M75" s="750">
        <v>48000000</v>
      </c>
      <c r="N75" s="745"/>
      <c r="O75" s="745"/>
      <c r="P75" s="745"/>
      <c r="Q75" s="747"/>
      <c r="R75" s="741"/>
      <c r="S75" s="749"/>
      <c r="T75" s="749"/>
      <c r="U75" s="749"/>
      <c r="V75" s="206"/>
      <c r="W75" s="206"/>
      <c r="X75" s="206"/>
      <c r="Y75" s="206"/>
      <c r="Z75" s="206"/>
      <c r="AA75" s="206"/>
      <c r="AB75" s="206"/>
      <c r="AC75" s="206"/>
      <c r="AD75" s="206"/>
      <c r="AE75" s="206"/>
      <c r="AF75" s="206"/>
      <c r="AG75" s="206"/>
      <c r="AH75" s="206"/>
      <c r="AI75" s="206"/>
      <c r="AJ75" s="206"/>
      <c r="AK75" s="206"/>
      <c r="AL75" s="206"/>
      <c r="AM75" s="206"/>
      <c r="AN75" s="206"/>
      <c r="AO75" s="206"/>
      <c r="AP75" s="206"/>
      <c r="AQ75" s="206"/>
      <c r="AR75" s="206"/>
      <c r="AS75" s="206"/>
      <c r="AT75" s="206"/>
      <c r="AU75" s="206"/>
      <c r="AV75" s="206"/>
      <c r="AW75" s="206"/>
      <c r="AX75" s="206"/>
      <c r="AY75" s="206"/>
      <c r="AZ75" s="206"/>
      <c r="BA75" s="206"/>
      <c r="BB75" s="206"/>
      <c r="BC75" s="206"/>
    </row>
    <row r="76" spans="1:55" s="207" customFormat="1" ht="31.5">
      <c r="A76" s="740"/>
      <c r="B76" s="741"/>
      <c r="C76" s="741"/>
      <c r="D76" s="741"/>
      <c r="E76" s="742"/>
      <c r="F76" s="743" t="s">
        <v>759</v>
      </c>
      <c r="G76" s="743" t="s">
        <v>760</v>
      </c>
      <c r="H76" s="743">
        <v>3</v>
      </c>
      <c r="I76" s="743"/>
      <c r="J76" s="741" t="s">
        <v>465</v>
      </c>
      <c r="K76" s="741" t="s">
        <v>724</v>
      </c>
      <c r="L76" s="744"/>
      <c r="M76" s="750">
        <v>31839639</v>
      </c>
      <c r="N76" s="745"/>
      <c r="O76" s="745"/>
      <c r="P76" s="745"/>
      <c r="Q76" s="747"/>
      <c r="R76" s="741"/>
      <c r="S76" s="749"/>
      <c r="T76" s="749"/>
      <c r="U76" s="749"/>
      <c r="V76" s="206"/>
      <c r="W76" s="206"/>
      <c r="X76" s="206"/>
      <c r="Y76" s="206"/>
      <c r="Z76" s="206"/>
      <c r="AA76" s="206"/>
      <c r="AB76" s="206"/>
      <c r="AC76" s="206"/>
      <c r="AD76" s="206"/>
      <c r="AE76" s="206"/>
      <c r="AF76" s="206"/>
      <c r="AG76" s="206"/>
      <c r="AH76" s="206"/>
      <c r="AI76" s="206"/>
      <c r="AJ76" s="206"/>
      <c r="AK76" s="206"/>
      <c r="AL76" s="206"/>
      <c r="AM76" s="206"/>
      <c r="AN76" s="206"/>
      <c r="AO76" s="206"/>
      <c r="AP76" s="206"/>
      <c r="AQ76" s="206"/>
      <c r="AR76" s="206"/>
      <c r="AS76" s="206"/>
      <c r="AT76" s="206"/>
      <c r="AU76" s="206"/>
      <c r="AV76" s="206"/>
      <c r="AW76" s="206"/>
      <c r="AX76" s="206"/>
      <c r="AY76" s="206"/>
      <c r="AZ76" s="206"/>
      <c r="BA76" s="206"/>
      <c r="BB76" s="206"/>
      <c r="BC76" s="206"/>
    </row>
    <row r="77" spans="1:55" s="207" customFormat="1" ht="31.5">
      <c r="A77" s="740"/>
      <c r="B77" s="741"/>
      <c r="C77" s="741"/>
      <c r="D77" s="741"/>
      <c r="E77" s="742"/>
      <c r="F77" s="743" t="s">
        <v>763</v>
      </c>
      <c r="G77" s="743" t="s">
        <v>764</v>
      </c>
      <c r="H77" s="743">
        <v>3</v>
      </c>
      <c r="I77" s="743"/>
      <c r="J77" s="741"/>
      <c r="K77" s="741" t="s">
        <v>711</v>
      </c>
      <c r="L77" s="744"/>
      <c r="M77" s="750">
        <v>36000000</v>
      </c>
      <c r="N77" s="745"/>
      <c r="O77" s="745"/>
      <c r="P77" s="745"/>
      <c r="Q77" s="747"/>
      <c r="R77" s="741"/>
      <c r="S77" s="749"/>
      <c r="T77" s="749"/>
      <c r="U77" s="749"/>
      <c r="V77" s="206"/>
      <c r="W77" s="206"/>
      <c r="X77" s="206"/>
      <c r="Y77" s="206"/>
      <c r="Z77" s="206"/>
      <c r="AA77" s="206"/>
      <c r="AB77" s="206"/>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6"/>
      <c r="AY77" s="206"/>
      <c r="AZ77" s="206"/>
      <c r="BA77" s="206"/>
      <c r="BB77" s="206"/>
      <c r="BC77" s="206"/>
    </row>
    <row r="78" spans="1:55" s="207" customFormat="1" ht="31.5">
      <c r="A78" s="740"/>
      <c r="B78" s="741"/>
      <c r="C78" s="741"/>
      <c r="D78" s="741"/>
      <c r="E78" s="742"/>
      <c r="F78" s="743" t="s">
        <v>765</v>
      </c>
      <c r="G78" s="743" t="s">
        <v>766</v>
      </c>
      <c r="H78" s="743">
        <v>4</v>
      </c>
      <c r="I78" s="743"/>
      <c r="J78" s="741"/>
      <c r="K78" s="741" t="s">
        <v>711</v>
      </c>
      <c r="L78" s="744"/>
      <c r="M78" s="750">
        <v>37000000</v>
      </c>
      <c r="N78" s="745"/>
      <c r="O78" s="745"/>
      <c r="P78" s="745"/>
      <c r="Q78" s="747"/>
      <c r="R78" s="741"/>
      <c r="S78" s="749"/>
      <c r="T78" s="749"/>
      <c r="U78" s="749"/>
      <c r="V78" s="206"/>
      <c r="W78" s="206"/>
      <c r="X78" s="206"/>
      <c r="Y78" s="206"/>
      <c r="Z78" s="206"/>
      <c r="AA78" s="206"/>
      <c r="AB78" s="206"/>
      <c r="AC78" s="206"/>
      <c r="AD78" s="206"/>
      <c r="AE78" s="206"/>
      <c r="AF78" s="206"/>
      <c r="AG78" s="206"/>
      <c r="AH78" s="206"/>
      <c r="AI78" s="206"/>
      <c r="AJ78" s="206"/>
      <c r="AK78" s="206"/>
      <c r="AL78" s="206"/>
      <c r="AM78" s="206"/>
      <c r="AN78" s="206"/>
      <c r="AO78" s="206"/>
      <c r="AP78" s="206"/>
      <c r="AQ78" s="206"/>
      <c r="AR78" s="206"/>
      <c r="AS78" s="206"/>
      <c r="AT78" s="206"/>
      <c r="AU78" s="206"/>
      <c r="AV78" s="206"/>
      <c r="AW78" s="206"/>
      <c r="AX78" s="206"/>
      <c r="AY78" s="206"/>
      <c r="AZ78" s="206"/>
      <c r="BA78" s="206"/>
      <c r="BB78" s="206"/>
      <c r="BC78" s="206"/>
    </row>
    <row r="79" spans="1:55" s="207" customFormat="1">
      <c r="A79" s="740"/>
      <c r="B79" s="741"/>
      <c r="C79" s="741"/>
      <c r="D79" s="741"/>
      <c r="E79" s="742"/>
      <c r="F79" s="743" t="s">
        <v>767</v>
      </c>
      <c r="G79" s="743" t="s">
        <v>768</v>
      </c>
      <c r="H79" s="743">
        <v>4</v>
      </c>
      <c r="I79" s="743"/>
      <c r="J79" s="741"/>
      <c r="K79" s="741" t="s">
        <v>711</v>
      </c>
      <c r="L79" s="744"/>
      <c r="M79" s="750">
        <v>46892000</v>
      </c>
      <c r="N79" s="745"/>
      <c r="O79" s="745"/>
      <c r="P79" s="745"/>
      <c r="Q79" s="747"/>
      <c r="R79" s="741"/>
      <c r="S79" s="749"/>
      <c r="T79" s="749"/>
      <c r="U79" s="749"/>
      <c r="V79" s="206"/>
      <c r="W79" s="206"/>
      <c r="X79" s="206"/>
      <c r="Y79" s="206"/>
      <c r="Z79" s="206"/>
      <c r="AA79" s="206"/>
      <c r="AB79" s="206"/>
      <c r="AC79" s="206"/>
      <c r="AD79" s="206"/>
      <c r="AE79" s="206"/>
      <c r="AF79" s="206"/>
      <c r="AG79" s="206"/>
      <c r="AH79" s="206"/>
      <c r="AI79" s="206"/>
      <c r="AJ79" s="206"/>
      <c r="AK79" s="206"/>
      <c r="AL79" s="206"/>
      <c r="AM79" s="206"/>
      <c r="AN79" s="206"/>
      <c r="AO79" s="206"/>
      <c r="AP79" s="206"/>
      <c r="AQ79" s="206"/>
      <c r="AR79" s="206"/>
      <c r="AS79" s="206"/>
      <c r="AT79" s="206"/>
      <c r="AU79" s="206"/>
      <c r="AV79" s="206"/>
      <c r="AW79" s="206"/>
      <c r="AX79" s="206"/>
      <c r="AY79" s="206"/>
      <c r="AZ79" s="206"/>
      <c r="BA79" s="206"/>
      <c r="BB79" s="206"/>
      <c r="BC79" s="206"/>
    </row>
    <row r="80" spans="1:55" s="207" customFormat="1">
      <c r="A80" s="740"/>
      <c r="B80" s="741"/>
      <c r="C80" s="741"/>
      <c r="D80" s="741"/>
      <c r="E80" s="742"/>
      <c r="F80" s="743" t="s">
        <v>761</v>
      </c>
      <c r="G80" s="743" t="s">
        <v>769</v>
      </c>
      <c r="H80" s="743">
        <v>3</v>
      </c>
      <c r="I80" s="743"/>
      <c r="J80" s="741"/>
      <c r="K80" s="741" t="s">
        <v>711</v>
      </c>
      <c r="L80" s="744"/>
      <c r="M80" s="750">
        <v>5395083</v>
      </c>
      <c r="N80" s="745"/>
      <c r="O80" s="745"/>
      <c r="P80" s="745"/>
      <c r="Q80" s="747"/>
      <c r="R80" s="741"/>
      <c r="S80" s="749"/>
      <c r="T80" s="749"/>
      <c r="U80" s="749"/>
      <c r="V80" s="206"/>
      <c r="W80" s="206"/>
      <c r="X80" s="206"/>
      <c r="Y80" s="206"/>
      <c r="Z80" s="206"/>
      <c r="AA80" s="206"/>
      <c r="AB80" s="206"/>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row>
    <row r="81" spans="1:55" s="19" customFormat="1" ht="63">
      <c r="A81" s="607" t="s">
        <v>358</v>
      </c>
      <c r="B81" s="608" t="s">
        <v>418</v>
      </c>
      <c r="C81" s="608">
        <v>2020</v>
      </c>
      <c r="D81" s="608"/>
      <c r="E81" s="736" t="s">
        <v>727</v>
      </c>
      <c r="F81" s="611" t="s">
        <v>359</v>
      </c>
      <c r="G81" s="611" t="s">
        <v>723</v>
      </c>
      <c r="H81" s="611">
        <v>6</v>
      </c>
      <c r="I81" s="611"/>
      <c r="J81" s="608" t="s">
        <v>465</v>
      </c>
      <c r="K81" s="608"/>
      <c r="L81" s="696"/>
      <c r="M81" s="739">
        <v>112012000</v>
      </c>
      <c r="N81" s="723">
        <f>+M81/$D$158</f>
        <v>175539.88403071617</v>
      </c>
      <c r="O81" s="723">
        <v>100</v>
      </c>
      <c r="P81" s="723">
        <v>0</v>
      </c>
      <c r="Q81" s="631" t="s">
        <v>466</v>
      </c>
      <c r="R81" s="608" t="s">
        <v>465</v>
      </c>
      <c r="S81" s="615" t="s">
        <v>526</v>
      </c>
      <c r="T81" s="615" t="s">
        <v>467</v>
      </c>
      <c r="U81" s="615" t="s">
        <v>708</v>
      </c>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row>
    <row r="82" spans="1:55" s="19" customFormat="1" ht="63">
      <c r="A82" s="607" t="s">
        <v>358</v>
      </c>
      <c r="B82" s="608" t="s">
        <v>418</v>
      </c>
      <c r="C82" s="608">
        <v>2021</v>
      </c>
      <c r="D82" s="608"/>
      <c r="E82" s="736" t="s">
        <v>728</v>
      </c>
      <c r="F82" s="611" t="s">
        <v>359</v>
      </c>
      <c r="G82" s="611" t="s">
        <v>723</v>
      </c>
      <c r="H82" s="611">
        <v>3</v>
      </c>
      <c r="I82" s="611"/>
      <c r="J82" s="608" t="s">
        <v>465</v>
      </c>
      <c r="K82" s="608"/>
      <c r="L82" s="696"/>
      <c r="M82" s="739">
        <v>61200000</v>
      </c>
      <c r="N82" s="723">
        <f>+M82/$D$159</f>
        <v>95909.732016925249</v>
      </c>
      <c r="O82" s="723">
        <v>100</v>
      </c>
      <c r="P82" s="723">
        <v>0</v>
      </c>
      <c r="Q82" s="631" t="s">
        <v>466</v>
      </c>
      <c r="R82" s="608" t="s">
        <v>465</v>
      </c>
      <c r="S82" s="615" t="s">
        <v>526</v>
      </c>
      <c r="T82" s="615" t="s">
        <v>467</v>
      </c>
      <c r="U82" s="615" t="s">
        <v>708</v>
      </c>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row>
    <row r="83" spans="1:55" s="19" customFormat="1" ht="63">
      <c r="A83" s="607" t="s">
        <v>360</v>
      </c>
      <c r="B83" s="608" t="s">
        <v>418</v>
      </c>
      <c r="C83" s="608">
        <v>2018</v>
      </c>
      <c r="D83" s="608"/>
      <c r="E83" s="736" t="s">
        <v>705</v>
      </c>
      <c r="F83" s="611" t="s">
        <v>361</v>
      </c>
      <c r="G83" s="611" t="s">
        <v>723</v>
      </c>
      <c r="H83" s="611">
        <v>28</v>
      </c>
      <c r="I83" s="611"/>
      <c r="J83" s="608" t="s">
        <v>465</v>
      </c>
      <c r="K83" s="608"/>
      <c r="L83" s="696"/>
      <c r="M83" s="737">
        <f>SUM(M84:M100)</f>
        <v>153941815.19999999</v>
      </c>
      <c r="N83" s="751">
        <f t="shared" ref="N83:N97" si="3">+M83/$D$156</f>
        <v>255128.21757072539</v>
      </c>
      <c r="O83" s="723">
        <v>100</v>
      </c>
      <c r="P83" s="723">
        <v>0</v>
      </c>
      <c r="Q83" s="631" t="s">
        <v>466</v>
      </c>
      <c r="R83" s="608" t="s">
        <v>465</v>
      </c>
      <c r="S83" s="738"/>
      <c r="T83" s="615" t="s">
        <v>467</v>
      </c>
      <c r="U83" s="615" t="s">
        <v>770</v>
      </c>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row>
    <row r="84" spans="1:55" s="19" customFormat="1" ht="31.5">
      <c r="A84" s="607"/>
      <c r="B84" s="608"/>
      <c r="C84" s="608"/>
      <c r="D84" s="608"/>
      <c r="E84" s="736"/>
      <c r="F84" s="611" t="s">
        <v>771</v>
      </c>
      <c r="G84" s="611" t="s">
        <v>772</v>
      </c>
      <c r="H84" s="611">
        <v>6</v>
      </c>
      <c r="I84" s="611"/>
      <c r="J84" s="608" t="s">
        <v>465</v>
      </c>
      <c r="K84" s="608" t="s">
        <v>724</v>
      </c>
      <c r="L84" s="696"/>
      <c r="M84" s="723">
        <v>9424000</v>
      </c>
      <c r="N84" s="720">
        <f t="shared" si="3"/>
        <v>15618.422579094782</v>
      </c>
      <c r="O84" s="723">
        <v>100</v>
      </c>
      <c r="P84" s="723">
        <v>0</v>
      </c>
      <c r="Q84" s="631" t="s">
        <v>466</v>
      </c>
      <c r="R84" s="608" t="s">
        <v>465</v>
      </c>
      <c r="S84" s="738"/>
      <c r="T84" s="615"/>
      <c r="U84" s="615"/>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row>
    <row r="85" spans="1:55" s="19" customFormat="1" ht="31.5">
      <c r="A85" s="607"/>
      <c r="B85" s="608"/>
      <c r="C85" s="608"/>
      <c r="D85" s="608"/>
      <c r="E85" s="736"/>
      <c r="F85" s="611" t="s">
        <v>773</v>
      </c>
      <c r="G85" s="611" t="s">
        <v>774</v>
      </c>
      <c r="H85" s="611">
        <v>1</v>
      </c>
      <c r="I85" s="611"/>
      <c r="J85" s="608" t="s">
        <v>465</v>
      </c>
      <c r="K85" s="608" t="s">
        <v>724</v>
      </c>
      <c r="L85" s="696"/>
      <c r="M85" s="723">
        <v>7991111.2000000002</v>
      </c>
      <c r="N85" s="720">
        <f t="shared" si="3"/>
        <v>13243.69180795174</v>
      </c>
      <c r="O85" s="723">
        <v>100</v>
      </c>
      <c r="P85" s="723">
        <v>0</v>
      </c>
      <c r="Q85" s="631" t="s">
        <v>466</v>
      </c>
      <c r="R85" s="608" t="s">
        <v>465</v>
      </c>
      <c r="S85" s="738"/>
      <c r="T85" s="615"/>
      <c r="U85" s="615"/>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row>
    <row r="86" spans="1:55" s="19" customFormat="1" ht="31.5">
      <c r="A86" s="607"/>
      <c r="B86" s="608"/>
      <c r="C86" s="608"/>
      <c r="D86" s="608"/>
      <c r="E86" s="736"/>
      <c r="F86" s="611" t="s">
        <v>775</v>
      </c>
      <c r="G86" s="611" t="s">
        <v>776</v>
      </c>
      <c r="H86" s="611">
        <v>1</v>
      </c>
      <c r="I86" s="611"/>
      <c r="J86" s="608" t="s">
        <v>465</v>
      </c>
      <c r="K86" s="608" t="s">
        <v>724</v>
      </c>
      <c r="L86" s="696"/>
      <c r="M86" s="723">
        <v>16000000</v>
      </c>
      <c r="N86" s="720">
        <f t="shared" si="3"/>
        <v>26516.846484031888</v>
      </c>
      <c r="O86" s="723">
        <v>100</v>
      </c>
      <c r="P86" s="723">
        <v>0</v>
      </c>
      <c r="Q86" s="631" t="s">
        <v>466</v>
      </c>
      <c r="R86" s="608" t="s">
        <v>465</v>
      </c>
      <c r="S86" s="738"/>
      <c r="T86" s="615"/>
      <c r="U86" s="615"/>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row>
    <row r="87" spans="1:55" s="19" customFormat="1">
      <c r="A87" s="607"/>
      <c r="B87" s="608"/>
      <c r="C87" s="608"/>
      <c r="D87" s="608"/>
      <c r="E87" s="736"/>
      <c r="F87" s="611" t="s">
        <v>777</v>
      </c>
      <c r="G87" s="611" t="s">
        <v>778</v>
      </c>
      <c r="H87" s="611">
        <v>2</v>
      </c>
      <c r="I87" s="611"/>
      <c r="J87" s="608" t="s">
        <v>465</v>
      </c>
      <c r="K87" s="608" t="s">
        <v>724</v>
      </c>
      <c r="L87" s="696"/>
      <c r="M87" s="723">
        <v>13097200</v>
      </c>
      <c r="N87" s="720">
        <f t="shared" si="3"/>
        <v>21706.027610666402</v>
      </c>
      <c r="O87" s="723">
        <v>100</v>
      </c>
      <c r="P87" s="723">
        <v>0</v>
      </c>
      <c r="Q87" s="631" t="s">
        <v>466</v>
      </c>
      <c r="R87" s="608" t="s">
        <v>465</v>
      </c>
      <c r="S87" s="738"/>
      <c r="T87" s="615"/>
      <c r="U87" s="615"/>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row>
    <row r="88" spans="1:55" s="19" customFormat="1">
      <c r="A88" s="607"/>
      <c r="B88" s="608"/>
      <c r="C88" s="608"/>
      <c r="D88" s="608"/>
      <c r="E88" s="736"/>
      <c r="F88" s="611" t="s">
        <v>779</v>
      </c>
      <c r="G88" s="611" t="s">
        <v>780</v>
      </c>
      <c r="H88" s="611">
        <v>5</v>
      </c>
      <c r="I88" s="611"/>
      <c r="J88" s="608" t="s">
        <v>465</v>
      </c>
      <c r="K88" s="608" t="s">
        <v>724</v>
      </c>
      <c r="L88" s="696"/>
      <c r="M88" s="723">
        <v>2604800</v>
      </c>
      <c r="N88" s="720">
        <f t="shared" si="3"/>
        <v>4316.9426076003911</v>
      </c>
      <c r="O88" s="723">
        <v>100</v>
      </c>
      <c r="P88" s="723">
        <v>0</v>
      </c>
      <c r="Q88" s="631" t="s">
        <v>466</v>
      </c>
      <c r="R88" s="608" t="s">
        <v>465</v>
      </c>
      <c r="S88" s="738"/>
      <c r="T88" s="615"/>
      <c r="U88" s="615"/>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row>
    <row r="89" spans="1:55" s="19" customFormat="1">
      <c r="A89" s="607"/>
      <c r="B89" s="608"/>
      <c r="C89" s="608"/>
      <c r="D89" s="608"/>
      <c r="E89" s="736"/>
      <c r="F89" s="611" t="s">
        <v>781</v>
      </c>
      <c r="G89" s="611" t="s">
        <v>782</v>
      </c>
      <c r="H89" s="611">
        <v>1</v>
      </c>
      <c r="I89" s="611"/>
      <c r="J89" s="608" t="s">
        <v>465</v>
      </c>
      <c r="K89" s="608" t="s">
        <v>724</v>
      </c>
      <c r="L89" s="696"/>
      <c r="M89" s="723">
        <v>16000000</v>
      </c>
      <c r="N89" s="720">
        <f t="shared" si="3"/>
        <v>26516.846484031888</v>
      </c>
      <c r="O89" s="723">
        <v>100</v>
      </c>
      <c r="P89" s="723">
        <v>0</v>
      </c>
      <c r="Q89" s="631" t="s">
        <v>466</v>
      </c>
      <c r="R89" s="608" t="s">
        <v>465</v>
      </c>
      <c r="S89" s="738"/>
      <c r="T89" s="615"/>
      <c r="U89" s="615"/>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row>
    <row r="90" spans="1:55" s="19" customFormat="1" ht="31.5">
      <c r="A90" s="607"/>
      <c r="B90" s="608"/>
      <c r="C90" s="608"/>
      <c r="D90" s="608"/>
      <c r="E90" s="736"/>
      <c r="F90" s="611" t="s">
        <v>783</v>
      </c>
      <c r="G90" s="611" t="s">
        <v>784</v>
      </c>
      <c r="H90" s="611">
        <v>2</v>
      </c>
      <c r="I90" s="611"/>
      <c r="J90" s="608" t="s">
        <v>465</v>
      </c>
      <c r="K90" s="608" t="s">
        <v>724</v>
      </c>
      <c r="L90" s="696"/>
      <c r="M90" s="723">
        <v>7991200</v>
      </c>
      <c r="N90" s="720">
        <f t="shared" si="3"/>
        <v>13243.838976449726</v>
      </c>
      <c r="O90" s="723">
        <v>100</v>
      </c>
      <c r="P90" s="723">
        <v>0</v>
      </c>
      <c r="Q90" s="631" t="s">
        <v>466</v>
      </c>
      <c r="R90" s="608" t="s">
        <v>465</v>
      </c>
      <c r="S90" s="738"/>
      <c r="T90" s="615"/>
      <c r="U90" s="615"/>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row>
    <row r="91" spans="1:55" s="19" customFormat="1">
      <c r="A91" s="607"/>
      <c r="B91" s="608"/>
      <c r="C91" s="608"/>
      <c r="D91" s="608"/>
      <c r="E91" s="736"/>
      <c r="F91" s="611" t="s">
        <v>785</v>
      </c>
      <c r="G91" s="611" t="s">
        <v>786</v>
      </c>
      <c r="H91" s="611">
        <v>1</v>
      </c>
      <c r="I91" s="611"/>
      <c r="J91" s="608" t="s">
        <v>465</v>
      </c>
      <c r="K91" s="608" t="s">
        <v>724</v>
      </c>
      <c r="L91" s="696"/>
      <c r="M91" s="723">
        <v>16000000</v>
      </c>
      <c r="N91" s="720">
        <f t="shared" si="3"/>
        <v>26516.846484031888</v>
      </c>
      <c r="O91" s="723">
        <v>100</v>
      </c>
      <c r="P91" s="723">
        <v>0</v>
      </c>
      <c r="Q91" s="631" t="s">
        <v>466</v>
      </c>
      <c r="R91" s="608" t="s">
        <v>465</v>
      </c>
      <c r="S91" s="738"/>
      <c r="T91" s="615"/>
      <c r="U91" s="615"/>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row>
    <row r="92" spans="1:55" s="19" customFormat="1">
      <c r="A92" s="607"/>
      <c r="B92" s="608"/>
      <c r="C92" s="608"/>
      <c r="D92" s="608"/>
      <c r="E92" s="736"/>
      <c r="F92" s="611" t="s">
        <v>787</v>
      </c>
      <c r="G92" s="611" t="s">
        <v>788</v>
      </c>
      <c r="H92" s="611">
        <v>4</v>
      </c>
      <c r="I92" s="611"/>
      <c r="J92" s="608" t="s">
        <v>465</v>
      </c>
      <c r="K92" s="608" t="s">
        <v>724</v>
      </c>
      <c r="L92" s="696"/>
      <c r="M92" s="723">
        <v>16800000</v>
      </c>
      <c r="N92" s="720">
        <f t="shared" si="3"/>
        <v>27842.688808233481</v>
      </c>
      <c r="O92" s="723">
        <v>100</v>
      </c>
      <c r="P92" s="723">
        <v>0</v>
      </c>
      <c r="Q92" s="631" t="s">
        <v>466</v>
      </c>
      <c r="R92" s="608" t="s">
        <v>465</v>
      </c>
      <c r="S92" s="738"/>
      <c r="T92" s="615"/>
      <c r="U92" s="615"/>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row>
    <row r="93" spans="1:55" s="19" customFormat="1" ht="31.5">
      <c r="A93" s="607"/>
      <c r="B93" s="608"/>
      <c r="C93" s="608"/>
      <c r="D93" s="608"/>
      <c r="E93" s="736"/>
      <c r="F93" s="611" t="s">
        <v>789</v>
      </c>
      <c r="G93" s="611" t="s">
        <v>790</v>
      </c>
      <c r="H93" s="611">
        <v>1</v>
      </c>
      <c r="I93" s="611"/>
      <c r="J93" s="608" t="s">
        <v>465</v>
      </c>
      <c r="K93" s="608" t="s">
        <v>724</v>
      </c>
      <c r="L93" s="696"/>
      <c r="M93" s="723">
        <v>3528000</v>
      </c>
      <c r="N93" s="720">
        <f t="shared" si="3"/>
        <v>5846.9646497290314</v>
      </c>
      <c r="O93" s="723">
        <v>100</v>
      </c>
      <c r="P93" s="723">
        <v>0</v>
      </c>
      <c r="Q93" s="631" t="s">
        <v>466</v>
      </c>
      <c r="R93" s="608" t="s">
        <v>465</v>
      </c>
      <c r="S93" s="738"/>
      <c r="T93" s="615"/>
      <c r="U93" s="615"/>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row>
    <row r="94" spans="1:55" s="19" customFormat="1">
      <c r="A94" s="607"/>
      <c r="B94" s="608"/>
      <c r="C94" s="608"/>
      <c r="D94" s="608"/>
      <c r="E94" s="736"/>
      <c r="F94" s="611" t="s">
        <v>791</v>
      </c>
      <c r="G94" s="611" t="s">
        <v>792</v>
      </c>
      <c r="H94" s="611">
        <v>1</v>
      </c>
      <c r="I94" s="611"/>
      <c r="J94" s="608" t="s">
        <v>465</v>
      </c>
      <c r="K94" s="608" t="s">
        <v>724</v>
      </c>
      <c r="L94" s="696"/>
      <c r="M94" s="723">
        <v>3304000</v>
      </c>
      <c r="N94" s="720">
        <f t="shared" si="3"/>
        <v>5475.7287989525848</v>
      </c>
      <c r="O94" s="723">
        <v>100</v>
      </c>
      <c r="P94" s="723">
        <v>0</v>
      </c>
      <c r="Q94" s="631" t="s">
        <v>466</v>
      </c>
      <c r="R94" s="608" t="s">
        <v>465</v>
      </c>
      <c r="S94" s="738"/>
      <c r="T94" s="615"/>
      <c r="U94" s="615"/>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row>
    <row r="95" spans="1:55" s="19" customFormat="1" ht="31.5">
      <c r="A95" s="607"/>
      <c r="B95" s="608"/>
      <c r="C95" s="608"/>
      <c r="D95" s="608"/>
      <c r="E95" s="736"/>
      <c r="F95" s="611" t="s">
        <v>793</v>
      </c>
      <c r="G95" s="611" t="s">
        <v>794</v>
      </c>
      <c r="H95" s="611">
        <v>1</v>
      </c>
      <c r="I95" s="611"/>
      <c r="J95" s="608" t="s">
        <v>465</v>
      </c>
      <c r="K95" s="608" t="s">
        <v>724</v>
      </c>
      <c r="L95" s="696"/>
      <c r="M95" s="723">
        <v>14896000</v>
      </c>
      <c r="N95" s="720">
        <f t="shared" si="3"/>
        <v>24687.184076633686</v>
      </c>
      <c r="O95" s="723">
        <v>100</v>
      </c>
      <c r="P95" s="723">
        <v>0</v>
      </c>
      <c r="Q95" s="631" t="s">
        <v>466</v>
      </c>
      <c r="R95" s="608" t="s">
        <v>465</v>
      </c>
      <c r="S95" s="738"/>
      <c r="T95" s="615"/>
      <c r="U95" s="615"/>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row>
    <row r="96" spans="1:55" s="19" customFormat="1">
      <c r="A96" s="607"/>
      <c r="B96" s="608"/>
      <c r="C96" s="608"/>
      <c r="D96" s="608"/>
      <c r="E96" s="736"/>
      <c r="F96" s="611" t="s">
        <v>795</v>
      </c>
      <c r="G96" s="611" t="s">
        <v>796</v>
      </c>
      <c r="H96" s="611">
        <v>1</v>
      </c>
      <c r="I96" s="611"/>
      <c r="J96" s="608" t="s">
        <v>465</v>
      </c>
      <c r="K96" s="608" t="s">
        <v>724</v>
      </c>
      <c r="L96" s="696"/>
      <c r="M96" s="723">
        <v>11605504</v>
      </c>
      <c r="N96" s="720">
        <f t="shared" si="3"/>
        <v>19233.835496113625</v>
      </c>
      <c r="O96" s="723">
        <v>100</v>
      </c>
      <c r="P96" s="723">
        <v>0</v>
      </c>
      <c r="Q96" s="631" t="s">
        <v>466</v>
      </c>
      <c r="R96" s="608" t="s">
        <v>465</v>
      </c>
      <c r="S96" s="738"/>
      <c r="T96" s="615"/>
      <c r="U96" s="615"/>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row>
    <row r="97" spans="1:55" s="19" customFormat="1" ht="31.5">
      <c r="A97" s="607"/>
      <c r="B97" s="608"/>
      <c r="C97" s="608"/>
      <c r="D97" s="608"/>
      <c r="E97" s="736"/>
      <c r="F97" s="611" t="s">
        <v>797</v>
      </c>
      <c r="G97" s="611" t="s">
        <v>798</v>
      </c>
      <c r="H97" s="611">
        <v>1</v>
      </c>
      <c r="I97" s="611"/>
      <c r="J97" s="608" t="s">
        <v>465</v>
      </c>
      <c r="K97" s="608" t="s">
        <v>724</v>
      </c>
      <c r="L97" s="696"/>
      <c r="M97" s="723">
        <v>14700000</v>
      </c>
      <c r="N97" s="720">
        <f t="shared" si="3"/>
        <v>24362.352707204296</v>
      </c>
      <c r="O97" s="723">
        <v>100</v>
      </c>
      <c r="P97" s="723">
        <v>0</v>
      </c>
      <c r="Q97" s="631" t="s">
        <v>466</v>
      </c>
      <c r="R97" s="608" t="s">
        <v>465</v>
      </c>
      <c r="S97" s="738"/>
      <c r="T97" s="615"/>
      <c r="U97" s="615"/>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row>
    <row r="98" spans="1:55" s="19" customFormat="1">
      <c r="A98" s="607"/>
      <c r="B98" s="608"/>
      <c r="C98" s="608"/>
      <c r="D98" s="608"/>
      <c r="E98" s="736"/>
      <c r="F98" s="611"/>
      <c r="G98" s="611"/>
      <c r="H98" s="611"/>
      <c r="I98" s="611"/>
      <c r="J98" s="608"/>
      <c r="K98" s="608"/>
      <c r="L98" s="696"/>
      <c r="M98" s="723"/>
      <c r="N98" s="720"/>
      <c r="O98" s="723"/>
      <c r="P98" s="723"/>
      <c r="Q98" s="631"/>
      <c r="R98" s="608"/>
      <c r="S98" s="738"/>
      <c r="T98" s="615"/>
      <c r="U98" s="615"/>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row>
    <row r="99" spans="1:55" s="19" customFormat="1">
      <c r="A99" s="607"/>
      <c r="B99" s="608"/>
      <c r="C99" s="608"/>
      <c r="D99" s="608"/>
      <c r="E99" s="736"/>
      <c r="F99" s="611"/>
      <c r="G99" s="611"/>
      <c r="H99" s="611"/>
      <c r="I99" s="611"/>
      <c r="J99" s="608"/>
      <c r="K99" s="608"/>
      <c r="L99" s="696"/>
      <c r="M99" s="723"/>
      <c r="N99" s="720"/>
      <c r="O99" s="723"/>
      <c r="P99" s="723"/>
      <c r="Q99" s="631"/>
      <c r="R99" s="608"/>
      <c r="S99" s="738"/>
      <c r="T99" s="615"/>
      <c r="U99" s="615"/>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row>
    <row r="100" spans="1:55" s="19" customFormat="1">
      <c r="A100" s="607"/>
      <c r="B100" s="608"/>
      <c r="C100" s="608"/>
      <c r="D100" s="608"/>
      <c r="E100" s="736"/>
      <c r="F100" s="611"/>
      <c r="G100" s="611"/>
      <c r="H100" s="611"/>
      <c r="I100" s="611"/>
      <c r="J100" s="608"/>
      <c r="K100" s="608"/>
      <c r="L100" s="696"/>
      <c r="M100" s="723"/>
      <c r="N100" s="720"/>
      <c r="O100" s="723"/>
      <c r="P100" s="723"/>
      <c r="Q100" s="631"/>
      <c r="R100" s="608"/>
      <c r="S100" s="738"/>
      <c r="T100" s="615"/>
      <c r="U100" s="615"/>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row>
    <row r="101" spans="1:55" s="19" customFormat="1" ht="63">
      <c r="A101" s="607" t="s">
        <v>360</v>
      </c>
      <c r="B101" s="608" t="s">
        <v>418</v>
      </c>
      <c r="C101" s="608">
        <v>2019</v>
      </c>
      <c r="D101" s="608"/>
      <c r="E101" s="736" t="s">
        <v>722</v>
      </c>
      <c r="F101" s="611" t="s">
        <v>361</v>
      </c>
      <c r="G101" s="611" t="s">
        <v>723</v>
      </c>
      <c r="H101" s="611">
        <v>12</v>
      </c>
      <c r="I101" s="611"/>
      <c r="J101" s="608" t="s">
        <v>465</v>
      </c>
      <c r="K101" s="608"/>
      <c r="L101" s="696"/>
      <c r="M101" s="737">
        <v>180000000</v>
      </c>
      <c r="N101" s="752">
        <f>+M101/$D$157</f>
        <v>282087.44710860366</v>
      </c>
      <c r="O101" s="723">
        <v>100</v>
      </c>
      <c r="P101" s="723">
        <v>0</v>
      </c>
      <c r="Q101" s="631" t="s">
        <v>466</v>
      </c>
      <c r="R101" s="608" t="s">
        <v>465</v>
      </c>
      <c r="S101" s="615" t="s">
        <v>799</v>
      </c>
      <c r="T101" s="615" t="s">
        <v>467</v>
      </c>
      <c r="U101" s="615" t="s">
        <v>770</v>
      </c>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row>
    <row r="102" spans="1:55" s="19" customFormat="1" ht="31.5">
      <c r="A102" s="607"/>
      <c r="B102" s="608"/>
      <c r="C102" s="608"/>
      <c r="D102" s="608"/>
      <c r="E102" s="736"/>
      <c r="F102" s="611" t="s">
        <v>771</v>
      </c>
      <c r="G102" s="611" t="s">
        <v>772</v>
      </c>
      <c r="H102" s="611">
        <v>6</v>
      </c>
      <c r="I102" s="611"/>
      <c r="J102" s="608" t="s">
        <v>465</v>
      </c>
      <c r="K102" s="608" t="s">
        <v>747</v>
      </c>
      <c r="L102" s="696"/>
      <c r="M102" s="739">
        <v>2356000</v>
      </c>
      <c r="N102" s="723"/>
      <c r="O102" s="723">
        <v>100</v>
      </c>
      <c r="P102" s="723">
        <v>0</v>
      </c>
      <c r="Q102" s="631" t="s">
        <v>466</v>
      </c>
      <c r="R102" s="608" t="s">
        <v>465</v>
      </c>
      <c r="S102" s="615"/>
      <c r="T102" s="615"/>
      <c r="U102" s="615"/>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row>
    <row r="103" spans="1:55" s="19" customFormat="1" ht="31.5">
      <c r="A103" s="607"/>
      <c r="B103" s="608"/>
      <c r="C103" s="608"/>
      <c r="D103" s="608"/>
      <c r="E103" s="736"/>
      <c r="F103" s="611" t="s">
        <v>773</v>
      </c>
      <c r="G103" s="611" t="s">
        <v>774</v>
      </c>
      <c r="H103" s="611">
        <v>1</v>
      </c>
      <c r="I103" s="611"/>
      <c r="J103" s="608" t="s">
        <v>465</v>
      </c>
      <c r="K103" s="608" t="s">
        <v>747</v>
      </c>
      <c r="L103" s="696"/>
      <c r="M103" s="739">
        <v>1997778</v>
      </c>
      <c r="N103" s="723"/>
      <c r="O103" s="723">
        <v>100</v>
      </c>
      <c r="P103" s="723">
        <v>0</v>
      </c>
      <c r="Q103" s="631" t="s">
        <v>466</v>
      </c>
      <c r="R103" s="608" t="s">
        <v>465</v>
      </c>
      <c r="S103" s="615"/>
      <c r="T103" s="615"/>
      <c r="U103" s="615"/>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row>
    <row r="104" spans="1:55" s="19" customFormat="1" ht="31.5">
      <c r="A104" s="607"/>
      <c r="B104" s="608"/>
      <c r="C104" s="608"/>
      <c r="D104" s="608"/>
      <c r="E104" s="736"/>
      <c r="F104" s="611" t="s">
        <v>775</v>
      </c>
      <c r="G104" s="611" t="s">
        <v>776</v>
      </c>
      <c r="H104" s="611">
        <v>1</v>
      </c>
      <c r="I104" s="611"/>
      <c r="J104" s="608" t="s">
        <v>465</v>
      </c>
      <c r="K104" s="608" t="s">
        <v>747</v>
      </c>
      <c r="L104" s="696"/>
      <c r="M104" s="739">
        <v>4000000</v>
      </c>
      <c r="N104" s="723"/>
      <c r="O104" s="723">
        <v>100</v>
      </c>
      <c r="P104" s="723">
        <v>0</v>
      </c>
      <c r="Q104" s="631" t="s">
        <v>466</v>
      </c>
      <c r="R104" s="608" t="s">
        <v>465</v>
      </c>
      <c r="S104" s="615"/>
      <c r="T104" s="615"/>
      <c r="U104" s="615"/>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row>
    <row r="105" spans="1:55" s="19" customFormat="1">
      <c r="A105" s="607"/>
      <c r="B105" s="608"/>
      <c r="C105" s="608"/>
      <c r="D105" s="608"/>
      <c r="E105" s="736"/>
      <c r="F105" s="611" t="s">
        <v>777</v>
      </c>
      <c r="G105" s="611" t="s">
        <v>778</v>
      </c>
      <c r="H105" s="611">
        <v>2</v>
      </c>
      <c r="I105" s="611"/>
      <c r="J105" s="608" t="s">
        <v>465</v>
      </c>
      <c r="K105" s="608" t="s">
        <v>747</v>
      </c>
      <c r="L105" s="696"/>
      <c r="M105" s="739">
        <v>3274300</v>
      </c>
      <c r="N105" s="723"/>
      <c r="O105" s="723">
        <v>100</v>
      </c>
      <c r="P105" s="723">
        <v>0</v>
      </c>
      <c r="Q105" s="631" t="s">
        <v>466</v>
      </c>
      <c r="R105" s="608" t="s">
        <v>465</v>
      </c>
      <c r="S105" s="615"/>
      <c r="T105" s="615"/>
      <c r="U105" s="615"/>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row>
    <row r="106" spans="1:55" s="19" customFormat="1">
      <c r="A106" s="607"/>
      <c r="B106" s="608"/>
      <c r="C106" s="608"/>
      <c r="D106" s="608"/>
      <c r="E106" s="736"/>
      <c r="F106" s="611" t="s">
        <v>779</v>
      </c>
      <c r="G106" s="611" t="s">
        <v>780</v>
      </c>
      <c r="H106" s="611">
        <v>5</v>
      </c>
      <c r="I106" s="611"/>
      <c r="J106" s="608" t="s">
        <v>465</v>
      </c>
      <c r="K106" s="608" t="s">
        <v>747</v>
      </c>
      <c r="L106" s="696"/>
      <c r="M106" s="739">
        <v>651200</v>
      </c>
      <c r="N106" s="723"/>
      <c r="O106" s="723">
        <v>100</v>
      </c>
      <c r="P106" s="723">
        <v>0</v>
      </c>
      <c r="Q106" s="631" t="s">
        <v>466</v>
      </c>
      <c r="R106" s="608" t="s">
        <v>465</v>
      </c>
      <c r="S106" s="615"/>
      <c r="T106" s="615"/>
      <c r="U106" s="615"/>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row>
    <row r="107" spans="1:55" s="19" customFormat="1">
      <c r="A107" s="607"/>
      <c r="B107" s="608"/>
      <c r="C107" s="608"/>
      <c r="D107" s="608"/>
      <c r="E107" s="736"/>
      <c r="F107" s="611" t="s">
        <v>781</v>
      </c>
      <c r="G107" s="611" t="s">
        <v>782</v>
      </c>
      <c r="H107" s="611">
        <v>1</v>
      </c>
      <c r="I107" s="611"/>
      <c r="J107" s="608" t="s">
        <v>465</v>
      </c>
      <c r="K107" s="608" t="s">
        <v>747</v>
      </c>
      <c r="L107" s="696"/>
      <c r="M107" s="739">
        <v>4000000</v>
      </c>
      <c r="N107" s="723"/>
      <c r="O107" s="723">
        <v>100</v>
      </c>
      <c r="P107" s="723">
        <v>0</v>
      </c>
      <c r="Q107" s="631" t="s">
        <v>466</v>
      </c>
      <c r="R107" s="608" t="s">
        <v>465</v>
      </c>
      <c r="S107" s="615"/>
      <c r="T107" s="615"/>
      <c r="U107" s="615"/>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row>
    <row r="108" spans="1:55" s="19" customFormat="1" ht="31.5">
      <c r="A108" s="607"/>
      <c r="B108" s="608"/>
      <c r="C108" s="608"/>
      <c r="D108" s="608"/>
      <c r="E108" s="736"/>
      <c r="F108" s="611" t="s">
        <v>783</v>
      </c>
      <c r="G108" s="611" t="s">
        <v>784</v>
      </c>
      <c r="H108" s="611">
        <v>2</v>
      </c>
      <c r="I108" s="611"/>
      <c r="J108" s="608" t="s">
        <v>465</v>
      </c>
      <c r="K108" s="608" t="s">
        <v>747</v>
      </c>
      <c r="L108" s="696"/>
      <c r="M108" s="739">
        <v>1997800</v>
      </c>
      <c r="N108" s="723"/>
      <c r="O108" s="723">
        <v>100</v>
      </c>
      <c r="P108" s="723">
        <v>0</v>
      </c>
      <c r="Q108" s="631" t="s">
        <v>466</v>
      </c>
      <c r="R108" s="608" t="s">
        <v>465</v>
      </c>
      <c r="S108" s="615"/>
      <c r="T108" s="615"/>
      <c r="U108" s="615"/>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row>
    <row r="109" spans="1:55" s="19" customFormat="1">
      <c r="A109" s="607"/>
      <c r="B109" s="608"/>
      <c r="C109" s="608"/>
      <c r="D109" s="608"/>
      <c r="E109" s="736"/>
      <c r="F109" s="611" t="s">
        <v>785</v>
      </c>
      <c r="G109" s="611" t="s">
        <v>786</v>
      </c>
      <c r="H109" s="611">
        <v>1</v>
      </c>
      <c r="I109" s="611"/>
      <c r="J109" s="608" t="s">
        <v>465</v>
      </c>
      <c r="K109" s="608" t="s">
        <v>747</v>
      </c>
      <c r="L109" s="696"/>
      <c r="M109" s="739">
        <v>4000000</v>
      </c>
      <c r="N109" s="723"/>
      <c r="O109" s="723">
        <v>100</v>
      </c>
      <c r="P109" s="723">
        <v>0</v>
      </c>
      <c r="Q109" s="631" t="s">
        <v>466</v>
      </c>
      <c r="R109" s="608" t="s">
        <v>465</v>
      </c>
      <c r="S109" s="615"/>
      <c r="T109" s="615"/>
      <c r="U109" s="615"/>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row>
    <row r="110" spans="1:55" s="19" customFormat="1">
      <c r="A110" s="607"/>
      <c r="B110" s="608"/>
      <c r="C110" s="608"/>
      <c r="D110" s="608"/>
      <c r="E110" s="736"/>
      <c r="F110" s="611" t="s">
        <v>787</v>
      </c>
      <c r="G110" s="611" t="s">
        <v>788</v>
      </c>
      <c r="H110" s="611">
        <v>4</v>
      </c>
      <c r="I110" s="611"/>
      <c r="J110" s="608" t="s">
        <v>465</v>
      </c>
      <c r="K110" s="608" t="s">
        <v>747</v>
      </c>
      <c r="L110" s="696"/>
      <c r="M110" s="739">
        <v>4200000</v>
      </c>
      <c r="N110" s="723"/>
      <c r="O110" s="723">
        <v>100</v>
      </c>
      <c r="P110" s="723">
        <v>0</v>
      </c>
      <c r="Q110" s="631" t="s">
        <v>466</v>
      </c>
      <c r="R110" s="608" t="s">
        <v>465</v>
      </c>
      <c r="S110" s="615"/>
      <c r="T110" s="615"/>
      <c r="U110" s="615"/>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row>
    <row r="111" spans="1:55" s="19" customFormat="1" ht="31.5">
      <c r="A111" s="607"/>
      <c r="B111" s="608"/>
      <c r="C111" s="608"/>
      <c r="D111" s="608"/>
      <c r="E111" s="736"/>
      <c r="F111" s="611" t="s">
        <v>789</v>
      </c>
      <c r="G111" s="611" t="s">
        <v>790</v>
      </c>
      <c r="H111" s="611">
        <v>1</v>
      </c>
      <c r="I111" s="611"/>
      <c r="J111" s="608" t="s">
        <v>465</v>
      </c>
      <c r="K111" s="608" t="s">
        <v>747</v>
      </c>
      <c r="L111" s="696"/>
      <c r="M111" s="739">
        <v>882000</v>
      </c>
      <c r="N111" s="723"/>
      <c r="O111" s="723">
        <v>100</v>
      </c>
      <c r="P111" s="723">
        <v>0</v>
      </c>
      <c r="Q111" s="631" t="s">
        <v>466</v>
      </c>
      <c r="R111" s="608" t="s">
        <v>465</v>
      </c>
      <c r="S111" s="615"/>
      <c r="T111" s="615"/>
      <c r="U111" s="615"/>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row>
    <row r="112" spans="1:55" s="19" customFormat="1">
      <c r="A112" s="607"/>
      <c r="B112" s="608"/>
      <c r="C112" s="608"/>
      <c r="D112" s="608"/>
      <c r="E112" s="736"/>
      <c r="F112" s="611" t="s">
        <v>791</v>
      </c>
      <c r="G112" s="611" t="s">
        <v>792</v>
      </c>
      <c r="H112" s="611">
        <v>1</v>
      </c>
      <c r="I112" s="611"/>
      <c r="J112" s="608" t="s">
        <v>465</v>
      </c>
      <c r="K112" s="608" t="s">
        <v>747</v>
      </c>
      <c r="L112" s="696"/>
      <c r="M112" s="739">
        <v>826000</v>
      </c>
      <c r="N112" s="723"/>
      <c r="O112" s="723">
        <v>100</v>
      </c>
      <c r="P112" s="723">
        <v>0</v>
      </c>
      <c r="Q112" s="631" t="s">
        <v>466</v>
      </c>
      <c r="R112" s="608" t="s">
        <v>465</v>
      </c>
      <c r="S112" s="615"/>
      <c r="T112" s="615"/>
      <c r="U112" s="615"/>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row>
    <row r="113" spans="1:55" s="19" customFormat="1" ht="31.5">
      <c r="A113" s="607"/>
      <c r="B113" s="608"/>
      <c r="C113" s="608"/>
      <c r="D113" s="608"/>
      <c r="E113" s="736"/>
      <c r="F113" s="611" t="s">
        <v>793</v>
      </c>
      <c r="G113" s="611" t="s">
        <v>794</v>
      </c>
      <c r="H113" s="611">
        <v>1</v>
      </c>
      <c r="I113" s="611"/>
      <c r="J113" s="608" t="s">
        <v>465</v>
      </c>
      <c r="K113" s="608" t="s">
        <v>747</v>
      </c>
      <c r="L113" s="696"/>
      <c r="M113" s="739">
        <v>3724000</v>
      </c>
      <c r="N113" s="723"/>
      <c r="O113" s="723">
        <v>100</v>
      </c>
      <c r="P113" s="723">
        <v>0</v>
      </c>
      <c r="Q113" s="631" t="s">
        <v>466</v>
      </c>
      <c r="R113" s="608" t="s">
        <v>465</v>
      </c>
      <c r="S113" s="615"/>
      <c r="T113" s="615"/>
      <c r="U113" s="615"/>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row>
    <row r="114" spans="1:55" s="19" customFormat="1">
      <c r="A114" s="607"/>
      <c r="B114" s="608"/>
      <c r="C114" s="608"/>
      <c r="D114" s="608"/>
      <c r="E114" s="736"/>
      <c r="F114" s="611" t="s">
        <v>795</v>
      </c>
      <c r="G114" s="611" t="s">
        <v>796</v>
      </c>
      <c r="H114" s="611">
        <v>1</v>
      </c>
      <c r="I114" s="611"/>
      <c r="J114" s="608" t="s">
        <v>465</v>
      </c>
      <c r="K114" s="608" t="s">
        <v>747</v>
      </c>
      <c r="L114" s="696"/>
      <c r="M114" s="739">
        <v>2901376</v>
      </c>
      <c r="N114" s="723"/>
      <c r="O114" s="723">
        <v>100</v>
      </c>
      <c r="P114" s="723">
        <v>0</v>
      </c>
      <c r="Q114" s="631" t="s">
        <v>466</v>
      </c>
      <c r="R114" s="608" t="s">
        <v>465</v>
      </c>
      <c r="S114" s="615"/>
      <c r="T114" s="615"/>
      <c r="U114" s="615"/>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row>
    <row r="115" spans="1:55" s="19" customFormat="1" ht="31.5">
      <c r="A115" s="607"/>
      <c r="B115" s="608"/>
      <c r="C115" s="608"/>
      <c r="D115" s="608"/>
      <c r="E115" s="736"/>
      <c r="F115" s="611" t="s">
        <v>797</v>
      </c>
      <c r="G115" s="611" t="s">
        <v>798</v>
      </c>
      <c r="H115" s="611">
        <v>1</v>
      </c>
      <c r="I115" s="611"/>
      <c r="J115" s="608" t="s">
        <v>465</v>
      </c>
      <c r="K115" s="608" t="s">
        <v>747</v>
      </c>
      <c r="L115" s="696"/>
      <c r="M115" s="739">
        <v>6300000</v>
      </c>
      <c r="N115" s="723"/>
      <c r="O115" s="723">
        <v>100</v>
      </c>
      <c r="P115" s="723">
        <v>0</v>
      </c>
      <c r="Q115" s="631" t="s">
        <v>466</v>
      </c>
      <c r="R115" s="608" t="s">
        <v>465</v>
      </c>
      <c r="S115" s="615"/>
      <c r="T115" s="615"/>
      <c r="U115" s="615"/>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row>
    <row r="116" spans="1:55" s="19" customFormat="1">
      <c r="A116" s="607"/>
      <c r="B116" s="608"/>
      <c r="C116" s="608"/>
      <c r="D116" s="608"/>
      <c r="E116" s="736"/>
      <c r="F116" s="611"/>
      <c r="G116" s="611"/>
      <c r="H116" s="611"/>
      <c r="I116" s="611"/>
      <c r="J116" s="608"/>
      <c r="K116" s="608"/>
      <c r="L116" s="696"/>
      <c r="M116" s="739"/>
      <c r="N116" s="723"/>
      <c r="O116" s="723"/>
      <c r="P116" s="723"/>
      <c r="Q116" s="631"/>
      <c r="R116" s="608"/>
      <c r="S116" s="615"/>
      <c r="T116" s="615"/>
      <c r="U116" s="615"/>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row>
    <row r="117" spans="1:55" s="19" customFormat="1">
      <c r="A117" s="607"/>
      <c r="B117" s="608"/>
      <c r="C117" s="608"/>
      <c r="D117" s="608"/>
      <c r="E117" s="736"/>
      <c r="F117" s="611"/>
      <c r="G117" s="611"/>
      <c r="H117" s="611"/>
      <c r="I117" s="611"/>
      <c r="J117" s="608"/>
      <c r="K117" s="608"/>
      <c r="L117" s="696"/>
      <c r="M117" s="739"/>
      <c r="N117" s="723"/>
      <c r="O117" s="723"/>
      <c r="P117" s="723"/>
      <c r="Q117" s="631"/>
      <c r="R117" s="608"/>
      <c r="S117" s="615"/>
      <c r="T117" s="615"/>
      <c r="U117" s="615"/>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row>
    <row r="118" spans="1:55" s="19" customFormat="1">
      <c r="A118" s="607"/>
      <c r="B118" s="608"/>
      <c r="C118" s="608"/>
      <c r="D118" s="608"/>
      <c r="E118" s="736"/>
      <c r="F118" s="611"/>
      <c r="G118" s="611"/>
      <c r="H118" s="611"/>
      <c r="I118" s="611"/>
      <c r="J118" s="608"/>
      <c r="K118" s="608"/>
      <c r="L118" s="696"/>
      <c r="M118" s="739"/>
      <c r="N118" s="723"/>
      <c r="O118" s="723"/>
      <c r="P118" s="723"/>
      <c r="Q118" s="631"/>
      <c r="R118" s="608"/>
      <c r="S118" s="615"/>
      <c r="T118" s="615"/>
      <c r="U118" s="615"/>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row>
    <row r="119" spans="1:55" s="19" customFormat="1" ht="63">
      <c r="A119" s="607" t="s">
        <v>360</v>
      </c>
      <c r="B119" s="608" t="s">
        <v>418</v>
      </c>
      <c r="C119" s="608">
        <v>2020</v>
      </c>
      <c r="D119" s="608"/>
      <c r="E119" s="736" t="s">
        <v>727</v>
      </c>
      <c r="F119" s="611" t="s">
        <v>361</v>
      </c>
      <c r="G119" s="611" t="s">
        <v>723</v>
      </c>
      <c r="H119" s="611">
        <v>12</v>
      </c>
      <c r="I119" s="611"/>
      <c r="J119" s="608" t="s">
        <v>465</v>
      </c>
      <c r="K119" s="608"/>
      <c r="L119" s="696"/>
      <c r="M119" s="737">
        <v>170000000</v>
      </c>
      <c r="N119" s="752">
        <f>+M119/$D$158</f>
        <v>266415.92226923676</v>
      </c>
      <c r="O119" s="723">
        <v>100</v>
      </c>
      <c r="P119" s="723">
        <v>0</v>
      </c>
      <c r="Q119" s="631" t="s">
        <v>466</v>
      </c>
      <c r="R119" s="608" t="s">
        <v>465</v>
      </c>
      <c r="S119" s="615" t="s">
        <v>526</v>
      </c>
      <c r="T119" s="615" t="s">
        <v>467</v>
      </c>
      <c r="U119" s="615" t="s">
        <v>770</v>
      </c>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row>
    <row r="120" spans="1:55" s="19" customFormat="1" ht="63">
      <c r="A120" s="607" t="s">
        <v>360</v>
      </c>
      <c r="B120" s="608" t="s">
        <v>418</v>
      </c>
      <c r="C120" s="608">
        <v>2021</v>
      </c>
      <c r="D120" s="608"/>
      <c r="E120" s="736" t="s">
        <v>728</v>
      </c>
      <c r="F120" s="611" t="s">
        <v>361</v>
      </c>
      <c r="G120" s="611" t="s">
        <v>723</v>
      </c>
      <c r="H120" s="611" t="s">
        <v>800</v>
      </c>
      <c r="I120" s="611"/>
      <c r="J120" s="608" t="s">
        <v>465</v>
      </c>
      <c r="K120" s="608"/>
      <c r="L120" s="696"/>
      <c r="M120" s="737">
        <v>43164000</v>
      </c>
      <c r="N120" s="752">
        <f>+M120/$D$159+54</f>
        <v>67698.569816643154</v>
      </c>
      <c r="O120" s="723">
        <v>100</v>
      </c>
      <c r="P120" s="723">
        <v>0</v>
      </c>
      <c r="Q120" s="631" t="s">
        <v>466</v>
      </c>
      <c r="R120" s="608" t="s">
        <v>465</v>
      </c>
      <c r="S120" s="615" t="s">
        <v>526</v>
      </c>
      <c r="T120" s="615" t="s">
        <v>467</v>
      </c>
      <c r="U120" s="615" t="s">
        <v>770</v>
      </c>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row>
    <row r="121" spans="1:55" s="19" customFormat="1" ht="47.25">
      <c r="A121" s="607" t="s">
        <v>362</v>
      </c>
      <c r="B121" s="608" t="s">
        <v>418</v>
      </c>
      <c r="C121" s="608">
        <v>2018</v>
      </c>
      <c r="D121" s="608"/>
      <c r="E121" s="736" t="s">
        <v>705</v>
      </c>
      <c r="F121" s="611" t="s">
        <v>363</v>
      </c>
      <c r="G121" s="611" t="s">
        <v>723</v>
      </c>
      <c r="H121" s="611">
        <v>1</v>
      </c>
      <c r="I121" s="611"/>
      <c r="J121" s="608" t="s">
        <v>465</v>
      </c>
      <c r="K121" s="608"/>
      <c r="L121" s="696"/>
      <c r="M121" s="737">
        <v>354855000</v>
      </c>
      <c r="N121" s="720">
        <f>+M121/$D$156</f>
        <v>588102.22244319599</v>
      </c>
      <c r="O121" s="723">
        <v>100</v>
      </c>
      <c r="P121" s="723">
        <v>0</v>
      </c>
      <c r="Q121" s="631" t="s">
        <v>466</v>
      </c>
      <c r="R121" s="608" t="s">
        <v>465</v>
      </c>
      <c r="S121" s="738"/>
      <c r="T121" s="615" t="s">
        <v>526</v>
      </c>
      <c r="U121" s="615" t="s">
        <v>801</v>
      </c>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row>
    <row r="122" spans="1:55" s="19" customFormat="1" ht="31.5">
      <c r="A122" s="607"/>
      <c r="B122" s="608"/>
      <c r="C122" s="608"/>
      <c r="D122" s="608"/>
      <c r="E122" s="736"/>
      <c r="F122" s="611" t="s">
        <v>802</v>
      </c>
      <c r="G122" s="611" t="s">
        <v>803</v>
      </c>
      <c r="H122" s="611">
        <v>1</v>
      </c>
      <c r="I122" s="611"/>
      <c r="J122" s="608" t="s">
        <v>465</v>
      </c>
      <c r="K122" s="608" t="s">
        <v>724</v>
      </c>
      <c r="L122" s="696"/>
      <c r="M122" s="723">
        <v>354855000</v>
      </c>
      <c r="N122" s="720">
        <f t="shared" ref="N122:N123" si="4">+M122/$D$156</f>
        <v>588102.22244319599</v>
      </c>
      <c r="O122" s="723">
        <v>100</v>
      </c>
      <c r="P122" s="723">
        <v>0</v>
      </c>
      <c r="Q122" s="631" t="s">
        <v>466</v>
      </c>
      <c r="R122" s="608" t="s">
        <v>465</v>
      </c>
      <c r="S122" s="738"/>
      <c r="T122" s="699">
        <v>43242</v>
      </c>
      <c r="U122" s="615"/>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row>
    <row r="123" spans="1:55" s="19" customFormat="1" ht="31.5">
      <c r="A123" s="607"/>
      <c r="B123" s="608"/>
      <c r="C123" s="608"/>
      <c r="D123" s="608"/>
      <c r="E123" s="736"/>
      <c r="F123" s="611" t="s">
        <v>802</v>
      </c>
      <c r="G123" s="611" t="s">
        <v>803</v>
      </c>
      <c r="H123" s="611">
        <v>1</v>
      </c>
      <c r="I123" s="611"/>
      <c r="J123" s="608" t="s">
        <v>465</v>
      </c>
      <c r="K123" s="608" t="s">
        <v>747</v>
      </c>
      <c r="L123" s="696"/>
      <c r="M123" s="723">
        <v>114645000</v>
      </c>
      <c r="N123" s="720">
        <f t="shared" si="4"/>
        <v>190001.49157261473</v>
      </c>
      <c r="O123" s="723">
        <v>100</v>
      </c>
      <c r="P123" s="723">
        <v>0</v>
      </c>
      <c r="Q123" s="631" t="s">
        <v>466</v>
      </c>
      <c r="R123" s="608" t="s">
        <v>465</v>
      </c>
      <c r="S123" s="738"/>
      <c r="T123" s="699">
        <v>43242</v>
      </c>
      <c r="U123" s="615"/>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row>
    <row r="124" spans="1:55" s="19" customFormat="1" ht="47.25">
      <c r="A124" s="607" t="s">
        <v>368</v>
      </c>
      <c r="B124" s="608" t="s">
        <v>418</v>
      </c>
      <c r="C124" s="608">
        <v>2018</v>
      </c>
      <c r="D124" s="608"/>
      <c r="E124" s="736" t="s">
        <v>804</v>
      </c>
      <c r="F124" s="611" t="s">
        <v>805</v>
      </c>
      <c r="G124" s="611" t="s">
        <v>723</v>
      </c>
      <c r="H124" s="611">
        <v>870</v>
      </c>
      <c r="I124" s="611"/>
      <c r="J124" s="608" t="s">
        <v>465</v>
      </c>
      <c r="K124" s="608"/>
      <c r="L124" s="696"/>
      <c r="M124" s="737">
        <f>SUM(M125:M131)</f>
        <v>470000000</v>
      </c>
      <c r="N124" s="751">
        <f>+M124/$D$156</f>
        <v>778932.36546843674</v>
      </c>
      <c r="O124" s="723">
        <v>100</v>
      </c>
      <c r="P124" s="723">
        <v>0</v>
      </c>
      <c r="Q124" s="631" t="s">
        <v>806</v>
      </c>
      <c r="R124" s="608" t="s">
        <v>465</v>
      </c>
      <c r="S124" s="738"/>
      <c r="T124" s="615" t="s">
        <v>526</v>
      </c>
      <c r="U124" s="615" t="s">
        <v>807</v>
      </c>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row>
    <row r="125" spans="1:55" s="19" customFormat="1">
      <c r="A125" s="607"/>
      <c r="B125" s="608"/>
      <c r="C125" s="608"/>
      <c r="D125" s="608"/>
      <c r="E125" s="736"/>
      <c r="F125" s="611" t="s">
        <v>808</v>
      </c>
      <c r="G125" s="611" t="s">
        <v>809</v>
      </c>
      <c r="H125" s="611">
        <v>100</v>
      </c>
      <c r="I125" s="611"/>
      <c r="J125" s="608" t="s">
        <v>465</v>
      </c>
      <c r="K125" s="608" t="s">
        <v>711</v>
      </c>
      <c r="L125" s="696"/>
      <c r="M125" s="739">
        <v>216750000</v>
      </c>
      <c r="N125" s="720">
        <f t="shared" ref="N125:N131" si="5">+M125/$D$156</f>
        <v>359220.4047133695</v>
      </c>
      <c r="O125" s="723">
        <v>100</v>
      </c>
      <c r="P125" s="723">
        <v>0</v>
      </c>
      <c r="Q125" s="631" t="s">
        <v>806</v>
      </c>
      <c r="R125" s="608" t="s">
        <v>465</v>
      </c>
      <c r="S125" s="738"/>
      <c r="T125" s="615"/>
      <c r="U125" s="615"/>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row>
    <row r="126" spans="1:55" s="19" customFormat="1" ht="31.5">
      <c r="A126" s="607"/>
      <c r="B126" s="608"/>
      <c r="C126" s="608"/>
      <c r="D126" s="608"/>
      <c r="E126" s="736"/>
      <c r="F126" s="611" t="s">
        <v>810</v>
      </c>
      <c r="G126" s="611" t="s">
        <v>811</v>
      </c>
      <c r="H126" s="611">
        <v>100</v>
      </c>
      <c r="I126" s="611"/>
      <c r="J126" s="608" t="s">
        <v>465</v>
      </c>
      <c r="K126" s="608" t="s">
        <v>711</v>
      </c>
      <c r="L126" s="696"/>
      <c r="M126" s="739">
        <v>114992640</v>
      </c>
      <c r="N126" s="720">
        <f t="shared" si="5"/>
        <v>190577.63635459653</v>
      </c>
      <c r="O126" s="723">
        <v>100</v>
      </c>
      <c r="P126" s="723">
        <v>0</v>
      </c>
      <c r="Q126" s="631" t="s">
        <v>806</v>
      </c>
      <c r="R126" s="608" t="s">
        <v>465</v>
      </c>
      <c r="S126" s="738"/>
      <c r="T126" s="615"/>
      <c r="U126" s="615"/>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row>
    <row r="127" spans="1:55" s="19" customFormat="1" ht="31.5">
      <c r="A127" s="607"/>
      <c r="B127" s="608"/>
      <c r="C127" s="608"/>
      <c r="D127" s="608"/>
      <c r="E127" s="736"/>
      <c r="F127" s="611" t="s">
        <v>812</v>
      </c>
      <c r="G127" s="611" t="s">
        <v>813</v>
      </c>
      <c r="H127" s="611">
        <v>90</v>
      </c>
      <c r="I127" s="611"/>
      <c r="J127" s="608" t="s">
        <v>465</v>
      </c>
      <c r="K127" s="608" t="s">
        <v>711</v>
      </c>
      <c r="L127" s="696"/>
      <c r="M127" s="739">
        <v>59410000</v>
      </c>
      <c r="N127" s="720">
        <f t="shared" si="5"/>
        <v>98460.365601020894</v>
      </c>
      <c r="O127" s="723">
        <v>100</v>
      </c>
      <c r="P127" s="723">
        <v>0</v>
      </c>
      <c r="Q127" s="631" t="s">
        <v>806</v>
      </c>
      <c r="R127" s="608" t="s">
        <v>465</v>
      </c>
      <c r="S127" s="738"/>
      <c r="T127" s="615"/>
      <c r="U127" s="615"/>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row>
    <row r="128" spans="1:55" s="19" customFormat="1" ht="31.5">
      <c r="A128" s="607"/>
      <c r="B128" s="608"/>
      <c r="C128" s="608"/>
      <c r="D128" s="608"/>
      <c r="E128" s="736"/>
      <c r="F128" s="611" t="s">
        <v>814</v>
      </c>
      <c r="G128" s="611" t="s">
        <v>815</v>
      </c>
      <c r="H128" s="611">
        <v>80</v>
      </c>
      <c r="I128" s="611"/>
      <c r="J128" s="608" t="s">
        <v>465</v>
      </c>
      <c r="K128" s="608" t="s">
        <v>711</v>
      </c>
      <c r="L128" s="696"/>
      <c r="M128" s="739">
        <v>21922360</v>
      </c>
      <c r="N128" s="720">
        <f t="shared" si="5"/>
        <v>36331.990917980082</v>
      </c>
      <c r="O128" s="723">
        <v>100</v>
      </c>
      <c r="P128" s="723">
        <v>0</v>
      </c>
      <c r="Q128" s="631" t="s">
        <v>806</v>
      </c>
      <c r="R128" s="608" t="s">
        <v>465</v>
      </c>
      <c r="S128" s="738"/>
      <c r="T128" s="615"/>
      <c r="U128" s="615"/>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row>
    <row r="129" spans="1:63" s="19" customFormat="1">
      <c r="A129" s="607"/>
      <c r="B129" s="608"/>
      <c r="C129" s="608"/>
      <c r="D129" s="608"/>
      <c r="E129" s="736"/>
      <c r="F129" s="611" t="s">
        <v>816</v>
      </c>
      <c r="G129" s="611" t="s">
        <v>817</v>
      </c>
      <c r="H129" s="611">
        <v>200</v>
      </c>
      <c r="I129" s="611"/>
      <c r="J129" s="608" t="s">
        <v>465</v>
      </c>
      <c r="K129" s="608" t="s">
        <v>711</v>
      </c>
      <c r="L129" s="696"/>
      <c r="M129" s="739">
        <v>22770000</v>
      </c>
      <c r="N129" s="720">
        <f t="shared" si="5"/>
        <v>37736.78715258788</v>
      </c>
      <c r="O129" s="723">
        <v>100</v>
      </c>
      <c r="P129" s="723">
        <v>0</v>
      </c>
      <c r="Q129" s="631" t="s">
        <v>806</v>
      </c>
      <c r="R129" s="608" t="s">
        <v>465</v>
      </c>
      <c r="S129" s="738"/>
      <c r="T129" s="615"/>
      <c r="U129" s="615"/>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row>
    <row r="130" spans="1:63" s="19" customFormat="1">
      <c r="A130" s="607"/>
      <c r="B130" s="608"/>
      <c r="C130" s="608"/>
      <c r="D130" s="608"/>
      <c r="E130" s="736"/>
      <c r="F130" s="611" t="s">
        <v>818</v>
      </c>
      <c r="G130" s="611" t="s">
        <v>819</v>
      </c>
      <c r="H130" s="611">
        <v>200</v>
      </c>
      <c r="I130" s="611"/>
      <c r="J130" s="608" t="s">
        <v>465</v>
      </c>
      <c r="K130" s="608" t="s">
        <v>711</v>
      </c>
      <c r="L130" s="696"/>
      <c r="M130" s="739">
        <v>22770000</v>
      </c>
      <c r="N130" s="720">
        <f t="shared" si="5"/>
        <v>37736.78715258788</v>
      </c>
      <c r="O130" s="723">
        <v>100</v>
      </c>
      <c r="P130" s="723">
        <v>0</v>
      </c>
      <c r="Q130" s="631" t="s">
        <v>806</v>
      </c>
      <c r="R130" s="608" t="s">
        <v>465</v>
      </c>
      <c r="S130" s="738"/>
      <c r="T130" s="615"/>
      <c r="U130" s="615"/>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row>
    <row r="131" spans="1:63" s="19" customFormat="1">
      <c r="A131" s="607"/>
      <c r="B131" s="608"/>
      <c r="C131" s="608"/>
      <c r="D131" s="608"/>
      <c r="E131" s="736"/>
      <c r="F131" s="611" t="s">
        <v>820</v>
      </c>
      <c r="G131" s="611" t="s">
        <v>821</v>
      </c>
      <c r="H131" s="611">
        <v>100</v>
      </c>
      <c r="I131" s="611"/>
      <c r="J131" s="608" t="s">
        <v>465</v>
      </c>
      <c r="K131" s="608" t="s">
        <v>711</v>
      </c>
      <c r="L131" s="696"/>
      <c r="M131" s="739">
        <v>11385000</v>
      </c>
      <c r="N131" s="720">
        <f t="shared" si="5"/>
        <v>18868.39357629394</v>
      </c>
      <c r="O131" s="723">
        <v>100</v>
      </c>
      <c r="P131" s="723">
        <v>0</v>
      </c>
      <c r="Q131" s="631" t="s">
        <v>806</v>
      </c>
      <c r="R131" s="608" t="s">
        <v>465</v>
      </c>
      <c r="S131" s="738"/>
      <c r="T131" s="615"/>
      <c r="U131" s="615"/>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row>
    <row r="132" spans="1:63" s="19" customFormat="1">
      <c r="A132" s="607"/>
      <c r="B132" s="608"/>
      <c r="C132" s="608"/>
      <c r="D132" s="608"/>
      <c r="E132" s="736"/>
      <c r="F132" s="611"/>
      <c r="G132" s="611"/>
      <c r="H132" s="611"/>
      <c r="I132" s="611"/>
      <c r="J132" s="608"/>
      <c r="K132" s="608"/>
      <c r="L132" s="696"/>
      <c r="M132" s="739"/>
      <c r="N132" s="720"/>
      <c r="O132" s="723"/>
      <c r="P132" s="723"/>
      <c r="Q132" s="631"/>
      <c r="R132" s="608"/>
      <c r="S132" s="738"/>
      <c r="T132" s="615"/>
      <c r="U132" s="615"/>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row>
    <row r="133" spans="1:63" s="19" customFormat="1" ht="47.25">
      <c r="A133" s="607" t="s">
        <v>368</v>
      </c>
      <c r="B133" s="608" t="s">
        <v>418</v>
      </c>
      <c r="C133" s="608">
        <v>2019</v>
      </c>
      <c r="D133" s="608"/>
      <c r="E133" s="736" t="s">
        <v>822</v>
      </c>
      <c r="F133" s="611" t="s">
        <v>805</v>
      </c>
      <c r="G133" s="611" t="s">
        <v>723</v>
      </c>
      <c r="H133" s="611">
        <v>500</v>
      </c>
      <c r="I133" s="611"/>
      <c r="J133" s="608" t="s">
        <v>465</v>
      </c>
      <c r="K133" s="608"/>
      <c r="L133" s="696"/>
      <c r="M133" s="737">
        <v>550000000</v>
      </c>
      <c r="N133" s="752">
        <f>+M133/$D$157</f>
        <v>861933.8661651779</v>
      </c>
      <c r="O133" s="723">
        <v>100</v>
      </c>
      <c r="P133" s="723">
        <v>0</v>
      </c>
      <c r="Q133" s="631" t="s">
        <v>806</v>
      </c>
      <c r="R133" s="608" t="s">
        <v>465</v>
      </c>
      <c r="S133" s="615" t="s">
        <v>526</v>
      </c>
      <c r="T133" s="615" t="s">
        <v>526</v>
      </c>
      <c r="U133" s="615" t="s">
        <v>807</v>
      </c>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row>
    <row r="134" spans="1:63" s="107" customFormat="1" ht="47.25">
      <c r="A134" s="607" t="s">
        <v>368</v>
      </c>
      <c r="B134" s="608" t="s">
        <v>418</v>
      </c>
      <c r="C134" s="608">
        <v>2020</v>
      </c>
      <c r="D134" s="608"/>
      <c r="E134" s="736" t="s">
        <v>823</v>
      </c>
      <c r="F134" s="611" t="s">
        <v>805</v>
      </c>
      <c r="G134" s="611" t="s">
        <v>723</v>
      </c>
      <c r="H134" s="611">
        <v>500</v>
      </c>
      <c r="I134" s="611"/>
      <c r="J134" s="608" t="s">
        <v>465</v>
      </c>
      <c r="K134" s="608"/>
      <c r="L134" s="608"/>
      <c r="M134" s="737">
        <v>710560000</v>
      </c>
      <c r="N134" s="752">
        <f>+M134/$D$158</f>
        <v>1113555.8689860522</v>
      </c>
      <c r="O134" s="753">
        <v>100</v>
      </c>
      <c r="P134" s="753">
        <v>0</v>
      </c>
      <c r="Q134" s="631" t="s">
        <v>806</v>
      </c>
      <c r="R134" s="608" t="s">
        <v>465</v>
      </c>
      <c r="S134" s="618" t="s">
        <v>526</v>
      </c>
      <c r="T134" s="618" t="s">
        <v>526</v>
      </c>
      <c r="U134" s="615" t="s">
        <v>807</v>
      </c>
      <c r="V134" s="108"/>
      <c r="W134" s="108"/>
      <c r="X134" s="108"/>
      <c r="Y134" s="108"/>
      <c r="Z134" s="108"/>
      <c r="AA134" s="108"/>
      <c r="AB134" s="108"/>
      <c r="AC134" s="108"/>
      <c r="AD134" s="108"/>
      <c r="AE134" s="108"/>
      <c r="AF134" s="108"/>
      <c r="AG134" s="108"/>
      <c r="AH134" s="108"/>
      <c r="AI134" s="108"/>
      <c r="AJ134" s="108"/>
      <c r="AK134" s="108"/>
      <c r="AL134" s="108"/>
      <c r="AM134" s="108"/>
      <c r="AN134" s="108"/>
      <c r="AO134" s="108"/>
      <c r="AP134" s="108"/>
      <c r="AQ134" s="108"/>
      <c r="AR134" s="108"/>
      <c r="AS134" s="108"/>
      <c r="AT134" s="108"/>
      <c r="AU134" s="108"/>
      <c r="AV134" s="108"/>
      <c r="AW134" s="108"/>
      <c r="AX134" s="108"/>
      <c r="AY134" s="108"/>
      <c r="AZ134" s="108"/>
      <c r="BA134" s="108"/>
      <c r="BB134" s="108"/>
      <c r="BC134" s="108"/>
    </row>
    <row r="135" spans="1:63" s="19" customFormat="1" ht="47.25">
      <c r="A135" s="607" t="s">
        <v>368</v>
      </c>
      <c r="B135" s="608" t="s">
        <v>418</v>
      </c>
      <c r="C135" s="608">
        <v>2021</v>
      </c>
      <c r="D135" s="608"/>
      <c r="E135" s="736" t="s">
        <v>824</v>
      </c>
      <c r="F135" s="611" t="s">
        <v>805</v>
      </c>
      <c r="G135" s="611" t="s">
        <v>723</v>
      </c>
      <c r="H135" s="611">
        <v>500</v>
      </c>
      <c r="I135" s="611"/>
      <c r="J135" s="608" t="s">
        <v>465</v>
      </c>
      <c r="K135" s="608"/>
      <c r="L135" s="696"/>
      <c r="M135" s="737">
        <v>721260000</v>
      </c>
      <c r="N135" s="752">
        <f>+M135/$D$159</f>
        <v>1130324.4005641749</v>
      </c>
      <c r="O135" s="723">
        <v>100</v>
      </c>
      <c r="P135" s="723">
        <v>0</v>
      </c>
      <c r="Q135" s="631" t="s">
        <v>806</v>
      </c>
      <c r="R135" s="608" t="s">
        <v>465</v>
      </c>
      <c r="S135" s="615" t="s">
        <v>526</v>
      </c>
      <c r="T135" s="615" t="s">
        <v>526</v>
      </c>
      <c r="U135" s="615" t="s">
        <v>807</v>
      </c>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row>
    <row r="136" spans="1:63" s="19" customFormat="1">
      <c r="A136" s="607"/>
      <c r="B136" s="608" t="s">
        <v>508</v>
      </c>
      <c r="C136" s="608"/>
      <c r="D136" s="608"/>
      <c r="E136" s="608"/>
      <c r="F136" s="608"/>
      <c r="G136" s="608"/>
      <c r="H136" s="608"/>
      <c r="I136" s="608"/>
      <c r="J136" s="608"/>
      <c r="K136" s="677"/>
      <c r="L136" s="677"/>
      <c r="M136" s="754">
        <f>+M135+M134+M133+M124+M121+M120+M119+M101+M83+M82+M81+M71+M67+M66+M65+M61+M51+M50+M46+M52+M37</f>
        <v>4654655083.1999998</v>
      </c>
      <c r="N136" s="754">
        <f>+N135+N134+N133+N124+N121+N120+N119+N101+N83+N82+N81+N71+N67+N66+N65+N61+N51+N50+N46+N52+N37</f>
        <v>7402259.0572261568</v>
      </c>
      <c r="O136" s="720">
        <v>100</v>
      </c>
      <c r="P136" s="720">
        <v>0</v>
      </c>
      <c r="Q136" s="678"/>
      <c r="R136" s="608"/>
      <c r="S136" s="608"/>
      <c r="T136" s="608"/>
      <c r="U136" s="608"/>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row>
    <row r="137" spans="1:63" s="21" customFormat="1">
      <c r="B137" s="34"/>
      <c r="C137" s="34"/>
      <c r="D137" s="34"/>
      <c r="E137" s="34"/>
      <c r="F137" s="34"/>
      <c r="G137" s="34"/>
      <c r="H137" s="34"/>
      <c r="I137" s="34"/>
      <c r="J137" s="34"/>
      <c r="K137" s="34"/>
      <c r="L137" s="34"/>
      <c r="M137" s="253"/>
      <c r="N137" s="254"/>
      <c r="O137" s="254"/>
      <c r="P137" s="254"/>
      <c r="Q137" s="36"/>
      <c r="R137" s="34"/>
      <c r="S137" s="34"/>
      <c r="T137" s="34"/>
      <c r="U137" s="34"/>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19"/>
      <c r="BE137" s="19"/>
      <c r="BF137" s="19"/>
      <c r="BG137" s="19"/>
      <c r="BH137" s="19"/>
      <c r="BI137" s="19"/>
      <c r="BJ137" s="19"/>
      <c r="BK137" s="19"/>
    </row>
    <row r="138" spans="1:63" s="21" customFormat="1">
      <c r="A138" s="643" t="s">
        <v>435</v>
      </c>
      <c r="B138" s="643" t="s">
        <v>592</v>
      </c>
      <c r="C138" s="643"/>
      <c r="D138" s="643"/>
      <c r="E138" s="643"/>
      <c r="F138" s="643"/>
      <c r="G138" s="643"/>
      <c r="H138" s="643"/>
      <c r="I138" s="643"/>
      <c r="J138" s="643"/>
      <c r="K138" s="643"/>
      <c r="L138" s="643"/>
      <c r="M138" s="643"/>
      <c r="N138" s="643"/>
      <c r="O138" s="643"/>
      <c r="P138" s="643"/>
      <c r="Q138" s="643"/>
      <c r="R138" s="643"/>
      <c r="S138" s="643"/>
      <c r="T138" s="643"/>
      <c r="U138" s="643"/>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19"/>
      <c r="BE138" s="19"/>
      <c r="BF138" s="19"/>
      <c r="BG138" s="19"/>
      <c r="BH138" s="19"/>
      <c r="BI138" s="19"/>
      <c r="BJ138" s="19"/>
      <c r="BK138" s="19"/>
    </row>
    <row r="139" spans="1:63" s="21" customFormat="1">
      <c r="A139" s="643"/>
      <c r="B139" s="643" t="s">
        <v>437</v>
      </c>
      <c r="C139" s="328" t="s">
        <v>438</v>
      </c>
      <c r="D139" s="328" t="s">
        <v>439</v>
      </c>
      <c r="E139" s="643" t="s">
        <v>440</v>
      </c>
      <c r="F139" s="643" t="s">
        <v>441</v>
      </c>
      <c r="G139" s="643" t="s">
        <v>442</v>
      </c>
      <c r="H139" s="648"/>
      <c r="I139" s="648"/>
      <c r="J139" s="643" t="s">
        <v>459</v>
      </c>
      <c r="K139" s="643"/>
      <c r="L139" s="643"/>
      <c r="M139" s="716"/>
      <c r="N139" s="717" t="s">
        <v>446</v>
      </c>
      <c r="O139" s="717"/>
      <c r="P139" s="717"/>
      <c r="Q139" s="643" t="s">
        <v>447</v>
      </c>
      <c r="R139" s="643" t="s">
        <v>448</v>
      </c>
      <c r="S139" s="643" t="s">
        <v>449</v>
      </c>
      <c r="T139" s="643"/>
      <c r="U139" s="643" t="s">
        <v>450</v>
      </c>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19"/>
      <c r="BE139" s="19"/>
      <c r="BF139" s="19"/>
      <c r="BG139" s="19"/>
      <c r="BH139" s="19"/>
      <c r="BI139" s="19"/>
      <c r="BJ139" s="19"/>
      <c r="BK139" s="19"/>
    </row>
    <row r="140" spans="1:63" s="21" customFormat="1" ht="31.5">
      <c r="A140" s="648"/>
      <c r="B140" s="643"/>
      <c r="C140" s="326"/>
      <c r="D140" s="326" t="s">
        <v>439</v>
      </c>
      <c r="E140" s="643"/>
      <c r="F140" s="643"/>
      <c r="G140" s="643"/>
      <c r="H140" s="648"/>
      <c r="I140" s="648"/>
      <c r="J140" s="643"/>
      <c r="K140" s="643" t="s">
        <v>445</v>
      </c>
      <c r="L140" s="643"/>
      <c r="M140" s="716" t="s">
        <v>451</v>
      </c>
      <c r="N140" s="716" t="s">
        <v>452</v>
      </c>
      <c r="O140" s="718" t="s">
        <v>453</v>
      </c>
      <c r="P140" s="719" t="s">
        <v>454</v>
      </c>
      <c r="Q140" s="643"/>
      <c r="R140" s="643"/>
      <c r="S140" s="648" t="s">
        <v>510</v>
      </c>
      <c r="T140" s="648" t="s">
        <v>456</v>
      </c>
      <c r="U140" s="643"/>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19"/>
      <c r="BE140" s="19"/>
      <c r="BF140" s="19"/>
      <c r="BG140" s="19"/>
      <c r="BH140" s="19"/>
      <c r="BI140" s="19"/>
      <c r="BJ140" s="19"/>
      <c r="BK140" s="19"/>
    </row>
    <row r="141" spans="1:63" s="19" customFormat="1">
      <c r="A141" s="607"/>
      <c r="B141" s="608" t="s">
        <v>508</v>
      </c>
      <c r="C141" s="608"/>
      <c r="D141" s="608"/>
      <c r="E141" s="608"/>
      <c r="F141" s="608"/>
      <c r="G141" s="608"/>
      <c r="H141" s="608"/>
      <c r="I141" s="608"/>
      <c r="J141" s="608"/>
      <c r="K141" s="677"/>
      <c r="L141" s="677"/>
      <c r="M141" s="720"/>
      <c r="N141" s="720"/>
      <c r="O141" s="720"/>
      <c r="P141" s="720"/>
      <c r="Q141" s="678"/>
      <c r="R141" s="608"/>
      <c r="S141" s="608"/>
      <c r="T141" s="608"/>
      <c r="U141" s="608"/>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row>
    <row r="142" spans="1:63" s="21" customFormat="1">
      <c r="B142" s="34"/>
      <c r="C142" s="34"/>
      <c r="D142" s="34"/>
      <c r="E142" s="34"/>
      <c r="F142" s="34"/>
      <c r="G142" s="34"/>
      <c r="H142" s="34"/>
      <c r="I142" s="34"/>
      <c r="J142" s="34"/>
      <c r="K142" s="34"/>
      <c r="L142" s="34"/>
      <c r="M142" s="253"/>
      <c r="N142" s="253"/>
      <c r="O142" s="255"/>
      <c r="P142" s="256"/>
      <c r="Q142" s="36"/>
      <c r="R142" s="34"/>
      <c r="S142" s="34"/>
      <c r="T142" s="34"/>
      <c r="U142" s="34"/>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19"/>
      <c r="BE142" s="19"/>
      <c r="BF142" s="19"/>
      <c r="BG142" s="19"/>
      <c r="BH142" s="19"/>
      <c r="BI142" s="19"/>
      <c r="BJ142" s="19"/>
      <c r="BK142" s="19"/>
    </row>
    <row r="143" spans="1:63" s="21" customFormat="1">
      <c r="A143" s="643" t="s">
        <v>435</v>
      </c>
      <c r="B143" s="643" t="s">
        <v>593</v>
      </c>
      <c r="C143" s="643"/>
      <c r="D143" s="643"/>
      <c r="E143" s="643"/>
      <c r="F143" s="643"/>
      <c r="G143" s="643"/>
      <c r="H143" s="643"/>
      <c r="I143" s="643"/>
      <c r="J143" s="643"/>
      <c r="K143" s="643"/>
      <c r="L143" s="643"/>
      <c r="M143" s="643"/>
      <c r="N143" s="643"/>
      <c r="O143" s="643"/>
      <c r="P143" s="643"/>
      <c r="Q143" s="643"/>
      <c r="R143" s="643"/>
      <c r="S143" s="643"/>
      <c r="T143" s="643"/>
      <c r="U143" s="643"/>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19"/>
      <c r="BE143" s="19"/>
      <c r="BF143" s="19"/>
      <c r="BG143" s="19"/>
      <c r="BH143" s="19"/>
      <c r="BI143" s="19"/>
      <c r="BJ143" s="19"/>
      <c r="BK143" s="19"/>
    </row>
    <row r="144" spans="1:63" s="21" customFormat="1">
      <c r="A144" s="643"/>
      <c r="B144" s="643" t="s">
        <v>437</v>
      </c>
      <c r="C144" s="328" t="s">
        <v>438</v>
      </c>
      <c r="D144" s="328" t="s">
        <v>439</v>
      </c>
      <c r="E144" s="643" t="s">
        <v>594</v>
      </c>
      <c r="F144" s="643" t="s">
        <v>441</v>
      </c>
      <c r="G144" s="643"/>
      <c r="H144" s="643"/>
      <c r="I144" s="643"/>
      <c r="J144" s="643"/>
      <c r="K144" s="643" t="s">
        <v>445</v>
      </c>
      <c r="L144" s="643"/>
      <c r="M144" s="716"/>
      <c r="N144" s="717" t="s">
        <v>446</v>
      </c>
      <c r="O144" s="717"/>
      <c r="P144" s="717"/>
      <c r="Q144" s="643" t="s">
        <v>447</v>
      </c>
      <c r="R144" s="682" t="s">
        <v>595</v>
      </c>
      <c r="S144" s="643" t="s">
        <v>449</v>
      </c>
      <c r="T144" s="643"/>
      <c r="U144" s="643" t="s">
        <v>596</v>
      </c>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19"/>
      <c r="BE144" s="19"/>
      <c r="BF144" s="19"/>
      <c r="BG144" s="19"/>
      <c r="BH144" s="19"/>
      <c r="BI144" s="19"/>
      <c r="BJ144" s="19"/>
      <c r="BK144" s="19"/>
    </row>
    <row r="145" spans="1:63" s="21" customFormat="1" ht="47.25">
      <c r="A145" s="648"/>
      <c r="B145" s="643"/>
      <c r="C145" s="326"/>
      <c r="D145" s="326" t="s">
        <v>439</v>
      </c>
      <c r="E145" s="643"/>
      <c r="F145" s="643"/>
      <c r="G145" s="643"/>
      <c r="H145" s="643"/>
      <c r="I145" s="643"/>
      <c r="J145" s="643"/>
      <c r="K145" s="643"/>
      <c r="L145" s="643"/>
      <c r="M145" s="716" t="s">
        <v>451</v>
      </c>
      <c r="N145" s="716" t="s">
        <v>452</v>
      </c>
      <c r="O145" s="716" t="s">
        <v>453</v>
      </c>
      <c r="P145" s="718" t="s">
        <v>454</v>
      </c>
      <c r="Q145" s="643"/>
      <c r="R145" s="682"/>
      <c r="S145" s="648" t="s">
        <v>597</v>
      </c>
      <c r="T145" s="648" t="s">
        <v>598</v>
      </c>
      <c r="U145" s="643"/>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19"/>
      <c r="BE145" s="19"/>
      <c r="BF145" s="19"/>
      <c r="BG145" s="19"/>
      <c r="BH145" s="19"/>
      <c r="BI145" s="19"/>
      <c r="BJ145" s="19"/>
      <c r="BK145" s="19"/>
    </row>
    <row r="146" spans="1:63" s="19" customFormat="1">
      <c r="A146" s="607"/>
      <c r="B146" s="608" t="s">
        <v>508</v>
      </c>
      <c r="C146" s="608"/>
      <c r="D146" s="608"/>
      <c r="E146" s="608"/>
      <c r="F146" s="677"/>
      <c r="G146" s="677"/>
      <c r="H146" s="677"/>
      <c r="I146" s="677"/>
      <c r="J146" s="677"/>
      <c r="K146" s="677"/>
      <c r="L146" s="677"/>
      <c r="M146" s="755"/>
      <c r="N146" s="755"/>
      <c r="O146" s="755"/>
      <c r="P146" s="756"/>
      <c r="Q146" s="678"/>
      <c r="R146" s="678"/>
      <c r="S146" s="608"/>
      <c r="T146" s="608"/>
      <c r="U146" s="608"/>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row>
    <row r="147" spans="1:63" s="105" customFormat="1">
      <c r="A147" s="607"/>
      <c r="B147" s="685"/>
      <c r="C147" s="685"/>
      <c r="D147" s="685"/>
      <c r="E147" s="685"/>
      <c r="F147" s="685"/>
      <c r="G147" s="685"/>
      <c r="H147" s="685"/>
      <c r="I147" s="685"/>
      <c r="J147" s="685"/>
      <c r="K147" s="616"/>
      <c r="L147" s="685"/>
      <c r="M147" s="757"/>
      <c r="N147" s="758"/>
      <c r="O147" s="759"/>
      <c r="P147" s="759"/>
      <c r="Q147" s="685"/>
      <c r="R147" s="685"/>
      <c r="S147" s="685"/>
      <c r="T147" s="685"/>
      <c r="U147" s="685"/>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689"/>
      <c r="BE147" s="685"/>
      <c r="BF147" s="685"/>
      <c r="BG147" s="685"/>
      <c r="BH147" s="685"/>
      <c r="BI147" s="685"/>
      <c r="BJ147" s="685"/>
      <c r="BK147" s="685"/>
    </row>
    <row r="148" spans="1:63" s="19" customFormat="1">
      <c r="K148" s="107"/>
      <c r="M148" s="250"/>
      <c r="N148" s="250"/>
      <c r="O148" s="250"/>
      <c r="P148" s="25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row>
    <row r="149" spans="1:63" s="19" customFormat="1">
      <c r="K149" s="107"/>
      <c r="M149" s="250"/>
      <c r="N149" s="250"/>
      <c r="O149" s="250"/>
      <c r="P149" s="250"/>
      <c r="R149" s="760"/>
      <c r="S149" s="760"/>
      <c r="T149" s="760"/>
      <c r="U149" s="76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row>
    <row r="150" spans="1:63" s="19" customFormat="1">
      <c r="B150" s="690" t="s">
        <v>428</v>
      </c>
      <c r="C150" s="690"/>
      <c r="D150" s="690"/>
      <c r="E150" s="690"/>
      <c r="F150" s="690"/>
      <c r="G150" s="690"/>
      <c r="H150" s="690"/>
      <c r="I150" s="690"/>
      <c r="J150" s="690"/>
      <c r="K150" s="761"/>
      <c r="L150" s="690"/>
      <c r="M150" s="762">
        <f>+M136+M22+M141+M17+M12+M7+M27+M32+M147</f>
        <v>4654655083.1999998</v>
      </c>
      <c r="N150" s="762">
        <f>+N136+N22+N141+N17+N12+N7+N27+N32+N147</f>
        <v>7402259.0572261568</v>
      </c>
      <c r="O150" s="763">
        <v>100</v>
      </c>
      <c r="P150" s="763">
        <f>+P136+P22+P141+P146+P17+P12+P7+P27+P147</f>
        <v>0</v>
      </c>
      <c r="R150" s="282"/>
      <c r="S150" s="282"/>
      <c r="T150" s="282"/>
      <c r="U150" s="282"/>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row>
    <row r="151" spans="1:63" s="19" customFormat="1">
      <c r="B151" s="690">
        <v>2018</v>
      </c>
      <c r="C151" s="690"/>
      <c r="D151" s="690"/>
      <c r="E151" s="690"/>
      <c r="F151" s="690"/>
      <c r="G151" s="690"/>
      <c r="H151" s="690"/>
      <c r="I151" s="690"/>
      <c r="J151" s="690"/>
      <c r="K151" s="761"/>
      <c r="L151" s="690"/>
      <c r="M151" s="762">
        <f>+M37+M52+M67+M83+M121+M124</f>
        <v>1194124000.2</v>
      </c>
      <c r="N151" s="762">
        <f>+N37+N52+N67+N121+N124</f>
        <v>1723896.9571918661</v>
      </c>
      <c r="O151" s="763">
        <v>100</v>
      </c>
      <c r="P151" s="763">
        <f>+P137+P23+P142+P147+P18+P13+P8+P28+P150</f>
        <v>0</v>
      </c>
      <c r="R151" s="282"/>
      <c r="S151" s="282"/>
      <c r="T151" s="282"/>
      <c r="U151" s="282"/>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row>
    <row r="152" spans="1:63" s="19" customFormat="1">
      <c r="B152" s="690">
        <v>2019</v>
      </c>
      <c r="C152" s="690"/>
      <c r="D152" s="690"/>
      <c r="E152" s="690"/>
      <c r="F152" s="690"/>
      <c r="G152" s="690"/>
      <c r="H152" s="690"/>
      <c r="I152" s="690"/>
      <c r="J152" s="690"/>
      <c r="K152" s="761"/>
      <c r="L152" s="690"/>
      <c r="M152" s="762">
        <f>+M46+M61+M71+M101+M133</f>
        <v>1297092083</v>
      </c>
      <c r="N152" s="762">
        <f>+N46+N61+N71+N101+N133</f>
        <v>2032741.0797680614</v>
      </c>
      <c r="O152" s="763">
        <v>100</v>
      </c>
      <c r="P152" s="763">
        <f>+P138+P24+P143+P150+P19+P14+P9+P29+P151</f>
        <v>0</v>
      </c>
      <c r="R152" s="282"/>
      <c r="S152" s="282"/>
      <c r="T152" s="282"/>
      <c r="U152" s="282"/>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row>
    <row r="153" spans="1:63" s="18" customFormat="1">
      <c r="B153" s="690">
        <v>2020</v>
      </c>
      <c r="C153" s="690"/>
      <c r="D153" s="690"/>
      <c r="E153" s="690"/>
      <c r="F153" s="690"/>
      <c r="G153" s="690"/>
      <c r="H153" s="690"/>
      <c r="I153" s="690"/>
      <c r="J153" s="690"/>
      <c r="K153" s="761"/>
      <c r="L153" s="690"/>
      <c r="M153" s="762">
        <f>+M50+M65+M81+M119+M134</f>
        <v>1220372000</v>
      </c>
      <c r="N153" s="762">
        <f>+N50+N65+N81+N119+N134</f>
        <v>1912509.0111267825</v>
      </c>
      <c r="O153" s="763">
        <v>100</v>
      </c>
      <c r="P153" s="763">
        <f>+P139+P25+P144+P151+P20+P15+P10+P30+P152</f>
        <v>0</v>
      </c>
    </row>
    <row r="154" spans="1:63" s="18" customFormat="1">
      <c r="B154" s="690">
        <v>2021</v>
      </c>
      <c r="C154" s="690"/>
      <c r="D154" s="690"/>
      <c r="E154" s="690"/>
      <c r="F154" s="690"/>
      <c r="G154" s="690"/>
      <c r="H154" s="690"/>
      <c r="I154" s="690"/>
      <c r="J154" s="690"/>
      <c r="K154" s="761"/>
      <c r="L154" s="690"/>
      <c r="M154" s="762">
        <f>+M51+M66+M82+M120+M135</f>
        <v>943067000</v>
      </c>
      <c r="N154" s="762">
        <f>+N51+N66+N82+N120+N135</f>
        <v>1477983.7915687195</v>
      </c>
      <c r="O154" s="763">
        <v>100</v>
      </c>
      <c r="P154" s="763">
        <v>0</v>
      </c>
    </row>
    <row r="155" spans="1:63" s="18" customFormat="1">
      <c r="B155" s="19"/>
      <c r="C155" s="19"/>
      <c r="D155" s="19"/>
      <c r="E155" s="19"/>
      <c r="F155" s="19"/>
      <c r="G155" s="19"/>
      <c r="H155" s="19"/>
      <c r="I155" s="19"/>
      <c r="J155" s="19"/>
      <c r="K155" s="107"/>
      <c r="L155" s="19"/>
      <c r="M155" s="250"/>
      <c r="N155" s="247"/>
      <c r="O155" s="251"/>
      <c r="P155" s="251"/>
    </row>
    <row r="156" spans="1:63" s="18" customFormat="1" ht="47.25" hidden="1">
      <c r="B156" s="18" t="s">
        <v>599</v>
      </c>
      <c r="C156" s="18">
        <v>603.39</v>
      </c>
      <c r="D156" s="18">
        <v>603.39</v>
      </c>
      <c r="M156" s="260">
        <f>1521634000-M151</f>
        <v>327509999.79999995</v>
      </c>
      <c r="N156" s="257"/>
      <c r="O156" s="257"/>
      <c r="P156" s="257"/>
    </row>
    <row r="157" spans="1:63" s="18" customFormat="1" ht="47.25" hidden="1">
      <c r="B157" s="18" t="s">
        <v>600</v>
      </c>
      <c r="C157" s="18">
        <v>638.1</v>
      </c>
      <c r="D157" s="18">
        <v>638.1</v>
      </c>
      <c r="M157" s="257">
        <v>638.1</v>
      </c>
      <c r="N157" s="257"/>
      <c r="O157" s="257"/>
      <c r="P157" s="257"/>
    </row>
    <row r="158" spans="1:63" s="18" customFormat="1" ht="47.25" hidden="1">
      <c r="B158" s="18" t="s">
        <v>601</v>
      </c>
      <c r="C158" s="18">
        <v>638.1</v>
      </c>
      <c r="D158" s="18">
        <v>638.1</v>
      </c>
      <c r="M158" s="257"/>
      <c r="N158" s="257"/>
      <c r="O158" s="257"/>
      <c r="P158" s="257"/>
    </row>
    <row r="159" spans="1:63" s="18" customFormat="1" ht="47.25" hidden="1">
      <c r="B159" s="18" t="s">
        <v>602</v>
      </c>
      <c r="C159" s="18">
        <v>638.1</v>
      </c>
      <c r="D159" s="18">
        <v>638.1</v>
      </c>
      <c r="L159" s="18">
        <f>327510</f>
        <v>327510</v>
      </c>
      <c r="M159" s="258">
        <f>+M156/M157</f>
        <v>513258.10970067378</v>
      </c>
      <c r="N159" s="257"/>
      <c r="O159" s="257"/>
      <c r="P159" s="257"/>
    </row>
    <row r="160" spans="1:63" s="18" customFormat="1">
      <c r="M160" s="257"/>
      <c r="N160" s="257"/>
      <c r="O160" s="257"/>
      <c r="P160" s="257"/>
    </row>
    <row r="161" spans="1:16" s="18" customFormat="1">
      <c r="M161" s="257"/>
      <c r="N161" s="257"/>
      <c r="O161" s="257"/>
      <c r="P161" s="257"/>
    </row>
    <row r="162" spans="1:16" s="18" customFormat="1">
      <c r="M162" s="257"/>
      <c r="N162" s="257"/>
      <c r="O162" s="257"/>
      <c r="P162" s="257"/>
    </row>
    <row r="163" spans="1:16" s="18" customFormat="1">
      <c r="M163" s="257"/>
      <c r="N163" s="257"/>
      <c r="O163" s="257"/>
      <c r="P163" s="257"/>
    </row>
    <row r="164" spans="1:16" s="18" customFormat="1">
      <c r="D164" s="42"/>
      <c r="J164" s="43"/>
      <c r="K164" s="43"/>
      <c r="L164" s="43"/>
      <c r="M164" s="259"/>
      <c r="N164" s="257"/>
      <c r="O164" s="257"/>
      <c r="P164" s="257"/>
    </row>
    <row r="165" spans="1:16" s="18" customFormat="1">
      <c r="D165" s="42"/>
      <c r="J165" s="42"/>
      <c r="K165" s="43"/>
      <c r="L165" s="43"/>
      <c r="M165" s="259"/>
      <c r="N165" s="257"/>
      <c r="O165" s="257"/>
      <c r="P165" s="257"/>
    </row>
    <row r="166" spans="1:16" s="18" customFormat="1">
      <c r="D166" s="44"/>
      <c r="E166" s="44"/>
      <c r="F166" s="44"/>
      <c r="G166" s="44"/>
      <c r="H166" s="44"/>
      <c r="I166" s="44"/>
      <c r="J166" s="44"/>
      <c r="K166" s="43"/>
      <c r="L166" s="45"/>
      <c r="M166" s="259"/>
      <c r="N166" s="259"/>
      <c r="O166" s="259"/>
      <c r="P166" s="257"/>
    </row>
    <row r="167" spans="1:16" s="18" customFormat="1">
      <c r="B167" s="46"/>
      <c r="C167" s="46"/>
      <c r="D167" s="44"/>
      <c r="E167" s="44"/>
      <c r="F167" s="44"/>
      <c r="G167" s="44"/>
      <c r="H167" s="44"/>
      <c r="I167" s="44"/>
      <c r="J167" s="44"/>
      <c r="K167" s="43"/>
      <c r="L167" s="45"/>
      <c r="M167" s="259"/>
      <c r="N167" s="257"/>
      <c r="O167" s="257"/>
      <c r="P167" s="257"/>
    </row>
    <row r="168" spans="1:16" s="18" customFormat="1">
      <c r="D168" s="43"/>
      <c r="J168" s="42"/>
      <c r="K168" s="43"/>
      <c r="L168" s="43"/>
      <c r="M168" s="260"/>
      <c r="N168" s="257"/>
      <c r="O168" s="257"/>
      <c r="P168" s="257"/>
    </row>
    <row r="169" spans="1:16" s="18" customFormat="1">
      <c r="K169" s="43"/>
      <c r="M169" s="257"/>
      <c r="N169" s="257"/>
      <c r="O169" s="257"/>
      <c r="P169" s="257"/>
    </row>
    <row r="170" spans="1:16" s="18" customFormat="1">
      <c r="K170" s="43"/>
      <c r="M170" s="257"/>
      <c r="N170" s="257"/>
      <c r="O170" s="257"/>
      <c r="P170" s="257"/>
    </row>
    <row r="171" spans="1:16" s="18" customFormat="1">
      <c r="K171" s="43"/>
      <c r="M171" s="257"/>
      <c r="N171" s="257"/>
      <c r="O171" s="257"/>
      <c r="P171" s="257"/>
    </row>
    <row r="172" spans="1:16" s="18" customFormat="1">
      <c r="M172" s="257"/>
      <c r="N172" s="257"/>
      <c r="O172" s="257"/>
      <c r="P172" s="257"/>
    </row>
    <row r="173" spans="1:16" s="18" customFormat="1">
      <c r="M173" s="257"/>
      <c r="N173" s="257"/>
      <c r="O173" s="257"/>
      <c r="P173" s="257"/>
    </row>
    <row r="174" spans="1:16" s="18" customFormat="1">
      <c r="D174" s="47"/>
      <c r="E174" s="47"/>
      <c r="F174" s="47"/>
      <c r="G174" s="47"/>
      <c r="H174" s="47"/>
      <c r="I174" s="47"/>
      <c r="J174" s="47"/>
      <c r="M174" s="257"/>
      <c r="N174" s="258"/>
      <c r="O174" s="257"/>
      <c r="P174" s="257"/>
    </row>
    <row r="175" spans="1:16" s="18" customFormat="1">
      <c r="D175" s="47"/>
      <c r="E175" s="47"/>
      <c r="F175" s="47"/>
      <c r="G175" s="47"/>
      <c r="H175" s="47"/>
      <c r="I175" s="47"/>
      <c r="J175" s="47"/>
      <c r="M175" s="257"/>
      <c r="N175" s="257"/>
      <c r="O175" s="257"/>
      <c r="P175" s="257"/>
    </row>
    <row r="176" spans="1:16" s="18" customFormat="1">
      <c r="A176" s="42"/>
      <c r="D176" s="47"/>
      <c r="E176" s="47"/>
      <c r="F176" s="47"/>
      <c r="G176" s="47"/>
      <c r="H176" s="47"/>
      <c r="I176" s="47"/>
      <c r="J176" s="47"/>
      <c r="M176" s="257"/>
      <c r="N176" s="257"/>
      <c r="O176" s="257"/>
      <c r="P176" s="257"/>
    </row>
    <row r="177" spans="4:16" s="18" customFormat="1">
      <c r="D177" s="47"/>
      <c r="E177" s="47"/>
      <c r="F177" s="47"/>
      <c r="G177" s="47"/>
      <c r="H177" s="47"/>
      <c r="I177" s="47"/>
      <c r="J177" s="47"/>
      <c r="M177" s="257"/>
      <c r="N177" s="257"/>
      <c r="O177" s="257"/>
      <c r="P177" s="257"/>
    </row>
    <row r="178" spans="4:16" s="18" customFormat="1">
      <c r="D178" s="47"/>
      <c r="E178" s="47"/>
      <c r="F178" s="47"/>
      <c r="G178" s="47"/>
      <c r="H178" s="47"/>
      <c r="I178" s="47"/>
      <c r="J178" s="47"/>
      <c r="M178" s="257"/>
      <c r="N178" s="257"/>
      <c r="O178" s="257"/>
      <c r="P178" s="257"/>
    </row>
    <row r="179" spans="4:16" s="18" customFormat="1">
      <c r="D179" s="47"/>
      <c r="E179" s="47"/>
      <c r="F179" s="47"/>
      <c r="G179" s="47"/>
      <c r="H179" s="47"/>
      <c r="I179" s="47"/>
      <c r="J179" s="47"/>
      <c r="M179" s="257"/>
      <c r="N179" s="257"/>
      <c r="O179" s="257"/>
      <c r="P179" s="257"/>
    </row>
    <row r="180" spans="4:16" s="18" customFormat="1">
      <c r="D180" s="47"/>
      <c r="E180" s="47"/>
      <c r="F180" s="47"/>
      <c r="G180" s="47"/>
      <c r="H180" s="47"/>
      <c r="I180" s="47"/>
      <c r="J180" s="47"/>
      <c r="M180" s="257"/>
      <c r="N180" s="257"/>
      <c r="O180" s="257"/>
      <c r="P180" s="257"/>
    </row>
    <row r="181" spans="4:16" s="18" customFormat="1">
      <c r="M181" s="257"/>
      <c r="N181" s="257"/>
      <c r="O181" s="257"/>
      <c r="P181" s="257"/>
    </row>
  </sheetData>
  <mergeCells count="142">
    <mergeCell ref="C15:C16"/>
    <mergeCell ref="C20:C21"/>
    <mergeCell ref="C25:C26"/>
    <mergeCell ref="C30:C31"/>
    <mergeCell ref="C35:C36"/>
    <mergeCell ref="C139:C140"/>
    <mergeCell ref="C144:C145"/>
    <mergeCell ref="R149:U149"/>
    <mergeCell ref="N144:P144"/>
    <mergeCell ref="Q144:Q145"/>
    <mergeCell ref="R144:R145"/>
    <mergeCell ref="S144:T144"/>
    <mergeCell ref="U144:U145"/>
    <mergeCell ref="F146:J146"/>
    <mergeCell ref="K146:L146"/>
    <mergeCell ref="K141:L141"/>
    <mergeCell ref="K136:L136"/>
    <mergeCell ref="K35:L35"/>
    <mergeCell ref="N35:P35"/>
    <mergeCell ref="Q35:Q36"/>
    <mergeCell ref="R35:R36"/>
    <mergeCell ref="S35:T35"/>
    <mergeCell ref="U35:U36"/>
    <mergeCell ref="K36:L36"/>
    <mergeCell ref="A143:A144"/>
    <mergeCell ref="B143:U143"/>
    <mergeCell ref="B144:B145"/>
    <mergeCell ref="D144:D145"/>
    <mergeCell ref="E144:E145"/>
    <mergeCell ref="F144:J145"/>
    <mergeCell ref="K144:L145"/>
    <mergeCell ref="N139:P139"/>
    <mergeCell ref="Q139:Q140"/>
    <mergeCell ref="R139:R140"/>
    <mergeCell ref="S139:T139"/>
    <mergeCell ref="U139:U140"/>
    <mergeCell ref="K140:L140"/>
    <mergeCell ref="A138:A139"/>
    <mergeCell ref="B138:U138"/>
    <mergeCell ref="B139:B140"/>
    <mergeCell ref="D139:D140"/>
    <mergeCell ref="E139:E140"/>
    <mergeCell ref="F139:F140"/>
    <mergeCell ref="G139:G140"/>
    <mergeCell ref="J139:J140"/>
    <mergeCell ref="K139:L139"/>
    <mergeCell ref="K32:L32"/>
    <mergeCell ref="A34:A35"/>
    <mergeCell ref="B34:U34"/>
    <mergeCell ref="B35:B36"/>
    <mergeCell ref="E35:E36"/>
    <mergeCell ref="F35:F36"/>
    <mergeCell ref="G35:G36"/>
    <mergeCell ref="J35:J36"/>
    <mergeCell ref="H35:H36"/>
    <mergeCell ref="I35:I36"/>
    <mergeCell ref="A29:A31"/>
    <mergeCell ref="B29:U29"/>
    <mergeCell ref="B30:B31"/>
    <mergeCell ref="E30:E31"/>
    <mergeCell ref="F30:F31"/>
    <mergeCell ref="G30:G31"/>
    <mergeCell ref="F25:F26"/>
    <mergeCell ref="G25:G26"/>
    <mergeCell ref="J25:J26"/>
    <mergeCell ref="K25:K26"/>
    <mergeCell ref="L25:O25"/>
    <mergeCell ref="Q25:Q26"/>
    <mergeCell ref="J30:J31"/>
    <mergeCell ref="K30:L30"/>
    <mergeCell ref="M30:P30"/>
    <mergeCell ref="Q30:Q31"/>
    <mergeCell ref="S30:T30"/>
    <mergeCell ref="U30:U31"/>
    <mergeCell ref="K31:L31"/>
    <mergeCell ref="R25:R26"/>
    <mergeCell ref="S25:T25"/>
    <mergeCell ref="U25:U26"/>
    <mergeCell ref="Q20:Q21"/>
    <mergeCell ref="R20:R21"/>
    <mergeCell ref="S20:T20"/>
    <mergeCell ref="U20:U21"/>
    <mergeCell ref="K21:L21"/>
    <mergeCell ref="A24:A25"/>
    <mergeCell ref="B24:U24"/>
    <mergeCell ref="B25:B26"/>
    <mergeCell ref="E25:E26"/>
    <mergeCell ref="A19:A20"/>
    <mergeCell ref="B19:U19"/>
    <mergeCell ref="B20:B21"/>
    <mergeCell ref="E20:E21"/>
    <mergeCell ref="F20:F21"/>
    <mergeCell ref="G20:G21"/>
    <mergeCell ref="J20:J21"/>
    <mergeCell ref="K20:L20"/>
    <mergeCell ref="N20:P20"/>
    <mergeCell ref="L15:L16"/>
    <mergeCell ref="N15:P15"/>
    <mergeCell ref="Q15:Q16"/>
    <mergeCell ref="R15:R16"/>
    <mergeCell ref="S15:T15"/>
    <mergeCell ref="U15:U16"/>
    <mergeCell ref="U10:U11"/>
    <mergeCell ref="A14:A15"/>
    <mergeCell ref="B14:U14"/>
    <mergeCell ref="B15:B16"/>
    <mergeCell ref="E15:E16"/>
    <mergeCell ref="F15:F16"/>
    <mergeCell ref="G15:G16"/>
    <mergeCell ref="J15:J16"/>
    <mergeCell ref="K15:K16"/>
    <mergeCell ref="K10:K11"/>
    <mergeCell ref="L10:L11"/>
    <mergeCell ref="N10:P10"/>
    <mergeCell ref="Q10:Q11"/>
    <mergeCell ref="R10:R11"/>
    <mergeCell ref="S10:T10"/>
    <mergeCell ref="A9:A10"/>
    <mergeCell ref="B9:U9"/>
    <mergeCell ref="B10:B11"/>
    <mergeCell ref="E10:E11"/>
    <mergeCell ref="F10:F11"/>
    <mergeCell ref="G10:G11"/>
    <mergeCell ref="J10:J11"/>
    <mergeCell ref="J5:J6"/>
    <mergeCell ref="K5:K6"/>
    <mergeCell ref="L5:L6"/>
    <mergeCell ref="C5:C6"/>
    <mergeCell ref="N5:P5"/>
    <mergeCell ref="Q5:Q6"/>
    <mergeCell ref="R5:R6"/>
    <mergeCell ref="B1:U1"/>
    <mergeCell ref="B2:U2"/>
    <mergeCell ref="B3:U3"/>
    <mergeCell ref="A4:A5"/>
    <mergeCell ref="B4:U4"/>
    <mergeCell ref="B5:B6"/>
    <mergeCell ref="E5:E6"/>
    <mergeCell ref="F5:F6"/>
    <mergeCell ref="G5:G6"/>
    <mergeCell ref="S5:T5"/>
    <mergeCell ref="U5:U6"/>
  </mergeCells>
  <dataValidations count="3">
    <dataValidation type="list" allowBlank="1" showInputMessage="1" showErrorMessage="1" sqref="J32" xr:uid="{00000000-0002-0000-0600-000000000000}">
      <formula1>$Y$12:$Y$13</formula1>
    </dataValidation>
    <dataValidation type="list" allowBlank="1" showInputMessage="1" showErrorMessage="1" sqref="J17 R17 J7 R141:R142 R7 R12 J12 R22 J22 R27 J27 J141:J142 J37:J137 R37:R137" xr:uid="{00000000-0002-0000-0600-000001000000}">
      <formula1>#REF!</formula1>
    </dataValidation>
    <dataValidation type="list" allowBlank="1" showInputMessage="1" showErrorMessage="1" sqref="R32" xr:uid="{00000000-0002-0000-0600-000002000000}">
      <formula1>$Y$2:$Y$4</formula1>
    </dataValidation>
  </dataValidation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I123"/>
  <sheetViews>
    <sheetView topLeftCell="O1" zoomScale="55" zoomScaleNormal="55" workbookViewId="0">
      <selection activeCell="A13" sqref="A13:XFD17"/>
    </sheetView>
  </sheetViews>
  <sheetFormatPr defaultColWidth="11.42578125" defaultRowHeight="17.25" customHeight="1"/>
  <cols>
    <col min="1" max="1" width="10.140625" style="120" bestFit="1" customWidth="1"/>
    <col min="2" max="2" width="18" style="121" customWidth="1"/>
    <col min="3" max="3" width="18.42578125" style="121" customWidth="1"/>
    <col min="4" max="4" width="26.5703125" style="121" hidden="1" customWidth="1"/>
    <col min="5" max="5" width="43.42578125" style="122" customWidth="1"/>
    <col min="6" max="6" width="61.85546875" style="122" customWidth="1"/>
    <col min="7" max="7" width="44.85546875" style="122" customWidth="1"/>
    <col min="8" max="8" width="19.85546875" style="122" customWidth="1"/>
    <col min="9" max="10" width="24.42578125" style="122" bestFit="1" customWidth="1"/>
    <col min="11" max="11" width="26.140625" style="123" customWidth="1"/>
    <col min="12" max="12" width="24.42578125" style="123" customWidth="1"/>
    <col min="13" max="13" width="23.7109375" style="123" hidden="1" customWidth="1"/>
    <col min="14" max="14" width="22.42578125" style="123" hidden="1" customWidth="1"/>
    <col min="15" max="15" width="27.140625" style="122" customWidth="1"/>
    <col min="16" max="16" width="31.42578125" style="122" customWidth="1"/>
    <col min="17" max="17" width="52.7109375" style="122" customWidth="1"/>
    <col min="18" max="18" width="51.28515625" style="122" customWidth="1"/>
    <col min="19" max="19" width="73.28515625" style="122" customWidth="1"/>
    <col min="20" max="61" width="11.42578125" style="110"/>
    <col min="62" max="16384" width="11.42578125" style="121"/>
  </cols>
  <sheetData>
    <row r="1" spans="1:61" s="110" customFormat="1" ht="17.25" customHeight="1">
      <c r="A1" s="109"/>
      <c r="B1" s="338" t="s">
        <v>55</v>
      </c>
      <c r="C1" s="338"/>
      <c r="D1" s="338"/>
      <c r="E1" s="338"/>
      <c r="F1" s="338"/>
      <c r="G1" s="338"/>
      <c r="H1" s="338"/>
      <c r="I1" s="338"/>
      <c r="J1" s="338"/>
      <c r="K1" s="338"/>
      <c r="L1" s="338"/>
      <c r="M1" s="338"/>
      <c r="N1" s="338"/>
      <c r="O1" s="338"/>
      <c r="P1" s="338"/>
      <c r="Q1" s="338"/>
      <c r="R1" s="338"/>
      <c r="S1" s="338"/>
    </row>
    <row r="2" spans="1:61" s="113" customFormat="1" ht="17.25" customHeight="1">
      <c r="A2" s="111"/>
      <c r="B2" s="339" t="s">
        <v>433</v>
      </c>
      <c r="C2" s="339"/>
      <c r="D2" s="339"/>
      <c r="E2" s="339"/>
      <c r="F2" s="339"/>
      <c r="G2" s="339"/>
      <c r="H2" s="339"/>
      <c r="I2" s="339"/>
      <c r="J2" s="339"/>
      <c r="K2" s="339"/>
      <c r="L2" s="339"/>
      <c r="M2" s="339"/>
      <c r="N2" s="339"/>
      <c r="O2" s="339"/>
      <c r="P2" s="339"/>
      <c r="Q2" s="339"/>
      <c r="R2" s="339"/>
      <c r="S2" s="339"/>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c r="BA2" s="112"/>
    </row>
    <row r="3" spans="1:61" s="113" customFormat="1" ht="17.25" customHeight="1">
      <c r="A3" s="111"/>
      <c r="B3" s="340" t="s">
        <v>434</v>
      </c>
      <c r="C3" s="340"/>
      <c r="D3" s="340"/>
      <c r="E3" s="340"/>
      <c r="F3" s="340"/>
      <c r="G3" s="340"/>
      <c r="H3" s="340"/>
      <c r="I3" s="340"/>
      <c r="J3" s="340"/>
      <c r="K3" s="340"/>
      <c r="L3" s="340"/>
      <c r="M3" s="340"/>
      <c r="N3" s="340"/>
      <c r="O3" s="340"/>
      <c r="P3" s="340"/>
      <c r="Q3" s="340"/>
      <c r="R3" s="340"/>
      <c r="S3" s="340"/>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row>
    <row r="4" spans="1:61" s="114" customFormat="1" ht="17.25" hidden="1" customHeight="1">
      <c r="A4" s="764" t="s">
        <v>435</v>
      </c>
      <c r="B4" s="644" t="s">
        <v>436</v>
      </c>
      <c r="C4" s="644"/>
      <c r="D4" s="644"/>
      <c r="E4" s="644"/>
      <c r="F4" s="644"/>
      <c r="G4" s="644"/>
      <c r="H4" s="644"/>
      <c r="I4" s="644"/>
      <c r="J4" s="644"/>
      <c r="K4" s="644"/>
      <c r="L4" s="644"/>
      <c r="M4" s="644"/>
      <c r="N4" s="644"/>
      <c r="O4" s="644"/>
      <c r="P4" s="644"/>
      <c r="Q4" s="644"/>
      <c r="R4" s="644"/>
      <c r="S4" s="644"/>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2"/>
      <c r="BB4" s="113"/>
      <c r="BC4" s="113"/>
      <c r="BD4" s="113"/>
      <c r="BE4" s="113"/>
      <c r="BF4" s="113"/>
      <c r="BG4" s="113"/>
      <c r="BH4" s="113"/>
      <c r="BI4" s="113"/>
    </row>
    <row r="5" spans="1:61" s="114" customFormat="1" ht="17.25" hidden="1" customHeight="1">
      <c r="A5" s="764"/>
      <c r="B5" s="644" t="s">
        <v>437</v>
      </c>
      <c r="C5" s="336" t="s">
        <v>438</v>
      </c>
      <c r="D5" s="644" t="s">
        <v>439</v>
      </c>
      <c r="E5" s="644" t="s">
        <v>440</v>
      </c>
      <c r="F5" s="644" t="s">
        <v>441</v>
      </c>
      <c r="G5" s="644" t="s">
        <v>442</v>
      </c>
      <c r="H5" s="644" t="s">
        <v>443</v>
      </c>
      <c r="I5" s="644" t="s">
        <v>444</v>
      </c>
      <c r="J5" s="644" t="s">
        <v>445</v>
      </c>
      <c r="K5" s="765"/>
      <c r="L5" s="766" t="s">
        <v>446</v>
      </c>
      <c r="M5" s="766"/>
      <c r="N5" s="766"/>
      <c r="O5" s="644" t="s">
        <v>447</v>
      </c>
      <c r="P5" s="644" t="s">
        <v>448</v>
      </c>
      <c r="Q5" s="644" t="s">
        <v>449</v>
      </c>
      <c r="R5" s="644"/>
      <c r="S5" s="644" t="s">
        <v>450</v>
      </c>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3"/>
      <c r="BC5" s="113"/>
      <c r="BD5" s="113"/>
      <c r="BE5" s="113"/>
      <c r="BF5" s="113"/>
      <c r="BG5" s="113"/>
      <c r="BH5" s="113"/>
      <c r="BI5" s="113"/>
    </row>
    <row r="6" spans="1:61" s="114" customFormat="1" ht="17.25" hidden="1" customHeight="1">
      <c r="A6" s="767"/>
      <c r="B6" s="644"/>
      <c r="C6" s="337"/>
      <c r="D6" s="644" t="s">
        <v>439</v>
      </c>
      <c r="E6" s="644"/>
      <c r="F6" s="644"/>
      <c r="G6" s="644"/>
      <c r="H6" s="644"/>
      <c r="I6" s="644"/>
      <c r="J6" s="644"/>
      <c r="K6" s="768" t="s">
        <v>451</v>
      </c>
      <c r="L6" s="768" t="s">
        <v>452</v>
      </c>
      <c r="M6" s="769" t="s">
        <v>453</v>
      </c>
      <c r="N6" s="769" t="s">
        <v>454</v>
      </c>
      <c r="O6" s="644"/>
      <c r="P6" s="644"/>
      <c r="Q6" s="770" t="s">
        <v>455</v>
      </c>
      <c r="R6" s="770" t="s">
        <v>456</v>
      </c>
      <c r="S6" s="644"/>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3"/>
      <c r="BC6" s="113"/>
      <c r="BD6" s="113"/>
      <c r="BE6" s="113"/>
      <c r="BF6" s="113"/>
      <c r="BG6" s="113"/>
      <c r="BH6" s="113"/>
      <c r="BI6" s="113"/>
    </row>
    <row r="7" spans="1:61" s="113" customFormat="1" ht="17.25" hidden="1" customHeight="1">
      <c r="A7" s="771"/>
      <c r="B7" s="609" t="s">
        <v>457</v>
      </c>
      <c r="C7" s="609"/>
      <c r="D7" s="609"/>
      <c r="E7" s="609"/>
      <c r="F7" s="609"/>
      <c r="G7" s="609"/>
      <c r="H7" s="609"/>
      <c r="I7" s="609"/>
      <c r="J7" s="609"/>
      <c r="K7" s="772"/>
      <c r="L7" s="772"/>
      <c r="M7" s="772"/>
      <c r="N7" s="772"/>
      <c r="O7" s="609"/>
      <c r="P7" s="609"/>
      <c r="Q7" s="609"/>
      <c r="R7" s="609"/>
      <c r="S7" s="609"/>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c r="BA7" s="112"/>
    </row>
    <row r="8" spans="1:61" s="114" customFormat="1" ht="17.25" hidden="1" customHeight="1">
      <c r="A8" s="115"/>
      <c r="K8" s="116"/>
      <c r="L8" s="117"/>
      <c r="M8" s="118"/>
      <c r="N8" s="118"/>
      <c r="T8" s="112"/>
      <c r="U8" s="112"/>
      <c r="V8" s="112"/>
      <c r="W8" s="112"/>
      <c r="X8" s="112"/>
      <c r="Y8" s="112"/>
      <c r="Z8" s="112"/>
      <c r="AA8" s="112"/>
      <c r="AB8" s="112"/>
      <c r="AC8" s="112"/>
      <c r="AD8" s="112"/>
      <c r="AE8" s="112"/>
      <c r="AF8" s="112"/>
      <c r="AG8" s="112"/>
      <c r="AH8" s="112"/>
      <c r="AI8" s="112"/>
      <c r="AJ8" s="112"/>
      <c r="AK8" s="112"/>
      <c r="AL8" s="112"/>
      <c r="AM8" s="112"/>
      <c r="AN8" s="112"/>
      <c r="AO8" s="112"/>
      <c r="AP8" s="112"/>
      <c r="AQ8" s="112"/>
      <c r="AR8" s="112"/>
      <c r="AS8" s="112"/>
      <c r="AT8" s="112"/>
      <c r="AU8" s="112"/>
      <c r="AV8" s="112"/>
      <c r="AW8" s="112"/>
      <c r="AX8" s="112"/>
      <c r="AY8" s="112"/>
      <c r="AZ8" s="112"/>
      <c r="BA8" s="112"/>
      <c r="BB8" s="113"/>
      <c r="BC8" s="113"/>
      <c r="BD8" s="113"/>
      <c r="BE8" s="113"/>
      <c r="BF8" s="113"/>
      <c r="BG8" s="113"/>
      <c r="BH8" s="113"/>
      <c r="BI8" s="113"/>
    </row>
    <row r="9" spans="1:61" s="114" customFormat="1" ht="17.25" hidden="1" customHeight="1">
      <c r="A9" s="764" t="s">
        <v>435</v>
      </c>
      <c r="B9" s="644" t="s">
        <v>458</v>
      </c>
      <c r="C9" s="644"/>
      <c r="D9" s="644"/>
      <c r="E9" s="644"/>
      <c r="F9" s="644"/>
      <c r="G9" s="644"/>
      <c r="H9" s="644"/>
      <c r="I9" s="644"/>
      <c r="J9" s="644"/>
      <c r="K9" s="644"/>
      <c r="L9" s="644"/>
      <c r="M9" s="644"/>
      <c r="N9" s="644"/>
      <c r="O9" s="644"/>
      <c r="P9" s="644"/>
      <c r="Q9" s="644"/>
      <c r="R9" s="644"/>
      <c r="S9" s="644"/>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3"/>
      <c r="BC9" s="113"/>
      <c r="BD9" s="113"/>
      <c r="BE9" s="113"/>
      <c r="BF9" s="113"/>
      <c r="BG9" s="113"/>
      <c r="BH9" s="113"/>
      <c r="BI9" s="113"/>
    </row>
    <row r="10" spans="1:61" s="114" customFormat="1" ht="17.25" hidden="1" customHeight="1">
      <c r="A10" s="764"/>
      <c r="B10" s="644" t="s">
        <v>437</v>
      </c>
      <c r="C10" s="336" t="s">
        <v>438</v>
      </c>
      <c r="D10" s="644" t="s">
        <v>439</v>
      </c>
      <c r="E10" s="644" t="s">
        <v>440</v>
      </c>
      <c r="F10" s="644" t="s">
        <v>441</v>
      </c>
      <c r="G10" s="644" t="s">
        <v>442</v>
      </c>
      <c r="H10" s="644" t="s">
        <v>459</v>
      </c>
      <c r="I10" s="644" t="s">
        <v>444</v>
      </c>
      <c r="J10" s="644" t="s">
        <v>445</v>
      </c>
      <c r="K10" s="765"/>
      <c r="L10" s="766" t="s">
        <v>446</v>
      </c>
      <c r="M10" s="766"/>
      <c r="N10" s="766"/>
      <c r="O10" s="644" t="s">
        <v>447</v>
      </c>
      <c r="P10" s="644" t="s">
        <v>448</v>
      </c>
      <c r="Q10" s="644" t="s">
        <v>449</v>
      </c>
      <c r="R10" s="644"/>
      <c r="S10" s="644" t="s">
        <v>450</v>
      </c>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3"/>
      <c r="BC10" s="113"/>
      <c r="BD10" s="113"/>
      <c r="BE10" s="113"/>
      <c r="BF10" s="113"/>
      <c r="BG10" s="113"/>
      <c r="BH10" s="113"/>
      <c r="BI10" s="113"/>
    </row>
    <row r="11" spans="1:61" s="114" customFormat="1" ht="17.25" hidden="1" customHeight="1">
      <c r="A11" s="767"/>
      <c r="B11" s="644"/>
      <c r="C11" s="337"/>
      <c r="D11" s="644" t="s">
        <v>439</v>
      </c>
      <c r="E11" s="644"/>
      <c r="F11" s="644"/>
      <c r="G11" s="644"/>
      <c r="H11" s="644"/>
      <c r="I11" s="644"/>
      <c r="J11" s="644"/>
      <c r="K11" s="768" t="s">
        <v>451</v>
      </c>
      <c r="L11" s="768" t="s">
        <v>452</v>
      </c>
      <c r="M11" s="769" t="s">
        <v>453</v>
      </c>
      <c r="N11" s="769" t="s">
        <v>454</v>
      </c>
      <c r="O11" s="644"/>
      <c r="P11" s="644"/>
      <c r="Q11" s="770" t="s">
        <v>455</v>
      </c>
      <c r="R11" s="770" t="s">
        <v>456</v>
      </c>
      <c r="S11" s="644"/>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3"/>
      <c r="BC11" s="113"/>
      <c r="BD11" s="113"/>
      <c r="BE11" s="113"/>
      <c r="BF11" s="113"/>
      <c r="BG11" s="113"/>
      <c r="BH11" s="113"/>
      <c r="BI11" s="113"/>
    </row>
    <row r="12" spans="1:61" s="113" customFormat="1" ht="17.25" hidden="1" customHeight="1">
      <c r="A12" s="771"/>
      <c r="B12" s="609" t="s">
        <v>457</v>
      </c>
      <c r="C12" s="609"/>
      <c r="D12" s="609"/>
      <c r="E12" s="609"/>
      <c r="F12" s="609"/>
      <c r="G12" s="609"/>
      <c r="H12" s="609"/>
      <c r="I12" s="609"/>
      <c r="J12" s="609"/>
      <c r="K12" s="772"/>
      <c r="L12" s="772"/>
      <c r="M12" s="772"/>
      <c r="N12" s="772"/>
      <c r="O12" s="609"/>
      <c r="P12" s="609"/>
      <c r="Q12" s="609"/>
      <c r="R12" s="609"/>
      <c r="S12" s="609"/>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row>
    <row r="13" spans="1:61" s="222" customFormat="1" ht="15.75" hidden="1">
      <c r="A13" s="613"/>
      <c r="B13" s="613"/>
      <c r="C13" s="613"/>
      <c r="D13" s="613"/>
      <c r="E13" s="613"/>
      <c r="F13" s="613"/>
      <c r="G13" s="613"/>
      <c r="H13" s="613"/>
      <c r="I13" s="613"/>
      <c r="J13" s="613"/>
      <c r="K13" s="613"/>
      <c r="L13" s="613"/>
      <c r="M13" s="613"/>
      <c r="N13" s="613"/>
      <c r="O13" s="613"/>
      <c r="P13" s="613"/>
      <c r="Q13" s="613"/>
      <c r="R13" s="613"/>
      <c r="S13" s="613"/>
      <c r="T13" s="613"/>
      <c r="U13" s="613"/>
      <c r="V13" s="613"/>
      <c r="W13" s="613"/>
      <c r="X13" s="613"/>
      <c r="Y13" s="613"/>
      <c r="Z13" s="613"/>
      <c r="AA13" s="613"/>
      <c r="AB13" s="613"/>
      <c r="AC13" s="613"/>
      <c r="AD13" s="613"/>
      <c r="AE13" s="613"/>
      <c r="AF13" s="613"/>
      <c r="AG13" s="613"/>
      <c r="AH13" s="613"/>
      <c r="AI13" s="613"/>
      <c r="AJ13" s="613"/>
      <c r="AK13" s="613"/>
      <c r="AL13" s="613"/>
      <c r="AM13" s="613"/>
      <c r="AN13" s="613"/>
      <c r="AO13" s="613"/>
      <c r="AP13" s="613"/>
      <c r="AQ13" s="613"/>
      <c r="AR13" s="613"/>
      <c r="AS13" s="613"/>
      <c r="AT13" s="613"/>
      <c r="AU13" s="613"/>
      <c r="AV13" s="613"/>
      <c r="AW13" s="613"/>
      <c r="AX13" s="613"/>
      <c r="AY13" s="613"/>
      <c r="AZ13" s="613"/>
      <c r="BA13" s="613"/>
      <c r="BB13" s="613"/>
      <c r="BC13" s="613"/>
      <c r="BD13" s="613"/>
      <c r="BE13" s="613"/>
      <c r="BF13" s="613"/>
      <c r="BG13" s="613"/>
      <c r="BH13" s="613"/>
      <c r="BI13" s="613"/>
    </row>
    <row r="14" spans="1:61" s="114" customFormat="1" ht="15.75" hidden="1">
      <c r="A14" s="764" t="s">
        <v>435</v>
      </c>
      <c r="B14" s="644" t="s">
        <v>460</v>
      </c>
      <c r="C14" s="644"/>
      <c r="D14" s="644"/>
      <c r="E14" s="644"/>
      <c r="F14" s="644"/>
      <c r="G14" s="644"/>
      <c r="H14" s="644"/>
      <c r="I14" s="644"/>
      <c r="J14" s="644"/>
      <c r="K14" s="644"/>
      <c r="L14" s="644"/>
      <c r="M14" s="644"/>
      <c r="N14" s="644"/>
      <c r="O14" s="644"/>
      <c r="P14" s="644"/>
      <c r="Q14" s="644"/>
      <c r="R14" s="644"/>
      <c r="S14" s="644"/>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3"/>
      <c r="BC14" s="113"/>
      <c r="BD14" s="113"/>
      <c r="BE14" s="113"/>
      <c r="BF14" s="113"/>
      <c r="BG14" s="113"/>
      <c r="BH14" s="113"/>
      <c r="BI14" s="113"/>
    </row>
    <row r="15" spans="1:61" s="114" customFormat="1" ht="63" hidden="1">
      <c r="A15" s="764"/>
      <c r="B15" s="770" t="s">
        <v>437</v>
      </c>
      <c r="C15" s="336" t="s">
        <v>438</v>
      </c>
      <c r="D15" s="770" t="s">
        <v>439</v>
      </c>
      <c r="E15" s="770" t="s">
        <v>440</v>
      </c>
      <c r="F15" s="770" t="s">
        <v>441</v>
      </c>
      <c r="G15" s="770" t="s">
        <v>442</v>
      </c>
      <c r="H15" s="770" t="s">
        <v>459</v>
      </c>
      <c r="I15" s="770" t="s">
        <v>444</v>
      </c>
      <c r="J15" s="770" t="s">
        <v>445</v>
      </c>
      <c r="K15" s="765"/>
      <c r="L15" s="766" t="s">
        <v>446</v>
      </c>
      <c r="M15" s="766"/>
      <c r="N15" s="766"/>
      <c r="O15" s="770" t="s">
        <v>447</v>
      </c>
      <c r="P15" s="770" t="s">
        <v>448</v>
      </c>
      <c r="Q15" s="644" t="s">
        <v>449</v>
      </c>
      <c r="R15" s="644"/>
      <c r="S15" s="770" t="s">
        <v>450</v>
      </c>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3"/>
      <c r="BC15" s="113"/>
      <c r="BD15" s="113"/>
      <c r="BE15" s="113"/>
      <c r="BF15" s="113"/>
      <c r="BG15" s="113"/>
      <c r="BH15" s="113"/>
      <c r="BI15" s="113"/>
    </row>
    <row r="16" spans="1:61" ht="15.75" hidden="1">
      <c r="C16" s="337"/>
    </row>
    <row r="17" spans="1:61" s="113" customFormat="1" ht="15.75" hidden="1">
      <c r="A17" s="771"/>
      <c r="B17" s="609" t="s">
        <v>508</v>
      </c>
      <c r="C17" s="609"/>
      <c r="D17" s="609"/>
      <c r="E17" s="609"/>
      <c r="F17" s="609"/>
      <c r="G17" s="609"/>
      <c r="H17" s="609"/>
      <c r="I17" s="609"/>
      <c r="J17" s="609"/>
      <c r="K17" s="772"/>
      <c r="L17" s="772"/>
      <c r="M17" s="772"/>
      <c r="N17" s="772"/>
      <c r="O17" s="609"/>
      <c r="P17" s="609"/>
      <c r="Q17" s="609"/>
      <c r="R17" s="609"/>
      <c r="S17" s="609"/>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row>
    <row r="18" spans="1:61" s="114" customFormat="1" ht="16.5" thickBot="1">
      <c r="A18" s="115"/>
      <c r="K18" s="116"/>
      <c r="L18" s="117"/>
      <c r="M18" s="118"/>
      <c r="N18" s="118"/>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3"/>
      <c r="BC18" s="113"/>
      <c r="BD18" s="113"/>
      <c r="BE18" s="113"/>
      <c r="BF18" s="113"/>
      <c r="BG18" s="113"/>
      <c r="BH18" s="113"/>
      <c r="BI18" s="113"/>
    </row>
    <row r="19" spans="1:61" s="114" customFormat="1" ht="17.25" customHeight="1">
      <c r="A19" s="773" t="s">
        <v>435</v>
      </c>
      <c r="B19" s="341" t="s">
        <v>509</v>
      </c>
      <c r="C19" s="342"/>
      <c r="D19" s="342"/>
      <c r="E19" s="342"/>
      <c r="F19" s="342"/>
      <c r="G19" s="342"/>
      <c r="H19" s="342"/>
      <c r="I19" s="342"/>
      <c r="J19" s="342"/>
      <c r="K19" s="342"/>
      <c r="L19" s="342"/>
      <c r="M19" s="342"/>
      <c r="N19" s="342"/>
      <c r="O19" s="342"/>
      <c r="P19" s="342"/>
      <c r="Q19" s="342"/>
      <c r="R19" s="342"/>
      <c r="S19" s="343"/>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3"/>
      <c r="BC19" s="113"/>
      <c r="BD19" s="113"/>
      <c r="BE19" s="113"/>
      <c r="BF19" s="113"/>
      <c r="BG19" s="113"/>
      <c r="BH19" s="113"/>
      <c r="BI19" s="113"/>
    </row>
    <row r="20" spans="1:61" s="114" customFormat="1" ht="17.25" customHeight="1">
      <c r="A20" s="773"/>
      <c r="B20" s="774" t="s">
        <v>437</v>
      </c>
      <c r="C20" s="349" t="s">
        <v>438</v>
      </c>
      <c r="D20" s="600" t="s">
        <v>439</v>
      </c>
      <c r="E20" s="600" t="s">
        <v>440</v>
      </c>
      <c r="F20" s="600" t="s">
        <v>441</v>
      </c>
      <c r="G20" s="600" t="s">
        <v>442</v>
      </c>
      <c r="H20" s="600" t="s">
        <v>459</v>
      </c>
      <c r="I20" s="600"/>
      <c r="J20" s="600"/>
      <c r="K20" s="775"/>
      <c r="L20" s="776" t="s">
        <v>446</v>
      </c>
      <c r="M20" s="776"/>
      <c r="N20" s="776"/>
      <c r="O20" s="600" t="s">
        <v>447</v>
      </c>
      <c r="P20" s="600" t="s">
        <v>448</v>
      </c>
      <c r="Q20" s="600" t="s">
        <v>449</v>
      </c>
      <c r="R20" s="600"/>
      <c r="S20" s="777" t="s">
        <v>450</v>
      </c>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3"/>
      <c r="BC20" s="113"/>
      <c r="BD20" s="113"/>
      <c r="BE20" s="113"/>
      <c r="BF20" s="113"/>
      <c r="BG20" s="113"/>
      <c r="BH20" s="113"/>
      <c r="BI20" s="113"/>
    </row>
    <row r="21" spans="1:61" s="114" customFormat="1" ht="17.25" customHeight="1">
      <c r="A21" s="778"/>
      <c r="B21" s="774"/>
      <c r="C21" s="350"/>
      <c r="D21" s="600" t="s">
        <v>439</v>
      </c>
      <c r="E21" s="600"/>
      <c r="F21" s="600"/>
      <c r="G21" s="600"/>
      <c r="H21" s="600"/>
      <c r="I21" s="600" t="s">
        <v>445</v>
      </c>
      <c r="J21" s="600"/>
      <c r="K21" s="775" t="s">
        <v>451</v>
      </c>
      <c r="L21" s="775" t="s">
        <v>452</v>
      </c>
      <c r="M21" s="779" t="s">
        <v>453</v>
      </c>
      <c r="N21" s="780" t="s">
        <v>454</v>
      </c>
      <c r="O21" s="600"/>
      <c r="P21" s="600"/>
      <c r="Q21" s="781" t="s">
        <v>510</v>
      </c>
      <c r="R21" s="781" t="s">
        <v>456</v>
      </c>
      <c r="S21" s="777"/>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c r="AX21" s="112"/>
      <c r="AY21" s="112"/>
      <c r="AZ21" s="112"/>
      <c r="BA21" s="112"/>
      <c r="BB21" s="113"/>
      <c r="BC21" s="113"/>
      <c r="BD21" s="113"/>
      <c r="BE21" s="113"/>
      <c r="BF21" s="113"/>
      <c r="BG21" s="113"/>
      <c r="BH21" s="113"/>
      <c r="BI21" s="113"/>
    </row>
    <row r="22" spans="1:61" s="125" customFormat="1" ht="17.25" customHeight="1">
      <c r="A22" s="782" t="s">
        <v>825</v>
      </c>
      <c r="B22" s="712" t="s">
        <v>219</v>
      </c>
      <c r="C22" s="712">
        <v>2018</v>
      </c>
      <c r="D22" s="712"/>
      <c r="E22" s="783" t="s">
        <v>826</v>
      </c>
      <c r="F22" s="784"/>
      <c r="G22" s="784"/>
      <c r="H22" s="712" t="s">
        <v>465</v>
      </c>
      <c r="I22" s="712"/>
      <c r="J22" s="712"/>
      <c r="K22" s="785">
        <f>+K23+K24</f>
        <v>78700000</v>
      </c>
      <c r="L22" s="785">
        <f>+L23+L24</f>
        <v>130429.73864333183</v>
      </c>
      <c r="M22" s="786">
        <v>100</v>
      </c>
      <c r="N22" s="786">
        <v>0</v>
      </c>
      <c r="O22" s="787" t="s">
        <v>806</v>
      </c>
      <c r="P22" s="712" t="s">
        <v>465</v>
      </c>
      <c r="Q22" s="788"/>
      <c r="R22" s="788"/>
      <c r="S22" s="691"/>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row>
    <row r="23" spans="1:61" s="113" customFormat="1" ht="17.25" customHeight="1">
      <c r="A23" s="771" t="s">
        <v>827</v>
      </c>
      <c r="B23" s="609" t="s">
        <v>219</v>
      </c>
      <c r="C23" s="609"/>
      <c r="D23" s="609"/>
      <c r="E23" s="612" t="s">
        <v>826</v>
      </c>
      <c r="F23" s="613" t="s">
        <v>828</v>
      </c>
      <c r="G23" s="613" t="s">
        <v>829</v>
      </c>
      <c r="H23" s="609" t="s">
        <v>465</v>
      </c>
      <c r="I23" s="609" t="s">
        <v>830</v>
      </c>
      <c r="J23" s="609"/>
      <c r="K23" s="789">
        <v>47200000</v>
      </c>
      <c r="L23" s="772">
        <f>+K23/$D$98</f>
        <v>78224.697127894062</v>
      </c>
      <c r="M23" s="790">
        <v>100</v>
      </c>
      <c r="N23" s="790">
        <v>0</v>
      </c>
      <c r="O23" s="791" t="s">
        <v>806</v>
      </c>
      <c r="P23" s="609" t="s">
        <v>465</v>
      </c>
      <c r="Q23" s="792">
        <v>43252</v>
      </c>
      <c r="R23" s="792">
        <v>43282</v>
      </c>
      <c r="S23" s="681" t="s">
        <v>831</v>
      </c>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row>
    <row r="24" spans="1:61" s="113" customFormat="1" ht="17.25" customHeight="1">
      <c r="A24" s="771" t="s">
        <v>832</v>
      </c>
      <c r="B24" s="609" t="s">
        <v>219</v>
      </c>
      <c r="C24" s="609"/>
      <c r="D24" s="609"/>
      <c r="E24" s="612" t="s">
        <v>826</v>
      </c>
      <c r="F24" s="613" t="s">
        <v>833</v>
      </c>
      <c r="G24" s="613" t="s">
        <v>834</v>
      </c>
      <c r="H24" s="609" t="s">
        <v>465</v>
      </c>
      <c r="I24" s="609">
        <v>2</v>
      </c>
      <c r="J24" s="609"/>
      <c r="K24" s="789">
        <v>31500000</v>
      </c>
      <c r="L24" s="772">
        <f>+K24/$D$98</f>
        <v>52205.041515437777</v>
      </c>
      <c r="M24" s="790">
        <v>100</v>
      </c>
      <c r="N24" s="790">
        <v>0</v>
      </c>
      <c r="O24" s="791" t="s">
        <v>806</v>
      </c>
      <c r="P24" s="609" t="s">
        <v>465</v>
      </c>
      <c r="Q24" s="792">
        <v>43252</v>
      </c>
      <c r="R24" s="792">
        <v>43282</v>
      </c>
      <c r="S24" s="681" t="s">
        <v>831</v>
      </c>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row>
    <row r="25" spans="1:61" s="113" customFormat="1" ht="17.25" customHeight="1">
      <c r="A25" s="771" t="s">
        <v>386</v>
      </c>
      <c r="B25" s="609" t="s">
        <v>219</v>
      </c>
      <c r="C25" s="609">
        <v>2019</v>
      </c>
      <c r="D25" s="609"/>
      <c r="E25" s="612" t="s">
        <v>835</v>
      </c>
      <c r="F25" s="613" t="s">
        <v>387</v>
      </c>
      <c r="G25" s="613"/>
      <c r="H25" s="609" t="s">
        <v>465</v>
      </c>
      <c r="I25" s="609"/>
      <c r="J25" s="609"/>
      <c r="K25" s="785">
        <f>K26+K27</f>
        <v>443800000</v>
      </c>
      <c r="L25" s="790">
        <f>K25/C99</f>
        <v>695502.27237110166</v>
      </c>
      <c r="M25" s="790">
        <v>100</v>
      </c>
      <c r="N25" s="790">
        <v>0</v>
      </c>
      <c r="O25" s="791" t="s">
        <v>806</v>
      </c>
      <c r="P25" s="609" t="s">
        <v>465</v>
      </c>
      <c r="Q25" s="681" t="s">
        <v>467</v>
      </c>
      <c r="R25" s="681" t="s">
        <v>467</v>
      </c>
      <c r="S25" s="681" t="s">
        <v>481</v>
      </c>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row>
    <row r="26" spans="1:61" s="113" customFormat="1" ht="17.25" customHeight="1">
      <c r="A26" s="771"/>
      <c r="B26" s="609"/>
      <c r="C26" s="609"/>
      <c r="D26" s="609"/>
      <c r="E26" s="612"/>
      <c r="F26" s="613" t="s">
        <v>828</v>
      </c>
      <c r="G26" s="613" t="s">
        <v>829</v>
      </c>
      <c r="H26" s="609" t="s">
        <v>465</v>
      </c>
      <c r="I26" s="793" t="s">
        <v>836</v>
      </c>
      <c r="J26" s="609"/>
      <c r="K26" s="789">
        <v>32800000</v>
      </c>
      <c r="L26" s="790">
        <f t="shared" ref="L26:L27" si="0">K26/C100</f>
        <v>51402.60147312333</v>
      </c>
      <c r="M26" s="790"/>
      <c r="N26" s="790"/>
      <c r="O26" s="791"/>
      <c r="P26" s="609"/>
      <c r="Q26" s="681"/>
      <c r="R26" s="681"/>
      <c r="S26" s="681"/>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row>
    <row r="27" spans="1:61" s="113" customFormat="1" ht="17.25" customHeight="1">
      <c r="A27" s="771"/>
      <c r="B27" s="609"/>
      <c r="C27" s="609"/>
      <c r="D27" s="609"/>
      <c r="E27" s="612"/>
      <c r="F27" s="613" t="s">
        <v>837</v>
      </c>
      <c r="G27" s="613"/>
      <c r="H27" s="609" t="s">
        <v>465</v>
      </c>
      <c r="I27" s="793"/>
      <c r="J27" s="609"/>
      <c r="K27" s="789">
        <v>411000000</v>
      </c>
      <c r="L27" s="790">
        <f t="shared" si="0"/>
        <v>644099.67089797836</v>
      </c>
      <c r="M27" s="790"/>
      <c r="N27" s="790"/>
      <c r="O27" s="791"/>
      <c r="P27" s="609"/>
      <c r="Q27" s="681"/>
      <c r="R27" s="681"/>
      <c r="S27" s="681"/>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2"/>
    </row>
    <row r="28" spans="1:61" s="113" customFormat="1" ht="17.25" customHeight="1">
      <c r="A28" s="771" t="s">
        <v>386</v>
      </c>
      <c r="B28" s="609" t="s">
        <v>219</v>
      </c>
      <c r="C28" s="609">
        <v>2020</v>
      </c>
      <c r="D28" s="609"/>
      <c r="E28" s="612" t="s">
        <v>838</v>
      </c>
      <c r="F28" s="613" t="s">
        <v>387</v>
      </c>
      <c r="G28" s="613"/>
      <c r="H28" s="609" t="s">
        <v>465</v>
      </c>
      <c r="I28" s="609"/>
      <c r="J28" s="609"/>
      <c r="K28" s="785">
        <f>+L28*$D$100</f>
        <v>63810000</v>
      </c>
      <c r="L28" s="790">
        <f>+PEP!H63</f>
        <v>100000</v>
      </c>
      <c r="M28" s="790">
        <v>100</v>
      </c>
      <c r="N28" s="790">
        <v>0</v>
      </c>
      <c r="O28" s="791" t="s">
        <v>806</v>
      </c>
      <c r="P28" s="609" t="s">
        <v>465</v>
      </c>
      <c r="Q28" s="681" t="s">
        <v>467</v>
      </c>
      <c r="R28" s="681" t="s">
        <v>467</v>
      </c>
      <c r="S28" s="681" t="s">
        <v>481</v>
      </c>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2"/>
    </row>
    <row r="29" spans="1:61" s="113" customFormat="1" ht="17.25" customHeight="1">
      <c r="A29" s="771" t="s">
        <v>386</v>
      </c>
      <c r="B29" s="609" t="s">
        <v>219</v>
      </c>
      <c r="C29" s="609">
        <v>2021</v>
      </c>
      <c r="D29" s="609"/>
      <c r="E29" s="612" t="s">
        <v>839</v>
      </c>
      <c r="F29" s="613" t="s">
        <v>387</v>
      </c>
      <c r="G29" s="613"/>
      <c r="H29" s="609" t="s">
        <v>465</v>
      </c>
      <c r="I29" s="609"/>
      <c r="J29" s="609"/>
      <c r="K29" s="785">
        <f>+L29*$D$101</f>
        <v>136596783.77169001</v>
      </c>
      <c r="L29" s="790">
        <f>+PEP!I63</f>
        <v>214067.98898556654</v>
      </c>
      <c r="M29" s="790">
        <v>100</v>
      </c>
      <c r="N29" s="790">
        <v>0</v>
      </c>
      <c r="O29" s="791" t="s">
        <v>806</v>
      </c>
      <c r="P29" s="609" t="s">
        <v>465</v>
      </c>
      <c r="Q29" s="681" t="s">
        <v>467</v>
      </c>
      <c r="R29" s="681" t="s">
        <v>467</v>
      </c>
      <c r="S29" s="681" t="s">
        <v>481</v>
      </c>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row>
    <row r="30" spans="1:61" s="113" customFormat="1" ht="17.25" customHeight="1">
      <c r="A30" s="771"/>
      <c r="B30" s="609" t="s">
        <v>508</v>
      </c>
      <c r="C30" s="609"/>
      <c r="D30" s="609"/>
      <c r="E30" s="609"/>
      <c r="F30" s="609"/>
      <c r="G30" s="609"/>
      <c r="H30" s="609"/>
      <c r="I30" s="609"/>
      <c r="J30" s="609"/>
      <c r="K30" s="790">
        <f>+K22+K25+K28+K29</f>
        <v>722906783.77169001</v>
      </c>
      <c r="L30" s="790">
        <f>+L22+L25+L28+L29</f>
        <v>1140000</v>
      </c>
      <c r="M30" s="790">
        <v>100</v>
      </c>
      <c r="N30" s="790">
        <f>SUM(N23:N23)</f>
        <v>0</v>
      </c>
      <c r="O30" s="681"/>
      <c r="P30" s="609"/>
      <c r="Q30" s="609"/>
      <c r="R30" s="609"/>
      <c r="S30" s="609"/>
      <c r="T30" s="112"/>
      <c r="U30" s="112"/>
      <c r="V30" s="112"/>
      <c r="W30" s="112"/>
      <c r="X30" s="112"/>
      <c r="Y30" s="112"/>
      <c r="Z30" s="112"/>
      <c r="AA30" s="112"/>
      <c r="AB30" s="112"/>
      <c r="AC30" s="112"/>
      <c r="AD30" s="112"/>
      <c r="AE30" s="112"/>
      <c r="AF30" s="112"/>
      <c r="AG30" s="112"/>
      <c r="AH30" s="112"/>
      <c r="AI30" s="112"/>
      <c r="AJ30" s="112"/>
      <c r="AK30" s="112"/>
      <c r="AL30" s="112"/>
      <c r="AM30" s="112"/>
      <c r="AN30" s="112"/>
      <c r="AO30" s="112"/>
      <c r="AP30" s="112"/>
      <c r="AQ30" s="112"/>
      <c r="AR30" s="112"/>
      <c r="AS30" s="112"/>
      <c r="AT30" s="112"/>
      <c r="AU30" s="112"/>
      <c r="AV30" s="112"/>
      <c r="AW30" s="112"/>
      <c r="AX30" s="112"/>
      <c r="AY30" s="112"/>
      <c r="AZ30" s="112"/>
      <c r="BA30" s="112"/>
    </row>
    <row r="31" spans="1:61" s="114" customFormat="1" ht="17.25" customHeight="1">
      <c r="A31" s="115"/>
      <c r="H31" s="126"/>
      <c r="K31" s="116"/>
      <c r="L31" s="127"/>
      <c r="M31" s="127"/>
      <c r="N31" s="127"/>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3"/>
      <c r="BC31" s="113"/>
      <c r="BD31" s="113"/>
      <c r="BE31" s="113"/>
      <c r="BF31" s="113"/>
      <c r="BG31" s="113"/>
      <c r="BH31" s="113"/>
      <c r="BI31" s="113"/>
    </row>
    <row r="32" spans="1:61" s="114" customFormat="1" ht="17.25" customHeight="1">
      <c r="A32" s="773" t="s">
        <v>435</v>
      </c>
      <c r="B32" s="600" t="s">
        <v>511</v>
      </c>
      <c r="C32" s="600"/>
      <c r="D32" s="600"/>
      <c r="E32" s="600"/>
      <c r="F32" s="600"/>
      <c r="G32" s="600"/>
      <c r="H32" s="600"/>
      <c r="I32" s="600"/>
      <c r="J32" s="600"/>
      <c r="K32" s="600"/>
      <c r="L32" s="600"/>
      <c r="M32" s="600"/>
      <c r="N32" s="600"/>
      <c r="O32" s="600"/>
      <c r="P32" s="600"/>
      <c r="Q32" s="600"/>
      <c r="R32" s="600"/>
      <c r="S32" s="600"/>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3"/>
      <c r="BC32" s="113"/>
      <c r="BD32" s="113"/>
      <c r="BE32" s="113"/>
      <c r="BF32" s="113"/>
      <c r="BG32" s="113"/>
      <c r="BH32" s="113"/>
      <c r="BI32" s="113"/>
    </row>
    <row r="33" spans="1:61" s="114" customFormat="1" ht="17.25" customHeight="1">
      <c r="A33" s="773"/>
      <c r="B33" s="600" t="s">
        <v>437</v>
      </c>
      <c r="C33" s="349" t="s">
        <v>438</v>
      </c>
      <c r="D33" s="600" t="s">
        <v>439</v>
      </c>
      <c r="E33" s="600" t="s">
        <v>440</v>
      </c>
      <c r="F33" s="600" t="s">
        <v>441</v>
      </c>
      <c r="G33" s="794" t="s">
        <v>523</v>
      </c>
      <c r="H33" s="600" t="s">
        <v>459</v>
      </c>
      <c r="I33" s="600" t="s">
        <v>445</v>
      </c>
      <c r="J33" s="795" t="s">
        <v>446</v>
      </c>
      <c r="K33" s="795"/>
      <c r="L33" s="795"/>
      <c r="M33" s="795"/>
      <c r="N33" s="780"/>
      <c r="O33" s="600" t="s">
        <v>447</v>
      </c>
      <c r="P33" s="600" t="s">
        <v>448</v>
      </c>
      <c r="Q33" s="600" t="s">
        <v>449</v>
      </c>
      <c r="R33" s="600"/>
      <c r="S33" s="600" t="s">
        <v>450</v>
      </c>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3"/>
      <c r="BC33" s="113"/>
      <c r="BD33" s="113"/>
      <c r="BE33" s="113"/>
      <c r="BF33" s="113"/>
      <c r="BG33" s="113"/>
      <c r="BH33" s="113"/>
      <c r="BI33" s="113"/>
    </row>
    <row r="34" spans="1:61" s="114" customFormat="1" ht="17.25" customHeight="1">
      <c r="A34" s="284"/>
      <c r="B34" s="624"/>
      <c r="C34" s="350"/>
      <c r="D34" s="624" t="s">
        <v>439</v>
      </c>
      <c r="E34" s="624"/>
      <c r="F34" s="624"/>
      <c r="G34" s="348"/>
      <c r="H34" s="624"/>
      <c r="I34" s="624"/>
      <c r="J34" s="796" t="s">
        <v>512</v>
      </c>
      <c r="K34" s="797" t="s">
        <v>451</v>
      </c>
      <c r="L34" s="797" t="s">
        <v>452</v>
      </c>
      <c r="M34" s="798" t="s">
        <v>453</v>
      </c>
      <c r="N34" s="799" t="s">
        <v>454</v>
      </c>
      <c r="O34" s="624"/>
      <c r="P34" s="624"/>
      <c r="Q34" s="800" t="s">
        <v>513</v>
      </c>
      <c r="R34" s="800" t="s">
        <v>514</v>
      </c>
      <c r="S34" s="624"/>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3"/>
      <c r="BC34" s="113"/>
      <c r="BD34" s="113"/>
      <c r="BE34" s="113"/>
      <c r="BF34" s="113"/>
      <c r="BG34" s="113"/>
      <c r="BH34" s="113"/>
      <c r="BI34" s="113"/>
    </row>
    <row r="35" spans="1:61" s="113" customFormat="1" ht="17.25" customHeight="1">
      <c r="A35" s="128"/>
      <c r="B35" s="129" t="s">
        <v>508</v>
      </c>
      <c r="C35" s="129"/>
      <c r="D35" s="129"/>
      <c r="E35" s="129"/>
      <c r="F35" s="129"/>
      <c r="G35" s="129"/>
      <c r="H35" s="129"/>
      <c r="I35" s="129"/>
      <c r="J35" s="130"/>
      <c r="K35" s="131"/>
      <c r="L35" s="131"/>
      <c r="M35" s="131"/>
      <c r="N35" s="132"/>
      <c r="O35" s="129"/>
      <c r="P35" s="129"/>
      <c r="Q35" s="129"/>
      <c r="R35" s="129"/>
      <c r="S35" s="129"/>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row>
    <row r="36" spans="1:61" s="113" customFormat="1" ht="17.25" customHeight="1">
      <c r="A36" s="111"/>
      <c r="K36" s="133"/>
      <c r="L36" s="127"/>
      <c r="M36" s="134"/>
      <c r="N36" s="134"/>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row>
    <row r="37" spans="1:61" s="113" customFormat="1" ht="17.25" hidden="1" customHeight="1">
      <c r="A37" s="344" t="s">
        <v>435</v>
      </c>
      <c r="B37" s="801" t="s">
        <v>522</v>
      </c>
      <c r="C37" s="802"/>
      <c r="D37" s="802"/>
      <c r="E37" s="802"/>
      <c r="F37" s="802"/>
      <c r="G37" s="802"/>
      <c r="H37" s="802"/>
      <c r="I37" s="802"/>
      <c r="J37" s="802"/>
      <c r="K37" s="802"/>
      <c r="L37" s="802"/>
      <c r="M37" s="802"/>
      <c r="N37" s="802"/>
      <c r="O37" s="802"/>
      <c r="P37" s="802"/>
      <c r="Q37" s="802"/>
      <c r="R37" s="802"/>
      <c r="S37" s="803"/>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row>
    <row r="38" spans="1:61" s="113" customFormat="1" ht="17.25" hidden="1" customHeight="1">
      <c r="A38" s="345"/>
      <c r="B38" s="804" t="s">
        <v>437</v>
      </c>
      <c r="C38" s="336" t="s">
        <v>438</v>
      </c>
      <c r="D38" s="644" t="s">
        <v>439</v>
      </c>
      <c r="E38" s="805" t="s">
        <v>440</v>
      </c>
      <c r="F38" s="805" t="s">
        <v>441</v>
      </c>
      <c r="G38" s="804" t="s">
        <v>523</v>
      </c>
      <c r="H38" s="805" t="s">
        <v>459</v>
      </c>
      <c r="I38" s="806"/>
      <c r="J38" s="806"/>
      <c r="K38" s="807" t="s">
        <v>446</v>
      </c>
      <c r="L38" s="808"/>
      <c r="M38" s="808"/>
      <c r="N38" s="809"/>
      <c r="O38" s="804" t="s">
        <v>447</v>
      </c>
      <c r="P38" s="810" t="s">
        <v>448</v>
      </c>
      <c r="Q38" s="644" t="s">
        <v>449</v>
      </c>
      <c r="R38" s="644"/>
      <c r="S38" s="804" t="s">
        <v>450</v>
      </c>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row>
    <row r="39" spans="1:61" s="113" customFormat="1" ht="17.25" hidden="1" customHeight="1">
      <c r="A39" s="346"/>
      <c r="B39" s="347"/>
      <c r="C39" s="337"/>
      <c r="D39" s="644" t="s">
        <v>439</v>
      </c>
      <c r="E39" s="805"/>
      <c r="F39" s="805"/>
      <c r="G39" s="347"/>
      <c r="H39" s="805"/>
      <c r="I39" s="805" t="s">
        <v>445</v>
      </c>
      <c r="J39" s="805"/>
      <c r="K39" s="810" t="s">
        <v>451</v>
      </c>
      <c r="L39" s="135" t="s">
        <v>452</v>
      </c>
      <c r="M39" s="811" t="s">
        <v>453</v>
      </c>
      <c r="N39" s="812" t="s">
        <v>454</v>
      </c>
      <c r="O39" s="347"/>
      <c r="P39" s="810" t="s">
        <v>510</v>
      </c>
      <c r="Q39" s="770" t="s">
        <v>510</v>
      </c>
      <c r="R39" s="770" t="s">
        <v>456</v>
      </c>
      <c r="S39" s="347"/>
      <c r="T39" s="112"/>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c r="AQ39" s="112"/>
      <c r="AR39" s="112"/>
      <c r="AS39" s="112"/>
      <c r="AT39" s="112"/>
      <c r="AU39" s="112"/>
      <c r="AV39" s="112"/>
      <c r="AW39" s="112"/>
      <c r="AX39" s="112"/>
      <c r="AY39" s="112"/>
      <c r="AZ39" s="112"/>
    </row>
    <row r="40" spans="1:61" s="113" customFormat="1" ht="17.25" hidden="1" customHeight="1" thickBot="1">
      <c r="A40" s="813"/>
      <c r="B40" s="814"/>
      <c r="C40" s="814"/>
      <c r="D40" s="814"/>
      <c r="E40" s="815"/>
      <c r="F40" s="815"/>
      <c r="G40" s="815"/>
      <c r="H40" s="815"/>
      <c r="I40" s="816"/>
      <c r="J40" s="817"/>
      <c r="K40" s="818"/>
      <c r="L40" s="818"/>
      <c r="M40" s="818"/>
      <c r="N40" s="818"/>
      <c r="O40" s="819"/>
      <c r="P40" s="815"/>
      <c r="Q40" s="815"/>
      <c r="R40" s="815"/>
      <c r="S40" s="820"/>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c r="AR40" s="112"/>
      <c r="AS40" s="112"/>
      <c r="AT40" s="112"/>
      <c r="AU40" s="112"/>
      <c r="AV40" s="112"/>
      <c r="AW40" s="112"/>
      <c r="AX40" s="112"/>
      <c r="AY40" s="112"/>
      <c r="AZ40" s="112"/>
    </row>
    <row r="41" spans="1:61" s="113" customFormat="1" ht="17.25" hidden="1" customHeight="1">
      <c r="A41" s="111"/>
      <c r="K41" s="133"/>
      <c r="L41" s="127"/>
      <c r="M41" s="134"/>
      <c r="N41" s="134"/>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2"/>
    </row>
    <row r="42" spans="1:61" s="114" customFormat="1" ht="17.25" customHeight="1">
      <c r="A42" s="773" t="s">
        <v>435</v>
      </c>
      <c r="B42" s="600" t="s">
        <v>524</v>
      </c>
      <c r="C42" s="600"/>
      <c r="D42" s="600"/>
      <c r="E42" s="600"/>
      <c r="F42" s="600"/>
      <c r="G42" s="600"/>
      <c r="H42" s="600"/>
      <c r="I42" s="600"/>
      <c r="J42" s="600"/>
      <c r="K42" s="600"/>
      <c r="L42" s="600"/>
      <c r="M42" s="600"/>
      <c r="N42" s="600"/>
      <c r="O42" s="600"/>
      <c r="P42" s="600"/>
      <c r="Q42" s="600"/>
      <c r="R42" s="600"/>
      <c r="S42" s="600"/>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3"/>
      <c r="BC42" s="113"/>
      <c r="BD42" s="113"/>
      <c r="BE42" s="113"/>
      <c r="BF42" s="113"/>
      <c r="BG42" s="113"/>
      <c r="BH42" s="113"/>
      <c r="BI42" s="113"/>
    </row>
    <row r="43" spans="1:61" s="114" customFormat="1" ht="17.25" customHeight="1">
      <c r="A43" s="773"/>
      <c r="B43" s="600" t="s">
        <v>437</v>
      </c>
      <c r="C43" s="349" t="s">
        <v>438</v>
      </c>
      <c r="D43" s="600" t="s">
        <v>439</v>
      </c>
      <c r="E43" s="600" t="s">
        <v>440</v>
      </c>
      <c r="F43" s="600" t="s">
        <v>441</v>
      </c>
      <c r="G43" s="794" t="s">
        <v>523</v>
      </c>
      <c r="H43" s="600" t="s">
        <v>459</v>
      </c>
      <c r="I43" s="600"/>
      <c r="J43" s="600"/>
      <c r="K43" s="775"/>
      <c r="L43" s="776" t="s">
        <v>446</v>
      </c>
      <c r="M43" s="776"/>
      <c r="N43" s="776"/>
      <c r="O43" s="600" t="s">
        <v>447</v>
      </c>
      <c r="P43" s="600" t="s">
        <v>448</v>
      </c>
      <c r="Q43" s="600" t="s">
        <v>449</v>
      </c>
      <c r="R43" s="600"/>
      <c r="S43" s="600" t="s">
        <v>450</v>
      </c>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3"/>
      <c r="BC43" s="113"/>
      <c r="BD43" s="113"/>
      <c r="BE43" s="113"/>
      <c r="BF43" s="113"/>
      <c r="BG43" s="113"/>
      <c r="BH43" s="113"/>
      <c r="BI43" s="113"/>
    </row>
    <row r="44" spans="1:61" s="114" customFormat="1" ht="17.25" customHeight="1">
      <c r="A44" s="778"/>
      <c r="B44" s="600"/>
      <c r="C44" s="350"/>
      <c r="D44" s="600" t="s">
        <v>439</v>
      </c>
      <c r="E44" s="600"/>
      <c r="F44" s="600"/>
      <c r="G44" s="348"/>
      <c r="H44" s="600"/>
      <c r="I44" s="600" t="s">
        <v>445</v>
      </c>
      <c r="J44" s="600"/>
      <c r="K44" s="775" t="s">
        <v>451</v>
      </c>
      <c r="L44" s="775" t="s">
        <v>452</v>
      </c>
      <c r="M44" s="779" t="s">
        <v>453</v>
      </c>
      <c r="N44" s="780" t="s">
        <v>454</v>
      </c>
      <c r="O44" s="600"/>
      <c r="P44" s="600"/>
      <c r="Q44" s="781" t="s">
        <v>510</v>
      </c>
      <c r="R44" s="781" t="s">
        <v>456</v>
      </c>
      <c r="S44" s="600"/>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3"/>
      <c r="BC44" s="113"/>
      <c r="BD44" s="113"/>
      <c r="BE44" s="113"/>
      <c r="BF44" s="113"/>
      <c r="BG44" s="113"/>
      <c r="BH44" s="113"/>
      <c r="BI44" s="113"/>
    </row>
    <row r="45" spans="1:61" s="113" customFormat="1" ht="17.25" customHeight="1">
      <c r="A45" s="771" t="s">
        <v>380</v>
      </c>
      <c r="B45" s="609" t="s">
        <v>219</v>
      </c>
      <c r="C45" s="609">
        <v>2018</v>
      </c>
      <c r="D45" s="609"/>
      <c r="E45" s="612" t="s">
        <v>840</v>
      </c>
      <c r="F45" s="681" t="s">
        <v>841</v>
      </c>
      <c r="G45" s="681" t="s">
        <v>842</v>
      </c>
      <c r="H45" s="609" t="s">
        <v>465</v>
      </c>
      <c r="I45" s="821"/>
      <c r="J45" s="821"/>
      <c r="K45" s="785">
        <v>34526149</v>
      </c>
      <c r="L45" s="822">
        <f>+K45/$D$98</f>
        <v>57220.287044863187</v>
      </c>
      <c r="M45" s="790">
        <v>100</v>
      </c>
      <c r="N45" s="790">
        <v>0</v>
      </c>
      <c r="O45" s="791" t="s">
        <v>806</v>
      </c>
      <c r="P45" s="609" t="s">
        <v>465</v>
      </c>
      <c r="Q45" s="792">
        <v>43221</v>
      </c>
      <c r="R45" s="792">
        <v>43282</v>
      </c>
      <c r="S45" s="609" t="s">
        <v>499</v>
      </c>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row>
    <row r="46" spans="1:61" s="113" customFormat="1" ht="17.25" customHeight="1">
      <c r="A46" s="771" t="s">
        <v>380</v>
      </c>
      <c r="B46" s="609" t="s">
        <v>219</v>
      </c>
      <c r="C46" s="609">
        <v>2019</v>
      </c>
      <c r="D46" s="609"/>
      <c r="E46" s="612" t="s">
        <v>843</v>
      </c>
      <c r="F46" s="613" t="s">
        <v>841</v>
      </c>
      <c r="G46" s="613"/>
      <c r="H46" s="609" t="s">
        <v>465</v>
      </c>
      <c r="I46" s="821"/>
      <c r="J46" s="821"/>
      <c r="K46" s="785">
        <f>K47+K48</f>
        <v>320000000</v>
      </c>
      <c r="L46" s="790">
        <f>+K46/C99</f>
        <v>501488.79485973984</v>
      </c>
      <c r="M46" s="790"/>
      <c r="N46" s="790"/>
      <c r="O46" s="791"/>
      <c r="P46" s="609"/>
      <c r="Q46" s="681"/>
      <c r="R46" s="681"/>
      <c r="S46" s="681"/>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row>
    <row r="47" spans="1:61" s="113" customFormat="1" ht="17.25" customHeight="1">
      <c r="A47" s="771"/>
      <c r="B47" s="609"/>
      <c r="C47" s="609"/>
      <c r="D47" s="609"/>
      <c r="E47" s="612"/>
      <c r="F47" s="613"/>
      <c r="G47" s="613" t="s">
        <v>844</v>
      </c>
      <c r="H47" s="609"/>
      <c r="I47" s="821"/>
      <c r="J47" s="821"/>
      <c r="K47" s="789">
        <v>200000000</v>
      </c>
      <c r="L47" s="790">
        <f t="shared" ref="L47:L48" si="1">+K47/C100</f>
        <v>313430.49678733741</v>
      </c>
      <c r="M47" s="790"/>
      <c r="N47" s="790"/>
      <c r="O47" s="791"/>
      <c r="P47" s="609"/>
      <c r="Q47" s="681"/>
      <c r="R47" s="681"/>
      <c r="S47" s="681"/>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row>
    <row r="48" spans="1:61" s="113" customFormat="1" ht="17.25" customHeight="1">
      <c r="A48" s="771"/>
      <c r="B48" s="609"/>
      <c r="C48" s="609"/>
      <c r="D48" s="609"/>
      <c r="E48" s="612"/>
      <c r="F48" s="613"/>
      <c r="G48" s="613" t="s">
        <v>845</v>
      </c>
      <c r="H48" s="609"/>
      <c r="I48" s="821"/>
      <c r="J48" s="821"/>
      <c r="K48" s="785">
        <v>120000000</v>
      </c>
      <c r="L48" s="786">
        <f t="shared" si="1"/>
        <v>188058.29807240242</v>
      </c>
      <c r="M48" s="790"/>
      <c r="N48" s="790"/>
      <c r="O48" s="791"/>
      <c r="P48" s="609"/>
      <c r="Q48" s="681"/>
      <c r="R48" s="681"/>
      <c r="S48" s="681"/>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row>
    <row r="49" spans="1:53" s="137" customFormat="1" ht="17.25" customHeight="1">
      <c r="A49" s="771" t="s">
        <v>380</v>
      </c>
      <c r="B49" s="609" t="s">
        <v>219</v>
      </c>
      <c r="C49" s="609">
        <v>2020</v>
      </c>
      <c r="D49" s="609"/>
      <c r="E49" s="612" t="s">
        <v>846</v>
      </c>
      <c r="F49" s="613" t="s">
        <v>841</v>
      </c>
      <c r="G49" s="613"/>
      <c r="H49" s="609" t="s">
        <v>465</v>
      </c>
      <c r="I49" s="609"/>
      <c r="J49" s="609"/>
      <c r="K49" s="785">
        <f>+L49*$D$100</f>
        <v>95715000</v>
      </c>
      <c r="L49" s="790">
        <f>+PEP!H56</f>
        <v>150000</v>
      </c>
      <c r="M49" s="823"/>
      <c r="N49" s="823"/>
      <c r="O49" s="791"/>
      <c r="P49" s="609"/>
      <c r="Q49" s="619"/>
      <c r="R49" s="619"/>
      <c r="S49" s="681"/>
      <c r="T49" s="136"/>
      <c r="U49" s="136"/>
      <c r="V49" s="136"/>
      <c r="W49" s="136"/>
      <c r="X49" s="136"/>
      <c r="Y49" s="136"/>
      <c r="Z49" s="136"/>
      <c r="AA49" s="136"/>
      <c r="AB49" s="136"/>
      <c r="AC49" s="136"/>
      <c r="AD49" s="136"/>
      <c r="AE49" s="136"/>
      <c r="AF49" s="136"/>
      <c r="AG49" s="136"/>
      <c r="AH49" s="136"/>
      <c r="AI49" s="136"/>
      <c r="AJ49" s="136"/>
      <c r="AK49" s="136"/>
      <c r="AL49" s="136"/>
      <c r="AM49" s="136"/>
      <c r="AN49" s="136"/>
      <c r="AO49" s="136"/>
      <c r="AP49" s="136"/>
      <c r="AQ49" s="136"/>
      <c r="AR49" s="136"/>
      <c r="AS49" s="136"/>
      <c r="AT49" s="136"/>
      <c r="AU49" s="136"/>
      <c r="AV49" s="136"/>
      <c r="AW49" s="136"/>
      <c r="AX49" s="136"/>
      <c r="AY49" s="136"/>
      <c r="AZ49" s="136"/>
      <c r="BA49" s="136"/>
    </row>
    <row r="50" spans="1:53" s="113" customFormat="1" ht="17.25" customHeight="1">
      <c r="A50" s="771" t="s">
        <v>380</v>
      </c>
      <c r="B50" s="609" t="s">
        <v>219</v>
      </c>
      <c r="C50" s="609">
        <v>2021</v>
      </c>
      <c r="D50" s="609"/>
      <c r="E50" s="612" t="s">
        <v>847</v>
      </c>
      <c r="F50" s="613" t="s">
        <v>841</v>
      </c>
      <c r="G50" s="613"/>
      <c r="H50" s="609" t="s">
        <v>465</v>
      </c>
      <c r="I50" s="821"/>
      <c r="J50" s="821"/>
      <c r="K50" s="785">
        <f>+L50*$D$101</f>
        <v>122062734.8366728</v>
      </c>
      <c r="L50" s="790">
        <f>+PEP!I56</f>
        <v>191290.91809539695</v>
      </c>
      <c r="M50" s="790"/>
      <c r="N50" s="790"/>
      <c r="O50" s="791"/>
      <c r="P50" s="609"/>
      <c r="Q50" s="681"/>
      <c r="R50" s="681"/>
      <c r="S50" s="681"/>
      <c r="T50" s="112"/>
      <c r="U50" s="112"/>
      <c r="V50" s="112"/>
      <c r="W50" s="112"/>
      <c r="X50" s="112"/>
      <c r="Y50" s="112"/>
      <c r="Z50" s="112"/>
      <c r="AA50" s="112"/>
      <c r="AB50" s="112"/>
      <c r="AC50" s="112"/>
      <c r="AD50" s="112"/>
      <c r="AE50" s="112"/>
      <c r="AF50" s="112"/>
      <c r="AG50" s="112"/>
      <c r="AH50" s="112"/>
      <c r="AI50" s="112"/>
      <c r="AJ50" s="112"/>
      <c r="AK50" s="112"/>
      <c r="AL50" s="112"/>
      <c r="AM50" s="112"/>
      <c r="AN50" s="112"/>
      <c r="AO50" s="112"/>
      <c r="AP50" s="112"/>
      <c r="AQ50" s="112"/>
      <c r="AR50" s="112"/>
      <c r="AS50" s="112"/>
      <c r="AT50" s="112"/>
      <c r="AU50" s="112"/>
      <c r="AV50" s="112"/>
      <c r="AW50" s="112"/>
      <c r="AX50" s="112"/>
      <c r="AY50" s="112"/>
      <c r="AZ50" s="112"/>
      <c r="BA50" s="112"/>
    </row>
    <row r="51" spans="1:53" s="113" customFormat="1" ht="17.25" customHeight="1">
      <c r="A51" s="771" t="s">
        <v>376</v>
      </c>
      <c r="B51" s="609" t="s">
        <v>219</v>
      </c>
      <c r="C51" s="609">
        <v>2018</v>
      </c>
      <c r="D51" s="609"/>
      <c r="E51" s="612" t="s">
        <v>848</v>
      </c>
      <c r="F51" s="681" t="s">
        <v>849</v>
      </c>
      <c r="G51" s="619">
        <v>50</v>
      </c>
      <c r="H51" s="609" t="s">
        <v>465</v>
      </c>
      <c r="I51" s="821"/>
      <c r="J51" s="821"/>
      <c r="K51" s="785">
        <f>SUM(K52:K59)</f>
        <v>118585000</v>
      </c>
      <c r="L51" s="822">
        <f t="shared" ref="L51:L60" si="2">+K51/$D$98</f>
        <v>196531.26501930758</v>
      </c>
      <c r="M51" s="790">
        <v>100</v>
      </c>
      <c r="N51" s="790">
        <v>0</v>
      </c>
      <c r="O51" s="791" t="s">
        <v>806</v>
      </c>
      <c r="P51" s="609" t="s">
        <v>465</v>
      </c>
      <c r="Q51" s="681" t="s">
        <v>850</v>
      </c>
      <c r="R51" s="681" t="s">
        <v>850</v>
      </c>
      <c r="S51" s="681" t="s">
        <v>851</v>
      </c>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112"/>
    </row>
    <row r="52" spans="1:53" s="113" customFormat="1" ht="17.25" customHeight="1">
      <c r="A52" s="771"/>
      <c r="B52" s="609"/>
      <c r="C52" s="609"/>
      <c r="D52" s="609"/>
      <c r="E52" s="612"/>
      <c r="F52" s="681" t="s">
        <v>852</v>
      </c>
      <c r="G52" s="619"/>
      <c r="H52" s="609"/>
      <c r="I52" s="821"/>
      <c r="J52" s="821"/>
      <c r="K52" s="789">
        <v>5540000</v>
      </c>
      <c r="L52" s="772">
        <f t="shared" si="2"/>
        <v>9181.4580950960408</v>
      </c>
      <c r="M52" s="790"/>
      <c r="N52" s="790"/>
      <c r="O52" s="791"/>
      <c r="P52" s="609"/>
      <c r="Q52" s="681"/>
      <c r="R52" s="681"/>
      <c r="S52" s="681" t="s">
        <v>851</v>
      </c>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row>
    <row r="53" spans="1:53" s="113" customFormat="1" ht="17.25" customHeight="1">
      <c r="A53" s="771"/>
      <c r="B53" s="609"/>
      <c r="C53" s="609"/>
      <c r="D53" s="609"/>
      <c r="E53" s="612"/>
      <c r="F53" s="681" t="s">
        <v>853</v>
      </c>
      <c r="G53" s="619"/>
      <c r="H53" s="609"/>
      <c r="I53" s="821"/>
      <c r="J53" s="821"/>
      <c r="K53" s="789">
        <v>11305000</v>
      </c>
      <c r="L53" s="772">
        <f t="shared" si="2"/>
        <v>18735.809343873781</v>
      </c>
      <c r="M53" s="790"/>
      <c r="N53" s="790"/>
      <c r="O53" s="791"/>
      <c r="P53" s="609"/>
      <c r="Q53" s="681"/>
      <c r="R53" s="681"/>
      <c r="S53" s="681" t="s">
        <v>851</v>
      </c>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c r="BA53" s="112"/>
    </row>
    <row r="54" spans="1:53" s="113" customFormat="1" ht="17.25" customHeight="1">
      <c r="A54" s="771"/>
      <c r="B54" s="609"/>
      <c r="C54" s="609"/>
      <c r="D54" s="609"/>
      <c r="E54" s="612"/>
      <c r="F54" s="681" t="s">
        <v>854</v>
      </c>
      <c r="G54" s="619"/>
      <c r="H54" s="609"/>
      <c r="I54" s="821"/>
      <c r="J54" s="821"/>
      <c r="K54" s="789">
        <v>15485000</v>
      </c>
      <c r="L54" s="772">
        <f t="shared" si="2"/>
        <v>25663.335487827109</v>
      </c>
      <c r="M54" s="790"/>
      <c r="N54" s="790"/>
      <c r="O54" s="791"/>
      <c r="P54" s="609"/>
      <c r="Q54" s="681"/>
      <c r="R54" s="681"/>
      <c r="S54" s="681" t="s">
        <v>851</v>
      </c>
      <c r="T54" s="112"/>
      <c r="U54" s="112"/>
      <c r="V54" s="112"/>
      <c r="W54" s="112"/>
      <c r="X54" s="112"/>
      <c r="Y54" s="112"/>
      <c r="Z54" s="112"/>
      <c r="AA54" s="112"/>
      <c r="AB54" s="112"/>
      <c r="AC54" s="112"/>
      <c r="AD54" s="112"/>
      <c r="AE54" s="112"/>
      <c r="AF54" s="112"/>
      <c r="AG54" s="112"/>
      <c r="AH54" s="112"/>
      <c r="AI54" s="112"/>
      <c r="AJ54" s="112"/>
      <c r="AK54" s="112"/>
      <c r="AL54" s="112"/>
      <c r="AM54" s="112"/>
      <c r="AN54" s="112"/>
      <c r="AO54" s="112"/>
      <c r="AP54" s="112"/>
      <c r="AQ54" s="112"/>
      <c r="AR54" s="112"/>
      <c r="AS54" s="112"/>
      <c r="AT54" s="112"/>
      <c r="AU54" s="112"/>
      <c r="AV54" s="112"/>
      <c r="AW54" s="112"/>
      <c r="AX54" s="112"/>
      <c r="AY54" s="112"/>
      <c r="AZ54" s="112"/>
      <c r="BA54" s="112"/>
    </row>
    <row r="55" spans="1:53" s="113" customFormat="1" ht="17.25" customHeight="1">
      <c r="A55" s="771"/>
      <c r="B55" s="609"/>
      <c r="C55" s="609"/>
      <c r="D55" s="609"/>
      <c r="E55" s="612"/>
      <c r="F55" s="681" t="s">
        <v>855</v>
      </c>
      <c r="G55" s="619"/>
      <c r="H55" s="609"/>
      <c r="I55" s="821"/>
      <c r="J55" s="821"/>
      <c r="K55" s="789">
        <v>21330000</v>
      </c>
      <c r="L55" s="772">
        <f t="shared" si="2"/>
        <v>35350.270969025012</v>
      </c>
      <c r="M55" s="790"/>
      <c r="N55" s="790"/>
      <c r="O55" s="791"/>
      <c r="P55" s="609"/>
      <c r="Q55" s="681"/>
      <c r="R55" s="681"/>
      <c r="S55" s="681" t="s">
        <v>851</v>
      </c>
      <c r="T55" s="112"/>
      <c r="U55" s="112"/>
      <c r="V55" s="112"/>
      <c r="W55" s="112"/>
      <c r="X55" s="112"/>
      <c r="Y55" s="112"/>
      <c r="Z55" s="112"/>
      <c r="AA55" s="112"/>
      <c r="AB55" s="112"/>
      <c r="AC55" s="112"/>
      <c r="AD55" s="112"/>
      <c r="AE55" s="112"/>
      <c r="AF55" s="112"/>
      <c r="AG55" s="112"/>
      <c r="AH55" s="112"/>
      <c r="AI55" s="112"/>
      <c r="AJ55" s="112"/>
      <c r="AK55" s="112"/>
      <c r="AL55" s="112"/>
      <c r="AM55" s="112"/>
      <c r="AN55" s="112"/>
      <c r="AO55" s="112"/>
      <c r="AP55" s="112"/>
      <c r="AQ55" s="112"/>
      <c r="AR55" s="112"/>
      <c r="AS55" s="112"/>
      <c r="AT55" s="112"/>
      <c r="AU55" s="112"/>
      <c r="AV55" s="112"/>
      <c r="AW55" s="112"/>
      <c r="AX55" s="112"/>
      <c r="AY55" s="112"/>
      <c r="AZ55" s="112"/>
      <c r="BA55" s="112"/>
    </row>
    <row r="56" spans="1:53" s="113" customFormat="1" ht="17.25" customHeight="1">
      <c r="A56" s="771"/>
      <c r="B56" s="609"/>
      <c r="C56" s="609"/>
      <c r="D56" s="609"/>
      <c r="E56" s="612"/>
      <c r="F56" s="681" t="s">
        <v>856</v>
      </c>
      <c r="G56" s="619"/>
      <c r="H56" s="609"/>
      <c r="I56" s="821"/>
      <c r="J56" s="821"/>
      <c r="K56" s="789">
        <v>21450000</v>
      </c>
      <c r="L56" s="772">
        <f t="shared" si="2"/>
        <v>35549.147317655246</v>
      </c>
      <c r="M56" s="790"/>
      <c r="N56" s="790"/>
      <c r="O56" s="791"/>
      <c r="P56" s="609"/>
      <c r="Q56" s="681"/>
      <c r="R56" s="681"/>
      <c r="S56" s="681" t="s">
        <v>851</v>
      </c>
      <c r="T56" s="112"/>
      <c r="U56" s="112"/>
      <c r="V56" s="112"/>
      <c r="W56" s="112"/>
      <c r="X56" s="112"/>
      <c r="Y56" s="112"/>
      <c r="Z56" s="112"/>
      <c r="AA56" s="112"/>
      <c r="AB56" s="112"/>
      <c r="AC56" s="112"/>
      <c r="AD56" s="112"/>
      <c r="AE56" s="112"/>
      <c r="AF56" s="112"/>
      <c r="AG56" s="112"/>
      <c r="AH56" s="112"/>
      <c r="AI56" s="112"/>
      <c r="AJ56" s="112"/>
      <c r="AK56" s="112"/>
      <c r="AL56" s="112"/>
      <c r="AM56" s="112"/>
      <c r="AN56" s="112"/>
      <c r="AO56" s="112"/>
      <c r="AP56" s="112"/>
      <c r="AQ56" s="112"/>
      <c r="AR56" s="112"/>
      <c r="AS56" s="112"/>
      <c r="AT56" s="112"/>
      <c r="AU56" s="112"/>
      <c r="AV56" s="112"/>
      <c r="AW56" s="112"/>
      <c r="AX56" s="112"/>
      <c r="AY56" s="112"/>
      <c r="AZ56" s="112"/>
      <c r="BA56" s="112"/>
    </row>
    <row r="57" spans="1:53" s="113" customFormat="1" ht="17.25" customHeight="1">
      <c r="A57" s="771"/>
      <c r="B57" s="609"/>
      <c r="C57" s="609"/>
      <c r="D57" s="609"/>
      <c r="E57" s="612"/>
      <c r="F57" s="681" t="s">
        <v>857</v>
      </c>
      <c r="G57" s="619"/>
      <c r="H57" s="609"/>
      <c r="I57" s="821"/>
      <c r="J57" s="821"/>
      <c r="K57" s="789">
        <v>20875000</v>
      </c>
      <c r="L57" s="772">
        <f t="shared" si="2"/>
        <v>34596.19814713535</v>
      </c>
      <c r="M57" s="790"/>
      <c r="N57" s="790"/>
      <c r="O57" s="791"/>
      <c r="P57" s="609"/>
      <c r="Q57" s="681"/>
      <c r="R57" s="681"/>
      <c r="S57" s="681" t="s">
        <v>851</v>
      </c>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row>
    <row r="58" spans="1:53" s="113" customFormat="1" ht="17.25" customHeight="1">
      <c r="A58" s="771"/>
      <c r="B58" s="609"/>
      <c r="C58" s="609"/>
      <c r="D58" s="609"/>
      <c r="E58" s="612"/>
      <c r="F58" s="681" t="s">
        <v>858</v>
      </c>
      <c r="G58" s="619"/>
      <c r="H58" s="609"/>
      <c r="I58" s="821"/>
      <c r="J58" s="821"/>
      <c r="K58" s="789">
        <v>18725000</v>
      </c>
      <c r="L58" s="772">
        <f t="shared" si="2"/>
        <v>31032.996900843569</v>
      </c>
      <c r="M58" s="790"/>
      <c r="N58" s="790"/>
      <c r="O58" s="791"/>
      <c r="P58" s="609"/>
      <c r="Q58" s="681"/>
      <c r="R58" s="681"/>
      <c r="S58" s="681" t="s">
        <v>851</v>
      </c>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row>
    <row r="59" spans="1:53" s="113" customFormat="1" ht="17.25" customHeight="1">
      <c r="A59" s="771"/>
      <c r="B59" s="609"/>
      <c r="C59" s="609"/>
      <c r="D59" s="609"/>
      <c r="E59" s="612"/>
      <c r="F59" s="681" t="s">
        <v>859</v>
      </c>
      <c r="G59" s="619"/>
      <c r="H59" s="609"/>
      <c r="I59" s="821"/>
      <c r="J59" s="821"/>
      <c r="K59" s="789">
        <v>3875000</v>
      </c>
      <c r="L59" s="772">
        <f t="shared" si="2"/>
        <v>6422.0487578514731</v>
      </c>
      <c r="M59" s="790"/>
      <c r="N59" s="790"/>
      <c r="O59" s="791"/>
      <c r="P59" s="609"/>
      <c r="Q59" s="681"/>
      <c r="R59" s="681"/>
      <c r="S59" s="681" t="s">
        <v>851</v>
      </c>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2"/>
      <c r="AW59" s="112"/>
      <c r="AX59" s="112"/>
      <c r="AY59" s="112"/>
      <c r="AZ59" s="112"/>
      <c r="BA59" s="112"/>
    </row>
    <row r="60" spans="1:53" s="113" customFormat="1" ht="17.25" customHeight="1">
      <c r="A60" s="771" t="s">
        <v>374</v>
      </c>
      <c r="B60" s="609" t="s">
        <v>219</v>
      </c>
      <c r="C60" s="609">
        <v>2018</v>
      </c>
      <c r="D60" s="609"/>
      <c r="E60" s="612" t="s">
        <v>848</v>
      </c>
      <c r="F60" s="681" t="s">
        <v>860</v>
      </c>
      <c r="G60" s="619" t="s">
        <v>861</v>
      </c>
      <c r="H60" s="609" t="s">
        <v>465</v>
      </c>
      <c r="I60" s="821"/>
      <c r="J60" s="821"/>
      <c r="K60" s="785">
        <f>SUM(K61:K70)</f>
        <v>358091150</v>
      </c>
      <c r="L60" s="822">
        <f t="shared" si="2"/>
        <v>593465.50324002723</v>
      </c>
      <c r="M60" s="790">
        <v>100</v>
      </c>
      <c r="N60" s="790">
        <v>0</v>
      </c>
      <c r="O60" s="791" t="s">
        <v>806</v>
      </c>
      <c r="P60" s="609" t="s">
        <v>465</v>
      </c>
      <c r="Q60" s="792">
        <v>43191</v>
      </c>
      <c r="R60" s="792">
        <v>43252</v>
      </c>
      <c r="S60" s="681" t="s">
        <v>862</v>
      </c>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row>
    <row r="61" spans="1:53" s="113" customFormat="1" ht="17.25" customHeight="1">
      <c r="A61" s="771"/>
      <c r="B61" s="609"/>
      <c r="C61" s="609"/>
      <c r="D61" s="609"/>
      <c r="E61" s="612"/>
      <c r="F61" s="824" t="s">
        <v>863</v>
      </c>
      <c r="G61" s="824">
        <v>55</v>
      </c>
      <c r="H61" s="609" t="s">
        <v>465</v>
      </c>
      <c r="I61" s="821"/>
      <c r="J61" s="821"/>
      <c r="K61" s="789">
        <v>68681700</v>
      </c>
      <c r="L61" s="772">
        <f t="shared" ref="L61:L70" si="3">+K61/$D$98</f>
        <v>113826.3809476458</v>
      </c>
      <c r="M61" s="790"/>
      <c r="N61" s="790"/>
      <c r="O61" s="791"/>
      <c r="P61" s="609"/>
      <c r="Q61" s="792"/>
      <c r="R61" s="792"/>
      <c r="S61" s="681"/>
      <c r="T61" s="112"/>
      <c r="U61" s="112"/>
      <c r="V61" s="112"/>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c r="AU61" s="112"/>
      <c r="AV61" s="112"/>
      <c r="AW61" s="112"/>
      <c r="AX61" s="112"/>
      <c r="AY61" s="112"/>
      <c r="AZ61" s="112"/>
      <c r="BA61" s="112"/>
    </row>
    <row r="62" spans="1:53" s="113" customFormat="1" ht="17.25" customHeight="1">
      <c r="A62" s="771"/>
      <c r="B62" s="609"/>
      <c r="C62" s="609"/>
      <c r="D62" s="609"/>
      <c r="E62" s="612"/>
      <c r="F62" s="824" t="s">
        <v>864</v>
      </c>
      <c r="G62" s="824" t="s">
        <v>865</v>
      </c>
      <c r="H62" s="609"/>
      <c r="I62" s="821"/>
      <c r="J62" s="821"/>
      <c r="K62" s="789"/>
      <c r="L62" s="772"/>
      <c r="M62" s="790"/>
      <c r="N62" s="790"/>
      <c r="O62" s="791"/>
      <c r="P62" s="609"/>
      <c r="Q62" s="792"/>
      <c r="R62" s="792"/>
      <c r="S62" s="681"/>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2"/>
      <c r="AZ62" s="112"/>
      <c r="BA62" s="112"/>
    </row>
    <row r="63" spans="1:53" s="113" customFormat="1" ht="17.25" customHeight="1">
      <c r="A63" s="771"/>
      <c r="B63" s="609"/>
      <c r="C63" s="609"/>
      <c r="D63" s="609"/>
      <c r="E63" s="612"/>
      <c r="F63" s="824" t="s">
        <v>866</v>
      </c>
      <c r="G63" s="824" t="s">
        <v>867</v>
      </c>
      <c r="H63" s="609"/>
      <c r="I63" s="821"/>
      <c r="J63" s="821"/>
      <c r="K63" s="789"/>
      <c r="L63" s="772"/>
      <c r="M63" s="790"/>
      <c r="N63" s="790"/>
      <c r="O63" s="791"/>
      <c r="P63" s="609"/>
      <c r="Q63" s="792"/>
      <c r="R63" s="792"/>
      <c r="S63" s="681"/>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row>
    <row r="64" spans="1:53" s="113" customFormat="1" ht="17.25" customHeight="1">
      <c r="A64" s="771"/>
      <c r="B64" s="609"/>
      <c r="C64" s="609"/>
      <c r="D64" s="609"/>
      <c r="E64" s="612"/>
      <c r="F64" s="824" t="s">
        <v>868</v>
      </c>
      <c r="G64" s="824" t="s">
        <v>869</v>
      </c>
      <c r="H64" s="609"/>
      <c r="I64" s="821"/>
      <c r="J64" s="821"/>
      <c r="K64" s="789"/>
      <c r="L64" s="772"/>
      <c r="M64" s="790"/>
      <c r="N64" s="790"/>
      <c r="O64" s="791"/>
      <c r="P64" s="609"/>
      <c r="Q64" s="792"/>
      <c r="R64" s="792"/>
      <c r="S64" s="681"/>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c r="AU64" s="112"/>
      <c r="AV64" s="112"/>
      <c r="AW64" s="112"/>
      <c r="AX64" s="112"/>
      <c r="AY64" s="112"/>
      <c r="AZ64" s="112"/>
      <c r="BA64" s="112"/>
    </row>
    <row r="65" spans="1:61" s="113" customFormat="1" ht="17.25" customHeight="1">
      <c r="A65" s="771"/>
      <c r="B65" s="609"/>
      <c r="C65" s="609"/>
      <c r="D65" s="609"/>
      <c r="E65" s="612"/>
      <c r="F65" s="619" t="s">
        <v>870</v>
      </c>
      <c r="G65" s="619">
        <v>100</v>
      </c>
      <c r="H65" s="609" t="s">
        <v>465</v>
      </c>
      <c r="I65" s="821"/>
      <c r="J65" s="821"/>
      <c r="K65" s="789">
        <v>97586350</v>
      </c>
      <c r="L65" s="772">
        <f t="shared" si="3"/>
        <v>161730.14136793782</v>
      </c>
      <c r="M65" s="790"/>
      <c r="N65" s="790"/>
      <c r="O65" s="791"/>
      <c r="P65" s="609"/>
      <c r="Q65" s="792"/>
      <c r="R65" s="792"/>
      <c r="S65" s="681"/>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c r="AU65" s="112"/>
      <c r="AV65" s="112"/>
      <c r="AW65" s="112"/>
      <c r="AX65" s="112"/>
      <c r="AY65" s="112"/>
      <c r="AZ65" s="112"/>
      <c r="BA65" s="112"/>
    </row>
    <row r="66" spans="1:61" s="113" customFormat="1" ht="17.25" customHeight="1">
      <c r="A66" s="771"/>
      <c r="B66" s="609"/>
      <c r="C66" s="609"/>
      <c r="D66" s="609"/>
      <c r="E66" s="612"/>
      <c r="F66" s="619" t="s">
        <v>871</v>
      </c>
      <c r="G66" s="619" t="s">
        <v>872</v>
      </c>
      <c r="H66" s="609"/>
      <c r="I66" s="821"/>
      <c r="J66" s="821"/>
      <c r="K66" s="789"/>
      <c r="L66" s="772"/>
      <c r="M66" s="790"/>
      <c r="N66" s="790"/>
      <c r="O66" s="791"/>
      <c r="P66" s="609"/>
      <c r="Q66" s="792"/>
      <c r="R66" s="792"/>
      <c r="S66" s="681"/>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row>
    <row r="67" spans="1:61" s="113" customFormat="1" ht="17.25" customHeight="1">
      <c r="A67" s="771"/>
      <c r="B67" s="609"/>
      <c r="C67" s="609"/>
      <c r="D67" s="609"/>
      <c r="E67" s="612"/>
      <c r="F67" s="619" t="s">
        <v>873</v>
      </c>
      <c r="G67" s="619" t="s">
        <v>874</v>
      </c>
      <c r="H67" s="609"/>
      <c r="I67" s="821"/>
      <c r="J67" s="821"/>
      <c r="K67" s="789"/>
      <c r="L67" s="772"/>
      <c r="M67" s="790"/>
      <c r="N67" s="790"/>
      <c r="O67" s="791"/>
      <c r="P67" s="609"/>
      <c r="Q67" s="792"/>
      <c r="R67" s="792"/>
      <c r="S67" s="681"/>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112"/>
      <c r="AZ67" s="112"/>
      <c r="BA67" s="112"/>
    </row>
    <row r="68" spans="1:61" s="113" customFormat="1" ht="17.25" customHeight="1">
      <c r="A68" s="771"/>
      <c r="B68" s="609"/>
      <c r="C68" s="609"/>
      <c r="D68" s="609"/>
      <c r="E68" s="612"/>
      <c r="F68" s="619" t="s">
        <v>875</v>
      </c>
      <c r="G68" s="619" t="s">
        <v>876</v>
      </c>
      <c r="H68" s="609"/>
      <c r="I68" s="821"/>
      <c r="J68" s="821"/>
      <c r="K68" s="789"/>
      <c r="L68" s="772"/>
      <c r="M68" s="790"/>
      <c r="N68" s="790"/>
      <c r="O68" s="791"/>
      <c r="P68" s="609"/>
      <c r="Q68" s="792"/>
      <c r="R68" s="792"/>
      <c r="S68" s="681"/>
      <c r="T68" s="112"/>
      <c r="U68" s="112"/>
      <c r="V68" s="112"/>
      <c r="W68" s="112"/>
      <c r="X68" s="112"/>
      <c r="Y68" s="112"/>
      <c r="Z68" s="112"/>
      <c r="AA68" s="112"/>
      <c r="AB68" s="112"/>
      <c r="AC68" s="112"/>
      <c r="AD68" s="112"/>
      <c r="AE68" s="112"/>
      <c r="AF68" s="112"/>
      <c r="AG68" s="112"/>
      <c r="AH68" s="112"/>
      <c r="AI68" s="112"/>
      <c r="AJ68" s="112"/>
      <c r="AK68" s="112"/>
      <c r="AL68" s="112"/>
      <c r="AM68" s="112"/>
      <c r="AN68" s="112"/>
      <c r="AO68" s="112"/>
      <c r="AP68" s="112"/>
      <c r="AQ68" s="112"/>
      <c r="AR68" s="112"/>
      <c r="AS68" s="112"/>
      <c r="AT68" s="112"/>
      <c r="AU68" s="112"/>
      <c r="AV68" s="112"/>
      <c r="AW68" s="112"/>
      <c r="AX68" s="112"/>
      <c r="AY68" s="112"/>
      <c r="AZ68" s="112"/>
      <c r="BA68" s="112"/>
    </row>
    <row r="69" spans="1:61" s="113" customFormat="1" ht="17.25" customHeight="1">
      <c r="A69" s="771"/>
      <c r="B69" s="609"/>
      <c r="C69" s="609"/>
      <c r="D69" s="609"/>
      <c r="E69" s="612"/>
      <c r="F69" s="619" t="s">
        <v>877</v>
      </c>
      <c r="G69" s="619" t="s">
        <v>878</v>
      </c>
      <c r="H69" s="609"/>
      <c r="I69" s="821"/>
      <c r="J69" s="821"/>
      <c r="K69" s="789"/>
      <c r="L69" s="772"/>
      <c r="M69" s="790"/>
      <c r="N69" s="790"/>
      <c r="O69" s="791"/>
      <c r="P69" s="609"/>
      <c r="Q69" s="792"/>
      <c r="R69" s="792"/>
      <c r="S69" s="681"/>
      <c r="T69" s="112"/>
      <c r="U69" s="112"/>
      <c r="V69" s="112"/>
      <c r="W69" s="112"/>
      <c r="X69" s="112"/>
      <c r="Y69" s="112"/>
      <c r="Z69" s="112"/>
      <c r="AA69" s="112"/>
      <c r="AB69" s="112"/>
      <c r="AC69" s="112"/>
      <c r="AD69" s="112"/>
      <c r="AE69" s="112"/>
      <c r="AF69" s="112"/>
      <c r="AG69" s="112"/>
      <c r="AH69" s="112"/>
      <c r="AI69" s="112"/>
      <c r="AJ69" s="112"/>
      <c r="AK69" s="112"/>
      <c r="AL69" s="112"/>
      <c r="AM69" s="112"/>
      <c r="AN69" s="112"/>
      <c r="AO69" s="112"/>
      <c r="AP69" s="112"/>
      <c r="AQ69" s="112"/>
      <c r="AR69" s="112"/>
      <c r="AS69" s="112"/>
      <c r="AT69" s="112"/>
      <c r="AU69" s="112"/>
      <c r="AV69" s="112"/>
      <c r="AW69" s="112"/>
      <c r="AX69" s="112"/>
      <c r="AY69" s="112"/>
      <c r="AZ69" s="112"/>
      <c r="BA69" s="112"/>
    </row>
    <row r="70" spans="1:61" s="113" customFormat="1" ht="17.25" customHeight="1">
      <c r="A70" s="771"/>
      <c r="B70" s="609"/>
      <c r="C70" s="609"/>
      <c r="D70" s="609"/>
      <c r="E70" s="612"/>
      <c r="F70" s="681" t="s">
        <v>879</v>
      </c>
      <c r="G70" s="619" t="s">
        <v>880</v>
      </c>
      <c r="H70" s="609" t="s">
        <v>465</v>
      </c>
      <c r="I70" s="821"/>
      <c r="J70" s="821"/>
      <c r="K70" s="789">
        <v>191823100</v>
      </c>
      <c r="L70" s="772">
        <f t="shared" si="3"/>
        <v>317908.98092444357</v>
      </c>
      <c r="M70" s="790"/>
      <c r="N70" s="790"/>
      <c r="O70" s="791"/>
      <c r="P70" s="609"/>
      <c r="Q70" s="792"/>
      <c r="R70" s="792"/>
      <c r="S70" s="681"/>
      <c r="T70" s="112"/>
      <c r="U70" s="112"/>
      <c r="V70" s="112"/>
      <c r="W70" s="112"/>
      <c r="X70" s="112"/>
      <c r="Y70" s="112"/>
      <c r="Z70" s="112"/>
      <c r="AA70" s="112"/>
      <c r="AB70" s="112"/>
      <c r="AC70" s="112"/>
      <c r="AD70" s="112"/>
      <c r="AE70" s="112"/>
      <c r="AF70" s="112"/>
      <c r="AG70" s="112"/>
      <c r="AH70" s="112"/>
      <c r="AI70" s="112"/>
      <c r="AJ70" s="112"/>
      <c r="AK70" s="112"/>
      <c r="AL70" s="112"/>
      <c r="AM70" s="112"/>
      <c r="AN70" s="112"/>
      <c r="AO70" s="112"/>
      <c r="AP70" s="112"/>
      <c r="AQ70" s="112"/>
      <c r="AR70" s="112"/>
      <c r="AS70" s="112"/>
      <c r="AT70" s="112"/>
      <c r="AU70" s="112"/>
      <c r="AV70" s="112"/>
      <c r="AW70" s="112"/>
      <c r="AX70" s="112"/>
      <c r="AY70" s="112"/>
      <c r="AZ70" s="112"/>
      <c r="BA70" s="112"/>
    </row>
    <row r="71" spans="1:61" s="113" customFormat="1" ht="17.25" customHeight="1">
      <c r="A71" s="771" t="s">
        <v>881</v>
      </c>
      <c r="B71" s="609" t="s">
        <v>219</v>
      </c>
      <c r="C71" s="609">
        <v>2018</v>
      </c>
      <c r="D71" s="609"/>
      <c r="E71" s="612" t="s">
        <v>882</v>
      </c>
      <c r="F71" s="681" t="s">
        <v>883</v>
      </c>
      <c r="G71" s="619">
        <v>66</v>
      </c>
      <c r="H71" s="609" t="s">
        <v>465</v>
      </c>
      <c r="I71" s="821"/>
      <c r="J71" s="821"/>
      <c r="K71" s="785">
        <v>12474891</v>
      </c>
      <c r="L71" s="822">
        <f>+K71/$D$98</f>
        <v>20674.673097001938</v>
      </c>
      <c r="M71" s="790">
        <v>100</v>
      </c>
      <c r="N71" s="790">
        <v>0</v>
      </c>
      <c r="O71" s="791" t="s">
        <v>806</v>
      </c>
      <c r="P71" s="609" t="s">
        <v>465</v>
      </c>
      <c r="Q71" s="792"/>
      <c r="R71" s="792"/>
      <c r="S71" s="681"/>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row>
    <row r="72" spans="1:61" s="113" customFormat="1" ht="17.25" customHeight="1">
      <c r="A72" s="771" t="s">
        <v>371</v>
      </c>
      <c r="B72" s="609" t="s">
        <v>219</v>
      </c>
      <c r="C72" s="609">
        <v>2019</v>
      </c>
      <c r="D72" s="609"/>
      <c r="E72" s="612" t="s">
        <v>884</v>
      </c>
      <c r="F72" s="681"/>
      <c r="G72" s="619"/>
      <c r="H72" s="609"/>
      <c r="I72" s="821"/>
      <c r="J72" s="821"/>
      <c r="K72" s="785">
        <f>+K73+K74</f>
        <v>331090170</v>
      </c>
      <c r="L72" s="822">
        <f>+K72/$D$99</f>
        <v>518868.78232251998</v>
      </c>
      <c r="M72" s="790"/>
      <c r="N72" s="790"/>
      <c r="O72" s="791"/>
      <c r="P72" s="609"/>
      <c r="Q72" s="792"/>
      <c r="R72" s="792"/>
      <c r="S72" s="681"/>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row>
    <row r="73" spans="1:61" s="113" customFormat="1" ht="17.25" customHeight="1">
      <c r="D73" s="609"/>
      <c r="E73" s="612" t="s">
        <v>234</v>
      </c>
      <c r="F73" s="681" t="s">
        <v>507</v>
      </c>
      <c r="G73" s="681"/>
      <c r="H73" s="609" t="s">
        <v>465</v>
      </c>
      <c r="I73" s="821"/>
      <c r="J73" s="821"/>
      <c r="K73" s="789">
        <v>239740000</v>
      </c>
      <c r="L73" s="772">
        <f t="shared" ref="L73:L74" si="4">+K73/$D$99</f>
        <v>375709.13649898133</v>
      </c>
      <c r="M73" s="790">
        <v>100</v>
      </c>
      <c r="N73" s="790">
        <v>0</v>
      </c>
      <c r="O73" s="791" t="s">
        <v>806</v>
      </c>
      <c r="P73" s="609" t="s">
        <v>465</v>
      </c>
      <c r="Q73" s="681" t="s">
        <v>526</v>
      </c>
      <c r="R73" s="681" t="s">
        <v>527</v>
      </c>
      <c r="S73" s="681" t="s">
        <v>885</v>
      </c>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row>
    <row r="74" spans="1:61" s="113" customFormat="1" ht="17.25" customHeight="1">
      <c r="A74" s="771"/>
      <c r="B74" s="609"/>
      <c r="C74" s="609"/>
      <c r="D74" s="609"/>
      <c r="E74" s="681" t="s">
        <v>886</v>
      </c>
      <c r="G74" s="681"/>
      <c r="H74" s="609" t="s">
        <v>465</v>
      </c>
      <c r="I74" s="821"/>
      <c r="J74" s="821"/>
      <c r="K74" s="789">
        <v>91350170</v>
      </c>
      <c r="L74" s="772">
        <f t="shared" si="4"/>
        <v>143159.64582353862</v>
      </c>
      <c r="M74" s="790"/>
      <c r="N74" s="790"/>
      <c r="O74" s="791"/>
      <c r="P74" s="609"/>
      <c r="Q74" s="681"/>
      <c r="R74" s="681"/>
      <c r="S74" s="681"/>
      <c r="T74" s="112"/>
      <c r="U74" s="112"/>
      <c r="V74" s="112"/>
      <c r="W74" s="112"/>
      <c r="X74" s="112"/>
      <c r="Y74" s="112"/>
      <c r="Z74" s="112"/>
      <c r="AA74" s="112"/>
      <c r="AB74" s="112"/>
      <c r="AC74" s="112"/>
      <c r="AD74" s="112"/>
      <c r="AE74" s="112"/>
      <c r="AF74" s="112"/>
      <c r="AG74" s="112"/>
      <c r="AH74" s="112"/>
      <c r="AI74" s="112"/>
      <c r="AJ74" s="112"/>
      <c r="AK74" s="112"/>
      <c r="AL74" s="112"/>
      <c r="AM74" s="112"/>
      <c r="AN74" s="112"/>
      <c r="AO74" s="112"/>
      <c r="AP74" s="112"/>
      <c r="AQ74" s="112"/>
      <c r="AR74" s="112"/>
      <c r="AS74" s="112"/>
      <c r="AT74" s="112"/>
      <c r="AU74" s="112"/>
      <c r="AV74" s="112"/>
      <c r="AW74" s="112"/>
      <c r="AX74" s="112"/>
      <c r="AY74" s="112"/>
      <c r="AZ74" s="112"/>
      <c r="BA74" s="112"/>
    </row>
    <row r="75" spans="1:61" s="113" customFormat="1" ht="17.25" customHeight="1">
      <c r="A75" s="771" t="s">
        <v>371</v>
      </c>
      <c r="B75" s="609" t="s">
        <v>219</v>
      </c>
      <c r="C75" s="609">
        <v>2020</v>
      </c>
      <c r="D75" s="609"/>
      <c r="E75" s="612" t="s">
        <v>887</v>
      </c>
      <c r="F75" s="681" t="s">
        <v>507</v>
      </c>
      <c r="G75" s="681"/>
      <c r="H75" s="609" t="s">
        <v>465</v>
      </c>
      <c r="I75" s="821"/>
      <c r="J75" s="821"/>
      <c r="K75" s="789">
        <f>+L75*$D$100</f>
        <v>794785455</v>
      </c>
      <c r="L75" s="790">
        <f>PEP!H50</f>
        <v>1245550</v>
      </c>
      <c r="M75" s="790">
        <v>100</v>
      </c>
      <c r="N75" s="790">
        <v>0</v>
      </c>
      <c r="O75" s="791" t="s">
        <v>806</v>
      </c>
      <c r="P75" s="609" t="s">
        <v>465</v>
      </c>
      <c r="Q75" s="681" t="s">
        <v>526</v>
      </c>
      <c r="R75" s="681" t="s">
        <v>527</v>
      </c>
      <c r="S75" s="681" t="s">
        <v>885</v>
      </c>
      <c r="T75" s="112"/>
      <c r="U75" s="112"/>
      <c r="V75" s="112"/>
      <c r="W75" s="112"/>
      <c r="X75" s="112"/>
      <c r="Y75" s="112"/>
      <c r="Z75" s="112"/>
      <c r="AA75" s="112"/>
      <c r="AB75" s="112"/>
      <c r="AC75" s="112"/>
      <c r="AD75" s="112"/>
      <c r="AE75" s="112"/>
      <c r="AF75" s="112"/>
      <c r="AG75" s="112"/>
      <c r="AH75" s="112"/>
      <c r="AI75" s="112"/>
      <c r="AJ75" s="112"/>
      <c r="AK75" s="112"/>
      <c r="AL75" s="112"/>
      <c r="AM75" s="112"/>
      <c r="AN75" s="112"/>
      <c r="AO75" s="112"/>
      <c r="AP75" s="112"/>
      <c r="AQ75" s="112"/>
      <c r="AR75" s="112"/>
      <c r="AS75" s="112"/>
      <c r="AT75" s="112"/>
      <c r="AU75" s="112"/>
      <c r="AV75" s="112"/>
      <c r="AW75" s="112"/>
      <c r="AX75" s="112"/>
      <c r="AY75" s="112"/>
      <c r="AZ75" s="112"/>
      <c r="BA75" s="112"/>
    </row>
    <row r="76" spans="1:61" s="113" customFormat="1" ht="17.25" customHeight="1">
      <c r="A76" s="771" t="s">
        <v>371</v>
      </c>
      <c r="B76" s="609" t="s">
        <v>219</v>
      </c>
      <c r="C76" s="609">
        <v>2021</v>
      </c>
      <c r="D76" s="609"/>
      <c r="E76" s="612" t="s">
        <v>887</v>
      </c>
      <c r="F76" s="681" t="s">
        <v>507</v>
      </c>
      <c r="G76" s="681"/>
      <c r="H76" s="609" t="s">
        <v>465</v>
      </c>
      <c r="I76" s="821"/>
      <c r="J76" s="821"/>
      <c r="K76" s="789">
        <f>+L76*$D$101</f>
        <v>461163028.73589224</v>
      </c>
      <c r="L76" s="790">
        <f>PEP!I50</f>
        <v>722712.78598321928</v>
      </c>
      <c r="M76" s="790">
        <v>100</v>
      </c>
      <c r="N76" s="790">
        <v>0</v>
      </c>
      <c r="O76" s="791" t="s">
        <v>806</v>
      </c>
      <c r="P76" s="609" t="s">
        <v>465</v>
      </c>
      <c r="Q76" s="681" t="s">
        <v>526</v>
      </c>
      <c r="R76" s="681" t="s">
        <v>527</v>
      </c>
      <c r="S76" s="681" t="s">
        <v>885</v>
      </c>
      <c r="T76" s="112"/>
      <c r="U76" s="112"/>
      <c r="V76" s="112"/>
      <c r="W76" s="112"/>
      <c r="X76" s="112"/>
      <c r="Y76" s="112"/>
      <c r="Z76" s="112"/>
      <c r="AA76" s="112"/>
      <c r="AB76" s="112"/>
      <c r="AC76" s="112"/>
      <c r="AD76" s="112"/>
      <c r="AE76" s="112"/>
      <c r="AF76" s="112"/>
      <c r="AG76" s="112"/>
      <c r="AH76" s="112"/>
      <c r="AI76" s="112"/>
      <c r="AJ76" s="112"/>
      <c r="AK76" s="112"/>
      <c r="AL76" s="112"/>
      <c r="AM76" s="112"/>
      <c r="AN76" s="112"/>
      <c r="AO76" s="112"/>
      <c r="AP76" s="112"/>
      <c r="AQ76" s="112"/>
      <c r="AR76" s="112"/>
      <c r="AS76" s="112"/>
      <c r="AT76" s="112"/>
      <c r="AU76" s="112"/>
      <c r="AV76" s="112"/>
      <c r="AW76" s="112"/>
      <c r="AX76" s="112"/>
      <c r="AY76" s="112"/>
      <c r="AZ76" s="112"/>
      <c r="BA76" s="112"/>
    </row>
    <row r="77" spans="1:61" s="113" customFormat="1" ht="17.25" customHeight="1">
      <c r="A77" s="771"/>
      <c r="B77" s="609" t="s">
        <v>508</v>
      </c>
      <c r="C77" s="609"/>
      <c r="D77" s="609"/>
      <c r="E77" s="609"/>
      <c r="F77" s="609"/>
      <c r="G77" s="609"/>
      <c r="H77" s="609"/>
      <c r="I77" s="825"/>
      <c r="J77" s="825"/>
      <c r="K77" s="772">
        <f>K45+K46+K49+K50+K51+K60+K71+K72+K75+K76</f>
        <v>2648493578.5725651</v>
      </c>
      <c r="L77" s="772">
        <f>L45+L46+L49+L50+L51+L60+L71+L72+L75+L76</f>
        <v>4197803.0096620759</v>
      </c>
      <c r="M77" s="772">
        <v>100</v>
      </c>
      <c r="N77" s="772">
        <v>0</v>
      </c>
      <c r="O77" s="826"/>
      <c r="P77" s="609"/>
      <c r="Q77" s="609"/>
      <c r="R77" s="609"/>
      <c r="S77" s="609"/>
      <c r="T77" s="112"/>
      <c r="U77" s="112"/>
      <c r="V77" s="112"/>
      <c r="W77" s="112"/>
      <c r="X77" s="112"/>
      <c r="Y77" s="112"/>
      <c r="Z77" s="112"/>
      <c r="AA77" s="112"/>
      <c r="AB77" s="112"/>
      <c r="AC77" s="112"/>
      <c r="AD77" s="112"/>
      <c r="AE77" s="112"/>
      <c r="AF77" s="112"/>
      <c r="AG77" s="112"/>
      <c r="AH77" s="112"/>
      <c r="AI77" s="112"/>
      <c r="AJ77" s="112"/>
      <c r="AK77" s="112"/>
      <c r="AL77" s="112"/>
      <c r="AM77" s="112"/>
      <c r="AN77" s="112"/>
      <c r="AO77" s="112"/>
      <c r="AP77" s="112"/>
      <c r="AQ77" s="112"/>
      <c r="AR77" s="112"/>
      <c r="AS77" s="112"/>
      <c r="AT77" s="112"/>
      <c r="AU77" s="112"/>
      <c r="AV77" s="112"/>
      <c r="AW77" s="112"/>
      <c r="AX77" s="112"/>
      <c r="AY77" s="112"/>
      <c r="AZ77" s="112"/>
      <c r="BA77" s="112"/>
    </row>
    <row r="78" spans="1:61" s="114" customFormat="1" ht="17.25" customHeight="1">
      <c r="A78" s="115"/>
      <c r="B78" s="138"/>
      <c r="C78" s="138"/>
      <c r="D78" s="138"/>
      <c r="E78" s="138"/>
      <c r="F78" s="138"/>
      <c r="G78" s="138"/>
      <c r="H78" s="138"/>
      <c r="I78" s="138"/>
      <c r="J78" s="138"/>
      <c r="K78" s="139"/>
      <c r="L78" s="140"/>
      <c r="M78" s="140"/>
      <c r="N78" s="140"/>
      <c r="O78" s="141"/>
      <c r="P78" s="138"/>
      <c r="Q78" s="138"/>
      <c r="R78" s="138"/>
      <c r="S78" s="138"/>
      <c r="T78" s="112"/>
      <c r="U78" s="112"/>
      <c r="V78" s="112"/>
      <c r="W78" s="112"/>
      <c r="X78" s="112"/>
      <c r="Y78" s="112"/>
      <c r="Z78" s="112"/>
      <c r="AA78" s="112"/>
      <c r="AB78" s="112"/>
      <c r="AC78" s="112"/>
      <c r="AD78" s="112"/>
      <c r="AE78" s="112"/>
      <c r="AF78" s="112"/>
      <c r="AG78" s="112"/>
      <c r="AH78" s="112"/>
      <c r="AI78" s="112"/>
      <c r="AJ78" s="112"/>
      <c r="AK78" s="112"/>
      <c r="AL78" s="112"/>
      <c r="AM78" s="112"/>
      <c r="AN78" s="112"/>
      <c r="AO78" s="112"/>
      <c r="AP78" s="112"/>
      <c r="AQ78" s="112"/>
      <c r="AR78" s="112"/>
      <c r="AS78" s="112"/>
      <c r="AT78" s="112"/>
      <c r="AU78" s="112"/>
      <c r="AV78" s="112"/>
      <c r="AW78" s="112"/>
      <c r="AX78" s="112"/>
      <c r="AY78" s="112"/>
      <c r="AZ78" s="112"/>
      <c r="BA78" s="112"/>
      <c r="BB78" s="113"/>
      <c r="BC78" s="113"/>
      <c r="BD78" s="113"/>
      <c r="BE78" s="113"/>
      <c r="BF78" s="113"/>
      <c r="BG78" s="113"/>
      <c r="BH78" s="113"/>
      <c r="BI78" s="113"/>
    </row>
    <row r="79" spans="1:61" s="114" customFormat="1" ht="17.25" hidden="1" customHeight="1">
      <c r="A79" s="764" t="s">
        <v>435</v>
      </c>
      <c r="B79" s="644" t="s">
        <v>592</v>
      </c>
      <c r="C79" s="644"/>
      <c r="D79" s="644"/>
      <c r="E79" s="644"/>
      <c r="F79" s="644"/>
      <c r="G79" s="644"/>
      <c r="H79" s="644"/>
      <c r="I79" s="644"/>
      <c r="J79" s="644"/>
      <c r="K79" s="644"/>
      <c r="L79" s="644"/>
      <c r="M79" s="644"/>
      <c r="N79" s="644"/>
      <c r="O79" s="644"/>
      <c r="P79" s="644"/>
      <c r="Q79" s="644"/>
      <c r="R79" s="644"/>
      <c r="S79" s="644"/>
      <c r="T79" s="112"/>
      <c r="U79" s="112"/>
      <c r="V79" s="112"/>
      <c r="W79" s="112"/>
      <c r="X79" s="112"/>
      <c r="Y79" s="112"/>
      <c r="Z79" s="112"/>
      <c r="AA79" s="112"/>
      <c r="AB79" s="112"/>
      <c r="AC79" s="112"/>
      <c r="AD79" s="112"/>
      <c r="AE79" s="112"/>
      <c r="AF79" s="112"/>
      <c r="AG79" s="112"/>
      <c r="AH79" s="112"/>
      <c r="AI79" s="112"/>
      <c r="AJ79" s="112"/>
      <c r="AK79" s="112"/>
      <c r="AL79" s="112"/>
      <c r="AM79" s="112"/>
      <c r="AN79" s="112"/>
      <c r="AO79" s="112"/>
      <c r="AP79" s="112"/>
      <c r="AQ79" s="112"/>
      <c r="AR79" s="112"/>
      <c r="AS79" s="112"/>
      <c r="AT79" s="112"/>
      <c r="AU79" s="112"/>
      <c r="AV79" s="112"/>
      <c r="AW79" s="112"/>
      <c r="AX79" s="112"/>
      <c r="AY79" s="112"/>
      <c r="AZ79" s="112"/>
      <c r="BA79" s="112"/>
      <c r="BB79" s="113"/>
      <c r="BC79" s="113"/>
      <c r="BD79" s="113"/>
      <c r="BE79" s="113"/>
      <c r="BF79" s="113"/>
      <c r="BG79" s="113"/>
      <c r="BH79" s="113"/>
      <c r="BI79" s="113"/>
    </row>
    <row r="80" spans="1:61" s="114" customFormat="1" ht="17.25" hidden="1" customHeight="1">
      <c r="A80" s="764"/>
      <c r="B80" s="644" t="s">
        <v>437</v>
      </c>
      <c r="C80" s="336" t="s">
        <v>438</v>
      </c>
      <c r="D80" s="644" t="s">
        <v>439</v>
      </c>
      <c r="E80" s="644" t="s">
        <v>440</v>
      </c>
      <c r="F80" s="644" t="s">
        <v>441</v>
      </c>
      <c r="G80" s="804" t="s">
        <v>523</v>
      </c>
      <c r="H80" s="329" t="s">
        <v>459</v>
      </c>
      <c r="I80" s="644"/>
      <c r="J80" s="644"/>
      <c r="K80" s="765"/>
      <c r="L80" s="766" t="s">
        <v>446</v>
      </c>
      <c r="M80" s="766"/>
      <c r="N80" s="766"/>
      <c r="O80" s="644" t="s">
        <v>447</v>
      </c>
      <c r="P80" s="644" t="s">
        <v>448</v>
      </c>
      <c r="Q80" s="644" t="s">
        <v>449</v>
      </c>
      <c r="R80" s="644"/>
      <c r="S80" s="644" t="s">
        <v>450</v>
      </c>
      <c r="T80" s="112"/>
      <c r="U80" s="112"/>
      <c r="V80" s="112"/>
      <c r="W80" s="112"/>
      <c r="X80" s="112"/>
      <c r="Y80" s="112"/>
      <c r="Z80" s="112"/>
      <c r="AA80" s="112"/>
      <c r="AB80" s="112"/>
      <c r="AC80" s="112"/>
      <c r="AD80" s="112"/>
      <c r="AE80" s="112"/>
      <c r="AF80" s="112"/>
      <c r="AG80" s="112"/>
      <c r="AH80" s="112"/>
      <c r="AI80" s="112"/>
      <c r="AJ80" s="112"/>
      <c r="AK80" s="112"/>
      <c r="AL80" s="112"/>
      <c r="AM80" s="112"/>
      <c r="AN80" s="112"/>
      <c r="AO80" s="112"/>
      <c r="AP80" s="112"/>
      <c r="AQ80" s="112"/>
      <c r="AR80" s="112"/>
      <c r="AS80" s="112"/>
      <c r="AT80" s="112"/>
      <c r="AU80" s="112"/>
      <c r="AV80" s="112"/>
      <c r="AW80" s="112"/>
      <c r="AX80" s="112"/>
      <c r="AY80" s="112"/>
      <c r="AZ80" s="112"/>
      <c r="BA80" s="112"/>
      <c r="BB80" s="113"/>
      <c r="BC80" s="113"/>
      <c r="BD80" s="113"/>
      <c r="BE80" s="113"/>
      <c r="BF80" s="113"/>
      <c r="BG80" s="113"/>
      <c r="BH80" s="113"/>
      <c r="BI80" s="113"/>
    </row>
    <row r="81" spans="1:61" s="114" customFormat="1" ht="17.25" hidden="1" customHeight="1">
      <c r="A81" s="767"/>
      <c r="B81" s="644"/>
      <c r="C81" s="337"/>
      <c r="D81" s="644" t="s">
        <v>439</v>
      </c>
      <c r="E81" s="644"/>
      <c r="F81" s="644"/>
      <c r="G81" s="347"/>
      <c r="H81" s="327"/>
      <c r="I81" s="644" t="s">
        <v>445</v>
      </c>
      <c r="J81" s="644"/>
      <c r="K81" s="765" t="s">
        <v>451</v>
      </c>
      <c r="L81" s="765" t="s">
        <v>452</v>
      </c>
      <c r="M81" s="768" t="s">
        <v>453</v>
      </c>
      <c r="N81" s="769" t="s">
        <v>454</v>
      </c>
      <c r="O81" s="644"/>
      <c r="P81" s="644"/>
      <c r="Q81" s="770" t="s">
        <v>510</v>
      </c>
      <c r="R81" s="770" t="s">
        <v>456</v>
      </c>
      <c r="S81" s="644"/>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c r="AP81" s="112"/>
      <c r="AQ81" s="112"/>
      <c r="AR81" s="112"/>
      <c r="AS81" s="112"/>
      <c r="AT81" s="112"/>
      <c r="AU81" s="112"/>
      <c r="AV81" s="112"/>
      <c r="AW81" s="112"/>
      <c r="AX81" s="112"/>
      <c r="AY81" s="112"/>
      <c r="AZ81" s="112"/>
      <c r="BA81" s="112"/>
      <c r="BB81" s="113"/>
      <c r="BC81" s="113"/>
      <c r="BD81" s="113"/>
      <c r="BE81" s="113"/>
      <c r="BF81" s="113"/>
      <c r="BG81" s="113"/>
      <c r="BH81" s="113"/>
      <c r="BI81" s="113"/>
    </row>
    <row r="82" spans="1:61" s="113" customFormat="1" ht="17.25" hidden="1" customHeight="1">
      <c r="A82" s="771"/>
      <c r="B82" s="609"/>
      <c r="C82" s="609"/>
      <c r="D82" s="609"/>
      <c r="E82" s="680"/>
      <c r="F82" s="681"/>
      <c r="G82" s="681"/>
      <c r="H82" s="609"/>
      <c r="I82" s="825"/>
      <c r="J82" s="825"/>
      <c r="K82" s="772"/>
      <c r="L82" s="772"/>
      <c r="M82" s="772"/>
      <c r="N82" s="772"/>
      <c r="O82" s="826"/>
      <c r="P82" s="609"/>
      <c r="Q82" s="609"/>
      <c r="R82" s="609"/>
      <c r="S82" s="609"/>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row>
    <row r="83" spans="1:61" s="114" customFormat="1" ht="17.25" hidden="1" customHeight="1">
      <c r="A83" s="115"/>
      <c r="B83" s="138"/>
      <c r="C83" s="138"/>
      <c r="D83" s="138"/>
      <c r="E83" s="138"/>
      <c r="F83" s="138"/>
      <c r="G83" s="138"/>
      <c r="H83" s="138"/>
      <c r="I83" s="138"/>
      <c r="J83" s="138"/>
      <c r="K83" s="139"/>
      <c r="L83" s="139"/>
      <c r="M83" s="142"/>
      <c r="N83" s="143"/>
      <c r="O83" s="141"/>
      <c r="P83" s="138"/>
      <c r="Q83" s="138"/>
      <c r="R83" s="138"/>
      <c r="S83" s="138"/>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3"/>
      <c r="BC83" s="113"/>
      <c r="BD83" s="113"/>
      <c r="BE83" s="113"/>
      <c r="BF83" s="113"/>
      <c r="BG83" s="113"/>
      <c r="BH83" s="113"/>
      <c r="BI83" s="113"/>
    </row>
    <row r="84" spans="1:61" s="114" customFormat="1" ht="17.25" hidden="1" customHeight="1">
      <c r="A84" s="764" t="s">
        <v>435</v>
      </c>
      <c r="B84" s="644" t="s">
        <v>593</v>
      </c>
      <c r="C84" s="644"/>
      <c r="D84" s="644"/>
      <c r="E84" s="644"/>
      <c r="F84" s="644"/>
      <c r="G84" s="644"/>
      <c r="H84" s="644"/>
      <c r="I84" s="644"/>
      <c r="J84" s="644"/>
      <c r="K84" s="644"/>
      <c r="L84" s="644"/>
      <c r="M84" s="644"/>
      <c r="N84" s="644"/>
      <c r="O84" s="644"/>
      <c r="P84" s="644"/>
      <c r="Q84" s="644"/>
      <c r="R84" s="644"/>
      <c r="S84" s="644"/>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3"/>
      <c r="BC84" s="113"/>
      <c r="BD84" s="113"/>
      <c r="BE84" s="113"/>
      <c r="BF84" s="113"/>
      <c r="BG84" s="113"/>
      <c r="BH84" s="113"/>
      <c r="BI84" s="113"/>
    </row>
    <row r="85" spans="1:61" s="114" customFormat="1" ht="17.25" hidden="1" customHeight="1">
      <c r="A85" s="764"/>
      <c r="B85" s="644" t="s">
        <v>437</v>
      </c>
      <c r="C85" s="336" t="s">
        <v>438</v>
      </c>
      <c r="D85" s="644" t="s">
        <v>439</v>
      </c>
      <c r="E85" s="644" t="s">
        <v>594</v>
      </c>
      <c r="F85" s="329" t="s">
        <v>441</v>
      </c>
      <c r="G85" s="804" t="s">
        <v>523</v>
      </c>
      <c r="H85" s="329" t="s">
        <v>459</v>
      </c>
      <c r="I85" s="644" t="s">
        <v>445</v>
      </c>
      <c r="J85" s="644"/>
      <c r="K85" s="765"/>
      <c r="L85" s="766" t="s">
        <v>446</v>
      </c>
      <c r="M85" s="766"/>
      <c r="N85" s="766"/>
      <c r="O85" s="644" t="s">
        <v>447</v>
      </c>
      <c r="P85" s="827" t="s">
        <v>595</v>
      </c>
      <c r="Q85" s="644" t="s">
        <v>449</v>
      </c>
      <c r="R85" s="644"/>
      <c r="S85" s="644" t="s">
        <v>596</v>
      </c>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3"/>
      <c r="BC85" s="113"/>
      <c r="BD85" s="113"/>
      <c r="BE85" s="113"/>
      <c r="BF85" s="113"/>
      <c r="BG85" s="113"/>
      <c r="BH85" s="113"/>
      <c r="BI85" s="113"/>
    </row>
    <row r="86" spans="1:61" s="114" customFormat="1" ht="17.25" hidden="1" customHeight="1">
      <c r="A86" s="767"/>
      <c r="B86" s="644"/>
      <c r="C86" s="337"/>
      <c r="D86" s="644" t="s">
        <v>439</v>
      </c>
      <c r="E86" s="644"/>
      <c r="F86" s="327"/>
      <c r="G86" s="347"/>
      <c r="H86" s="327"/>
      <c r="I86" s="644"/>
      <c r="J86" s="644"/>
      <c r="K86" s="765" t="s">
        <v>451</v>
      </c>
      <c r="L86" s="765" t="s">
        <v>452</v>
      </c>
      <c r="M86" s="765" t="s">
        <v>453</v>
      </c>
      <c r="N86" s="768" t="s">
        <v>454</v>
      </c>
      <c r="O86" s="644"/>
      <c r="P86" s="827"/>
      <c r="Q86" s="770" t="s">
        <v>597</v>
      </c>
      <c r="R86" s="770" t="s">
        <v>598</v>
      </c>
      <c r="S86" s="644"/>
      <c r="T86" s="112"/>
      <c r="U86" s="112"/>
      <c r="V86" s="112"/>
      <c r="W86" s="112"/>
      <c r="X86" s="112"/>
      <c r="Y86" s="112"/>
      <c r="Z86" s="112"/>
      <c r="AA86" s="112"/>
      <c r="AB86" s="112"/>
      <c r="AC86" s="112"/>
      <c r="AD86" s="112"/>
      <c r="AE86" s="112"/>
      <c r="AF86" s="112"/>
      <c r="AG86" s="112"/>
      <c r="AH86" s="112"/>
      <c r="AI86" s="112"/>
      <c r="AJ86" s="112"/>
      <c r="AK86" s="112"/>
      <c r="AL86" s="112"/>
      <c r="AM86" s="112"/>
      <c r="AN86" s="112"/>
      <c r="AO86" s="112"/>
      <c r="AP86" s="112"/>
      <c r="AQ86" s="112"/>
      <c r="AR86" s="112"/>
      <c r="AS86" s="112"/>
      <c r="AT86" s="112"/>
      <c r="AU86" s="112"/>
      <c r="AV86" s="112"/>
      <c r="AW86" s="112"/>
      <c r="AX86" s="112"/>
      <c r="AY86" s="112"/>
      <c r="AZ86" s="112"/>
      <c r="BA86" s="112"/>
      <c r="BB86" s="113"/>
      <c r="BC86" s="113"/>
      <c r="BD86" s="113"/>
      <c r="BE86" s="113"/>
      <c r="BF86" s="113"/>
      <c r="BG86" s="113"/>
      <c r="BH86" s="113"/>
      <c r="BI86" s="113"/>
    </row>
    <row r="87" spans="1:61" s="113" customFormat="1" ht="17.25" hidden="1" customHeight="1">
      <c r="A87" s="771"/>
      <c r="B87" s="609" t="s">
        <v>508</v>
      </c>
      <c r="C87" s="609"/>
      <c r="D87" s="609"/>
      <c r="E87" s="609"/>
      <c r="F87" s="825"/>
      <c r="G87" s="825"/>
      <c r="H87" s="825"/>
      <c r="I87" s="825"/>
      <c r="J87" s="825"/>
      <c r="K87" s="828"/>
      <c r="L87" s="828"/>
      <c r="M87" s="828"/>
      <c r="N87" s="829"/>
      <c r="O87" s="826"/>
      <c r="P87" s="826"/>
      <c r="Q87" s="609"/>
      <c r="R87" s="609"/>
      <c r="S87" s="609"/>
      <c r="T87" s="112"/>
      <c r="U87" s="112"/>
      <c r="V87" s="112"/>
      <c r="W87" s="112"/>
      <c r="X87" s="112"/>
      <c r="Y87" s="112"/>
      <c r="Z87" s="112"/>
      <c r="AA87" s="112"/>
      <c r="AB87" s="112"/>
      <c r="AC87" s="112"/>
      <c r="AD87" s="112"/>
      <c r="AE87" s="112"/>
      <c r="AF87" s="112"/>
      <c r="AG87" s="112"/>
      <c r="AH87" s="112"/>
      <c r="AI87" s="112"/>
      <c r="AJ87" s="112"/>
      <c r="AK87" s="112"/>
      <c r="AL87" s="112"/>
      <c r="AM87" s="112"/>
      <c r="AN87" s="112"/>
      <c r="AO87" s="112"/>
      <c r="AP87" s="112"/>
      <c r="AQ87" s="112"/>
      <c r="AR87" s="112"/>
      <c r="AS87" s="112"/>
      <c r="AT87" s="112"/>
      <c r="AU87" s="112"/>
      <c r="AV87" s="112"/>
      <c r="AW87" s="112"/>
      <c r="AX87" s="112"/>
      <c r="AY87" s="112"/>
      <c r="AZ87" s="112"/>
      <c r="BA87" s="112"/>
    </row>
    <row r="88" spans="1:61" s="144" customFormat="1" ht="17.25" hidden="1" customHeight="1">
      <c r="A88" s="771"/>
      <c r="B88" s="824"/>
      <c r="C88" s="824"/>
      <c r="D88" s="824"/>
      <c r="E88" s="824"/>
      <c r="F88" s="824"/>
      <c r="G88" s="824"/>
      <c r="H88" s="824"/>
      <c r="I88" s="824"/>
      <c r="J88" s="824"/>
      <c r="K88" s="830"/>
      <c r="L88" s="831"/>
      <c r="M88" s="832"/>
      <c r="N88" s="832"/>
      <c r="O88" s="824"/>
      <c r="P88" s="824"/>
      <c r="Q88" s="824"/>
      <c r="R88" s="824"/>
      <c r="S88" s="824"/>
      <c r="T88" s="112"/>
      <c r="U88" s="112"/>
      <c r="V88" s="112"/>
      <c r="W88" s="112"/>
      <c r="X88" s="112"/>
      <c r="Y88" s="112"/>
      <c r="Z88" s="112"/>
      <c r="AA88" s="112"/>
      <c r="AB88" s="112"/>
      <c r="AC88" s="112"/>
      <c r="AD88" s="112"/>
      <c r="AE88" s="112"/>
      <c r="AF88" s="112"/>
      <c r="AG88" s="112"/>
      <c r="AH88" s="112"/>
      <c r="AI88" s="112"/>
      <c r="AJ88" s="112"/>
      <c r="AK88" s="112"/>
      <c r="AL88" s="112"/>
      <c r="AM88" s="112"/>
      <c r="AN88" s="112"/>
      <c r="AO88" s="112"/>
      <c r="AP88" s="112"/>
      <c r="AQ88" s="112"/>
      <c r="AR88" s="112"/>
      <c r="AS88" s="112"/>
      <c r="AT88" s="112"/>
      <c r="AU88" s="112"/>
      <c r="AV88" s="112"/>
      <c r="AW88" s="112"/>
      <c r="AX88" s="112"/>
      <c r="AY88" s="112"/>
      <c r="AZ88" s="112"/>
      <c r="BA88" s="112"/>
      <c r="BB88" s="833"/>
      <c r="BC88" s="824"/>
      <c r="BD88" s="824"/>
      <c r="BE88" s="824"/>
      <c r="BF88" s="824"/>
      <c r="BG88" s="824"/>
      <c r="BH88" s="824"/>
      <c r="BI88" s="824"/>
    </row>
    <row r="89" spans="1:61" s="113" customFormat="1" ht="17.25" customHeight="1">
      <c r="A89" s="111"/>
      <c r="M89" s="134"/>
      <c r="N89" s="134"/>
      <c r="P89" s="834"/>
      <c r="Q89" s="834"/>
      <c r="R89" s="834"/>
      <c r="S89" s="834"/>
      <c r="T89" s="112"/>
      <c r="U89" s="112"/>
      <c r="V89" s="112"/>
      <c r="W89" s="112"/>
      <c r="X89" s="112"/>
      <c r="Y89" s="112"/>
      <c r="Z89" s="112"/>
      <c r="AA89" s="112"/>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row>
    <row r="90" spans="1:61" s="113" customFormat="1" ht="17.25" customHeight="1">
      <c r="A90" s="111"/>
      <c r="B90" s="835" t="s">
        <v>428</v>
      </c>
      <c r="C90" s="835"/>
      <c r="D90" s="835"/>
      <c r="E90" s="835"/>
      <c r="F90" s="835"/>
      <c r="G90" s="835"/>
      <c r="H90" s="835"/>
      <c r="I90" s="835"/>
      <c r="J90" s="835"/>
      <c r="K90" s="836">
        <f>+K77+K30+K82+K17+K12+K7+K35+K40+K88</f>
        <v>3371400362.344255</v>
      </c>
      <c r="L90" s="836">
        <f>+L77+L30+L82+L17+L12+L7+L35+L40+L88</f>
        <v>5337803.0096620759</v>
      </c>
      <c r="M90" s="134"/>
      <c r="N90" s="134"/>
      <c r="O90" s="113" t="s">
        <v>888</v>
      </c>
      <c r="P90" s="145"/>
      <c r="Q90" s="145"/>
      <c r="R90" s="145"/>
      <c r="S90" s="145"/>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row>
    <row r="91" spans="1:61" s="113" customFormat="1" ht="17.25" customHeight="1">
      <c r="A91" s="111"/>
      <c r="B91" s="835">
        <v>2018</v>
      </c>
      <c r="C91" s="835"/>
      <c r="D91" s="835"/>
      <c r="E91" s="835"/>
      <c r="F91" s="835"/>
      <c r="G91" s="835"/>
      <c r="H91" s="835"/>
      <c r="I91" s="835"/>
      <c r="J91" s="835"/>
      <c r="K91" s="836">
        <f>+K22+K45+K51+K60+K71</f>
        <v>602377190</v>
      </c>
      <c r="L91" s="836">
        <f>+L22+L45+L51+L60+L71</f>
        <v>998321.46704453183</v>
      </c>
      <c r="M91" s="134"/>
      <c r="N91" s="134"/>
      <c r="O91" s="225">
        <f>1163815000-K91</f>
        <v>561437810</v>
      </c>
      <c r="P91" s="145"/>
      <c r="Q91" s="145"/>
      <c r="R91" s="145"/>
      <c r="S91" s="145"/>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row>
    <row r="92" spans="1:61" s="113" customFormat="1" ht="17.25" customHeight="1">
      <c r="A92" s="111"/>
      <c r="B92" s="835">
        <v>2019</v>
      </c>
      <c r="C92" s="835"/>
      <c r="D92" s="835"/>
      <c r="E92" s="835"/>
      <c r="F92" s="835"/>
      <c r="G92" s="835"/>
      <c r="H92" s="835"/>
      <c r="I92" s="835"/>
      <c r="J92" s="835"/>
      <c r="K92" s="836">
        <f>+K25+K46+K73</f>
        <v>1003540000</v>
      </c>
      <c r="L92" s="836">
        <f>+L25+L46+L73</f>
        <v>1572700.203729823</v>
      </c>
      <c r="M92" s="134"/>
      <c r="N92" s="134"/>
      <c r="P92" s="145"/>
      <c r="Q92" s="145"/>
      <c r="R92" s="145"/>
      <c r="S92" s="145"/>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row>
    <row r="93" spans="1:61" s="113" customFormat="1" ht="17.25" customHeight="1">
      <c r="A93" s="111"/>
      <c r="B93" s="835">
        <v>2020</v>
      </c>
      <c r="C93" s="835"/>
      <c r="D93" s="835"/>
      <c r="E93" s="835"/>
      <c r="F93" s="835"/>
      <c r="G93" s="835"/>
      <c r="H93" s="835"/>
      <c r="I93" s="835"/>
      <c r="J93" s="835"/>
      <c r="K93" s="836">
        <f>+K28+K49+K75</f>
        <v>954310455</v>
      </c>
      <c r="L93" s="836">
        <f>+L28+L49+L75</f>
        <v>1495550</v>
      </c>
      <c r="M93" s="134"/>
      <c r="N93" s="134"/>
      <c r="P93" s="145"/>
      <c r="Q93" s="145"/>
      <c r="R93" s="145"/>
      <c r="S93" s="145"/>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row>
    <row r="94" spans="1:61" s="113" customFormat="1" ht="17.25" customHeight="1">
      <c r="A94" s="111"/>
      <c r="B94" s="835">
        <v>2021</v>
      </c>
      <c r="C94" s="835"/>
      <c r="D94" s="835"/>
      <c r="E94" s="835"/>
      <c r="F94" s="835"/>
      <c r="G94" s="835"/>
      <c r="H94" s="835"/>
      <c r="I94" s="835"/>
      <c r="J94" s="835"/>
      <c r="K94" s="836">
        <f>+K29+K50+K76</f>
        <v>719822547.34425497</v>
      </c>
      <c r="L94" s="836">
        <f>+L29+L50+L76</f>
        <v>1128071.6930641828</v>
      </c>
      <c r="M94" s="134"/>
      <c r="N94" s="134"/>
      <c r="P94" s="145"/>
      <c r="Q94" s="145"/>
      <c r="R94" s="145"/>
      <c r="S94" s="145"/>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row>
    <row r="95" spans="1:61" s="110" customFormat="1" ht="17.25" customHeight="1">
      <c r="A95" s="109"/>
      <c r="B95" s="113"/>
      <c r="C95" s="113"/>
      <c r="D95" s="113"/>
      <c r="E95" s="113"/>
      <c r="F95" s="113"/>
      <c r="G95" s="113"/>
      <c r="H95" s="113"/>
      <c r="I95" s="113"/>
      <c r="J95" s="113"/>
      <c r="K95" s="133"/>
      <c r="L95" s="127"/>
      <c r="M95" s="146"/>
      <c r="N95" s="146"/>
    </row>
    <row r="96" spans="1:61" s="110" customFormat="1" ht="17.25" customHeight="1">
      <c r="A96" s="109"/>
      <c r="B96" s="113"/>
      <c r="C96" s="113"/>
      <c r="D96" s="113"/>
      <c r="E96" s="113"/>
      <c r="F96" s="113"/>
      <c r="G96" s="113"/>
      <c r="H96" s="113"/>
      <c r="I96" s="113"/>
      <c r="J96" s="113"/>
      <c r="K96" s="133"/>
      <c r="L96" s="127"/>
      <c r="M96" s="146"/>
      <c r="N96" s="146"/>
    </row>
    <row r="97" spans="1:14" s="110" customFormat="1" ht="17.25" customHeight="1">
      <c r="A97" s="109"/>
      <c r="B97" s="113"/>
      <c r="C97" s="113"/>
      <c r="D97" s="113"/>
      <c r="E97" s="113"/>
      <c r="F97" s="113"/>
      <c r="G97" s="113"/>
      <c r="H97" s="113"/>
      <c r="I97" s="113"/>
      <c r="J97" s="113"/>
      <c r="K97" s="133"/>
      <c r="L97" s="127"/>
      <c r="M97" s="146"/>
      <c r="N97" s="146"/>
    </row>
    <row r="98" spans="1:14" s="110" customFormat="1" ht="17.25" customHeight="1">
      <c r="A98" s="109"/>
      <c r="B98" s="110" t="s">
        <v>599</v>
      </c>
      <c r="C98" s="18">
        <v>603.39</v>
      </c>
      <c r="D98" s="110">
        <v>603.39</v>
      </c>
      <c r="K98" s="146"/>
      <c r="L98" s="146"/>
      <c r="M98" s="146"/>
      <c r="N98" s="146"/>
    </row>
    <row r="99" spans="1:14" s="110" customFormat="1" ht="17.25" customHeight="1">
      <c r="A99" s="109"/>
      <c r="B99" s="110" t="s">
        <v>600</v>
      </c>
      <c r="C99" s="18">
        <v>638.1</v>
      </c>
      <c r="D99" s="110">
        <v>638.1</v>
      </c>
      <c r="K99" s="146"/>
      <c r="L99" s="146"/>
      <c r="M99" s="146"/>
      <c r="N99" s="146"/>
    </row>
    <row r="100" spans="1:14" s="110" customFormat="1" ht="17.25" customHeight="1">
      <c r="A100" s="109"/>
      <c r="B100" s="110" t="s">
        <v>601</v>
      </c>
      <c r="C100" s="18">
        <v>638.1</v>
      </c>
      <c r="D100" s="110">
        <v>638.1</v>
      </c>
      <c r="K100" s="146"/>
      <c r="L100" s="146"/>
      <c r="M100" s="146"/>
      <c r="N100" s="146"/>
    </row>
    <row r="101" spans="1:14" s="110" customFormat="1" ht="17.25" customHeight="1">
      <c r="A101" s="109"/>
      <c r="B101" s="110" t="s">
        <v>602</v>
      </c>
      <c r="C101" s="18">
        <v>638.1</v>
      </c>
      <c r="D101" s="110">
        <v>638.1</v>
      </c>
      <c r="K101" s="146"/>
      <c r="L101" s="146"/>
      <c r="M101" s="146"/>
      <c r="N101" s="146"/>
    </row>
    <row r="102" spans="1:14" s="110" customFormat="1" ht="17.25" customHeight="1">
      <c r="A102" s="109"/>
      <c r="K102" s="146"/>
      <c r="L102" s="146"/>
      <c r="M102" s="146"/>
      <c r="N102" s="146"/>
    </row>
    <row r="103" spans="1:14" s="110" customFormat="1" ht="17.25" customHeight="1">
      <c r="A103" s="109"/>
      <c r="K103" s="146"/>
      <c r="L103" s="146"/>
      <c r="M103" s="146"/>
      <c r="N103" s="146"/>
    </row>
    <row r="104" spans="1:14" s="110" customFormat="1" ht="17.25" customHeight="1">
      <c r="A104" s="109"/>
      <c r="K104" s="146"/>
      <c r="L104" s="146"/>
      <c r="M104" s="146"/>
      <c r="N104" s="146"/>
    </row>
    <row r="105" spans="1:14" s="110" customFormat="1" ht="17.25" customHeight="1">
      <c r="A105" s="109"/>
      <c r="K105" s="146"/>
      <c r="L105" s="146"/>
      <c r="M105" s="146"/>
      <c r="N105" s="146"/>
    </row>
    <row r="106" spans="1:14" s="110" customFormat="1" ht="17.25" customHeight="1">
      <c r="A106" s="109"/>
      <c r="D106" s="147"/>
      <c r="H106" s="148"/>
      <c r="I106" s="148"/>
      <c r="J106" s="148"/>
      <c r="K106" s="149"/>
      <c r="L106" s="146"/>
      <c r="M106" s="146"/>
      <c r="N106" s="146"/>
    </row>
    <row r="107" spans="1:14" s="110" customFormat="1" ht="17.25" customHeight="1">
      <c r="A107" s="109"/>
      <c r="D107" s="147"/>
      <c r="H107" s="147"/>
      <c r="I107" s="148"/>
      <c r="J107" s="148"/>
      <c r="K107" s="149"/>
      <c r="L107" s="146"/>
      <c r="M107" s="146"/>
      <c r="N107" s="146"/>
    </row>
    <row r="108" spans="1:14" s="110" customFormat="1" ht="17.25" customHeight="1">
      <c r="A108" s="109"/>
      <c r="D108" s="150"/>
      <c r="E108" s="150"/>
      <c r="F108" s="150"/>
      <c r="G108" s="150"/>
      <c r="H108" s="150"/>
      <c r="I108" s="151"/>
      <c r="J108" s="151"/>
      <c r="K108" s="149"/>
      <c r="L108" s="149"/>
      <c r="M108" s="149"/>
      <c r="N108" s="146"/>
    </row>
    <row r="109" spans="1:14" s="110" customFormat="1" ht="17.25" customHeight="1">
      <c r="A109" s="109"/>
      <c r="B109" s="152"/>
      <c r="C109" s="152"/>
      <c r="D109" s="150"/>
      <c r="E109" s="150"/>
      <c r="F109" s="150"/>
      <c r="G109" s="150"/>
      <c r="H109" s="150"/>
      <c r="I109" s="151"/>
      <c r="J109" s="151"/>
      <c r="K109" s="149"/>
      <c r="L109" s="146"/>
      <c r="M109" s="146"/>
      <c r="N109" s="146"/>
    </row>
    <row r="110" spans="1:14" s="110" customFormat="1" ht="17.25" customHeight="1">
      <c r="A110" s="109"/>
      <c r="D110" s="148"/>
      <c r="H110" s="147"/>
      <c r="I110" s="148"/>
      <c r="J110" s="148"/>
      <c r="K110" s="153"/>
      <c r="L110" s="146"/>
      <c r="M110" s="146"/>
      <c r="N110" s="146"/>
    </row>
    <row r="111" spans="1:14" s="110" customFormat="1" ht="17.25" customHeight="1">
      <c r="A111" s="109"/>
      <c r="I111" s="148"/>
      <c r="K111" s="146"/>
      <c r="L111" s="146"/>
      <c r="M111" s="146"/>
      <c r="N111" s="146"/>
    </row>
    <row r="112" spans="1:14" s="110" customFormat="1" ht="17.25" customHeight="1">
      <c r="A112" s="109"/>
      <c r="I112" s="148"/>
      <c r="K112" s="146"/>
      <c r="L112" s="146"/>
      <c r="M112" s="146"/>
      <c r="N112" s="146"/>
    </row>
    <row r="113" spans="1:14" s="110" customFormat="1" ht="17.25" customHeight="1">
      <c r="A113" s="109"/>
      <c r="I113" s="148"/>
      <c r="K113" s="146"/>
      <c r="L113" s="146"/>
      <c r="M113" s="146"/>
      <c r="N113" s="146"/>
    </row>
    <row r="114" spans="1:14" s="110" customFormat="1" ht="17.25" customHeight="1">
      <c r="A114" s="109"/>
      <c r="K114" s="146"/>
      <c r="L114" s="146"/>
      <c r="M114" s="146"/>
      <c r="N114" s="146"/>
    </row>
    <row r="115" spans="1:14" s="110" customFormat="1" ht="17.25" customHeight="1">
      <c r="A115" s="109"/>
      <c r="K115" s="146"/>
      <c r="L115" s="146"/>
      <c r="M115" s="146"/>
      <c r="N115" s="146"/>
    </row>
    <row r="116" spans="1:14" s="110" customFormat="1" ht="17.25" customHeight="1">
      <c r="A116" s="109"/>
      <c r="D116" s="154"/>
      <c r="E116" s="154"/>
      <c r="F116" s="154"/>
      <c r="G116" s="154"/>
      <c r="H116" s="154"/>
      <c r="K116" s="146"/>
      <c r="L116" s="155"/>
      <c r="M116" s="146"/>
      <c r="N116" s="146"/>
    </row>
    <row r="117" spans="1:14" s="110" customFormat="1" ht="17.25" customHeight="1">
      <c r="A117" s="109"/>
      <c r="D117" s="154"/>
      <c r="E117" s="154"/>
      <c r="F117" s="154"/>
      <c r="G117" s="154"/>
      <c r="H117" s="154"/>
      <c r="K117" s="146"/>
      <c r="L117" s="146"/>
      <c r="M117" s="146"/>
      <c r="N117" s="146"/>
    </row>
    <row r="118" spans="1:14" s="110" customFormat="1" ht="17.25" customHeight="1">
      <c r="A118" s="156"/>
      <c r="D118" s="154"/>
      <c r="E118" s="154"/>
      <c r="F118" s="154"/>
      <c r="G118" s="154"/>
      <c r="H118" s="154"/>
      <c r="K118" s="146"/>
      <c r="L118" s="146"/>
      <c r="M118" s="146"/>
      <c r="N118" s="146"/>
    </row>
    <row r="119" spans="1:14" s="110" customFormat="1" ht="17.25" customHeight="1">
      <c r="A119" s="109"/>
      <c r="D119" s="154"/>
      <c r="E119" s="154"/>
      <c r="F119" s="154"/>
      <c r="G119" s="154"/>
      <c r="H119" s="154"/>
      <c r="K119" s="146"/>
      <c r="L119" s="146"/>
      <c r="M119" s="146"/>
      <c r="N119" s="146"/>
    </row>
    <row r="120" spans="1:14" s="110" customFormat="1" ht="17.25" customHeight="1">
      <c r="A120" s="109"/>
      <c r="D120" s="154"/>
      <c r="E120" s="154"/>
      <c r="F120" s="154"/>
      <c r="G120" s="154"/>
      <c r="H120" s="154"/>
      <c r="K120" s="146"/>
      <c r="L120" s="146"/>
      <c r="M120" s="146"/>
      <c r="N120" s="146"/>
    </row>
    <row r="121" spans="1:14" s="110" customFormat="1" ht="17.25" customHeight="1">
      <c r="A121" s="109"/>
      <c r="D121" s="154"/>
      <c r="E121" s="154"/>
      <c r="F121" s="154"/>
      <c r="G121" s="154"/>
      <c r="H121" s="154"/>
      <c r="K121" s="146"/>
      <c r="L121" s="146"/>
      <c r="M121" s="146"/>
      <c r="N121" s="146"/>
    </row>
    <row r="122" spans="1:14" s="110" customFormat="1" ht="17.25" customHeight="1">
      <c r="A122" s="109"/>
      <c r="D122" s="154"/>
      <c r="E122" s="154"/>
      <c r="F122" s="154"/>
      <c r="G122" s="154"/>
      <c r="H122" s="154"/>
      <c r="K122" s="146"/>
      <c r="L122" s="146"/>
      <c r="M122" s="146"/>
      <c r="N122" s="146"/>
    </row>
    <row r="123" spans="1:14" s="110" customFormat="1" ht="17.25" customHeight="1">
      <c r="A123" s="109"/>
      <c r="K123" s="146"/>
      <c r="L123" s="146"/>
      <c r="M123" s="146"/>
      <c r="N123" s="146"/>
    </row>
  </sheetData>
  <mergeCells count="139">
    <mergeCell ref="C10:C11"/>
    <mergeCell ref="C15:C16"/>
    <mergeCell ref="C20:C21"/>
    <mergeCell ref="C33:C34"/>
    <mergeCell ref="C38:C39"/>
    <mergeCell ref="C43:C44"/>
    <mergeCell ref="C80:C81"/>
    <mergeCell ref="C85:C86"/>
    <mergeCell ref="F80:F81"/>
    <mergeCell ref="B84:S84"/>
    <mergeCell ref="O20:O21"/>
    <mergeCell ref="P20:P21"/>
    <mergeCell ref="Q20:R20"/>
    <mergeCell ref="S20:S21"/>
    <mergeCell ref="I21:J21"/>
    <mergeCell ref="B32:S32"/>
    <mergeCell ref="B33:B34"/>
    <mergeCell ref="D33:D34"/>
    <mergeCell ref="E33:E34"/>
    <mergeCell ref="I81:J81"/>
    <mergeCell ref="G80:G81"/>
    <mergeCell ref="H80:H81"/>
    <mergeCell ref="I80:J80"/>
    <mergeCell ref="G85:G86"/>
    <mergeCell ref="P89:S89"/>
    <mergeCell ref="L85:N85"/>
    <mergeCell ref="O85:O86"/>
    <mergeCell ref="P85:P86"/>
    <mergeCell ref="Q85:R85"/>
    <mergeCell ref="S85:S86"/>
    <mergeCell ref="F87:H87"/>
    <mergeCell ref="I87:J87"/>
    <mergeCell ref="I82:J82"/>
    <mergeCell ref="F85:F86"/>
    <mergeCell ref="H85:H86"/>
    <mergeCell ref="I85:J86"/>
    <mergeCell ref="I40:J40"/>
    <mergeCell ref="A42:A43"/>
    <mergeCell ref="B42:S42"/>
    <mergeCell ref="B43:B44"/>
    <mergeCell ref="D43:D44"/>
    <mergeCell ref="E43:E44"/>
    <mergeCell ref="F43:F44"/>
    <mergeCell ref="G43:G44"/>
    <mergeCell ref="H43:H44"/>
    <mergeCell ref="I77:J77"/>
    <mergeCell ref="I43:J43"/>
    <mergeCell ref="L43:N43"/>
    <mergeCell ref="O43:O44"/>
    <mergeCell ref="P43:P44"/>
    <mergeCell ref="Q43:R43"/>
    <mergeCell ref="S43:S44"/>
    <mergeCell ref="A84:A85"/>
    <mergeCell ref="A79:A80"/>
    <mergeCell ref="B79:S79"/>
    <mergeCell ref="B80:B81"/>
    <mergeCell ref="D80:D81"/>
    <mergeCell ref="E80:E81"/>
    <mergeCell ref="I44:J44"/>
    <mergeCell ref="B85:B86"/>
    <mergeCell ref="D85:D86"/>
    <mergeCell ref="E85:E86"/>
    <mergeCell ref="L80:N80"/>
    <mergeCell ref="O80:O81"/>
    <mergeCell ref="P80:P81"/>
    <mergeCell ref="Q80:R80"/>
    <mergeCell ref="S80:S81"/>
    <mergeCell ref="A37:A39"/>
    <mergeCell ref="B37:S37"/>
    <mergeCell ref="B38:B39"/>
    <mergeCell ref="D38:D39"/>
    <mergeCell ref="E38:E39"/>
    <mergeCell ref="F38:F39"/>
    <mergeCell ref="G38:G39"/>
    <mergeCell ref="F33:F34"/>
    <mergeCell ref="G33:G34"/>
    <mergeCell ref="H33:H34"/>
    <mergeCell ref="I33:I34"/>
    <mergeCell ref="J33:M33"/>
    <mergeCell ref="O33:O34"/>
    <mergeCell ref="H38:H39"/>
    <mergeCell ref="I38:J38"/>
    <mergeCell ref="K38:N38"/>
    <mergeCell ref="O38:O39"/>
    <mergeCell ref="Q38:R38"/>
    <mergeCell ref="S38:S39"/>
    <mergeCell ref="I39:J39"/>
    <mergeCell ref="P33:P34"/>
    <mergeCell ref="Q33:R33"/>
    <mergeCell ref="S33:S34"/>
    <mergeCell ref="A32:A33"/>
    <mergeCell ref="A19:A20"/>
    <mergeCell ref="B19:S19"/>
    <mergeCell ref="B20:B21"/>
    <mergeCell ref="D20:D21"/>
    <mergeCell ref="E20:E21"/>
    <mergeCell ref="F20:F21"/>
    <mergeCell ref="G20:G21"/>
    <mergeCell ref="H20:H21"/>
    <mergeCell ref="I20:J20"/>
    <mergeCell ref="L20:N20"/>
    <mergeCell ref="B1:S1"/>
    <mergeCell ref="B2:S2"/>
    <mergeCell ref="B3:S3"/>
    <mergeCell ref="L15:N15"/>
    <mergeCell ref="Q15:R15"/>
    <mergeCell ref="S10:S11"/>
    <mergeCell ref="A14:A15"/>
    <mergeCell ref="B14:S14"/>
    <mergeCell ref="I10:I11"/>
    <mergeCell ref="J10:J11"/>
    <mergeCell ref="L10:N10"/>
    <mergeCell ref="O10:O11"/>
    <mergeCell ref="P10:P11"/>
    <mergeCell ref="Q10:R10"/>
    <mergeCell ref="A9:A10"/>
    <mergeCell ref="B9:S9"/>
    <mergeCell ref="B10:B11"/>
    <mergeCell ref="D10:D11"/>
    <mergeCell ref="E10:E11"/>
    <mergeCell ref="F10:F11"/>
    <mergeCell ref="G10:G11"/>
    <mergeCell ref="H10:H11"/>
    <mergeCell ref="A4:A5"/>
    <mergeCell ref="B4:S4"/>
    <mergeCell ref="B5:B6"/>
    <mergeCell ref="D5:D6"/>
    <mergeCell ref="E5:E6"/>
    <mergeCell ref="F5:F6"/>
    <mergeCell ref="G5:G6"/>
    <mergeCell ref="Q5:R5"/>
    <mergeCell ref="S5:S6"/>
    <mergeCell ref="H5:H6"/>
    <mergeCell ref="I5:I6"/>
    <mergeCell ref="J5:J6"/>
    <mergeCell ref="L5:N5"/>
    <mergeCell ref="O5:O6"/>
    <mergeCell ref="P5:P6"/>
    <mergeCell ref="C5:C6"/>
  </mergeCells>
  <dataValidations count="3">
    <dataValidation type="list" allowBlank="1" showInputMessage="1" showErrorMessage="1" sqref="H40" xr:uid="{00000000-0002-0000-0700-000000000000}">
      <formula1>$W$12:$W$13</formula1>
    </dataValidation>
    <dataValidation type="list" allowBlank="1" showInputMessage="1" showErrorMessage="1" sqref="H17 P17 H7 H82:H83 P7 P12 H12 P22:P30 P35 H35 P82:P83 H22:H30 P45:P78 H45:H78" xr:uid="{00000000-0002-0000-0700-000001000000}">
      <formula1>#REF!</formula1>
    </dataValidation>
    <dataValidation type="list" allowBlank="1" showInputMessage="1" showErrorMessage="1" sqref="P40" xr:uid="{00000000-0002-0000-0700-000002000000}">
      <formula1>$W$2:$W$4</formula1>
    </dataValidation>
  </dataValidations>
  <pageMargins left="0.7" right="0.7" top="0.75" bottom="0.75" header="0.3" footer="0.3"/>
  <pageSetup orientation="portrait"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I100"/>
  <sheetViews>
    <sheetView tabSelected="1" zoomScale="55" zoomScaleNormal="55" workbookViewId="0">
      <selection activeCell="E22" sqref="E22"/>
    </sheetView>
  </sheetViews>
  <sheetFormatPr defaultColWidth="143.7109375" defaultRowHeight="15.75"/>
  <cols>
    <col min="1" max="1" width="14" style="48" customWidth="1"/>
    <col min="2" max="2" width="65.42578125" style="48" hidden="1" customWidth="1"/>
    <col min="3" max="3" width="14.7109375" style="48" customWidth="1"/>
    <col min="4" max="4" width="19.140625" style="48" customWidth="1"/>
    <col min="5" max="5" width="28.42578125" style="49" customWidth="1"/>
    <col min="6" max="6" width="82.7109375" style="49" customWidth="1"/>
    <col min="7" max="7" width="68.7109375" style="49" customWidth="1"/>
    <col min="8" max="8" width="21.28515625" style="49" customWidth="1"/>
    <col min="9" max="9" width="24.140625" style="49" hidden="1" customWidth="1"/>
    <col min="10" max="10" width="25.85546875" style="49" bestFit="1" customWidth="1"/>
    <col min="11" max="11" width="30.140625" style="49" bestFit="1" customWidth="1"/>
    <col min="12" max="12" width="21.5703125" style="49" customWidth="1"/>
    <col min="13" max="13" width="17.5703125" style="49" hidden="1" customWidth="1"/>
    <col min="14" max="14" width="20.5703125" style="49" hidden="1" customWidth="1"/>
    <col min="15" max="15" width="25.140625" style="49" customWidth="1"/>
    <col min="16" max="16" width="21.7109375" style="49" customWidth="1"/>
    <col min="17" max="17" width="10" style="49" customWidth="1"/>
    <col min="18" max="18" width="38.28515625" style="49" customWidth="1"/>
    <col min="19" max="19" width="143.7109375" style="49"/>
    <col min="20" max="61" width="143.7109375" style="18"/>
    <col min="62" max="16384" width="143.7109375" style="48"/>
  </cols>
  <sheetData>
    <row r="1" spans="1:61" s="18" customFormat="1">
      <c r="B1" s="351" t="s">
        <v>55</v>
      </c>
      <c r="C1" s="351"/>
      <c r="D1" s="351"/>
      <c r="E1" s="351"/>
      <c r="F1" s="351"/>
      <c r="G1" s="351"/>
      <c r="H1" s="351"/>
      <c r="I1" s="351"/>
      <c r="J1" s="351"/>
      <c r="K1" s="351"/>
      <c r="L1" s="351"/>
      <c r="M1" s="351"/>
      <c r="N1" s="351"/>
      <c r="O1" s="351"/>
      <c r="P1" s="351"/>
      <c r="Q1" s="351"/>
      <c r="R1" s="351"/>
      <c r="S1" s="351"/>
    </row>
    <row r="2" spans="1:61" s="107" customFormat="1">
      <c r="B2" s="316" t="s">
        <v>433</v>
      </c>
      <c r="C2" s="316"/>
      <c r="D2" s="316"/>
      <c r="E2" s="316"/>
      <c r="F2" s="316"/>
      <c r="G2" s="316"/>
      <c r="H2" s="316"/>
      <c r="I2" s="316"/>
      <c r="J2" s="316"/>
      <c r="K2" s="316"/>
      <c r="L2" s="316"/>
      <c r="M2" s="316"/>
      <c r="N2" s="316"/>
      <c r="O2" s="316"/>
      <c r="P2" s="316"/>
      <c r="Q2" s="316"/>
      <c r="R2" s="316"/>
      <c r="S2" s="316"/>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row>
    <row r="3" spans="1:61" s="107" customFormat="1">
      <c r="B3" s="317" t="s">
        <v>434</v>
      </c>
      <c r="C3" s="317"/>
      <c r="D3" s="317"/>
      <c r="E3" s="317"/>
      <c r="F3" s="317"/>
      <c r="G3" s="317"/>
      <c r="H3" s="317"/>
      <c r="I3" s="317"/>
      <c r="J3" s="317"/>
      <c r="K3" s="317"/>
      <c r="L3" s="317"/>
      <c r="M3" s="317"/>
      <c r="N3" s="317"/>
      <c r="O3" s="317"/>
      <c r="P3" s="317"/>
      <c r="Q3" s="317"/>
      <c r="R3" s="317"/>
      <c r="S3" s="317"/>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row>
    <row r="4" spans="1:61" s="106" customFormat="1" hidden="1">
      <c r="A4" s="715" t="s">
        <v>435</v>
      </c>
      <c r="B4" s="715" t="s">
        <v>436</v>
      </c>
      <c r="C4" s="715"/>
      <c r="D4" s="715"/>
      <c r="E4" s="715"/>
      <c r="F4" s="715"/>
      <c r="G4" s="715"/>
      <c r="H4" s="715"/>
      <c r="I4" s="715"/>
      <c r="J4" s="715"/>
      <c r="K4" s="715"/>
      <c r="L4" s="715"/>
      <c r="M4" s="715"/>
      <c r="N4" s="715"/>
      <c r="O4" s="715"/>
      <c r="P4" s="715"/>
      <c r="Q4" s="715"/>
      <c r="R4" s="715"/>
      <c r="S4" s="715"/>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7"/>
      <c r="BC4" s="107"/>
      <c r="BD4" s="107"/>
      <c r="BE4" s="107"/>
      <c r="BF4" s="107"/>
      <c r="BG4" s="107"/>
      <c r="BH4" s="107"/>
      <c r="BI4" s="107"/>
    </row>
    <row r="5" spans="1:61" s="106" customFormat="1" hidden="1">
      <c r="A5" s="715"/>
      <c r="B5" s="715" t="s">
        <v>437</v>
      </c>
      <c r="C5" s="837"/>
      <c r="D5" s="715" t="s">
        <v>439</v>
      </c>
      <c r="E5" s="715" t="s">
        <v>440</v>
      </c>
      <c r="F5" s="715" t="s">
        <v>441</v>
      </c>
      <c r="G5" s="715" t="s">
        <v>442</v>
      </c>
      <c r="H5" s="715" t="s">
        <v>889</v>
      </c>
      <c r="I5" s="715" t="s">
        <v>444</v>
      </c>
      <c r="J5" s="715" t="s">
        <v>445</v>
      </c>
      <c r="K5" s="837"/>
      <c r="L5" s="838" t="s">
        <v>446</v>
      </c>
      <c r="M5" s="838"/>
      <c r="N5" s="838"/>
      <c r="O5" s="715" t="s">
        <v>447</v>
      </c>
      <c r="P5" s="715" t="s">
        <v>890</v>
      </c>
      <c r="Q5" s="715" t="s">
        <v>449</v>
      </c>
      <c r="R5" s="715"/>
      <c r="S5" s="715" t="s">
        <v>450</v>
      </c>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7"/>
      <c r="BC5" s="107"/>
      <c r="BD5" s="107"/>
      <c r="BE5" s="107"/>
      <c r="BF5" s="107"/>
      <c r="BG5" s="107"/>
      <c r="BH5" s="107"/>
      <c r="BI5" s="107"/>
    </row>
    <row r="6" spans="1:61" s="106" customFormat="1" ht="78.75" hidden="1">
      <c r="A6" s="837"/>
      <c r="B6" s="715"/>
      <c r="C6" s="837"/>
      <c r="D6" s="715" t="s">
        <v>439</v>
      </c>
      <c r="E6" s="715"/>
      <c r="F6" s="715"/>
      <c r="G6" s="715"/>
      <c r="H6" s="715"/>
      <c r="I6" s="715"/>
      <c r="J6" s="715"/>
      <c r="K6" s="839" t="s">
        <v>451</v>
      </c>
      <c r="L6" s="839" t="s">
        <v>452</v>
      </c>
      <c r="M6" s="840" t="s">
        <v>453</v>
      </c>
      <c r="N6" s="840" t="s">
        <v>454</v>
      </c>
      <c r="O6" s="715"/>
      <c r="P6" s="715"/>
      <c r="Q6" s="837" t="s">
        <v>455</v>
      </c>
      <c r="R6" s="837" t="s">
        <v>456</v>
      </c>
      <c r="S6" s="715"/>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7"/>
      <c r="BC6" s="107"/>
      <c r="BD6" s="107"/>
      <c r="BE6" s="107"/>
      <c r="BF6" s="107"/>
      <c r="BG6" s="107"/>
      <c r="BH6" s="107"/>
      <c r="BI6" s="107"/>
    </row>
    <row r="7" spans="1:61" s="107" customFormat="1" hidden="1">
      <c r="A7" s="607"/>
      <c r="B7" s="608" t="s">
        <v>457</v>
      </c>
      <c r="C7" s="608"/>
      <c r="D7" s="608"/>
      <c r="E7" s="608"/>
      <c r="F7" s="608"/>
      <c r="G7" s="608"/>
      <c r="H7" s="608"/>
      <c r="I7" s="608"/>
      <c r="J7" s="608"/>
      <c r="K7" s="611"/>
      <c r="L7" s="611"/>
      <c r="M7" s="611"/>
      <c r="N7" s="611"/>
      <c r="O7" s="608"/>
      <c r="P7" s="608"/>
      <c r="Q7" s="608"/>
      <c r="R7" s="608"/>
      <c r="S7" s="6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row>
    <row r="8" spans="1:61" s="106" customFormat="1" hidden="1">
      <c r="L8" s="157"/>
      <c r="M8" s="158"/>
      <c r="N8" s="158"/>
      <c r="T8" s="108"/>
      <c r="U8" s="108"/>
      <c r="V8" s="108"/>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c r="AX8" s="108"/>
      <c r="AY8" s="108"/>
      <c r="AZ8" s="108"/>
      <c r="BA8" s="108"/>
      <c r="BB8" s="107"/>
      <c r="BC8" s="107"/>
      <c r="BD8" s="107"/>
      <c r="BE8" s="107"/>
      <c r="BF8" s="107"/>
      <c r="BG8" s="107"/>
      <c r="BH8" s="107"/>
      <c r="BI8" s="107"/>
    </row>
    <row r="9" spans="1:61" s="106" customFormat="1" hidden="1">
      <c r="A9" s="715" t="s">
        <v>435</v>
      </c>
      <c r="B9" s="715" t="s">
        <v>458</v>
      </c>
      <c r="C9" s="715"/>
      <c r="D9" s="715"/>
      <c r="E9" s="715"/>
      <c r="F9" s="715"/>
      <c r="G9" s="715"/>
      <c r="H9" s="715"/>
      <c r="I9" s="715"/>
      <c r="J9" s="715"/>
      <c r="K9" s="715"/>
      <c r="L9" s="715"/>
      <c r="M9" s="715"/>
      <c r="N9" s="715"/>
      <c r="O9" s="715"/>
      <c r="P9" s="715"/>
      <c r="Q9" s="715"/>
      <c r="R9" s="715"/>
      <c r="S9" s="715"/>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c r="BA9" s="108"/>
      <c r="BB9" s="107"/>
      <c r="BC9" s="107"/>
      <c r="BD9" s="107"/>
      <c r="BE9" s="107"/>
      <c r="BF9" s="107"/>
      <c r="BG9" s="107"/>
      <c r="BH9" s="107"/>
      <c r="BI9" s="107"/>
    </row>
    <row r="10" spans="1:61" s="106" customFormat="1" hidden="1">
      <c r="A10" s="715"/>
      <c r="B10" s="715" t="s">
        <v>437</v>
      </c>
      <c r="C10" s="837"/>
      <c r="D10" s="715" t="s">
        <v>439</v>
      </c>
      <c r="E10" s="715" t="s">
        <v>440</v>
      </c>
      <c r="F10" s="715" t="s">
        <v>441</v>
      </c>
      <c r="G10" s="715" t="s">
        <v>442</v>
      </c>
      <c r="H10" s="715" t="s">
        <v>891</v>
      </c>
      <c r="I10" s="715" t="s">
        <v>444</v>
      </c>
      <c r="J10" s="715" t="s">
        <v>445</v>
      </c>
      <c r="K10" s="837"/>
      <c r="L10" s="838" t="s">
        <v>446</v>
      </c>
      <c r="M10" s="838"/>
      <c r="N10" s="838"/>
      <c r="O10" s="715" t="s">
        <v>447</v>
      </c>
      <c r="P10" s="715" t="s">
        <v>890</v>
      </c>
      <c r="Q10" s="715" t="s">
        <v>449</v>
      </c>
      <c r="R10" s="715"/>
      <c r="S10" s="715" t="s">
        <v>450</v>
      </c>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7"/>
      <c r="BC10" s="107"/>
      <c r="BD10" s="107"/>
      <c r="BE10" s="107"/>
      <c r="BF10" s="107"/>
      <c r="BG10" s="107"/>
      <c r="BH10" s="107"/>
      <c r="BI10" s="107"/>
    </row>
    <row r="11" spans="1:61" s="106" customFormat="1" ht="78.75" hidden="1">
      <c r="A11" s="837"/>
      <c r="B11" s="715"/>
      <c r="C11" s="837"/>
      <c r="D11" s="715" t="s">
        <v>439</v>
      </c>
      <c r="E11" s="715"/>
      <c r="F11" s="715"/>
      <c r="G11" s="715"/>
      <c r="H11" s="715"/>
      <c r="I11" s="715"/>
      <c r="J11" s="715"/>
      <c r="K11" s="839" t="s">
        <v>451</v>
      </c>
      <c r="L11" s="839" t="s">
        <v>452</v>
      </c>
      <c r="M11" s="840" t="s">
        <v>453</v>
      </c>
      <c r="N11" s="840" t="s">
        <v>454</v>
      </c>
      <c r="O11" s="715"/>
      <c r="P11" s="715"/>
      <c r="Q11" s="837" t="s">
        <v>455</v>
      </c>
      <c r="R11" s="837" t="s">
        <v>456</v>
      </c>
      <c r="S11" s="715"/>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7"/>
      <c r="BC11" s="107"/>
      <c r="BD11" s="107"/>
      <c r="BE11" s="107"/>
      <c r="BF11" s="107"/>
      <c r="BG11" s="107"/>
      <c r="BH11" s="107"/>
      <c r="BI11" s="107"/>
    </row>
    <row r="12" spans="1:61" s="107" customFormat="1" hidden="1">
      <c r="A12" s="607"/>
      <c r="B12" s="608" t="s">
        <v>457</v>
      </c>
      <c r="C12" s="608"/>
      <c r="D12" s="608"/>
      <c r="E12" s="608"/>
      <c r="F12" s="608"/>
      <c r="G12" s="608"/>
      <c r="H12" s="608"/>
      <c r="I12" s="608"/>
      <c r="J12" s="608"/>
      <c r="K12" s="611"/>
      <c r="L12" s="611"/>
      <c r="M12" s="611"/>
      <c r="N12" s="611"/>
      <c r="O12" s="608"/>
      <c r="P12" s="608"/>
      <c r="Q12" s="608"/>
      <c r="R12" s="608"/>
      <c r="S12" s="6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c r="BA12" s="108"/>
    </row>
    <row r="13" spans="1:61" s="106" customFormat="1" hidden="1">
      <c r="L13" s="157"/>
      <c r="M13" s="158"/>
      <c r="N13" s="159"/>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7"/>
      <c r="BC13" s="107"/>
      <c r="BD13" s="107"/>
      <c r="BE13" s="107"/>
      <c r="BF13" s="107"/>
      <c r="BG13" s="107"/>
      <c r="BH13" s="107"/>
      <c r="BI13" s="107"/>
    </row>
    <row r="14" spans="1:61" s="106" customFormat="1">
      <c r="A14" s="841" t="s">
        <v>435</v>
      </c>
      <c r="B14" s="841" t="s">
        <v>460</v>
      </c>
      <c r="C14" s="841"/>
      <c r="D14" s="841"/>
      <c r="E14" s="841"/>
      <c r="F14" s="841"/>
      <c r="G14" s="841"/>
      <c r="H14" s="841"/>
      <c r="I14" s="841"/>
      <c r="J14" s="841"/>
      <c r="K14" s="841"/>
      <c r="L14" s="841"/>
      <c r="M14" s="841"/>
      <c r="N14" s="841"/>
      <c r="O14" s="841"/>
      <c r="P14" s="841"/>
      <c r="Q14" s="841"/>
      <c r="R14" s="841"/>
      <c r="S14" s="841"/>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7"/>
      <c r="BC14" s="107"/>
      <c r="BD14" s="107"/>
      <c r="BE14" s="107"/>
      <c r="BF14" s="107"/>
      <c r="BG14" s="107"/>
      <c r="BH14" s="107"/>
      <c r="BI14" s="107"/>
    </row>
    <row r="15" spans="1:61" s="106" customFormat="1">
      <c r="A15" s="841"/>
      <c r="B15" s="841" t="s">
        <v>437</v>
      </c>
      <c r="C15" s="842"/>
      <c r="D15" s="841" t="s">
        <v>439</v>
      </c>
      <c r="E15" s="841" t="s">
        <v>440</v>
      </c>
      <c r="F15" s="841" t="s">
        <v>441</v>
      </c>
      <c r="G15" s="841" t="s">
        <v>442</v>
      </c>
      <c r="H15" s="841" t="s">
        <v>892</v>
      </c>
      <c r="I15" s="841" t="s">
        <v>444</v>
      </c>
      <c r="J15" s="841" t="s">
        <v>445</v>
      </c>
      <c r="K15" s="842"/>
      <c r="L15" s="843" t="s">
        <v>446</v>
      </c>
      <c r="M15" s="843"/>
      <c r="N15" s="843"/>
      <c r="O15" s="841" t="s">
        <v>447</v>
      </c>
      <c r="P15" s="841" t="s">
        <v>893</v>
      </c>
      <c r="Q15" s="841" t="s">
        <v>449</v>
      </c>
      <c r="R15" s="841"/>
      <c r="S15" s="841" t="s">
        <v>450</v>
      </c>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7"/>
      <c r="BC15" s="107"/>
      <c r="BD15" s="107"/>
      <c r="BE15" s="107"/>
      <c r="BF15" s="107"/>
      <c r="BG15" s="107"/>
      <c r="BH15" s="107"/>
      <c r="BI15" s="107"/>
    </row>
    <row r="16" spans="1:61" s="106" customFormat="1" ht="47.25">
      <c r="A16" s="842"/>
      <c r="B16" s="841"/>
      <c r="C16" s="842"/>
      <c r="D16" s="841" t="s">
        <v>439</v>
      </c>
      <c r="E16" s="841"/>
      <c r="F16" s="841"/>
      <c r="G16" s="841"/>
      <c r="H16" s="841"/>
      <c r="I16" s="841"/>
      <c r="J16" s="841"/>
      <c r="K16" s="844" t="s">
        <v>451</v>
      </c>
      <c r="L16" s="844" t="s">
        <v>452</v>
      </c>
      <c r="M16" s="845" t="s">
        <v>453</v>
      </c>
      <c r="N16" s="845" t="s">
        <v>454</v>
      </c>
      <c r="O16" s="841"/>
      <c r="P16" s="841"/>
      <c r="Q16" s="842" t="s">
        <v>461</v>
      </c>
      <c r="R16" s="842" t="s">
        <v>456</v>
      </c>
      <c r="S16" s="841"/>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7"/>
      <c r="BC16" s="107"/>
      <c r="BD16" s="107"/>
      <c r="BE16" s="107"/>
      <c r="BF16" s="107"/>
      <c r="BG16" s="107"/>
      <c r="BH16" s="107"/>
      <c r="BI16" s="107"/>
    </row>
    <row r="17" spans="1:61" s="107" customFormat="1">
      <c r="A17" s="607" t="s">
        <v>347</v>
      </c>
      <c r="B17" s="608" t="s">
        <v>894</v>
      </c>
      <c r="C17" s="608">
        <v>2018</v>
      </c>
      <c r="D17" s="608"/>
      <c r="E17" s="608" t="s">
        <v>67</v>
      </c>
      <c r="F17" s="736"/>
      <c r="G17" s="736"/>
      <c r="H17" s="608"/>
      <c r="I17" s="608"/>
      <c r="J17" s="608"/>
      <c r="K17" s="846">
        <f>SUM(K18:K20)</f>
        <v>70608000</v>
      </c>
      <c r="L17" s="611">
        <f>SUM(L18:L20)</f>
        <v>117018.84353403271</v>
      </c>
      <c r="M17" s="847"/>
      <c r="N17" s="847"/>
      <c r="O17" s="608"/>
      <c r="P17" s="608"/>
      <c r="Q17" s="848"/>
      <c r="R17" s="848"/>
      <c r="S17" s="61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row>
    <row r="18" spans="1:61" s="107" customFormat="1" ht="47.25">
      <c r="A18" s="607" t="s">
        <v>349</v>
      </c>
      <c r="B18" s="608" t="s">
        <v>894</v>
      </c>
      <c r="C18" s="608">
        <v>2018</v>
      </c>
      <c r="D18" s="608"/>
      <c r="E18" s="608" t="s">
        <v>895</v>
      </c>
      <c r="F18" s="736" t="s">
        <v>896</v>
      </c>
      <c r="G18" s="736" t="s">
        <v>897</v>
      </c>
      <c r="H18" s="608" t="s">
        <v>465</v>
      </c>
      <c r="I18" s="608"/>
      <c r="J18" s="608"/>
      <c r="K18" s="846">
        <v>37000000</v>
      </c>
      <c r="L18" s="611">
        <f>+K18/$D$82</f>
        <v>61320.207494323739</v>
      </c>
      <c r="M18" s="847">
        <v>100</v>
      </c>
      <c r="N18" s="847">
        <v>0</v>
      </c>
      <c r="O18" s="608" t="s">
        <v>466</v>
      </c>
      <c r="P18" s="608" t="s">
        <v>465</v>
      </c>
      <c r="Q18" s="848">
        <v>43282</v>
      </c>
      <c r="R18" s="848">
        <v>43313</v>
      </c>
      <c r="S18" s="618" t="s">
        <v>472</v>
      </c>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row>
    <row r="19" spans="1:61" s="107" customFormat="1" ht="47.25">
      <c r="A19" s="607" t="s">
        <v>349</v>
      </c>
      <c r="B19" s="608" t="s">
        <v>894</v>
      </c>
      <c r="C19" s="608">
        <v>2018</v>
      </c>
      <c r="D19" s="608"/>
      <c r="E19" s="608" t="s">
        <v>895</v>
      </c>
      <c r="F19" s="736" t="s">
        <v>896</v>
      </c>
      <c r="G19" s="736" t="s">
        <v>898</v>
      </c>
      <c r="H19" s="608" t="s">
        <v>465</v>
      </c>
      <c r="I19" s="608"/>
      <c r="J19" s="608"/>
      <c r="K19" s="846">
        <v>29808000</v>
      </c>
      <c r="L19" s="611">
        <f>+K19/$D$82</f>
        <v>49400.884999751404</v>
      </c>
      <c r="M19" s="847">
        <v>100</v>
      </c>
      <c r="N19" s="847">
        <v>0</v>
      </c>
      <c r="O19" s="608" t="s">
        <v>466</v>
      </c>
      <c r="P19" s="608" t="s">
        <v>465</v>
      </c>
      <c r="Q19" s="848">
        <v>43282</v>
      </c>
      <c r="R19" s="848">
        <v>43313</v>
      </c>
      <c r="S19" s="618" t="s">
        <v>472</v>
      </c>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row>
    <row r="20" spans="1:61" s="107" customFormat="1" ht="47.25">
      <c r="A20" s="607" t="s">
        <v>347</v>
      </c>
      <c r="B20" s="608" t="s">
        <v>894</v>
      </c>
      <c r="C20" s="608">
        <v>2018</v>
      </c>
      <c r="D20" s="608"/>
      <c r="E20" s="608" t="s">
        <v>899</v>
      </c>
      <c r="F20" s="736" t="s">
        <v>896</v>
      </c>
      <c r="G20" s="736" t="s">
        <v>900</v>
      </c>
      <c r="H20" s="608" t="s">
        <v>465</v>
      </c>
      <c r="I20" s="608"/>
      <c r="J20" s="608"/>
      <c r="K20" s="846">
        <v>3800000</v>
      </c>
      <c r="L20" s="611">
        <f>+K20/$D$82</f>
        <v>6297.7510399575731</v>
      </c>
      <c r="M20" s="847">
        <v>100</v>
      </c>
      <c r="N20" s="847">
        <v>0</v>
      </c>
      <c r="O20" s="608" t="s">
        <v>466</v>
      </c>
      <c r="P20" s="608" t="s">
        <v>465</v>
      </c>
      <c r="Q20" s="848">
        <v>43282</v>
      </c>
      <c r="R20" s="848">
        <v>43313</v>
      </c>
      <c r="S20" s="618" t="s">
        <v>472</v>
      </c>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row>
    <row r="21" spans="1:61" s="107" customFormat="1">
      <c r="A21" s="607"/>
      <c r="B21" s="608"/>
      <c r="C21" s="608"/>
      <c r="D21" s="608"/>
      <c r="E21" s="736"/>
      <c r="F21" s="611"/>
      <c r="G21" s="611"/>
      <c r="H21" s="608"/>
      <c r="I21" s="608"/>
      <c r="J21" s="608"/>
      <c r="K21" s="846"/>
      <c r="L21" s="611"/>
      <c r="M21" s="847"/>
      <c r="N21" s="847"/>
      <c r="O21" s="608"/>
      <c r="P21" s="608"/>
      <c r="Q21" s="618"/>
      <c r="R21" s="618"/>
      <c r="S21" s="61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108"/>
      <c r="AZ21" s="108"/>
      <c r="BA21" s="108"/>
    </row>
    <row r="22" spans="1:61" s="107" customFormat="1" ht="47.25">
      <c r="A22" s="607" t="s">
        <v>138</v>
      </c>
      <c r="B22" s="608" t="s">
        <v>894</v>
      </c>
      <c r="C22" s="608">
        <v>2020</v>
      </c>
      <c r="D22" s="608"/>
      <c r="E22" s="736" t="s">
        <v>901</v>
      </c>
      <c r="F22" s="611" t="s">
        <v>902</v>
      </c>
      <c r="G22" s="611" t="s">
        <v>903</v>
      </c>
      <c r="H22" s="608" t="s">
        <v>465</v>
      </c>
      <c r="I22" s="608"/>
      <c r="J22" s="608"/>
      <c r="K22" s="846">
        <v>630000000</v>
      </c>
      <c r="L22" s="847">
        <f>+K22/$D$85</f>
        <v>987306.06488011277</v>
      </c>
      <c r="M22" s="847">
        <v>100</v>
      </c>
      <c r="N22" s="847">
        <v>0</v>
      </c>
      <c r="O22" s="631" t="s">
        <v>466</v>
      </c>
      <c r="P22" s="608" t="s">
        <v>465</v>
      </c>
      <c r="Q22" s="618" t="s">
        <v>625</v>
      </c>
      <c r="R22" s="618" t="s">
        <v>625</v>
      </c>
      <c r="S22" s="618" t="s">
        <v>904</v>
      </c>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c r="AS22" s="108"/>
      <c r="AT22" s="108"/>
      <c r="AU22" s="108"/>
      <c r="AV22" s="108"/>
      <c r="AW22" s="108"/>
      <c r="AX22" s="108"/>
      <c r="AY22" s="108"/>
      <c r="AZ22" s="108"/>
      <c r="BA22" s="108"/>
    </row>
    <row r="24" spans="1:61" s="107" customFormat="1">
      <c r="A24" s="607"/>
      <c r="B24" s="608" t="s">
        <v>508</v>
      </c>
      <c r="C24" s="608"/>
      <c r="D24" s="608"/>
      <c r="E24" s="608"/>
      <c r="F24" s="608"/>
      <c r="G24" s="608"/>
      <c r="H24" s="608"/>
      <c r="I24" s="608"/>
      <c r="J24" s="608"/>
      <c r="K24" s="611">
        <f>+K17+K21+K22</f>
        <v>700608000</v>
      </c>
      <c r="L24" s="611">
        <f>+L17+L21+L22</f>
        <v>1104324.9084141455</v>
      </c>
      <c r="M24" s="611">
        <v>100</v>
      </c>
      <c r="N24" s="611">
        <f>SUM(N17:N22)</f>
        <v>0</v>
      </c>
      <c r="O24" s="608"/>
      <c r="P24" s="608"/>
      <c r="Q24" s="608"/>
      <c r="R24" s="608"/>
      <c r="S24" s="6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c r="BA24" s="108"/>
    </row>
    <row r="25" spans="1:61" s="106" customFormat="1" ht="16.5" thickBot="1">
      <c r="L25" s="157"/>
      <c r="M25" s="158"/>
      <c r="N25" s="15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7"/>
      <c r="BC25" s="107"/>
      <c r="BD25" s="107"/>
      <c r="BE25" s="107"/>
      <c r="BF25" s="107"/>
      <c r="BG25" s="107"/>
      <c r="BH25" s="107"/>
      <c r="BI25" s="107"/>
    </row>
    <row r="26" spans="1:61" s="106" customFormat="1">
      <c r="A26" s="841" t="s">
        <v>435</v>
      </c>
      <c r="B26" s="352" t="s">
        <v>509</v>
      </c>
      <c r="C26" s="353"/>
      <c r="D26" s="353"/>
      <c r="E26" s="353"/>
      <c r="F26" s="353"/>
      <c r="G26" s="353"/>
      <c r="H26" s="353"/>
      <c r="I26" s="353"/>
      <c r="J26" s="353"/>
      <c r="K26" s="353"/>
      <c r="L26" s="353"/>
      <c r="M26" s="353"/>
      <c r="N26" s="353"/>
      <c r="O26" s="353"/>
      <c r="P26" s="353"/>
      <c r="Q26" s="353"/>
      <c r="R26" s="353"/>
      <c r="S26" s="354"/>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7"/>
      <c r="BC26" s="107"/>
      <c r="BD26" s="107"/>
      <c r="BE26" s="107"/>
      <c r="BF26" s="107"/>
      <c r="BG26" s="107"/>
      <c r="BH26" s="107"/>
      <c r="BI26" s="107"/>
    </row>
    <row r="27" spans="1:61" s="106" customFormat="1">
      <c r="A27" s="841"/>
      <c r="B27" s="849" t="s">
        <v>437</v>
      </c>
      <c r="C27" s="850"/>
      <c r="D27" s="841" t="s">
        <v>439</v>
      </c>
      <c r="E27" s="841" t="s">
        <v>440</v>
      </c>
      <c r="F27" s="841" t="s">
        <v>441</v>
      </c>
      <c r="G27" s="841" t="s">
        <v>442</v>
      </c>
      <c r="H27" s="841" t="s">
        <v>892</v>
      </c>
      <c r="I27" s="841"/>
      <c r="J27" s="841"/>
      <c r="K27" s="842"/>
      <c r="L27" s="843" t="s">
        <v>446</v>
      </c>
      <c r="M27" s="843"/>
      <c r="N27" s="843"/>
      <c r="O27" s="841" t="s">
        <v>447</v>
      </c>
      <c r="P27" s="841" t="s">
        <v>893</v>
      </c>
      <c r="Q27" s="841" t="s">
        <v>449</v>
      </c>
      <c r="R27" s="841"/>
      <c r="S27" s="851" t="s">
        <v>450</v>
      </c>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7"/>
      <c r="BC27" s="107"/>
      <c r="BD27" s="107"/>
      <c r="BE27" s="107"/>
      <c r="BF27" s="107"/>
      <c r="BG27" s="107"/>
      <c r="BH27" s="107"/>
      <c r="BI27" s="107"/>
    </row>
    <row r="28" spans="1:61" s="106" customFormat="1" ht="63">
      <c r="A28" s="842"/>
      <c r="B28" s="849"/>
      <c r="C28" s="850"/>
      <c r="D28" s="841" t="s">
        <v>439</v>
      </c>
      <c r="E28" s="841"/>
      <c r="F28" s="841"/>
      <c r="G28" s="841"/>
      <c r="H28" s="841"/>
      <c r="I28" s="841" t="s">
        <v>445</v>
      </c>
      <c r="J28" s="841"/>
      <c r="K28" s="842" t="s">
        <v>451</v>
      </c>
      <c r="L28" s="842" t="s">
        <v>452</v>
      </c>
      <c r="M28" s="844" t="s">
        <v>453</v>
      </c>
      <c r="N28" s="845" t="s">
        <v>454</v>
      </c>
      <c r="O28" s="841"/>
      <c r="P28" s="841"/>
      <c r="Q28" s="842" t="s">
        <v>510</v>
      </c>
      <c r="R28" s="842" t="s">
        <v>456</v>
      </c>
      <c r="S28" s="851"/>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7"/>
      <c r="BC28" s="107"/>
      <c r="BD28" s="107"/>
      <c r="BE28" s="107"/>
      <c r="BF28" s="107"/>
      <c r="BG28" s="107"/>
      <c r="BH28" s="107"/>
      <c r="BI28" s="107"/>
    </row>
    <row r="29" spans="1:61" s="107" customFormat="1">
      <c r="A29" s="607"/>
      <c r="B29" s="608"/>
      <c r="C29" s="608"/>
      <c r="D29" s="608"/>
      <c r="E29" s="608"/>
      <c r="F29" s="736"/>
      <c r="G29" s="736"/>
      <c r="H29" s="608"/>
      <c r="I29" s="608"/>
      <c r="J29" s="608"/>
      <c r="K29" s="846"/>
      <c r="L29" s="611"/>
      <c r="M29" s="847"/>
      <c r="N29" s="847"/>
      <c r="O29" s="631"/>
      <c r="P29" s="608"/>
      <c r="Q29" s="618"/>
      <c r="R29" s="618"/>
      <c r="S29" s="61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row>
    <row r="30" spans="1:61" s="107" customFormat="1">
      <c r="A30" s="607"/>
      <c r="B30" s="608" t="s">
        <v>508</v>
      </c>
      <c r="C30" s="608"/>
      <c r="D30" s="608"/>
      <c r="E30" s="608"/>
      <c r="F30" s="608"/>
      <c r="G30" s="608"/>
      <c r="H30" s="608"/>
      <c r="I30" s="608"/>
      <c r="J30" s="608"/>
      <c r="K30" s="847">
        <f>K29</f>
        <v>0</v>
      </c>
      <c r="L30" s="847">
        <f>L29</f>
        <v>0</v>
      </c>
      <c r="M30" s="847">
        <v>100</v>
      </c>
      <c r="N30" s="847">
        <v>0</v>
      </c>
      <c r="O30" s="618"/>
      <c r="P30" s="608"/>
      <c r="Q30" s="608"/>
      <c r="R30" s="608"/>
      <c r="S30" s="6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row>
    <row r="31" spans="1:61" s="106" customFormat="1">
      <c r="H31" s="160"/>
      <c r="L31" s="161"/>
      <c r="M31" s="161"/>
      <c r="N31" s="161"/>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7"/>
      <c r="BC31" s="107"/>
      <c r="BD31" s="107"/>
      <c r="BE31" s="107"/>
      <c r="BF31" s="107"/>
      <c r="BG31" s="107"/>
      <c r="BH31" s="107"/>
      <c r="BI31" s="107"/>
    </row>
    <row r="32" spans="1:61" s="106" customFormat="1">
      <c r="A32" s="841" t="s">
        <v>435</v>
      </c>
      <c r="B32" s="841" t="s">
        <v>511</v>
      </c>
      <c r="C32" s="841"/>
      <c r="D32" s="841"/>
      <c r="E32" s="841"/>
      <c r="F32" s="841"/>
      <c r="G32" s="841"/>
      <c r="H32" s="841"/>
      <c r="I32" s="841"/>
      <c r="J32" s="841"/>
      <c r="K32" s="841"/>
      <c r="L32" s="841"/>
      <c r="M32" s="841"/>
      <c r="N32" s="841"/>
      <c r="O32" s="841"/>
      <c r="P32" s="841"/>
      <c r="Q32" s="841"/>
      <c r="R32" s="841"/>
      <c r="S32" s="841"/>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7"/>
      <c r="BC32" s="107"/>
      <c r="BD32" s="107"/>
      <c r="BE32" s="107"/>
      <c r="BF32" s="107"/>
      <c r="BG32" s="107"/>
      <c r="BH32" s="107"/>
      <c r="BI32" s="107"/>
    </row>
    <row r="33" spans="1:61" s="106" customFormat="1">
      <c r="A33" s="841"/>
      <c r="B33" s="841" t="s">
        <v>437</v>
      </c>
      <c r="C33" s="842"/>
      <c r="D33" s="841" t="s">
        <v>439</v>
      </c>
      <c r="E33" s="841" t="s">
        <v>440</v>
      </c>
      <c r="F33" s="841" t="s">
        <v>441</v>
      </c>
      <c r="G33" s="841" t="s">
        <v>442</v>
      </c>
      <c r="H33" s="841" t="s">
        <v>892</v>
      </c>
      <c r="I33" s="841" t="s">
        <v>445</v>
      </c>
      <c r="J33" s="843" t="s">
        <v>446</v>
      </c>
      <c r="K33" s="843"/>
      <c r="L33" s="843"/>
      <c r="M33" s="843"/>
      <c r="N33" s="845"/>
      <c r="O33" s="841" t="s">
        <v>447</v>
      </c>
      <c r="P33" s="841" t="s">
        <v>893</v>
      </c>
      <c r="Q33" s="841" t="s">
        <v>449</v>
      </c>
      <c r="R33" s="841"/>
      <c r="S33" s="841" t="s">
        <v>450</v>
      </c>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7"/>
      <c r="BC33" s="107"/>
      <c r="BD33" s="107"/>
      <c r="BE33" s="107"/>
      <c r="BF33" s="107"/>
      <c r="BG33" s="107"/>
      <c r="BH33" s="107"/>
      <c r="BI33" s="107"/>
    </row>
    <row r="34" spans="1:61" s="106" customFormat="1" ht="79.5" thickBot="1">
      <c r="A34" s="162"/>
      <c r="B34" s="852"/>
      <c r="C34" s="162"/>
      <c r="D34" s="852" t="s">
        <v>439</v>
      </c>
      <c r="E34" s="852"/>
      <c r="F34" s="852"/>
      <c r="G34" s="852"/>
      <c r="H34" s="852"/>
      <c r="I34" s="852"/>
      <c r="J34" s="853" t="s">
        <v>512</v>
      </c>
      <c r="K34" s="162" t="s">
        <v>451</v>
      </c>
      <c r="L34" s="162" t="s">
        <v>452</v>
      </c>
      <c r="M34" s="854" t="s">
        <v>453</v>
      </c>
      <c r="N34" s="853" t="s">
        <v>454</v>
      </c>
      <c r="O34" s="852"/>
      <c r="P34" s="852"/>
      <c r="Q34" s="162" t="s">
        <v>513</v>
      </c>
      <c r="R34" s="162" t="s">
        <v>514</v>
      </c>
      <c r="S34" s="852"/>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7"/>
      <c r="BC34" s="107"/>
      <c r="BD34" s="107"/>
      <c r="BE34" s="107"/>
      <c r="BF34" s="107"/>
      <c r="BG34" s="107"/>
      <c r="BH34" s="107"/>
      <c r="BI34" s="107"/>
    </row>
    <row r="35" spans="1:61" s="172" customFormat="1">
      <c r="A35" s="163" t="s">
        <v>345</v>
      </c>
      <c r="B35" s="164" t="s">
        <v>894</v>
      </c>
      <c r="C35" s="164">
        <v>2018</v>
      </c>
      <c r="D35" s="164"/>
      <c r="E35" s="165" t="s">
        <v>67</v>
      </c>
      <c r="F35" s="166"/>
      <c r="G35" s="166"/>
      <c r="H35" s="164"/>
      <c r="I35" s="164"/>
      <c r="J35" s="164"/>
      <c r="K35" s="166">
        <f>SUM(K36:K37)</f>
        <v>12312000</v>
      </c>
      <c r="L35" s="166">
        <f>SUM(L36:L37)</f>
        <v>20404.713369462537</v>
      </c>
      <c r="M35" s="167">
        <v>100</v>
      </c>
      <c r="N35" s="167"/>
      <c r="O35" s="164"/>
      <c r="P35" s="164"/>
      <c r="Q35" s="168"/>
      <c r="R35" s="169"/>
      <c r="S35" s="170"/>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c r="AU35" s="171"/>
      <c r="AV35" s="171"/>
      <c r="AW35" s="171"/>
      <c r="AX35" s="171"/>
      <c r="AY35" s="171"/>
      <c r="AZ35" s="171"/>
      <c r="BA35" s="171"/>
    </row>
    <row r="36" spans="1:61" s="107" customFormat="1" ht="31.5">
      <c r="A36" s="628" t="s">
        <v>349</v>
      </c>
      <c r="B36" s="608" t="s">
        <v>894</v>
      </c>
      <c r="C36" s="608">
        <v>2018</v>
      </c>
      <c r="D36" s="608"/>
      <c r="E36" s="736" t="s">
        <v>905</v>
      </c>
      <c r="F36" s="611" t="s">
        <v>906</v>
      </c>
      <c r="G36" s="611" t="s">
        <v>907</v>
      </c>
      <c r="H36" s="608" t="s">
        <v>465</v>
      </c>
      <c r="I36" s="608"/>
      <c r="J36" s="608"/>
      <c r="K36" s="846">
        <v>4500000</v>
      </c>
      <c r="L36" s="611">
        <f>+K36/$D$82</f>
        <v>7457.8630736339683</v>
      </c>
      <c r="M36" s="847">
        <v>100</v>
      </c>
      <c r="N36" s="847">
        <v>0</v>
      </c>
      <c r="O36" s="608" t="s">
        <v>466</v>
      </c>
      <c r="P36" s="608" t="s">
        <v>465</v>
      </c>
      <c r="Q36" s="618"/>
      <c r="R36" s="675">
        <v>43313</v>
      </c>
      <c r="S36" s="855"/>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row>
    <row r="37" spans="1:61" s="107" customFormat="1" ht="31.5">
      <c r="A37" s="628" t="s">
        <v>347</v>
      </c>
      <c r="B37" s="608" t="s">
        <v>894</v>
      </c>
      <c r="C37" s="608">
        <v>2018</v>
      </c>
      <c r="D37" s="608"/>
      <c r="E37" s="736" t="s">
        <v>908</v>
      </c>
      <c r="F37" s="611" t="s">
        <v>909</v>
      </c>
      <c r="G37" s="611" t="s">
        <v>910</v>
      </c>
      <c r="H37" s="608" t="s">
        <v>465</v>
      </c>
      <c r="I37" s="608"/>
      <c r="J37" s="608"/>
      <c r="K37" s="846">
        <v>7812000</v>
      </c>
      <c r="L37" s="611">
        <f>+K37/$D$82</f>
        <v>12946.850295828568</v>
      </c>
      <c r="M37" s="847">
        <v>100</v>
      </c>
      <c r="N37" s="847">
        <v>0</v>
      </c>
      <c r="O37" s="608" t="s">
        <v>466</v>
      </c>
      <c r="P37" s="608" t="s">
        <v>465</v>
      </c>
      <c r="Q37" s="618"/>
      <c r="R37" s="675">
        <v>43282</v>
      </c>
      <c r="S37" s="855"/>
      <c r="T37" s="108"/>
      <c r="U37" s="108"/>
      <c r="V37" s="108"/>
      <c r="W37" s="108"/>
      <c r="X37" s="108"/>
      <c r="Y37" s="108"/>
      <c r="Z37" s="108"/>
      <c r="AA37" s="108"/>
      <c r="AB37" s="108"/>
      <c r="AC37" s="108"/>
      <c r="AD37" s="108"/>
      <c r="AE37" s="108"/>
      <c r="AF37" s="108"/>
      <c r="AG37" s="108"/>
      <c r="AH37" s="108"/>
      <c r="AI37" s="108"/>
      <c r="AJ37" s="108"/>
      <c r="AK37" s="108"/>
      <c r="AL37" s="108"/>
      <c r="AM37" s="108"/>
      <c r="AN37" s="108"/>
      <c r="AO37" s="108"/>
      <c r="AP37" s="108"/>
      <c r="AQ37" s="108"/>
      <c r="AR37" s="108"/>
      <c r="AS37" s="108"/>
      <c r="AT37" s="108"/>
      <c r="AU37" s="108"/>
      <c r="AV37" s="108"/>
      <c r="AW37" s="108"/>
      <c r="AX37" s="108"/>
      <c r="AY37" s="108"/>
      <c r="AZ37" s="108"/>
      <c r="BA37" s="108"/>
    </row>
    <row r="38" spans="1:61" s="107" customFormat="1" ht="16.5" thickBot="1">
      <c r="A38" s="632"/>
      <c r="B38" s="633"/>
      <c r="C38" s="633"/>
      <c r="D38" s="633"/>
      <c r="E38" s="856"/>
      <c r="F38" s="857"/>
      <c r="G38" s="857"/>
      <c r="H38" s="633"/>
      <c r="I38" s="633"/>
      <c r="J38" s="633"/>
      <c r="K38" s="858"/>
      <c r="L38" s="857"/>
      <c r="M38" s="859"/>
      <c r="N38" s="859"/>
      <c r="O38" s="633"/>
      <c r="P38" s="633"/>
      <c r="Q38" s="860"/>
      <c r="R38" s="860"/>
      <c r="S38" s="861"/>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08"/>
      <c r="AS38" s="108"/>
      <c r="AT38" s="108"/>
      <c r="AU38" s="108"/>
      <c r="AV38" s="108"/>
      <c r="AW38" s="108"/>
      <c r="AX38" s="108"/>
      <c r="AY38" s="108"/>
      <c r="AZ38" s="108"/>
      <c r="BA38" s="108"/>
    </row>
    <row r="39" spans="1:61" s="107" customFormat="1">
      <c r="A39" s="28"/>
      <c r="B39" s="29" t="s">
        <v>508</v>
      </c>
      <c r="C39" s="29"/>
      <c r="D39" s="29"/>
      <c r="E39" s="29"/>
      <c r="F39" s="29"/>
      <c r="G39" s="29"/>
      <c r="H39" s="29"/>
      <c r="I39" s="29"/>
      <c r="J39" s="30">
        <f>SUM(J35:J38)</f>
        <v>0</v>
      </c>
      <c r="K39" s="30">
        <f>K35+K38</f>
        <v>12312000</v>
      </c>
      <c r="L39" s="30">
        <f>L35+L38</f>
        <v>20404.713369462537</v>
      </c>
      <c r="M39" s="30">
        <v>100</v>
      </c>
      <c r="N39" s="173">
        <v>0</v>
      </c>
      <c r="O39" s="29"/>
      <c r="P39" s="29"/>
      <c r="Q39" s="29"/>
      <c r="R39" s="29"/>
      <c r="S39" s="29"/>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T39" s="108"/>
      <c r="AU39" s="108"/>
      <c r="AV39" s="108"/>
      <c r="AW39" s="108"/>
      <c r="AX39" s="108"/>
      <c r="AY39" s="108"/>
      <c r="AZ39" s="108"/>
      <c r="BA39" s="108"/>
    </row>
    <row r="40" spans="1:61" s="107" customFormat="1">
      <c r="L40" s="161"/>
      <c r="M40" s="174"/>
      <c r="N40" s="174"/>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c r="AW40" s="108"/>
      <c r="AX40" s="108"/>
      <c r="AY40" s="108"/>
      <c r="AZ40" s="108"/>
      <c r="BA40" s="108"/>
    </row>
    <row r="41" spans="1:61" s="107" customFormat="1">
      <c r="A41" s="355" t="s">
        <v>435</v>
      </c>
      <c r="B41" s="862" t="s">
        <v>522</v>
      </c>
      <c r="C41" s="863"/>
      <c r="D41" s="863"/>
      <c r="E41" s="863"/>
      <c r="F41" s="863"/>
      <c r="G41" s="863"/>
      <c r="H41" s="863"/>
      <c r="I41" s="863"/>
      <c r="J41" s="863"/>
      <c r="K41" s="863"/>
      <c r="L41" s="863"/>
      <c r="M41" s="863"/>
      <c r="N41" s="863"/>
      <c r="O41" s="863"/>
      <c r="P41" s="863"/>
      <c r="Q41" s="863"/>
      <c r="R41" s="863"/>
      <c r="S41" s="864"/>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c r="AW41" s="108"/>
      <c r="AX41" s="108"/>
      <c r="AY41" s="108"/>
      <c r="AZ41" s="108"/>
      <c r="BA41" s="108"/>
    </row>
    <row r="42" spans="1:61" s="107" customFormat="1" ht="47.25">
      <c r="A42" s="356"/>
      <c r="B42" s="852" t="s">
        <v>437</v>
      </c>
      <c r="C42" s="162" t="s">
        <v>911</v>
      </c>
      <c r="D42" s="841" t="s">
        <v>439</v>
      </c>
      <c r="E42" s="841" t="s">
        <v>440</v>
      </c>
      <c r="F42" s="841" t="s">
        <v>441</v>
      </c>
      <c r="G42" s="852" t="s">
        <v>523</v>
      </c>
      <c r="H42" s="841" t="s">
        <v>912</v>
      </c>
      <c r="I42" s="865"/>
      <c r="J42" s="865"/>
      <c r="K42" s="866" t="s">
        <v>446</v>
      </c>
      <c r="L42" s="867"/>
      <c r="M42" s="867"/>
      <c r="N42" s="868"/>
      <c r="O42" s="852" t="s">
        <v>447</v>
      </c>
      <c r="P42" s="842" t="s">
        <v>913</v>
      </c>
      <c r="Q42" s="841" t="s">
        <v>449</v>
      </c>
      <c r="R42" s="841"/>
      <c r="S42" s="852" t="s">
        <v>450</v>
      </c>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row>
    <row r="43" spans="1:61" s="107" customFormat="1" ht="63">
      <c r="A43" s="357"/>
      <c r="B43" s="358"/>
      <c r="C43" s="286"/>
      <c r="D43" s="841" t="s">
        <v>439</v>
      </c>
      <c r="E43" s="841"/>
      <c r="F43" s="841"/>
      <c r="G43" s="358"/>
      <c r="H43" s="841"/>
      <c r="I43" s="841" t="s">
        <v>445</v>
      </c>
      <c r="J43" s="841"/>
      <c r="K43" s="842" t="s">
        <v>451</v>
      </c>
      <c r="L43" s="175" t="s">
        <v>452</v>
      </c>
      <c r="M43" s="844" t="s">
        <v>453</v>
      </c>
      <c r="N43" s="845" t="s">
        <v>454</v>
      </c>
      <c r="O43" s="358"/>
      <c r="P43" s="842" t="s">
        <v>510</v>
      </c>
      <c r="Q43" s="842" t="s">
        <v>510</v>
      </c>
      <c r="R43" s="842" t="s">
        <v>456</v>
      </c>
      <c r="S43" s="35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8"/>
      <c r="AY43" s="108"/>
      <c r="AZ43" s="108"/>
    </row>
    <row r="44" spans="1:61" s="107" customFormat="1" ht="31.5">
      <c r="A44" s="607" t="s">
        <v>138</v>
      </c>
      <c r="B44" s="608" t="s">
        <v>894</v>
      </c>
      <c r="C44" s="608">
        <v>2019</v>
      </c>
      <c r="D44" s="608" t="s">
        <v>914</v>
      </c>
      <c r="E44" s="736" t="s">
        <v>915</v>
      </c>
      <c r="F44" s="611" t="s">
        <v>916</v>
      </c>
      <c r="G44" s="611" t="s">
        <v>917</v>
      </c>
      <c r="H44" s="608" t="s">
        <v>465</v>
      </c>
      <c r="I44" s="608">
        <v>1</v>
      </c>
      <c r="J44" s="608"/>
      <c r="K44" s="846"/>
      <c r="L44" s="846">
        <f>+K44/$D$83</f>
        <v>0</v>
      </c>
      <c r="M44" s="631">
        <v>100</v>
      </c>
      <c r="N44" s="608">
        <v>0</v>
      </c>
      <c r="O44" s="618" t="s">
        <v>466</v>
      </c>
      <c r="P44" s="608" t="s">
        <v>465</v>
      </c>
      <c r="Q44" s="618"/>
      <c r="R44" s="616"/>
      <c r="S44" s="616"/>
      <c r="T44" s="108"/>
      <c r="U44" s="108"/>
      <c r="V44" s="108"/>
      <c r="W44" s="108"/>
      <c r="X44" s="108"/>
      <c r="Y44" s="108"/>
      <c r="Z44" s="108"/>
      <c r="AA44" s="108"/>
      <c r="AB44" s="108"/>
      <c r="AC44" s="108"/>
      <c r="AD44" s="108"/>
      <c r="AE44" s="108"/>
      <c r="AF44" s="108"/>
      <c r="AG44" s="108"/>
      <c r="AH44" s="108"/>
      <c r="AI44" s="108"/>
      <c r="AJ44" s="108"/>
      <c r="AK44" s="108"/>
      <c r="AL44" s="108"/>
      <c r="AM44" s="108"/>
      <c r="AN44" s="108"/>
      <c r="AO44" s="108"/>
      <c r="AP44" s="108"/>
      <c r="AQ44" s="108"/>
      <c r="AR44" s="108"/>
      <c r="AS44" s="108"/>
      <c r="AT44" s="108"/>
      <c r="AU44" s="108"/>
      <c r="AV44" s="108"/>
      <c r="AW44" s="108"/>
      <c r="AX44" s="108"/>
      <c r="AY44" s="108"/>
    </row>
    <row r="45" spans="1:61" s="107" customFormat="1" ht="16.5" thickBot="1">
      <c r="A45" s="663"/>
      <c r="B45" s="664"/>
      <c r="C45" s="664"/>
      <c r="D45" s="664"/>
      <c r="E45" s="666"/>
      <c r="F45" s="666"/>
      <c r="G45" s="666"/>
      <c r="H45" s="666"/>
      <c r="I45" s="667"/>
      <c r="J45" s="668"/>
      <c r="K45" s="869">
        <f>+K44</f>
        <v>0</v>
      </c>
      <c r="L45" s="869">
        <f>+L44</f>
        <v>0</v>
      </c>
      <c r="M45" s="666">
        <v>100</v>
      </c>
      <c r="N45" s="666">
        <v>0</v>
      </c>
      <c r="O45" s="870"/>
      <c r="P45" s="666"/>
      <c r="Q45" s="666"/>
      <c r="R45" s="666"/>
      <c r="S45" s="672"/>
      <c r="T45" s="108"/>
      <c r="U45" s="108"/>
      <c r="V45" s="108"/>
      <c r="W45" s="108"/>
      <c r="X45" s="108"/>
      <c r="Y45" s="108"/>
      <c r="Z45" s="108"/>
      <c r="AA45" s="108"/>
      <c r="AB45" s="108"/>
      <c r="AC45" s="108"/>
      <c r="AD45" s="108"/>
      <c r="AE45" s="108"/>
      <c r="AF45" s="108"/>
      <c r="AG45" s="108"/>
      <c r="AH45" s="108"/>
      <c r="AI45" s="108"/>
      <c r="AJ45" s="108"/>
      <c r="AK45" s="108"/>
      <c r="AL45" s="108"/>
      <c r="AM45" s="108"/>
      <c r="AN45" s="108"/>
      <c r="AO45" s="108"/>
      <c r="AP45" s="108"/>
      <c r="AQ45" s="108"/>
      <c r="AR45" s="108"/>
      <c r="AS45" s="108"/>
      <c r="AT45" s="108"/>
      <c r="AU45" s="108"/>
      <c r="AV45" s="108"/>
      <c r="AW45" s="108"/>
      <c r="AX45" s="108"/>
      <c r="AY45" s="108"/>
      <c r="AZ45" s="108"/>
    </row>
    <row r="46" spans="1:61" s="107" customFormat="1">
      <c r="L46" s="161"/>
      <c r="M46" s="174"/>
      <c r="N46" s="174"/>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c r="AQ46" s="108"/>
      <c r="AR46" s="108"/>
      <c r="AS46" s="108"/>
      <c r="AT46" s="108"/>
      <c r="AU46" s="108"/>
      <c r="AV46" s="108"/>
      <c r="AW46" s="108"/>
      <c r="AX46" s="108"/>
      <c r="AY46" s="108"/>
      <c r="AZ46" s="108"/>
      <c r="BA46" s="108"/>
    </row>
    <row r="47" spans="1:61" s="178" customFormat="1">
      <c r="A47" s="841" t="s">
        <v>435</v>
      </c>
      <c r="B47" s="841" t="s">
        <v>524</v>
      </c>
      <c r="C47" s="841"/>
      <c r="D47" s="841"/>
      <c r="E47" s="841"/>
      <c r="F47" s="841"/>
      <c r="G47" s="841"/>
      <c r="H47" s="841"/>
      <c r="I47" s="841"/>
      <c r="J47" s="841"/>
      <c r="K47" s="841"/>
      <c r="L47" s="841"/>
      <c r="M47" s="841"/>
      <c r="N47" s="841"/>
      <c r="O47" s="841"/>
      <c r="P47" s="841"/>
      <c r="Q47" s="841"/>
      <c r="R47" s="841"/>
      <c r="S47" s="841"/>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6"/>
      <c r="AZ47" s="176"/>
      <c r="BA47" s="176"/>
      <c r="BB47" s="177"/>
      <c r="BC47" s="177"/>
      <c r="BD47" s="177"/>
      <c r="BE47" s="177"/>
      <c r="BF47" s="177"/>
      <c r="BG47" s="177"/>
      <c r="BH47" s="177"/>
      <c r="BI47" s="177"/>
    </row>
    <row r="48" spans="1:61" s="178" customFormat="1">
      <c r="A48" s="841"/>
      <c r="B48" s="841" t="s">
        <v>437</v>
      </c>
      <c r="C48" s="842"/>
      <c r="D48" s="841" t="s">
        <v>439</v>
      </c>
      <c r="E48" s="841" t="s">
        <v>440</v>
      </c>
      <c r="F48" s="841" t="s">
        <v>441</v>
      </c>
      <c r="G48" s="841" t="s">
        <v>442</v>
      </c>
      <c r="H48" s="841" t="s">
        <v>892</v>
      </c>
      <c r="I48" s="841"/>
      <c r="J48" s="841"/>
      <c r="K48" s="842"/>
      <c r="L48" s="843" t="s">
        <v>446</v>
      </c>
      <c r="M48" s="843"/>
      <c r="N48" s="843"/>
      <c r="O48" s="841" t="s">
        <v>447</v>
      </c>
      <c r="P48" s="841" t="s">
        <v>893</v>
      </c>
      <c r="Q48" s="841" t="s">
        <v>449</v>
      </c>
      <c r="R48" s="841"/>
      <c r="S48" s="841" t="s">
        <v>450</v>
      </c>
      <c r="T48" s="176"/>
      <c r="U48" s="176"/>
      <c r="V48" s="176"/>
      <c r="W48" s="176"/>
      <c r="X48" s="176"/>
      <c r="Y48" s="176"/>
      <c r="Z48" s="176"/>
      <c r="AA48" s="176"/>
      <c r="AB48" s="176"/>
      <c r="AC48" s="176"/>
      <c r="AD48" s="176"/>
      <c r="AE48" s="176"/>
      <c r="AF48" s="176"/>
      <c r="AG48" s="176"/>
      <c r="AH48" s="176"/>
      <c r="AI48" s="176"/>
      <c r="AJ48" s="176"/>
      <c r="AK48" s="176"/>
      <c r="AL48" s="176"/>
      <c r="AM48" s="176"/>
      <c r="AN48" s="176"/>
      <c r="AO48" s="176"/>
      <c r="AP48" s="176"/>
      <c r="AQ48" s="176"/>
      <c r="AR48" s="176"/>
      <c r="AS48" s="176"/>
      <c r="AT48" s="176"/>
      <c r="AU48" s="176"/>
      <c r="AV48" s="176"/>
      <c r="AW48" s="176"/>
      <c r="AX48" s="176"/>
      <c r="AY48" s="176"/>
      <c r="AZ48" s="176"/>
      <c r="BA48" s="176"/>
      <c r="BB48" s="177"/>
      <c r="BC48" s="177"/>
      <c r="BD48" s="177"/>
      <c r="BE48" s="177"/>
      <c r="BF48" s="177"/>
      <c r="BG48" s="177"/>
      <c r="BH48" s="177"/>
      <c r="BI48" s="177"/>
    </row>
    <row r="49" spans="1:61" s="178" customFormat="1" ht="63">
      <c r="A49" s="842"/>
      <c r="B49" s="841"/>
      <c r="C49" s="842"/>
      <c r="D49" s="841" t="s">
        <v>439</v>
      </c>
      <c r="E49" s="841"/>
      <c r="F49" s="841"/>
      <c r="G49" s="841"/>
      <c r="H49" s="841"/>
      <c r="I49" s="841" t="s">
        <v>445</v>
      </c>
      <c r="J49" s="841"/>
      <c r="K49" s="842" t="s">
        <v>451</v>
      </c>
      <c r="L49" s="842" t="s">
        <v>452</v>
      </c>
      <c r="M49" s="844" t="s">
        <v>453</v>
      </c>
      <c r="N49" s="845" t="s">
        <v>454</v>
      </c>
      <c r="O49" s="841"/>
      <c r="P49" s="841"/>
      <c r="Q49" s="842" t="s">
        <v>510</v>
      </c>
      <c r="R49" s="842" t="s">
        <v>456</v>
      </c>
      <c r="S49" s="841"/>
      <c r="T49" s="176"/>
      <c r="U49" s="176"/>
      <c r="V49" s="176"/>
      <c r="W49" s="176"/>
      <c r="X49" s="176"/>
      <c r="Y49" s="176"/>
      <c r="Z49" s="176"/>
      <c r="AA49" s="176"/>
      <c r="AB49" s="176"/>
      <c r="AC49" s="176"/>
      <c r="AD49" s="176"/>
      <c r="AE49" s="176"/>
      <c r="AF49" s="176"/>
      <c r="AG49" s="176"/>
      <c r="AH49" s="176"/>
      <c r="AI49" s="176"/>
      <c r="AJ49" s="176"/>
      <c r="AK49" s="176"/>
      <c r="AL49" s="176"/>
      <c r="AM49" s="176"/>
      <c r="AN49" s="176"/>
      <c r="AO49" s="176"/>
      <c r="AP49" s="176"/>
      <c r="AQ49" s="176"/>
      <c r="AR49" s="176"/>
      <c r="AS49" s="176"/>
      <c r="AT49" s="176"/>
      <c r="AU49" s="176"/>
      <c r="AV49" s="176"/>
      <c r="AW49" s="176"/>
      <c r="AX49" s="176"/>
      <c r="AY49" s="176"/>
      <c r="AZ49" s="176"/>
      <c r="BA49" s="176"/>
      <c r="BB49" s="177"/>
      <c r="BC49" s="177"/>
      <c r="BD49" s="177"/>
      <c r="BE49" s="177"/>
      <c r="BF49" s="177"/>
      <c r="BG49" s="177"/>
      <c r="BH49" s="177"/>
      <c r="BI49" s="177"/>
    </row>
    <row r="50" spans="1:61" s="172" customFormat="1">
      <c r="A50" s="710" t="s">
        <v>345</v>
      </c>
      <c r="B50" s="711" t="s">
        <v>894</v>
      </c>
      <c r="C50" s="711">
        <v>2018</v>
      </c>
      <c r="D50" s="711"/>
      <c r="E50" s="711" t="s">
        <v>67</v>
      </c>
      <c r="F50" s="711"/>
      <c r="G50" s="711"/>
      <c r="H50" s="711"/>
      <c r="I50" s="711"/>
      <c r="J50" s="711"/>
      <c r="K50" s="871">
        <f>SUM(K51:K52)</f>
        <v>72900000</v>
      </c>
      <c r="L50" s="871">
        <f>SUM(L51:L52)</f>
        <v>120817.38179287028</v>
      </c>
      <c r="M50" s="872"/>
      <c r="N50" s="872"/>
      <c r="O50" s="873"/>
      <c r="P50" s="711"/>
      <c r="Q50" s="874"/>
      <c r="R50" s="874"/>
      <c r="S50" s="711"/>
      <c r="T50" s="171"/>
      <c r="U50" s="171"/>
      <c r="V50" s="171"/>
      <c r="W50" s="171"/>
      <c r="X50" s="171"/>
      <c r="Y50" s="171"/>
      <c r="Z50" s="171"/>
      <c r="AA50" s="171"/>
      <c r="AB50" s="171"/>
      <c r="AC50" s="171"/>
      <c r="AD50" s="171"/>
      <c r="AE50" s="171"/>
      <c r="AF50" s="171"/>
      <c r="AG50" s="171"/>
      <c r="AH50" s="171"/>
      <c r="AI50" s="171"/>
      <c r="AJ50" s="171"/>
      <c r="AK50" s="171"/>
      <c r="AL50" s="171"/>
      <c r="AM50" s="171"/>
      <c r="AN50" s="171"/>
      <c r="AO50" s="171"/>
      <c r="AP50" s="171"/>
      <c r="AQ50" s="171"/>
      <c r="AR50" s="171"/>
      <c r="AS50" s="171"/>
      <c r="AT50" s="171"/>
      <c r="AU50" s="171"/>
      <c r="AV50" s="171"/>
      <c r="AW50" s="171"/>
      <c r="AX50" s="171"/>
      <c r="AY50" s="171"/>
      <c r="AZ50" s="171"/>
      <c r="BA50" s="171"/>
    </row>
    <row r="51" spans="1:61" s="107" customFormat="1" ht="47.25">
      <c r="A51" s="607" t="s">
        <v>347</v>
      </c>
      <c r="B51" s="608" t="s">
        <v>894</v>
      </c>
      <c r="C51" s="608">
        <v>2018</v>
      </c>
      <c r="D51" s="608"/>
      <c r="E51" s="608" t="s">
        <v>918</v>
      </c>
      <c r="F51" s="608" t="s">
        <v>919</v>
      </c>
      <c r="G51" s="608" t="s">
        <v>920</v>
      </c>
      <c r="H51" s="608" t="s">
        <v>921</v>
      </c>
      <c r="I51" s="608">
        <v>1</v>
      </c>
      <c r="J51" s="608">
        <v>1</v>
      </c>
      <c r="K51" s="846">
        <v>60000000</v>
      </c>
      <c r="L51" s="611">
        <f>+K51/$D$82</f>
        <v>99438.17431511957</v>
      </c>
      <c r="M51" s="847">
        <v>100</v>
      </c>
      <c r="N51" s="847">
        <v>0</v>
      </c>
      <c r="O51" s="631" t="s">
        <v>466</v>
      </c>
      <c r="P51" s="608" t="s">
        <v>922</v>
      </c>
      <c r="Q51" s="848">
        <v>43101</v>
      </c>
      <c r="R51" s="848">
        <v>43252</v>
      </c>
      <c r="S51" s="6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08"/>
      <c r="AS51" s="108"/>
      <c r="AT51" s="108"/>
      <c r="AU51" s="108"/>
      <c r="AV51" s="108"/>
      <c r="AW51" s="108"/>
      <c r="AX51" s="108"/>
      <c r="AY51" s="108"/>
      <c r="AZ51" s="108"/>
      <c r="BA51" s="108"/>
    </row>
    <row r="52" spans="1:61" s="107" customFormat="1" ht="31.5">
      <c r="A52" s="607" t="s">
        <v>347</v>
      </c>
      <c r="B52" s="608" t="s">
        <v>894</v>
      </c>
      <c r="C52" s="608">
        <v>2018</v>
      </c>
      <c r="D52" s="608"/>
      <c r="E52" s="608" t="s">
        <v>923</v>
      </c>
      <c r="F52" s="608" t="s">
        <v>924</v>
      </c>
      <c r="G52" s="608" t="s">
        <v>925</v>
      </c>
      <c r="H52" s="608" t="s">
        <v>465</v>
      </c>
      <c r="I52" s="608">
        <v>1</v>
      </c>
      <c r="J52" s="608">
        <v>1</v>
      </c>
      <c r="K52" s="846">
        <v>12900000</v>
      </c>
      <c r="L52" s="611">
        <f>+K52/$D$82</f>
        <v>21379.207477750708</v>
      </c>
      <c r="M52" s="847">
        <v>100</v>
      </c>
      <c r="N52" s="847">
        <v>0</v>
      </c>
      <c r="O52" s="631" t="s">
        <v>466</v>
      </c>
      <c r="P52" s="608" t="s">
        <v>922</v>
      </c>
      <c r="Q52" s="848">
        <v>43221</v>
      </c>
      <c r="R52" s="618" t="s">
        <v>926</v>
      </c>
      <c r="S52" s="875" t="s">
        <v>927</v>
      </c>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c r="AY52" s="108"/>
      <c r="AZ52" s="108"/>
      <c r="BA52" s="108"/>
    </row>
    <row r="53" spans="1:61" s="107" customFormat="1" ht="31.5">
      <c r="A53" s="607" t="s">
        <v>138</v>
      </c>
      <c r="B53" s="608" t="s">
        <v>894</v>
      </c>
      <c r="C53" s="608">
        <v>2019</v>
      </c>
      <c r="D53" s="608"/>
      <c r="E53" s="736" t="s">
        <v>68</v>
      </c>
      <c r="F53" s="457" t="s">
        <v>139</v>
      </c>
      <c r="G53" s="611" t="s">
        <v>928</v>
      </c>
      <c r="H53" s="608" t="s">
        <v>465</v>
      </c>
      <c r="I53" s="608">
        <v>1</v>
      </c>
      <c r="J53" s="608"/>
      <c r="K53" s="846">
        <v>130000000</v>
      </c>
      <c r="L53" s="611">
        <f>+K53/$D$83</f>
        <v>203729.8229117693</v>
      </c>
      <c r="M53" s="847">
        <v>100</v>
      </c>
      <c r="N53" s="847">
        <v>0</v>
      </c>
      <c r="O53" s="631" t="s">
        <v>466</v>
      </c>
      <c r="P53" s="608" t="s">
        <v>922</v>
      </c>
      <c r="Q53" s="618" t="s">
        <v>625</v>
      </c>
      <c r="R53" s="618" t="s">
        <v>625</v>
      </c>
      <c r="S53" s="875" t="s">
        <v>929</v>
      </c>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c r="AT53" s="108"/>
      <c r="AU53" s="108"/>
      <c r="AV53" s="108"/>
      <c r="AW53" s="108"/>
      <c r="AX53" s="108"/>
      <c r="AY53" s="108"/>
      <c r="AZ53" s="108"/>
      <c r="BA53" s="108"/>
    </row>
    <row r="54" spans="1:61" s="107" customFormat="1" ht="31.5">
      <c r="A54" s="607"/>
      <c r="B54" s="608"/>
      <c r="C54" s="608">
        <v>2019</v>
      </c>
      <c r="D54" s="608"/>
      <c r="E54" s="736" t="s">
        <v>68</v>
      </c>
      <c r="F54" s="445" t="s">
        <v>144</v>
      </c>
      <c r="G54" s="611"/>
      <c r="H54" s="608"/>
      <c r="I54" s="608"/>
      <c r="J54" s="608"/>
      <c r="K54" s="846">
        <v>151000000</v>
      </c>
      <c r="L54" s="611">
        <f t="shared" ref="L54:L55" si="0">+K54/$D$83</f>
        <v>236640.02507443973</v>
      </c>
      <c r="M54" s="847"/>
      <c r="N54" s="847"/>
      <c r="O54" s="631"/>
      <c r="P54" s="608"/>
      <c r="Q54" s="618"/>
      <c r="R54" s="618"/>
      <c r="S54" s="875" t="s">
        <v>929</v>
      </c>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c r="AT54" s="108"/>
      <c r="AU54" s="108"/>
      <c r="AV54" s="108"/>
      <c r="AW54" s="108"/>
      <c r="AX54" s="108"/>
      <c r="AY54" s="108"/>
      <c r="AZ54" s="108"/>
      <c r="BA54" s="108"/>
    </row>
    <row r="55" spans="1:61" s="107" customFormat="1">
      <c r="A55" s="607"/>
      <c r="B55" s="608"/>
      <c r="C55" s="608">
        <v>2019</v>
      </c>
      <c r="D55" s="608"/>
      <c r="E55" s="736" t="s">
        <v>68</v>
      </c>
      <c r="F55" s="445" t="s">
        <v>148</v>
      </c>
      <c r="G55" s="611"/>
      <c r="H55" s="608"/>
      <c r="I55" s="608"/>
      <c r="J55" s="608"/>
      <c r="K55" s="846">
        <v>100000000</v>
      </c>
      <c r="L55" s="611">
        <f t="shared" si="0"/>
        <v>156715.24839366871</v>
      </c>
      <c r="M55" s="847"/>
      <c r="N55" s="847"/>
      <c r="O55" s="631"/>
      <c r="P55" s="608"/>
      <c r="Q55" s="618"/>
      <c r="R55" s="618"/>
      <c r="S55" s="875" t="s">
        <v>929</v>
      </c>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c r="AW55" s="108"/>
      <c r="AX55" s="108"/>
      <c r="AY55" s="108"/>
      <c r="AZ55" s="108"/>
      <c r="BA55" s="108"/>
    </row>
    <row r="56" spans="1:61" s="107" customFormat="1" ht="47.25">
      <c r="A56" s="607" t="s">
        <v>347</v>
      </c>
      <c r="B56" s="608" t="s">
        <v>894</v>
      </c>
      <c r="C56" s="608">
        <v>2021</v>
      </c>
      <c r="D56" s="608"/>
      <c r="E56" s="736" t="s">
        <v>930</v>
      </c>
      <c r="F56" s="611" t="s">
        <v>931</v>
      </c>
      <c r="G56" s="611" t="s">
        <v>932</v>
      </c>
      <c r="H56" s="608" t="s">
        <v>465</v>
      </c>
      <c r="I56" s="608"/>
      <c r="J56" s="608"/>
      <c r="K56" s="846">
        <f>L56*D85</f>
        <v>95063085.77039732</v>
      </c>
      <c r="L56" s="611">
        <f>+PEP!I14</f>
        <v>148978.35099576449</v>
      </c>
      <c r="M56" s="847"/>
      <c r="N56" s="847"/>
      <c r="O56" s="631" t="s">
        <v>466</v>
      </c>
      <c r="P56" s="876" t="s">
        <v>922</v>
      </c>
      <c r="Q56" s="618" t="s">
        <v>625</v>
      </c>
      <c r="R56" s="618" t="s">
        <v>625</v>
      </c>
      <c r="S56" s="875" t="s">
        <v>933</v>
      </c>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c r="BA56" s="108"/>
    </row>
    <row r="57" spans="1:61" s="107" customFormat="1">
      <c r="A57" s="607"/>
      <c r="B57" s="608" t="s">
        <v>508</v>
      </c>
      <c r="C57" s="285"/>
      <c r="D57" s="285"/>
      <c r="E57" s="215"/>
      <c r="F57" s="285"/>
      <c r="G57" s="285"/>
      <c r="H57" s="216"/>
      <c r="I57" s="359"/>
      <c r="J57" s="359"/>
      <c r="K57" s="217"/>
      <c r="L57" s="217">
        <f>+PEP!I14-'PA CULTURA'!L56</f>
        <v>0</v>
      </c>
      <c r="M57" s="217">
        <v>100</v>
      </c>
      <c r="N57" s="217">
        <v>0</v>
      </c>
      <c r="O57" s="218" t="s">
        <v>466</v>
      </c>
      <c r="P57" s="216" t="s">
        <v>922</v>
      </c>
      <c r="Q57" s="285"/>
      <c r="R57" s="285"/>
      <c r="S57" s="219" t="s">
        <v>934</v>
      </c>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row>
    <row r="58" spans="1:61" s="107" customFormat="1">
      <c r="A58" s="41"/>
      <c r="B58" s="210"/>
      <c r="C58" s="608"/>
      <c r="D58" s="608"/>
      <c r="E58" s="736"/>
      <c r="F58" s="608"/>
      <c r="G58" s="608"/>
      <c r="H58" s="876"/>
      <c r="I58" s="608"/>
      <c r="J58" s="608"/>
      <c r="K58" s="611">
        <f>+L58*$D$85</f>
        <v>0</v>
      </c>
      <c r="L58" s="611">
        <f>+PEP!I14-'PA CULTURA'!L56-'PA CULTURA'!L57</f>
        <v>0</v>
      </c>
      <c r="M58" s="611"/>
      <c r="N58" s="611"/>
      <c r="O58" s="631"/>
      <c r="P58" s="876"/>
      <c r="Q58" s="608"/>
      <c r="R58" s="608"/>
      <c r="S58" s="877"/>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row>
    <row r="59" spans="1:61" s="107" customFormat="1">
      <c r="A59" s="41"/>
      <c r="B59" s="210"/>
      <c r="C59" s="210"/>
      <c r="D59" s="210"/>
      <c r="E59" s="211"/>
      <c r="F59" s="210"/>
      <c r="G59" s="210"/>
      <c r="H59" s="212"/>
      <c r="I59" s="210"/>
      <c r="J59" s="210"/>
      <c r="K59" s="35">
        <f>+K50+K53+K54+K55+K56+K57+K58</f>
        <v>548963085.77039731</v>
      </c>
      <c r="L59" s="35">
        <f>+L50+L53+L54+L55+L56+L57+L58</f>
        <v>866880.82916851249</v>
      </c>
      <c r="M59" s="35"/>
      <c r="N59" s="35"/>
      <c r="O59" s="213"/>
      <c r="P59" s="212"/>
      <c r="Q59" s="210"/>
      <c r="R59" s="210"/>
      <c r="S59" s="214"/>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c r="BA59" s="108"/>
    </row>
    <row r="60" spans="1:61" s="106" customFormat="1">
      <c r="B60" s="34"/>
      <c r="C60" s="34"/>
      <c r="D60" s="34"/>
      <c r="E60" s="34"/>
      <c r="F60" s="34"/>
      <c r="G60" s="34"/>
      <c r="H60" s="34"/>
      <c r="I60" s="34"/>
      <c r="J60" s="34"/>
      <c r="K60" s="34"/>
      <c r="L60" s="35"/>
      <c r="M60" s="35"/>
      <c r="N60" s="35"/>
      <c r="O60" s="36"/>
      <c r="P60" s="34"/>
      <c r="Q60" s="34"/>
      <c r="R60" s="34"/>
      <c r="S60" s="34"/>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7"/>
      <c r="BC60" s="107"/>
      <c r="BD60" s="107"/>
      <c r="BE60" s="107"/>
      <c r="BF60" s="107"/>
      <c r="BG60" s="107"/>
      <c r="BH60" s="107"/>
      <c r="BI60" s="107"/>
    </row>
    <row r="61" spans="1:61" s="106" customFormat="1">
      <c r="A61" s="841" t="s">
        <v>435</v>
      </c>
      <c r="B61" s="841" t="s">
        <v>592</v>
      </c>
      <c r="C61" s="841"/>
      <c r="D61" s="841"/>
      <c r="E61" s="841"/>
      <c r="F61" s="841"/>
      <c r="G61" s="841"/>
      <c r="H61" s="841"/>
      <c r="I61" s="841"/>
      <c r="J61" s="841"/>
      <c r="K61" s="841"/>
      <c r="L61" s="841"/>
      <c r="M61" s="841"/>
      <c r="N61" s="841"/>
      <c r="O61" s="841"/>
      <c r="P61" s="841"/>
      <c r="Q61" s="841"/>
      <c r="R61" s="841"/>
      <c r="S61" s="841"/>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7"/>
      <c r="BC61" s="107"/>
      <c r="BD61" s="107"/>
      <c r="BE61" s="107"/>
      <c r="BF61" s="107"/>
      <c r="BG61" s="107"/>
      <c r="BH61" s="107"/>
      <c r="BI61" s="107"/>
    </row>
    <row r="62" spans="1:61" s="106" customFormat="1">
      <c r="A62" s="841"/>
      <c r="B62" s="841" t="s">
        <v>437</v>
      </c>
      <c r="C62" s="842"/>
      <c r="D62" s="841" t="s">
        <v>439</v>
      </c>
      <c r="E62" s="841" t="s">
        <v>440</v>
      </c>
      <c r="F62" s="841" t="s">
        <v>441</v>
      </c>
      <c r="G62" s="841" t="s">
        <v>442</v>
      </c>
      <c r="H62" s="841" t="s">
        <v>892</v>
      </c>
      <c r="I62" s="841"/>
      <c r="J62" s="841"/>
      <c r="K62" s="842"/>
      <c r="L62" s="843" t="s">
        <v>446</v>
      </c>
      <c r="M62" s="843"/>
      <c r="N62" s="843"/>
      <c r="O62" s="841" t="s">
        <v>447</v>
      </c>
      <c r="P62" s="841" t="s">
        <v>893</v>
      </c>
      <c r="Q62" s="841" t="s">
        <v>449</v>
      </c>
      <c r="R62" s="841"/>
      <c r="S62" s="841" t="s">
        <v>450</v>
      </c>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7"/>
      <c r="BC62" s="107"/>
      <c r="BD62" s="107"/>
      <c r="BE62" s="107"/>
      <c r="BF62" s="107"/>
      <c r="BG62" s="107"/>
      <c r="BH62" s="107"/>
      <c r="BI62" s="107"/>
    </row>
    <row r="63" spans="1:61" s="106" customFormat="1" ht="63">
      <c r="A63" s="842"/>
      <c r="B63" s="841"/>
      <c r="C63" s="842"/>
      <c r="D63" s="841" t="s">
        <v>439</v>
      </c>
      <c r="E63" s="841"/>
      <c r="F63" s="841"/>
      <c r="G63" s="841"/>
      <c r="H63" s="841"/>
      <c r="I63" s="841" t="s">
        <v>445</v>
      </c>
      <c r="J63" s="841"/>
      <c r="K63" s="842" t="s">
        <v>451</v>
      </c>
      <c r="L63" s="842" t="s">
        <v>452</v>
      </c>
      <c r="M63" s="844" t="s">
        <v>453</v>
      </c>
      <c r="N63" s="845" t="s">
        <v>454</v>
      </c>
      <c r="O63" s="841"/>
      <c r="P63" s="841"/>
      <c r="Q63" s="842" t="s">
        <v>510</v>
      </c>
      <c r="R63" s="842" t="s">
        <v>456</v>
      </c>
      <c r="S63" s="841"/>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7"/>
      <c r="BC63" s="107"/>
      <c r="BD63" s="107"/>
      <c r="BE63" s="107"/>
      <c r="BF63" s="107"/>
      <c r="BG63" s="107"/>
      <c r="BH63" s="107"/>
      <c r="BI63" s="107"/>
    </row>
    <row r="64" spans="1:61" s="172" customFormat="1">
      <c r="A64" s="710" t="s">
        <v>345</v>
      </c>
      <c r="B64" s="711" t="s">
        <v>894</v>
      </c>
      <c r="C64" s="711">
        <v>2018</v>
      </c>
      <c r="D64" s="711"/>
      <c r="E64" s="711">
        <v>2018</v>
      </c>
      <c r="F64" s="711"/>
      <c r="G64" s="711"/>
      <c r="H64" s="711"/>
      <c r="I64" s="711"/>
      <c r="J64" s="711"/>
      <c r="K64" s="871">
        <f>SUM(K65:K66)</f>
        <v>3252000</v>
      </c>
      <c r="L64" s="871">
        <f>SUM(L65:L66)</f>
        <v>5389.5490478794809</v>
      </c>
      <c r="M64" s="872"/>
      <c r="N64" s="872"/>
      <c r="O64" s="608" t="s">
        <v>466</v>
      </c>
      <c r="P64" s="608" t="s">
        <v>465</v>
      </c>
      <c r="Q64" s="878"/>
      <c r="R64" s="878"/>
      <c r="S64" s="711"/>
      <c r="T64" s="171"/>
      <c r="U64" s="171"/>
      <c r="V64" s="171"/>
      <c r="W64" s="171"/>
      <c r="X64" s="171"/>
      <c r="Y64" s="171"/>
      <c r="Z64" s="171"/>
      <c r="AA64" s="171"/>
      <c r="AB64" s="171"/>
      <c r="AC64" s="171"/>
      <c r="AD64" s="171"/>
      <c r="AE64" s="171"/>
      <c r="AF64" s="171"/>
      <c r="AG64" s="171"/>
      <c r="AH64" s="171"/>
      <c r="AI64" s="171"/>
      <c r="AJ64" s="171"/>
      <c r="AK64" s="171"/>
      <c r="AL64" s="171"/>
      <c r="AM64" s="171"/>
      <c r="AN64" s="171"/>
      <c r="AO64" s="171"/>
      <c r="AP64" s="171"/>
      <c r="AQ64" s="171"/>
      <c r="AR64" s="171"/>
      <c r="AS64" s="171"/>
      <c r="AT64" s="171"/>
      <c r="AU64" s="171"/>
      <c r="AV64" s="171"/>
      <c r="AW64" s="171"/>
      <c r="AX64" s="171"/>
      <c r="AY64" s="171"/>
      <c r="AZ64" s="171"/>
      <c r="BA64" s="171"/>
    </row>
    <row r="65" spans="1:61" s="107" customFormat="1">
      <c r="A65" s="607" t="s">
        <v>349</v>
      </c>
      <c r="B65" s="608" t="s">
        <v>894</v>
      </c>
      <c r="C65" s="608">
        <v>2018</v>
      </c>
      <c r="D65" s="608"/>
      <c r="E65" s="879" t="s">
        <v>905</v>
      </c>
      <c r="F65" s="879" t="s">
        <v>935</v>
      </c>
      <c r="G65" s="879" t="s">
        <v>936</v>
      </c>
      <c r="H65" s="608" t="s">
        <v>465</v>
      </c>
      <c r="I65" s="880">
        <v>1</v>
      </c>
      <c r="J65" s="881"/>
      <c r="K65" s="846">
        <v>2252000</v>
      </c>
      <c r="L65" s="611">
        <f>+K65/$D$82</f>
        <v>3732.2461426274881</v>
      </c>
      <c r="M65" s="847">
        <v>100</v>
      </c>
      <c r="N65" s="847"/>
      <c r="O65" s="608" t="s">
        <v>466</v>
      </c>
      <c r="P65" s="608" t="s">
        <v>465</v>
      </c>
      <c r="Q65" s="618"/>
      <c r="R65" s="618" t="s">
        <v>937</v>
      </c>
      <c r="S65" s="608" t="s">
        <v>938</v>
      </c>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row>
    <row r="66" spans="1:61" s="107" customFormat="1">
      <c r="A66" s="607" t="s">
        <v>347</v>
      </c>
      <c r="B66" s="608" t="s">
        <v>894</v>
      </c>
      <c r="C66" s="608">
        <v>2018</v>
      </c>
      <c r="D66" s="608"/>
      <c r="E66" s="879" t="s">
        <v>939</v>
      </c>
      <c r="F66" s="879" t="s">
        <v>940</v>
      </c>
      <c r="G66" s="879" t="s">
        <v>936</v>
      </c>
      <c r="H66" s="608" t="s">
        <v>465</v>
      </c>
      <c r="I66" s="880">
        <v>1</v>
      </c>
      <c r="J66" s="881"/>
      <c r="K66" s="846">
        <v>1000000</v>
      </c>
      <c r="L66" s="611">
        <f>+K66/$D$82</f>
        <v>1657.302905251993</v>
      </c>
      <c r="M66" s="847">
        <v>100</v>
      </c>
      <c r="N66" s="847"/>
      <c r="O66" s="608" t="s">
        <v>466</v>
      </c>
      <c r="P66" s="608" t="s">
        <v>465</v>
      </c>
      <c r="Q66" s="618"/>
      <c r="R66" s="618" t="s">
        <v>937</v>
      </c>
      <c r="S66" s="608" t="s">
        <v>941</v>
      </c>
      <c r="T66" s="108"/>
      <c r="U66" s="108"/>
      <c r="V66" s="108"/>
      <c r="W66" s="108"/>
      <c r="X66" s="108"/>
      <c r="Y66" s="108"/>
      <c r="Z66" s="108"/>
      <c r="AA66" s="108"/>
      <c r="AB66" s="108"/>
      <c r="AC66" s="108"/>
      <c r="AD66" s="108"/>
      <c r="AE66" s="108"/>
      <c r="AF66" s="108"/>
      <c r="AG66" s="108"/>
      <c r="AH66" s="108"/>
      <c r="AI66" s="108"/>
      <c r="AJ66" s="108"/>
      <c r="AK66" s="108"/>
      <c r="AL66" s="108"/>
      <c r="AM66" s="108"/>
      <c r="AN66" s="108"/>
      <c r="AO66" s="108"/>
      <c r="AP66" s="108"/>
      <c r="AQ66" s="108"/>
      <c r="AR66" s="108"/>
      <c r="AS66" s="108"/>
      <c r="AT66" s="108"/>
      <c r="AU66" s="108"/>
      <c r="AV66" s="108"/>
      <c r="AW66" s="108"/>
      <c r="AX66" s="108"/>
      <c r="AY66" s="108"/>
      <c r="AZ66" s="108"/>
      <c r="BA66" s="108"/>
    </row>
    <row r="67" spans="1:61" s="107" customFormat="1">
      <c r="A67" s="607"/>
      <c r="B67" s="608"/>
      <c r="C67" s="608"/>
      <c r="D67" s="608"/>
      <c r="E67" s="736"/>
      <c r="F67" s="611"/>
      <c r="G67" s="611"/>
      <c r="H67" s="608"/>
      <c r="I67" s="608"/>
      <c r="J67" s="608"/>
      <c r="K67" s="846"/>
      <c r="L67" s="847"/>
      <c r="M67" s="847"/>
      <c r="N67" s="847"/>
      <c r="O67" s="631"/>
      <c r="P67" s="608"/>
      <c r="Q67" s="618"/>
      <c r="R67" s="618"/>
      <c r="S67" s="61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row>
    <row r="68" spans="1:61" s="107" customFormat="1">
      <c r="A68" s="607"/>
      <c r="B68" s="608"/>
      <c r="C68" s="608"/>
      <c r="D68" s="608"/>
      <c r="E68" s="882"/>
      <c r="F68" s="618"/>
      <c r="G68" s="618"/>
      <c r="H68" s="608"/>
      <c r="I68" s="677"/>
      <c r="J68" s="677"/>
      <c r="K68" s="883">
        <f>+K64+K67</f>
        <v>3252000</v>
      </c>
      <c r="L68" s="872">
        <f>+L64+L67</f>
        <v>5389.5490478794809</v>
      </c>
      <c r="M68" s="611">
        <v>100</v>
      </c>
      <c r="N68" s="611">
        <v>0</v>
      </c>
      <c r="O68" s="678"/>
      <c r="P68" s="608"/>
      <c r="Q68" s="608"/>
      <c r="R68" s="608"/>
      <c r="S68" s="6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row>
    <row r="69" spans="1:61" s="106" customFormat="1">
      <c r="B69" s="34"/>
      <c r="C69" s="34"/>
      <c r="D69" s="34"/>
      <c r="E69" s="34"/>
      <c r="F69" s="34"/>
      <c r="G69" s="34"/>
      <c r="H69" s="34"/>
      <c r="I69" s="34"/>
      <c r="J69" s="34"/>
      <c r="K69" s="34"/>
      <c r="L69" s="34"/>
      <c r="M69" s="39"/>
      <c r="N69" s="36"/>
      <c r="O69" s="36"/>
      <c r="P69" s="34"/>
      <c r="Q69" s="34"/>
      <c r="R69" s="34"/>
      <c r="S69" s="34"/>
      <c r="T69" s="108"/>
      <c r="U69" s="108"/>
      <c r="V69" s="108"/>
      <c r="W69" s="108"/>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c r="AT69" s="108"/>
      <c r="AU69" s="108"/>
      <c r="AV69" s="108"/>
      <c r="AW69" s="108"/>
      <c r="AX69" s="108"/>
      <c r="AY69" s="108"/>
      <c r="AZ69" s="108"/>
      <c r="BA69" s="108"/>
      <c r="BB69" s="107"/>
      <c r="BC69" s="107"/>
      <c r="BD69" s="107"/>
      <c r="BE69" s="107"/>
      <c r="BF69" s="107"/>
      <c r="BG69" s="107"/>
      <c r="BH69" s="107"/>
      <c r="BI69" s="107"/>
    </row>
    <row r="70" spans="1:61" s="106" customFormat="1" hidden="1">
      <c r="A70" s="715" t="s">
        <v>435</v>
      </c>
      <c r="B70" s="715" t="s">
        <v>593</v>
      </c>
      <c r="C70" s="715"/>
      <c r="D70" s="715"/>
      <c r="E70" s="715"/>
      <c r="F70" s="715"/>
      <c r="G70" s="715"/>
      <c r="H70" s="715"/>
      <c r="I70" s="715"/>
      <c r="J70" s="715"/>
      <c r="K70" s="715"/>
      <c r="L70" s="715"/>
      <c r="M70" s="715"/>
      <c r="N70" s="715"/>
      <c r="O70" s="715"/>
      <c r="P70" s="715"/>
      <c r="Q70" s="715"/>
      <c r="R70" s="715"/>
      <c r="S70" s="715"/>
      <c r="T70" s="108"/>
      <c r="U70" s="108"/>
      <c r="V70" s="108"/>
      <c r="W70" s="108"/>
      <c r="X70" s="108"/>
      <c r="Y70" s="108"/>
      <c r="Z70" s="108"/>
      <c r="AA70" s="108"/>
      <c r="AB70" s="108"/>
      <c r="AC70" s="108"/>
      <c r="AD70" s="108"/>
      <c r="AE70" s="108"/>
      <c r="AF70" s="108"/>
      <c r="AG70" s="108"/>
      <c r="AH70" s="108"/>
      <c r="AI70" s="108"/>
      <c r="AJ70" s="108"/>
      <c r="AK70" s="108"/>
      <c r="AL70" s="108"/>
      <c r="AM70" s="108"/>
      <c r="AN70" s="108"/>
      <c r="AO70" s="108"/>
      <c r="AP70" s="108"/>
      <c r="AQ70" s="108"/>
      <c r="AR70" s="108"/>
      <c r="AS70" s="108"/>
      <c r="AT70" s="108"/>
      <c r="AU70" s="108"/>
      <c r="AV70" s="108"/>
      <c r="AW70" s="108"/>
      <c r="AX70" s="108"/>
      <c r="AY70" s="108"/>
      <c r="AZ70" s="108"/>
      <c r="BA70" s="108"/>
      <c r="BB70" s="107"/>
      <c r="BC70" s="107"/>
      <c r="BD70" s="107"/>
      <c r="BE70" s="107"/>
      <c r="BF70" s="107"/>
      <c r="BG70" s="107"/>
      <c r="BH70" s="107"/>
      <c r="BI70" s="107"/>
    </row>
    <row r="71" spans="1:61" s="106" customFormat="1" hidden="1">
      <c r="A71" s="715"/>
      <c r="B71" s="715" t="s">
        <v>437</v>
      </c>
      <c r="C71" s="837"/>
      <c r="D71" s="715" t="s">
        <v>439</v>
      </c>
      <c r="E71" s="715" t="s">
        <v>594</v>
      </c>
      <c r="F71" s="715" t="s">
        <v>441</v>
      </c>
      <c r="G71" s="715"/>
      <c r="H71" s="715"/>
      <c r="I71" s="715" t="s">
        <v>445</v>
      </c>
      <c r="J71" s="715"/>
      <c r="K71" s="837"/>
      <c r="L71" s="838" t="s">
        <v>446</v>
      </c>
      <c r="M71" s="838"/>
      <c r="N71" s="838"/>
      <c r="O71" s="715" t="s">
        <v>447</v>
      </c>
      <c r="P71" s="884" t="s">
        <v>595</v>
      </c>
      <c r="Q71" s="715" t="s">
        <v>449</v>
      </c>
      <c r="R71" s="715"/>
      <c r="S71" s="715" t="s">
        <v>596</v>
      </c>
      <c r="T71" s="108"/>
      <c r="U71" s="108"/>
      <c r="V71" s="108"/>
      <c r="W71" s="108"/>
      <c r="X71" s="108"/>
      <c r="Y71" s="108"/>
      <c r="Z71" s="108"/>
      <c r="AA71" s="108"/>
      <c r="AB71" s="108"/>
      <c r="AC71" s="108"/>
      <c r="AD71" s="108"/>
      <c r="AE71" s="108"/>
      <c r="AF71" s="108"/>
      <c r="AG71" s="108"/>
      <c r="AH71" s="108"/>
      <c r="AI71" s="108"/>
      <c r="AJ71" s="108"/>
      <c r="AK71" s="108"/>
      <c r="AL71" s="108"/>
      <c r="AM71" s="108"/>
      <c r="AN71" s="108"/>
      <c r="AO71" s="108"/>
      <c r="AP71" s="108"/>
      <c r="AQ71" s="108"/>
      <c r="AR71" s="108"/>
      <c r="AS71" s="108"/>
      <c r="AT71" s="108"/>
      <c r="AU71" s="108"/>
      <c r="AV71" s="108"/>
      <c r="AW71" s="108"/>
      <c r="AX71" s="108"/>
      <c r="AY71" s="108"/>
      <c r="AZ71" s="108"/>
      <c r="BA71" s="108"/>
      <c r="BB71" s="107"/>
      <c r="BC71" s="107"/>
      <c r="BD71" s="107"/>
      <c r="BE71" s="107"/>
      <c r="BF71" s="107"/>
      <c r="BG71" s="107"/>
      <c r="BH71" s="107"/>
      <c r="BI71" s="107"/>
    </row>
    <row r="72" spans="1:61" s="106" customFormat="1" ht="141.75" hidden="1">
      <c r="A72" s="837"/>
      <c r="B72" s="715"/>
      <c r="C72" s="837"/>
      <c r="D72" s="715" t="s">
        <v>439</v>
      </c>
      <c r="E72" s="715"/>
      <c r="F72" s="715"/>
      <c r="G72" s="715"/>
      <c r="H72" s="715"/>
      <c r="I72" s="715"/>
      <c r="J72" s="715"/>
      <c r="K72" s="837" t="s">
        <v>451</v>
      </c>
      <c r="L72" s="837" t="s">
        <v>452</v>
      </c>
      <c r="M72" s="837" t="s">
        <v>453</v>
      </c>
      <c r="N72" s="839" t="s">
        <v>454</v>
      </c>
      <c r="O72" s="715"/>
      <c r="P72" s="884"/>
      <c r="Q72" s="837" t="s">
        <v>597</v>
      </c>
      <c r="R72" s="837" t="s">
        <v>598</v>
      </c>
      <c r="S72" s="715"/>
      <c r="T72" s="108"/>
      <c r="U72" s="108"/>
      <c r="V72" s="108"/>
      <c r="W72" s="108"/>
      <c r="X72" s="108"/>
      <c r="Y72" s="108"/>
      <c r="Z72" s="108"/>
      <c r="AA72" s="108"/>
      <c r="AB72" s="108"/>
      <c r="AC72" s="108"/>
      <c r="AD72" s="108"/>
      <c r="AE72" s="108"/>
      <c r="AF72" s="108"/>
      <c r="AG72" s="108"/>
      <c r="AH72" s="108"/>
      <c r="AI72" s="108"/>
      <c r="AJ72" s="108"/>
      <c r="AK72" s="108"/>
      <c r="AL72" s="108"/>
      <c r="AM72" s="108"/>
      <c r="AN72" s="108"/>
      <c r="AO72" s="108"/>
      <c r="AP72" s="108"/>
      <c r="AQ72" s="108"/>
      <c r="AR72" s="108"/>
      <c r="AS72" s="108"/>
      <c r="AT72" s="108"/>
      <c r="AU72" s="108"/>
      <c r="AV72" s="108"/>
      <c r="AW72" s="108"/>
      <c r="AX72" s="108"/>
      <c r="AY72" s="108"/>
      <c r="AZ72" s="108"/>
      <c r="BA72" s="108"/>
      <c r="BB72" s="107"/>
      <c r="BC72" s="107"/>
      <c r="BD72" s="107"/>
      <c r="BE72" s="107"/>
      <c r="BF72" s="107"/>
      <c r="BG72" s="107"/>
      <c r="BH72" s="107"/>
      <c r="BI72" s="107"/>
    </row>
    <row r="73" spans="1:61" s="107" customFormat="1" hidden="1">
      <c r="A73" s="607"/>
      <c r="B73" s="608" t="s">
        <v>508</v>
      </c>
      <c r="C73" s="608"/>
      <c r="D73" s="608"/>
      <c r="E73" s="608"/>
      <c r="F73" s="677"/>
      <c r="G73" s="677"/>
      <c r="H73" s="677"/>
      <c r="I73" s="677"/>
      <c r="J73" s="677"/>
      <c r="K73" s="608"/>
      <c r="L73" s="608"/>
      <c r="M73" s="608"/>
      <c r="N73" s="684"/>
      <c r="O73" s="678"/>
      <c r="P73" s="678"/>
      <c r="Q73" s="608"/>
      <c r="R73" s="608"/>
      <c r="S73" s="608"/>
      <c r="T73" s="108"/>
      <c r="U73" s="108"/>
      <c r="V73" s="108"/>
      <c r="W73" s="108"/>
      <c r="X73" s="108"/>
      <c r="Y73" s="108"/>
      <c r="Z73" s="108"/>
      <c r="AA73" s="108"/>
      <c r="AB73" s="108"/>
      <c r="AC73" s="108"/>
      <c r="AD73" s="108"/>
      <c r="AE73" s="108"/>
      <c r="AF73" s="108"/>
      <c r="AG73" s="108"/>
      <c r="AH73" s="108"/>
      <c r="AI73" s="108"/>
      <c r="AJ73" s="108"/>
      <c r="AK73" s="108"/>
      <c r="AL73" s="108"/>
      <c r="AM73" s="108"/>
      <c r="AN73" s="108"/>
      <c r="AO73" s="108"/>
      <c r="AP73" s="108"/>
      <c r="AQ73" s="108"/>
      <c r="AR73" s="108"/>
      <c r="AS73" s="108"/>
      <c r="AT73" s="108"/>
      <c r="AU73" s="108"/>
      <c r="AV73" s="108"/>
      <c r="AW73" s="108"/>
      <c r="AX73" s="108"/>
      <c r="AY73" s="108"/>
      <c r="AZ73" s="108"/>
      <c r="BA73" s="108"/>
    </row>
    <row r="74" spans="1:61" s="185" customFormat="1">
      <c r="A74" s="179"/>
      <c r="B74" s="180"/>
      <c r="C74" s="180"/>
      <c r="D74" s="180"/>
      <c r="E74" s="180"/>
      <c r="F74" s="180"/>
      <c r="G74" s="180"/>
      <c r="H74" s="180"/>
      <c r="I74" s="181"/>
      <c r="J74" s="182"/>
      <c r="K74" s="180"/>
      <c r="L74" s="183"/>
      <c r="M74" s="184"/>
      <c r="N74" s="184"/>
      <c r="O74" s="180"/>
      <c r="P74" s="180"/>
      <c r="Q74" s="180"/>
      <c r="R74" s="180"/>
      <c r="S74" s="180"/>
      <c r="T74" s="108"/>
      <c r="U74" s="108"/>
      <c r="V74" s="108"/>
      <c r="W74" s="108"/>
      <c r="X74" s="108"/>
      <c r="Y74" s="108"/>
      <c r="Z74" s="108"/>
      <c r="AA74" s="108"/>
      <c r="AB74" s="108"/>
      <c r="AC74" s="108"/>
      <c r="AD74" s="108"/>
      <c r="AE74" s="108"/>
      <c r="AF74" s="108"/>
      <c r="AG74" s="108"/>
      <c r="AH74" s="108"/>
      <c r="AI74" s="108"/>
      <c r="AJ74" s="108"/>
      <c r="AK74" s="108"/>
      <c r="AL74" s="108"/>
      <c r="AM74" s="108"/>
      <c r="AN74" s="108"/>
      <c r="AO74" s="108"/>
      <c r="AP74" s="108"/>
      <c r="AQ74" s="108"/>
      <c r="AR74" s="108"/>
      <c r="AS74" s="108"/>
      <c r="AT74" s="108"/>
      <c r="AU74" s="108"/>
      <c r="AV74" s="108"/>
      <c r="AW74" s="108"/>
      <c r="AX74" s="108"/>
      <c r="AY74" s="108"/>
      <c r="AZ74" s="108"/>
      <c r="BA74" s="108"/>
      <c r="BB74" s="181"/>
    </row>
    <row r="75" spans="1:61" s="108" customFormat="1">
      <c r="A75" s="41"/>
    </row>
    <row r="76" spans="1:61" s="107" customFormat="1">
      <c r="A76" s="41"/>
      <c r="O76" s="108"/>
      <c r="P76" s="108"/>
      <c r="Q76" s="108"/>
      <c r="R76" s="108"/>
      <c r="S76" s="108"/>
      <c r="T76" s="108"/>
      <c r="U76" s="108"/>
      <c r="V76" s="108"/>
      <c r="W76" s="108"/>
      <c r="X76" s="108"/>
      <c r="Y76" s="108"/>
      <c r="Z76" s="108"/>
      <c r="AA76" s="108"/>
      <c r="AB76" s="108"/>
      <c r="AC76" s="108"/>
      <c r="AD76" s="108"/>
      <c r="AE76" s="108"/>
      <c r="AF76" s="108"/>
      <c r="AG76" s="108"/>
      <c r="AH76" s="108"/>
      <c r="AI76" s="108"/>
      <c r="AJ76" s="108"/>
      <c r="AK76" s="108"/>
      <c r="AL76" s="108"/>
      <c r="AM76" s="108"/>
      <c r="AN76" s="108"/>
      <c r="AO76" s="108"/>
      <c r="AP76" s="108"/>
      <c r="AQ76" s="108"/>
      <c r="AR76" s="108"/>
      <c r="AS76" s="108"/>
      <c r="AT76" s="108"/>
      <c r="AU76" s="108"/>
      <c r="AV76" s="108"/>
      <c r="AW76" s="108"/>
      <c r="AX76" s="108"/>
      <c r="AY76" s="108"/>
      <c r="AZ76" s="108"/>
      <c r="BA76" s="108"/>
    </row>
    <row r="77" spans="1:61" s="107" customFormat="1">
      <c r="A77" s="41"/>
      <c r="B77" s="761" t="s">
        <v>428</v>
      </c>
      <c r="C77" s="761"/>
      <c r="D77" s="761"/>
      <c r="E77" s="761"/>
      <c r="F77" s="761"/>
      <c r="G77" s="761"/>
      <c r="H77" s="761"/>
      <c r="I77" s="761"/>
      <c r="J77" s="761"/>
      <c r="K77" s="885">
        <f>+K59+K30+K68+K24+K12+K7+K39+K45</f>
        <v>1265135085.7703972</v>
      </c>
      <c r="L77" s="885">
        <f>+L59+L30+L68+L24+L12+L7+L39+L45</f>
        <v>1997000</v>
      </c>
      <c r="M77" s="885">
        <v>100</v>
      </c>
      <c r="N77" s="885">
        <f>+N57+N30+N68+N73+N24+N12+N7+N39+N74</f>
        <v>0</v>
      </c>
      <c r="O77" s="108"/>
      <c r="P77" s="108"/>
      <c r="Q77" s="108"/>
      <c r="R77" s="108"/>
      <c r="S77" s="108"/>
      <c r="T77" s="108"/>
      <c r="U77" s="108"/>
      <c r="V77" s="108"/>
      <c r="W77" s="108"/>
      <c r="X77" s="108"/>
      <c r="Y77" s="108"/>
      <c r="Z77" s="108"/>
      <c r="AA77" s="108"/>
      <c r="AB77" s="108"/>
      <c r="AC77" s="108"/>
      <c r="AD77" s="108"/>
      <c r="AE77" s="108"/>
      <c r="AF77" s="108"/>
      <c r="AG77" s="108"/>
      <c r="AH77" s="108"/>
      <c r="AI77" s="108"/>
      <c r="AJ77" s="108"/>
      <c r="AK77" s="108"/>
      <c r="AL77" s="108"/>
      <c r="AM77" s="108"/>
      <c r="AN77" s="108"/>
      <c r="AO77" s="108"/>
      <c r="AP77" s="108"/>
      <c r="AQ77" s="108"/>
      <c r="AR77" s="108"/>
      <c r="AS77" s="108"/>
      <c r="AT77" s="108"/>
      <c r="AU77" s="108"/>
      <c r="AV77" s="108"/>
      <c r="AW77" s="108"/>
      <c r="AX77" s="108"/>
      <c r="AY77" s="108"/>
      <c r="AZ77" s="108"/>
      <c r="BA77" s="108"/>
    </row>
    <row r="78" spans="1:61" s="107" customFormat="1">
      <c r="B78" s="761">
        <v>2018</v>
      </c>
      <c r="C78" s="761"/>
      <c r="D78" s="761"/>
      <c r="E78" s="761"/>
      <c r="F78" s="761"/>
      <c r="G78" s="761"/>
      <c r="H78" s="761"/>
      <c r="I78" s="761"/>
      <c r="J78" s="761"/>
      <c r="K78" s="885">
        <f>+K17+K35+K50+K64</f>
        <v>159072000</v>
      </c>
      <c r="L78" s="885">
        <f>+L17+L35+L50+L64</f>
        <v>263630.48774424498</v>
      </c>
      <c r="M78" s="885">
        <v>100</v>
      </c>
      <c r="N78" s="885">
        <f>+N60+N31+N69+N74+N25+N13+N8+N40+N77</f>
        <v>0</v>
      </c>
      <c r="P78" s="108"/>
      <c r="Q78" s="108"/>
      <c r="R78" s="108"/>
      <c r="S78" s="108"/>
      <c r="T78" s="108"/>
      <c r="U78" s="108"/>
      <c r="V78" s="108"/>
      <c r="W78" s="108"/>
      <c r="X78" s="108"/>
      <c r="Y78" s="108"/>
      <c r="Z78" s="108"/>
      <c r="AA78" s="108"/>
      <c r="AB78" s="108"/>
      <c r="AC78" s="108"/>
      <c r="AD78" s="108"/>
      <c r="AE78" s="108"/>
      <c r="AF78" s="108"/>
      <c r="AG78" s="108"/>
      <c r="AH78" s="108"/>
      <c r="AI78" s="108"/>
      <c r="AJ78" s="108"/>
      <c r="AK78" s="108"/>
      <c r="AL78" s="108"/>
      <c r="AM78" s="108"/>
      <c r="AN78" s="108"/>
      <c r="AO78" s="108"/>
      <c r="AP78" s="108"/>
      <c r="AQ78" s="108"/>
      <c r="AR78" s="108"/>
      <c r="AS78" s="108"/>
      <c r="AT78" s="108"/>
      <c r="AU78" s="108"/>
      <c r="AV78" s="108"/>
      <c r="AW78" s="108"/>
      <c r="AX78" s="108"/>
      <c r="AY78" s="108"/>
      <c r="AZ78" s="108"/>
      <c r="BA78" s="108"/>
    </row>
    <row r="79" spans="1:61" s="107" customFormat="1">
      <c r="B79" s="761">
        <v>2019</v>
      </c>
      <c r="C79" s="761"/>
      <c r="D79" s="761"/>
      <c r="E79" s="761"/>
      <c r="F79" s="761"/>
      <c r="G79" s="761"/>
      <c r="H79" s="761"/>
      <c r="I79" s="761"/>
      <c r="J79" s="761"/>
      <c r="K79" s="885">
        <f>+K53+K54+K55</f>
        <v>381000000</v>
      </c>
      <c r="L79" s="885">
        <f>+L53+L54+L55</f>
        <v>597085.09637987777</v>
      </c>
      <c r="M79" s="885">
        <v>100</v>
      </c>
      <c r="N79" s="885">
        <f>+N61+N32+N70+N77+N26+N14+N9+N41+N78</f>
        <v>0</v>
      </c>
      <c r="P79" s="332"/>
      <c r="Q79" s="332"/>
      <c r="R79" s="332"/>
      <c r="S79" s="332"/>
      <c r="T79" s="108"/>
      <c r="U79" s="108"/>
      <c r="V79" s="108"/>
      <c r="W79" s="108"/>
      <c r="X79" s="108"/>
      <c r="Y79" s="108"/>
      <c r="Z79" s="108"/>
      <c r="AA79" s="108"/>
      <c r="AB79" s="108"/>
      <c r="AC79" s="108"/>
      <c r="AD79" s="108"/>
      <c r="AE79" s="108"/>
      <c r="AF79" s="108"/>
      <c r="AG79" s="108"/>
      <c r="AH79" s="108"/>
      <c r="AI79" s="108"/>
      <c r="AJ79" s="108"/>
      <c r="AK79" s="108"/>
      <c r="AL79" s="108"/>
      <c r="AM79" s="108"/>
      <c r="AN79" s="108"/>
      <c r="AO79" s="108"/>
      <c r="AP79" s="108"/>
      <c r="AQ79" s="108"/>
      <c r="AR79" s="108"/>
      <c r="AS79" s="108"/>
      <c r="AT79" s="108"/>
      <c r="AU79" s="108"/>
      <c r="AV79" s="108"/>
      <c r="AW79" s="108"/>
      <c r="AX79" s="108"/>
      <c r="AY79" s="108"/>
      <c r="AZ79" s="108"/>
      <c r="BA79" s="108"/>
    </row>
    <row r="80" spans="1:61" s="18" customFormat="1">
      <c r="B80" s="761">
        <v>2020</v>
      </c>
      <c r="C80" s="761"/>
      <c r="D80" s="761"/>
      <c r="E80" s="761"/>
      <c r="F80" s="761"/>
      <c r="G80" s="761"/>
      <c r="H80" s="761"/>
      <c r="I80" s="761"/>
      <c r="J80" s="761"/>
      <c r="K80" s="885">
        <f>+K22</f>
        <v>630000000</v>
      </c>
      <c r="L80" s="885">
        <f>+L22</f>
        <v>987306.06488011277</v>
      </c>
      <c r="M80" s="885">
        <v>100</v>
      </c>
      <c r="N80" s="885">
        <f>+N62+N33+N71+N78+N27+N15+N10+N42+N79</f>
        <v>0</v>
      </c>
    </row>
    <row r="81" spans="1:14" s="18" customFormat="1">
      <c r="B81" s="761">
        <v>2021</v>
      </c>
      <c r="C81" s="761"/>
      <c r="D81" s="761"/>
      <c r="E81" s="761"/>
      <c r="F81" s="761"/>
      <c r="G81" s="761"/>
      <c r="H81" s="761"/>
      <c r="I81" s="761"/>
      <c r="J81" s="761"/>
      <c r="K81" s="885">
        <f>+K56+K57</f>
        <v>95063085.77039732</v>
      </c>
      <c r="L81" s="885">
        <f>+L56+L57</f>
        <v>148978.35099576449</v>
      </c>
      <c r="M81" s="885">
        <v>100</v>
      </c>
      <c r="N81" s="885">
        <v>0</v>
      </c>
    </row>
    <row r="82" spans="1:14" s="18" customFormat="1">
      <c r="B82" s="18" t="s">
        <v>599</v>
      </c>
      <c r="D82" s="18">
        <v>603.39</v>
      </c>
    </row>
    <row r="83" spans="1:14" s="18" customFormat="1">
      <c r="B83" s="18" t="s">
        <v>600</v>
      </c>
      <c r="D83" s="18">
        <v>638.1</v>
      </c>
    </row>
    <row r="84" spans="1:14" s="18" customFormat="1">
      <c r="B84" s="18" t="s">
        <v>601</v>
      </c>
      <c r="D84" s="18">
        <v>638.1</v>
      </c>
    </row>
    <row r="85" spans="1:14" s="18" customFormat="1">
      <c r="B85" s="18" t="s">
        <v>602</v>
      </c>
      <c r="D85" s="18">
        <v>638.1</v>
      </c>
      <c r="K85" s="42"/>
    </row>
    <row r="86" spans="1:14" s="18" customFormat="1"/>
    <row r="87" spans="1:14" s="18" customFormat="1">
      <c r="D87" s="42"/>
      <c r="E87" s="42"/>
      <c r="F87" s="42"/>
      <c r="G87" s="42"/>
      <c r="H87" s="42"/>
      <c r="I87" s="43"/>
      <c r="J87" s="43"/>
      <c r="K87" s="42"/>
    </row>
    <row r="88" spans="1:14" s="18" customFormat="1">
      <c r="D88" s="43"/>
      <c r="H88" s="42"/>
      <c r="I88" s="43"/>
      <c r="J88" s="43"/>
      <c r="K88" s="43"/>
    </row>
    <row r="89" spans="1:14" s="18" customFormat="1">
      <c r="A89" s="42"/>
      <c r="D89" s="47"/>
      <c r="E89" s="47"/>
      <c r="F89" s="47"/>
      <c r="G89" s="47"/>
      <c r="H89" s="47"/>
    </row>
    <row r="90" spans="1:14" s="18" customFormat="1">
      <c r="D90" s="47"/>
      <c r="E90" s="47"/>
      <c r="F90" s="47"/>
      <c r="G90" s="47"/>
      <c r="H90" s="47"/>
    </row>
    <row r="91" spans="1:14" s="18" customFormat="1">
      <c r="D91" s="47"/>
      <c r="E91" s="47"/>
      <c r="F91" s="47"/>
      <c r="G91" s="47"/>
      <c r="H91" s="47"/>
    </row>
    <row r="92" spans="1:14" s="18" customFormat="1">
      <c r="D92" s="47"/>
      <c r="E92" s="47"/>
      <c r="F92" s="47"/>
      <c r="G92" s="47"/>
      <c r="H92" s="47"/>
    </row>
    <row r="93" spans="1:14" s="18" customFormat="1">
      <c r="D93" s="47"/>
      <c r="E93" s="47"/>
      <c r="F93" s="47"/>
      <c r="G93" s="47"/>
      <c r="H93" s="47"/>
    </row>
    <row r="94" spans="1:14" s="18" customFormat="1"/>
    <row r="95" spans="1:14" s="18" customFormat="1"/>
    <row r="96" spans="1:14" s="18" customFormat="1"/>
    <row r="97" s="18" customFormat="1"/>
    <row r="98" s="18" customFormat="1"/>
    <row r="99" s="18" customFormat="1"/>
    <row r="100" s="18" customFormat="1"/>
  </sheetData>
  <mergeCells count="141">
    <mergeCell ref="P79:S79"/>
    <mergeCell ref="L71:N71"/>
    <mergeCell ref="O71:O72"/>
    <mergeCell ref="P71:P72"/>
    <mergeCell ref="Q71:R71"/>
    <mergeCell ref="S71:S72"/>
    <mergeCell ref="F73:H73"/>
    <mergeCell ref="I73:J73"/>
    <mergeCell ref="I65:J65"/>
    <mergeCell ref="I66:J66"/>
    <mergeCell ref="I68:J68"/>
    <mergeCell ref="A70:A71"/>
    <mergeCell ref="B70:S70"/>
    <mergeCell ref="B71:B72"/>
    <mergeCell ref="D71:D72"/>
    <mergeCell ref="E71:E72"/>
    <mergeCell ref="F71:H72"/>
    <mergeCell ref="I71:J72"/>
    <mergeCell ref="L62:N62"/>
    <mergeCell ref="O62:O63"/>
    <mergeCell ref="P62:P63"/>
    <mergeCell ref="Q62:R62"/>
    <mergeCell ref="S62:S63"/>
    <mergeCell ref="I63:J63"/>
    <mergeCell ref="I57:J57"/>
    <mergeCell ref="A61:A62"/>
    <mergeCell ref="B61:S61"/>
    <mergeCell ref="B62:B63"/>
    <mergeCell ref="D62:D63"/>
    <mergeCell ref="E62:E63"/>
    <mergeCell ref="F62:F63"/>
    <mergeCell ref="G62:G63"/>
    <mergeCell ref="H62:H63"/>
    <mergeCell ref="I62:J62"/>
    <mergeCell ref="I48:J48"/>
    <mergeCell ref="L48:N48"/>
    <mergeCell ref="O48:O49"/>
    <mergeCell ref="P48:P49"/>
    <mergeCell ref="Q48:R48"/>
    <mergeCell ref="S48:S49"/>
    <mergeCell ref="I49:J49"/>
    <mergeCell ref="I45:J45"/>
    <mergeCell ref="A47:A48"/>
    <mergeCell ref="B47:S47"/>
    <mergeCell ref="B48:B49"/>
    <mergeCell ref="D48:D49"/>
    <mergeCell ref="E48:E49"/>
    <mergeCell ref="F48:F49"/>
    <mergeCell ref="G48:G49"/>
    <mergeCell ref="H48:H49"/>
    <mergeCell ref="A41:A43"/>
    <mergeCell ref="B41:S41"/>
    <mergeCell ref="B42:B43"/>
    <mergeCell ref="D42:D43"/>
    <mergeCell ref="E42:E43"/>
    <mergeCell ref="F42:F43"/>
    <mergeCell ref="G42:G43"/>
    <mergeCell ref="F33:F34"/>
    <mergeCell ref="G33:G34"/>
    <mergeCell ref="H33:H34"/>
    <mergeCell ref="I33:I34"/>
    <mergeCell ref="J33:M33"/>
    <mergeCell ref="O33:O34"/>
    <mergeCell ref="H42:H43"/>
    <mergeCell ref="I42:J42"/>
    <mergeCell ref="K42:N42"/>
    <mergeCell ref="O42:O43"/>
    <mergeCell ref="Q42:R42"/>
    <mergeCell ref="S42:S43"/>
    <mergeCell ref="I43:J43"/>
    <mergeCell ref="P33:P34"/>
    <mergeCell ref="Q33:R33"/>
    <mergeCell ref="S33:S34"/>
    <mergeCell ref="O27:O28"/>
    <mergeCell ref="P27:P28"/>
    <mergeCell ref="Q27:R27"/>
    <mergeCell ref="S27:S28"/>
    <mergeCell ref="I28:J28"/>
    <mergeCell ref="A32:A33"/>
    <mergeCell ref="B32:S32"/>
    <mergeCell ref="B33:B34"/>
    <mergeCell ref="D33:D34"/>
    <mergeCell ref="E33:E34"/>
    <mergeCell ref="A26:A27"/>
    <mergeCell ref="B26:S26"/>
    <mergeCell ref="B27:B28"/>
    <mergeCell ref="D27:D28"/>
    <mergeCell ref="E27:E28"/>
    <mergeCell ref="F27:F28"/>
    <mergeCell ref="G27:G28"/>
    <mergeCell ref="H27:H28"/>
    <mergeCell ref="I27:J27"/>
    <mergeCell ref="L27:N27"/>
    <mergeCell ref="J15:J16"/>
    <mergeCell ref="L15:N15"/>
    <mergeCell ref="O15:O16"/>
    <mergeCell ref="P15:P16"/>
    <mergeCell ref="Q15:R15"/>
    <mergeCell ref="S15:S16"/>
    <mergeCell ref="S10:S11"/>
    <mergeCell ref="A14:A15"/>
    <mergeCell ref="B14:S14"/>
    <mergeCell ref="B15:B16"/>
    <mergeCell ref="D15:D16"/>
    <mergeCell ref="E15:E16"/>
    <mergeCell ref="F15:F16"/>
    <mergeCell ref="G15:G16"/>
    <mergeCell ref="H15:H16"/>
    <mergeCell ref="I15:I16"/>
    <mergeCell ref="I10:I11"/>
    <mergeCell ref="J10:J11"/>
    <mergeCell ref="L10:N10"/>
    <mergeCell ref="O10:O11"/>
    <mergeCell ref="P10:P11"/>
    <mergeCell ref="Q10:R10"/>
    <mergeCell ref="A9:A10"/>
    <mergeCell ref="B9:S9"/>
    <mergeCell ref="B10:B11"/>
    <mergeCell ref="D10:D11"/>
    <mergeCell ref="E10:E11"/>
    <mergeCell ref="F10:F11"/>
    <mergeCell ref="G10:G11"/>
    <mergeCell ref="H10:H11"/>
    <mergeCell ref="H5:H6"/>
    <mergeCell ref="I5:I6"/>
    <mergeCell ref="J5:J6"/>
    <mergeCell ref="L5:N5"/>
    <mergeCell ref="O5:O6"/>
    <mergeCell ref="P5:P6"/>
    <mergeCell ref="B1:S1"/>
    <mergeCell ref="B2:S2"/>
    <mergeCell ref="B3:S3"/>
    <mergeCell ref="A4:A5"/>
    <mergeCell ref="B4:S4"/>
    <mergeCell ref="B5:B6"/>
    <mergeCell ref="D5:D6"/>
    <mergeCell ref="E5:E6"/>
    <mergeCell ref="F5:F6"/>
    <mergeCell ref="G5:G6"/>
    <mergeCell ref="Q5:R5"/>
    <mergeCell ref="S5:S6"/>
  </mergeCells>
  <dataValidations count="4">
    <dataValidation type="list" allowBlank="1" showInputMessage="1" showErrorMessage="1" sqref="H65:H67 H44:H45" xr:uid="{00000000-0002-0000-0800-000000000000}">
      <formula1>$W$12:$W$13</formula1>
    </dataValidation>
    <dataValidation type="list" allowBlank="1" showInputMessage="1" showErrorMessage="1" sqref="H24 P24 H7 P44 H68:H69 P7 P64:P69 H64 P12 H12 H17:H22 P17:P22 H29:H30 P29:P30 P35:P39 H35:H39 H60 H50:H56 P50:P55 P60" xr:uid="{00000000-0002-0000-0800-000001000000}">
      <formula1>#REF!</formula1>
    </dataValidation>
    <dataValidation type="list" allowBlank="1" showInputMessage="1" showErrorMessage="1" sqref="P45 P56:P59" xr:uid="{00000000-0002-0000-0800-000002000000}">
      <formula1>$W$2:$W$4</formula1>
    </dataValidation>
    <dataValidation type="list" allowBlank="1" showInputMessage="1" showErrorMessage="1" sqref="H57:H59" xr:uid="{00000000-0002-0000-0800-000003000000}">
      <formula1>$W$26:$W$29</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Bruno Costa</dc:creator>
  <cp:keywords/>
  <dc:description/>
  <cp:lastModifiedBy>Robles Alzamora, Paola A.</cp:lastModifiedBy>
  <cp:revision/>
  <dcterms:created xsi:type="dcterms:W3CDTF">2011-03-30T14:45:37Z</dcterms:created>
  <dcterms:modified xsi:type="dcterms:W3CDTF">2019-08-30T04:57:17Z</dcterms:modified>
  <cp:category/>
  <cp:contentStatus/>
</cp:coreProperties>
</file>