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embeddings/oleObject3.bin" ContentType="application/vnd.openxmlformats-officedocument.oleObject"/>
  <Override PartName="/xl/embeddings/oleObject2.bin" ContentType="application/vnd.openxmlformats-officedocument.oleObject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1550" windowHeight="5310" tabRatio="331" activeTab="2"/>
  </bookViews>
  <sheets>
    <sheet name="MATRIZ  INVEST." sheetId="14" r:id="rId1"/>
    <sheet name="AMOSTRA" sheetId="16" r:id="rId2"/>
    <sheet name="PA" sheetId="7" r:id="rId3"/>
  </sheets>
  <externalReferences>
    <externalReference r:id="rId4"/>
  </externalReferences>
  <definedNames>
    <definedName name="_xlnm._FilterDatabase" localSheetId="2" hidden="1">PA!$A$2:$M$63</definedName>
    <definedName name="Excel_BuiltIn_Print_Area_1_1" localSheetId="1">#REF!</definedName>
    <definedName name="Excel_BuiltIn_Print_Area_1_1">#REF!</definedName>
    <definedName name="_xlnm.Print_Area" localSheetId="1">AMOSTRA!$A$1:$J$33</definedName>
    <definedName name="_xlnm.Print_Area" localSheetId="0">'MATRIZ  INVEST.'!$A$1:$G$85</definedName>
    <definedName name="_xlnm.Print_Area" localSheetId="2">PA!$A$1:$M$62</definedName>
    <definedName name="_xlnm.Print_Titles" localSheetId="1">AMOSTRA!$1:$10</definedName>
    <definedName name="_xlnm.Print_Titles" localSheetId="0">'MATRIZ  INVEST.'!$1:$10</definedName>
    <definedName name="_xlnm.Print_Titles" localSheetId="2">PA!$1:$3</definedName>
  </definedNames>
  <calcPr calcId="145621"/>
</workbook>
</file>

<file path=xl/calcChain.xml><?xml version="1.0" encoding="utf-8"?>
<calcChain xmlns="http://schemas.openxmlformats.org/spreadsheetml/2006/main">
  <c r="B28" i="16" l="1"/>
  <c r="E62" i="7" l="1"/>
  <c r="D62" i="7"/>
  <c r="B62" i="7"/>
  <c r="E76" i="14" l="1"/>
  <c r="A17" i="7" l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16" i="7"/>
  <c r="A15" i="7"/>
  <c r="A7" i="7"/>
  <c r="A8" i="7" s="1"/>
  <c r="A9" i="7" s="1"/>
  <c r="A10" i="7" s="1"/>
  <c r="A11" i="7" s="1"/>
  <c r="A12" i="7" s="1"/>
  <c r="A13" i="7" s="1"/>
  <c r="A6" i="7"/>
  <c r="B17" i="7"/>
  <c r="D17" i="7"/>
  <c r="E17" i="7"/>
  <c r="K17" i="7"/>
  <c r="E25" i="7" l="1"/>
  <c r="D25" i="7"/>
  <c r="B25" i="7"/>
  <c r="E34" i="14"/>
  <c r="E35" i="14"/>
  <c r="E38" i="7" l="1"/>
  <c r="E28" i="7"/>
  <c r="E27" i="7"/>
  <c r="E5" i="7"/>
  <c r="E15" i="14"/>
  <c r="E17" i="14"/>
  <c r="E18" i="14"/>
  <c r="E20" i="14"/>
  <c r="E21" i="14"/>
  <c r="E22" i="14"/>
  <c r="C21" i="16" l="1"/>
  <c r="C22" i="16"/>
  <c r="C27" i="16"/>
  <c r="D27" i="16"/>
  <c r="C28" i="16"/>
  <c r="D28" i="16"/>
  <c r="C25" i="16"/>
  <c r="D25" i="16"/>
  <c r="C20" i="16"/>
  <c r="D20" i="16"/>
  <c r="D21" i="16"/>
  <c r="D22" i="16"/>
  <c r="C23" i="16"/>
  <c r="D23" i="16"/>
  <c r="C17" i="16"/>
  <c r="D17" i="16"/>
  <c r="C18" i="16"/>
  <c r="D18" i="16"/>
  <c r="C12" i="16"/>
  <c r="D12" i="16"/>
  <c r="C14" i="16"/>
  <c r="D14" i="16"/>
  <c r="C15" i="16"/>
  <c r="D15" i="16"/>
  <c r="E15" i="16"/>
  <c r="C16" i="16" l="1"/>
  <c r="B27" i="16"/>
  <c r="B25" i="16"/>
  <c r="B23" i="16"/>
  <c r="B22" i="16"/>
  <c r="B21" i="16"/>
  <c r="B20" i="16"/>
  <c r="B18" i="16"/>
  <c r="B17" i="16"/>
  <c r="B15" i="16"/>
  <c r="B14" i="16"/>
  <c r="B13" i="16"/>
  <c r="B12" i="16"/>
  <c r="E9" i="7" l="1"/>
  <c r="H9" i="7" s="1"/>
  <c r="G9" i="7" l="1"/>
  <c r="B29" i="7"/>
  <c r="D29" i="7"/>
  <c r="E29" i="7"/>
  <c r="K29" i="7"/>
  <c r="E23" i="7"/>
  <c r="H23" i="7" s="1"/>
  <c r="D23" i="7"/>
  <c r="B23" i="7"/>
  <c r="K23" i="7"/>
  <c r="B49" i="7"/>
  <c r="D49" i="7"/>
  <c r="E49" i="7"/>
  <c r="B50" i="7"/>
  <c r="D50" i="7"/>
  <c r="E50" i="7"/>
  <c r="B51" i="7"/>
  <c r="D51" i="7"/>
  <c r="E51" i="7"/>
  <c r="E48" i="7"/>
  <c r="D48" i="7"/>
  <c r="B48" i="7"/>
  <c r="K12" i="7"/>
  <c r="E13" i="7"/>
  <c r="D13" i="7"/>
  <c r="B13" i="7"/>
  <c r="E11" i="7"/>
  <c r="D11" i="7"/>
  <c r="B11" i="7"/>
  <c r="K41" i="7"/>
  <c r="E41" i="7"/>
  <c r="D41" i="7"/>
  <c r="B41" i="7"/>
  <c r="E12" i="7"/>
  <c r="D12" i="7"/>
  <c r="B12" i="7"/>
  <c r="B45" i="7"/>
  <c r="D45" i="7"/>
  <c r="B46" i="7"/>
  <c r="D46" i="7"/>
  <c r="B47" i="7"/>
  <c r="D47" i="7"/>
  <c r="K45" i="7"/>
  <c r="K46" i="7"/>
  <c r="E44" i="7"/>
  <c r="D44" i="7"/>
  <c r="B44" i="7"/>
  <c r="E43" i="7"/>
  <c r="D43" i="7"/>
  <c r="B43" i="7"/>
  <c r="E42" i="7"/>
  <c r="D42" i="7"/>
  <c r="B42" i="7"/>
  <c r="E40" i="7"/>
  <c r="D40" i="7"/>
  <c r="B40" i="7"/>
  <c r="E39" i="7"/>
  <c r="D39" i="7"/>
  <c r="B39" i="7"/>
  <c r="E10" i="7"/>
  <c r="D10" i="7"/>
  <c r="B10" i="7"/>
  <c r="D38" i="7"/>
  <c r="B38" i="7"/>
  <c r="E37" i="7"/>
  <c r="D37" i="7"/>
  <c r="B37" i="7"/>
  <c r="E36" i="7"/>
  <c r="D36" i="7"/>
  <c r="B36" i="7"/>
  <c r="E35" i="7"/>
  <c r="D35" i="7"/>
  <c r="B35" i="7"/>
  <c r="K61" i="7"/>
  <c r="K60" i="7"/>
  <c r="B61" i="7"/>
  <c r="D61" i="7"/>
  <c r="E61" i="7"/>
  <c r="E60" i="7"/>
  <c r="D60" i="7"/>
  <c r="B60" i="7"/>
  <c r="E59" i="7"/>
  <c r="D59" i="7"/>
  <c r="B59" i="7"/>
  <c r="D9" i="7"/>
  <c r="B9" i="7"/>
  <c r="E58" i="7"/>
  <c r="D58" i="7"/>
  <c r="B58" i="7"/>
  <c r="G23" i="7" l="1"/>
  <c r="E57" i="7"/>
  <c r="D57" i="7"/>
  <c r="B57" i="7"/>
  <c r="K56" i="7"/>
  <c r="E56" i="7"/>
  <c r="D56" i="7"/>
  <c r="B56" i="7"/>
  <c r="E24" i="7"/>
  <c r="D24" i="7"/>
  <c r="B24" i="7"/>
  <c r="D28" i="7"/>
  <c r="B28" i="7"/>
  <c r="B30" i="7"/>
  <c r="D30" i="7"/>
  <c r="E30" i="7"/>
  <c r="B32" i="7"/>
  <c r="D32" i="7"/>
  <c r="E32" i="7"/>
  <c r="B33" i="7"/>
  <c r="D33" i="7"/>
  <c r="E33" i="7"/>
  <c r="E31" i="7"/>
  <c r="D31" i="7"/>
  <c r="B31" i="7"/>
  <c r="E34" i="7"/>
  <c r="D34" i="7"/>
  <c r="B34" i="7"/>
  <c r="D27" i="7"/>
  <c r="B27" i="7"/>
  <c r="E26" i="7"/>
  <c r="D26" i="7"/>
  <c r="B26" i="7"/>
  <c r="K22" i="7"/>
  <c r="E22" i="7"/>
  <c r="D22" i="7"/>
  <c r="B22" i="7"/>
  <c r="E21" i="7"/>
  <c r="D21" i="7"/>
  <c r="B21" i="7"/>
  <c r="K21" i="7"/>
  <c r="K53" i="7"/>
  <c r="D53" i="7"/>
  <c r="B53" i="7"/>
  <c r="B54" i="7"/>
  <c r="E54" i="7"/>
  <c r="D54" i="7"/>
  <c r="B55" i="7"/>
  <c r="K54" i="7"/>
  <c r="E55" i="7"/>
  <c r="D55" i="7"/>
  <c r="E20" i="7"/>
  <c r="D20" i="7"/>
  <c r="B20" i="7"/>
  <c r="K19" i="7"/>
  <c r="E19" i="7"/>
  <c r="D19" i="7"/>
  <c r="B19" i="7"/>
  <c r="E18" i="7"/>
  <c r="D18" i="7"/>
  <c r="B18" i="7"/>
  <c r="E16" i="7"/>
  <c r="D16" i="7"/>
  <c r="B16" i="7"/>
  <c r="E15" i="7"/>
  <c r="D15" i="7"/>
  <c r="B15" i="7"/>
  <c r="B8" i="7"/>
  <c r="D8" i="7"/>
  <c r="E8" i="7"/>
  <c r="K7" i="7"/>
  <c r="E7" i="7"/>
  <c r="D7" i="7"/>
  <c r="B7" i="7"/>
  <c r="B6" i="7"/>
  <c r="B5" i="7"/>
  <c r="E6" i="7"/>
  <c r="D6" i="7"/>
  <c r="F28" i="16" l="1"/>
  <c r="G28" i="16"/>
  <c r="E46" i="7"/>
  <c r="E47" i="7"/>
  <c r="E45" i="7"/>
  <c r="E75" i="14" l="1"/>
  <c r="E74" i="14"/>
  <c r="E73" i="14"/>
  <c r="E72" i="14"/>
  <c r="D5" i="7" l="1"/>
  <c r="G27" i="16"/>
  <c r="F27" i="16"/>
  <c r="G25" i="16"/>
  <c r="G24" i="16" s="1"/>
  <c r="F25" i="16"/>
  <c r="F24" i="16" s="1"/>
  <c r="G23" i="16"/>
  <c r="F23" i="16"/>
  <c r="G22" i="16"/>
  <c r="F22" i="16"/>
  <c r="G21" i="16"/>
  <c r="F21" i="16"/>
  <c r="G20" i="16"/>
  <c r="F20" i="16"/>
  <c r="G18" i="16"/>
  <c r="F18" i="16"/>
  <c r="G17" i="16"/>
  <c r="F17" i="16"/>
  <c r="F14" i="16"/>
  <c r="G14" i="16"/>
  <c r="F15" i="16"/>
  <c r="G15" i="16"/>
  <c r="H15" i="16"/>
  <c r="J15" i="16" s="1"/>
  <c r="G12" i="16"/>
  <c r="F12" i="16"/>
  <c r="D26" i="16"/>
  <c r="C26" i="16"/>
  <c r="D24" i="16"/>
  <c r="C24" i="16"/>
  <c r="D19" i="16"/>
  <c r="C19" i="16"/>
  <c r="D16" i="16"/>
  <c r="G19" i="16" l="1"/>
  <c r="F16" i="16"/>
  <c r="F19" i="16"/>
  <c r="F26" i="16"/>
  <c r="G16" i="16"/>
  <c r="G26" i="16"/>
  <c r="D33" i="14"/>
  <c r="E57" i="14"/>
  <c r="E28" i="14"/>
  <c r="E23" i="14"/>
  <c r="E27" i="16" l="1"/>
  <c r="H27" i="16" s="1"/>
  <c r="J27" i="16" s="1"/>
  <c r="C19" i="14"/>
  <c r="E55" i="14"/>
  <c r="K35" i="7"/>
  <c r="K18" i="7"/>
  <c r="K6" i="7"/>
  <c r="K62" i="7"/>
  <c r="K57" i="7"/>
  <c r="K59" i="7"/>
  <c r="K55" i="7"/>
  <c r="K43" i="7"/>
  <c r="K42" i="7"/>
  <c r="K40" i="7"/>
  <c r="K39" i="7"/>
  <c r="K38" i="7"/>
  <c r="K28" i="7"/>
  <c r="K30" i="7"/>
  <c r="K33" i="7"/>
  <c r="K32" i="7"/>
  <c r="K31" i="7"/>
  <c r="K34" i="7"/>
  <c r="K27" i="7"/>
  <c r="K26" i="7"/>
  <c r="K20" i="7"/>
  <c r="K15" i="7"/>
  <c r="E53" i="7" l="1"/>
  <c r="E19" i="14"/>
  <c r="D69" i="14" l="1"/>
  <c r="C69" i="14"/>
  <c r="D66" i="14"/>
  <c r="C66" i="14"/>
  <c r="D61" i="14"/>
  <c r="C61" i="14"/>
  <c r="D58" i="14"/>
  <c r="C58" i="14"/>
  <c r="D45" i="14"/>
  <c r="D37" i="14" s="1"/>
  <c r="C45" i="14"/>
  <c r="C37" i="14" s="1"/>
  <c r="D25" i="14"/>
  <c r="C56" i="14" l="1"/>
  <c r="D56" i="14"/>
  <c r="E88" i="14"/>
  <c r="E83" i="14"/>
  <c r="E82" i="14"/>
  <c r="E81" i="14"/>
  <c r="E80" i="14"/>
  <c r="E79" i="14"/>
  <c r="D78" i="14"/>
  <c r="C78" i="14"/>
  <c r="E65" i="14"/>
  <c r="E28" i="16" s="1"/>
  <c r="E71" i="14"/>
  <c r="E70" i="14"/>
  <c r="E68" i="14"/>
  <c r="E67" i="14"/>
  <c r="E66" i="14"/>
  <c r="E64" i="14"/>
  <c r="E63" i="14"/>
  <c r="E62" i="14"/>
  <c r="E60" i="14"/>
  <c r="E59" i="14"/>
  <c r="E58" i="14"/>
  <c r="E54" i="14"/>
  <c r="E53" i="14"/>
  <c r="D52" i="14"/>
  <c r="D49" i="14" s="1"/>
  <c r="C52" i="14"/>
  <c r="C49" i="14" s="1"/>
  <c r="E51" i="14"/>
  <c r="E50" i="14"/>
  <c r="E25" i="16" s="1"/>
  <c r="E47" i="14"/>
  <c r="E46" i="14"/>
  <c r="E39" i="14"/>
  <c r="E41" i="14"/>
  <c r="E48" i="14"/>
  <c r="E23" i="16" s="1"/>
  <c r="H23" i="16" s="1"/>
  <c r="E40" i="14"/>
  <c r="E21" i="16" s="1"/>
  <c r="H21" i="16" s="1"/>
  <c r="E44" i="14"/>
  <c r="E43" i="14"/>
  <c r="E42" i="14"/>
  <c r="E22" i="16" s="1"/>
  <c r="H22" i="16" s="1"/>
  <c r="E38" i="14"/>
  <c r="E20" i="16" s="1"/>
  <c r="E36" i="14"/>
  <c r="E18" i="16" s="1"/>
  <c r="H18" i="16" s="1"/>
  <c r="C33" i="14"/>
  <c r="E32" i="14"/>
  <c r="E30" i="14"/>
  <c r="E31" i="14"/>
  <c r="E27" i="14"/>
  <c r="E26" i="14"/>
  <c r="C25" i="14"/>
  <c r="E24" i="14"/>
  <c r="E14" i="14"/>
  <c r="D13" i="14"/>
  <c r="C13" i="14"/>
  <c r="E16" i="14"/>
  <c r="E14" i="16" s="1"/>
  <c r="H14" i="16" s="1"/>
  <c r="E12" i="14"/>
  <c r="E12" i="16" s="1"/>
  <c r="E17" i="16" l="1"/>
  <c r="E16" i="16" s="1"/>
  <c r="J14" i="16"/>
  <c r="J21" i="16"/>
  <c r="H12" i="16"/>
  <c r="J18" i="16"/>
  <c r="C11" i="14"/>
  <c r="C13" i="16"/>
  <c r="J22" i="16"/>
  <c r="J23" i="16"/>
  <c r="D11" i="14"/>
  <c r="D77" i="14" s="1"/>
  <c r="D84" i="14" s="1"/>
  <c r="D86" i="14" s="1"/>
  <c r="D13" i="16"/>
  <c r="H20" i="16"/>
  <c r="E19" i="16"/>
  <c r="H25" i="16"/>
  <c r="E24" i="16"/>
  <c r="H28" i="16"/>
  <c r="E26" i="16"/>
  <c r="E33" i="14"/>
  <c r="E78" i="14"/>
  <c r="E69" i="14"/>
  <c r="E25" i="14"/>
  <c r="E13" i="14"/>
  <c r="E13" i="16" s="1"/>
  <c r="H13" i="16" s="1"/>
  <c r="E52" i="14"/>
  <c r="E61" i="14"/>
  <c r="E56" i="14" s="1"/>
  <c r="E45" i="14"/>
  <c r="H17" i="16" l="1"/>
  <c r="J17" i="16" s="1"/>
  <c r="J20" i="16"/>
  <c r="H19" i="16"/>
  <c r="J13" i="16"/>
  <c r="G13" i="16"/>
  <c r="G11" i="16" s="1"/>
  <c r="G29" i="16" s="1"/>
  <c r="D11" i="16"/>
  <c r="D29" i="16" s="1"/>
  <c r="F13" i="16"/>
  <c r="F11" i="16" s="1"/>
  <c r="F29" i="16" s="1"/>
  <c r="C11" i="16"/>
  <c r="C29" i="16" s="1"/>
  <c r="E11" i="16"/>
  <c r="E29" i="16" s="1"/>
  <c r="J28" i="16"/>
  <c r="H26" i="16"/>
  <c r="J25" i="16"/>
  <c r="H24" i="16"/>
  <c r="H11" i="16"/>
  <c r="J12" i="16"/>
  <c r="E11" i="14"/>
  <c r="E49" i="14"/>
  <c r="E37" i="14"/>
  <c r="H16" i="16" l="1"/>
  <c r="J16" i="16" s="1"/>
  <c r="J19" i="16"/>
  <c r="J26" i="16"/>
  <c r="J24" i="16"/>
  <c r="J11" i="16"/>
  <c r="H29" i="16"/>
  <c r="I24" i="16" s="1"/>
  <c r="E77" i="14"/>
  <c r="F76" i="14" s="1"/>
  <c r="K8" i="7"/>
  <c r="K58" i="7"/>
  <c r="K36" i="7"/>
  <c r="F35" i="14" l="1"/>
  <c r="F34" i="14"/>
  <c r="F15" i="14"/>
  <c r="F18" i="14"/>
  <c r="F17" i="14"/>
  <c r="F21" i="14"/>
  <c r="F22" i="14"/>
  <c r="F20" i="14"/>
  <c r="I16" i="16"/>
  <c r="I11" i="16"/>
  <c r="I28" i="16"/>
  <c r="I27" i="16"/>
  <c r="I15" i="16"/>
  <c r="J29" i="16"/>
  <c r="I22" i="16"/>
  <c r="I14" i="16"/>
  <c r="I21" i="16"/>
  <c r="I18" i="16"/>
  <c r="I23" i="16"/>
  <c r="I20" i="16"/>
  <c r="I12" i="16"/>
  <c r="I25" i="16"/>
  <c r="I13" i="16"/>
  <c r="I17" i="16"/>
  <c r="I26" i="16"/>
  <c r="I19" i="16"/>
  <c r="F75" i="14"/>
  <c r="F74" i="14"/>
  <c r="F73" i="14"/>
  <c r="F44" i="14"/>
  <c r="F72" i="14"/>
  <c r="E84" i="14"/>
  <c r="G76" i="14" s="1"/>
  <c r="F29" i="14"/>
  <c r="F57" i="14"/>
  <c r="F26" i="14"/>
  <c r="F28" i="14"/>
  <c r="F23" i="14"/>
  <c r="F38" i="14"/>
  <c r="F37" i="14"/>
  <c r="F52" i="14"/>
  <c r="F13" i="14"/>
  <c r="F12" i="14"/>
  <c r="F50" i="14"/>
  <c r="F30" i="14"/>
  <c r="F61" i="14"/>
  <c r="F27" i="14"/>
  <c r="F59" i="14"/>
  <c r="F39" i="14"/>
  <c r="F19" i="14"/>
  <c r="F60" i="14"/>
  <c r="F48" i="14"/>
  <c r="F70" i="14"/>
  <c r="F62" i="14"/>
  <c r="F31" i="14"/>
  <c r="F64" i="14"/>
  <c r="F67" i="14"/>
  <c r="F45" i="14"/>
  <c r="F36" i="14"/>
  <c r="F58" i="14"/>
  <c r="F43" i="14"/>
  <c r="F63" i="14"/>
  <c r="F51" i="14"/>
  <c r="F33" i="14"/>
  <c r="F41" i="14"/>
  <c r="F65" i="14"/>
  <c r="F46" i="14"/>
  <c r="F11" i="14"/>
  <c r="F24" i="14"/>
  <c r="F77" i="14"/>
  <c r="F54" i="14"/>
  <c r="F71" i="14"/>
  <c r="F25" i="14"/>
  <c r="F66" i="14"/>
  <c r="F68" i="14"/>
  <c r="F49" i="14"/>
  <c r="F42" i="14"/>
  <c r="F14" i="14"/>
  <c r="F16" i="14"/>
  <c r="F47" i="14"/>
  <c r="F53" i="14"/>
  <c r="F40" i="14"/>
  <c r="F56" i="14"/>
  <c r="F69" i="14"/>
  <c r="F32" i="14"/>
  <c r="F55" i="14"/>
  <c r="G34" i="14" l="1"/>
  <c r="G15" i="14"/>
  <c r="G35" i="14"/>
  <c r="G17" i="14"/>
  <c r="G18" i="14"/>
  <c r="G21" i="14"/>
  <c r="G22" i="14"/>
  <c r="G20" i="14"/>
  <c r="G38" i="14"/>
  <c r="I29" i="16"/>
  <c r="G57" i="14"/>
  <c r="G75" i="14"/>
  <c r="G72" i="14"/>
  <c r="G73" i="14"/>
  <c r="G74" i="14"/>
  <c r="G11" i="14"/>
  <c r="G82" i="14"/>
  <c r="G26" i="14"/>
  <c r="G70" i="14"/>
  <c r="G78" i="14"/>
  <c r="G13" i="14"/>
  <c r="G44" i="14"/>
  <c r="G83" i="14"/>
  <c r="G68" i="14"/>
  <c r="G60" i="14"/>
  <c r="G43" i="14"/>
  <c r="G29" i="14"/>
  <c r="G37" i="14"/>
  <c r="G77" i="14"/>
  <c r="E86" i="14"/>
  <c r="D85" i="14"/>
  <c r="G79" i="14"/>
  <c r="G24" i="14"/>
  <c r="G46" i="14"/>
  <c r="G59" i="14"/>
  <c r="G31" i="14"/>
  <c r="G47" i="14"/>
  <c r="G27" i="14"/>
  <c r="G67" i="14"/>
  <c r="G30" i="14"/>
  <c r="G53" i="14"/>
  <c r="G40" i="14"/>
  <c r="G48" i="14"/>
  <c r="G41" i="14"/>
  <c r="G66" i="14"/>
  <c r="G16" i="14"/>
  <c r="G50" i="14"/>
  <c r="G54" i="14"/>
  <c r="G28" i="14"/>
  <c r="G12" i="14"/>
  <c r="G58" i="14"/>
  <c r="G14" i="14"/>
  <c r="G81" i="14"/>
  <c r="G49" i="14"/>
  <c r="G42" i="14"/>
  <c r="G65" i="14"/>
  <c r="G71" i="14"/>
  <c r="G23" i="14"/>
  <c r="G62" i="14"/>
  <c r="G56" i="14"/>
  <c r="G25" i="14"/>
  <c r="G36" i="14"/>
  <c r="G69" i="14"/>
  <c r="G61" i="14"/>
  <c r="G39" i="14"/>
  <c r="G19" i="14"/>
  <c r="G45" i="14"/>
  <c r="G51" i="14"/>
  <c r="G52" i="14"/>
  <c r="G32" i="14"/>
  <c r="G33" i="14"/>
  <c r="G80" i="14"/>
  <c r="G63" i="14"/>
  <c r="G64" i="14"/>
  <c r="G55" i="14"/>
  <c r="K47" i="7"/>
  <c r="K16" i="7"/>
  <c r="K13" i="7"/>
  <c r="K10" i="7"/>
  <c r="K37" i="7"/>
  <c r="K44" i="7"/>
  <c r="K48" i="7"/>
  <c r="K49" i="7"/>
  <c r="K50" i="7"/>
  <c r="K51" i="7"/>
  <c r="K5" i="7"/>
  <c r="G84" i="14" l="1"/>
  <c r="C77" i="14"/>
  <c r="C84" i="14" s="1"/>
  <c r="C85" i="14" l="1"/>
  <c r="E85" i="14" s="1"/>
  <c r="C86" i="14"/>
</calcChain>
</file>

<file path=xl/sharedStrings.xml><?xml version="1.0" encoding="utf-8"?>
<sst xmlns="http://schemas.openxmlformats.org/spreadsheetml/2006/main" count="457" uniqueCount="225">
  <si>
    <t>Projetos</t>
  </si>
  <si>
    <t>Tipo</t>
  </si>
  <si>
    <t>Método de Aquisição</t>
  </si>
  <si>
    <t>BID (%)</t>
  </si>
  <si>
    <t>Comentários</t>
  </si>
  <si>
    <t>Fonte de Financiamento</t>
  </si>
  <si>
    <t>Estágio Atual</t>
  </si>
  <si>
    <t>Conclusão dos Trabalhos</t>
  </si>
  <si>
    <t>Data Estimada</t>
  </si>
  <si>
    <t>Publicação</t>
  </si>
  <si>
    <t>Revisão pelo BID</t>
  </si>
  <si>
    <t>Bens</t>
  </si>
  <si>
    <t>Consultoria</t>
  </si>
  <si>
    <t>LPI</t>
  </si>
  <si>
    <t>LPN</t>
  </si>
  <si>
    <t>Licitação Pública Internacional</t>
  </si>
  <si>
    <t>Licitação Pública Nacional</t>
  </si>
  <si>
    <t>SBQC</t>
  </si>
  <si>
    <t>SBQ</t>
  </si>
  <si>
    <t>Seleção Baseada na Qualidade</t>
  </si>
  <si>
    <t>CPN</t>
  </si>
  <si>
    <t>Concorrência Publica Nacional</t>
  </si>
  <si>
    <t>SBQC - LPI</t>
  </si>
  <si>
    <t>Seleção Baseada na Qualidade e no Custo (Nacional)</t>
  </si>
  <si>
    <t>Seleção Baseada na Qualidade e no Custo (Internacional)</t>
  </si>
  <si>
    <t>SBQC - AF200</t>
  </si>
  <si>
    <t>Seleção Baseada na Qualidade e no Custo (Conforme AF200)</t>
  </si>
  <si>
    <t>PR</t>
  </si>
  <si>
    <t>Pregão</t>
  </si>
  <si>
    <t>SQC</t>
  </si>
  <si>
    <t>Seleção Baseada nas Qualificações do Consultor</t>
  </si>
  <si>
    <t>ex-ante</t>
  </si>
  <si>
    <t>ex-post</t>
  </si>
  <si>
    <t>Pendente</t>
  </si>
  <si>
    <t>Valor             (US$ x 1.000)</t>
  </si>
  <si>
    <t>SBQC-LPI</t>
  </si>
  <si>
    <t>SBQC-"AF200"</t>
  </si>
  <si>
    <t>PROGRAMA NACIONAL DE DESENVOLVIMENTO DO TURISMO</t>
  </si>
  <si>
    <t>PRODETUR NACIONAL</t>
  </si>
  <si>
    <t>SERGIPE</t>
  </si>
  <si>
    <t>MATRIZ DE INVESTIMENTOS</t>
  </si>
  <si>
    <t>ITEM</t>
  </si>
  <si>
    <t>COMPONENTE</t>
  </si>
  <si>
    <t>Fonte Externa - BID (U$ mil)</t>
  </si>
  <si>
    <t>Total (em R$ mil)</t>
  </si>
  <si>
    <t>Contrapartida  Local (U$ mil)</t>
  </si>
  <si>
    <t>Total (em U$ mil)</t>
  </si>
  <si>
    <t>% em Relação ao Total</t>
  </si>
  <si>
    <t>% EM RELAÇÃO AO TOTAL</t>
  </si>
  <si>
    <t xml:space="preserve">Componente 1 - Estratégia do Produto Turístico </t>
  </si>
  <si>
    <t>1.1</t>
  </si>
  <si>
    <t>Complementação da sinalização turística da Cidade de Aracaju - 4ª etapa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</si>
  <si>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</si>
  <si>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</si>
  <si>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</si>
  <si>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</si>
  <si>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</si>
  <si>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</si>
  <si>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</si>
  <si>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</si>
  <si>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</si>
  <si>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</si>
  <si>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</si>
  <si>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Componente 2 - Estratégia de Comercialização</t>
  </si>
  <si>
    <t>2.1</t>
  </si>
  <si>
    <t>2.2</t>
  </si>
  <si>
    <t>Componente 3 - Fortalecimento Institucional</t>
  </si>
  <si>
    <t>3.1</t>
  </si>
  <si>
    <t>3.2</t>
  </si>
  <si>
    <t>Componente 4 - Infraestrutura e Serviços Básicos</t>
  </si>
  <si>
    <t>4.1</t>
  </si>
  <si>
    <t>4.2</t>
  </si>
  <si>
    <t>4.3</t>
  </si>
  <si>
    <t>Desmonte do morro da piçarra para viabilizar ampliação da pista de pouso e decolagem (PPD) cabeceira 29</t>
  </si>
  <si>
    <t>4.4</t>
  </si>
  <si>
    <t>Componente 5 - Gestão Ambiental</t>
  </si>
  <si>
    <t>5.1</t>
  </si>
  <si>
    <t>5.2</t>
  </si>
  <si>
    <t>5.3</t>
  </si>
  <si>
    <t>5.4</t>
  </si>
  <si>
    <t>5.5</t>
  </si>
  <si>
    <t>5.6</t>
  </si>
  <si>
    <t>6.1</t>
  </si>
  <si>
    <t>Auditoria externa</t>
  </si>
  <si>
    <t>6.2</t>
  </si>
  <si>
    <t>6.3</t>
  </si>
  <si>
    <t>6.4</t>
  </si>
  <si>
    <t>6.5</t>
  </si>
  <si>
    <t>Publicações de aquisições</t>
  </si>
  <si>
    <t>Taxa de Cãmbio: US$ 1,00 = R$ 1,7713 (31.12.2007)</t>
  </si>
  <si>
    <t>OBRAS</t>
  </si>
  <si>
    <t>5.2.1</t>
  </si>
  <si>
    <t>5.2.2</t>
  </si>
  <si>
    <t>5.3.1</t>
  </si>
  <si>
    <t>5.3.2</t>
  </si>
  <si>
    <t>5.5.1</t>
  </si>
  <si>
    <t>5.5.2</t>
  </si>
  <si>
    <t>Gov. Est.SE (%)</t>
  </si>
  <si>
    <t>Item Matriz Invest.</t>
  </si>
  <si>
    <t>Obras</t>
  </si>
  <si>
    <t>BENS E SERVIÇOS</t>
  </si>
  <si>
    <t>Serviços</t>
  </si>
  <si>
    <t>1.7.1</t>
  </si>
  <si>
    <t>1.7.2</t>
  </si>
  <si>
    <t>Execução do Plano de Marketing</t>
  </si>
  <si>
    <t>Monitoramento do Plano de Marketing</t>
  </si>
  <si>
    <t>3.3</t>
  </si>
  <si>
    <t>3.4</t>
  </si>
  <si>
    <t>3.5</t>
  </si>
  <si>
    <t>3.6</t>
  </si>
  <si>
    <t>3.7</t>
  </si>
  <si>
    <t>Implementação do fortalecimento de gestão municipal do turismo</t>
  </si>
  <si>
    <t>Implementação do fortalecimento institucional dos órgãos estaduais gestores de turismo</t>
  </si>
  <si>
    <t>Implantação de sistema de esgotamento sanitário: Crasto (Sta. Luzia do Itanhy), Pontal (Indiaroba), Prainha (Canindé de São Francisco)</t>
  </si>
  <si>
    <t>Total do PRODETUR Nacional SERGIPE(1+2+3+4+5+6)</t>
  </si>
  <si>
    <t>Total dos Investimentos(1+2+3+4+5)</t>
  </si>
  <si>
    <t>DIFERENÇAS PARA CARTA CONSULTA US$</t>
  </si>
  <si>
    <t xml:space="preserve">SBQC </t>
  </si>
  <si>
    <t>4.3.1</t>
  </si>
  <si>
    <t>4.3.2</t>
  </si>
  <si>
    <t>Valor Total da Carta-Consulta em US$: 100.000.000,00</t>
  </si>
  <si>
    <t>% de Execução</t>
  </si>
  <si>
    <t>Nº</t>
  </si>
  <si>
    <t>1.13</t>
  </si>
  <si>
    <t>3.8</t>
  </si>
  <si>
    <t>3.9</t>
  </si>
  <si>
    <t>Reforma e aquisição de equipamentos da Galeria Ana Maria para instalação de nova sede da SETUR</t>
  </si>
  <si>
    <t>Reforma  da Galeria Ana Maria para instalação de nova sede da SETUR</t>
  </si>
  <si>
    <t>Aquisição de equipamentos da Galeria Ana Maria para instalação de nova sede da SETUR</t>
  </si>
  <si>
    <t>Elaboração do Projeto Executivo e Construção da Rodovia SE-405 Curralinho - Poço Redondo</t>
  </si>
  <si>
    <t>Elaboração do Projeto Executivo  da Rodovia SE-405 Curralinho - Poço Redondo</t>
  </si>
  <si>
    <t>Construção da Rodovia SE-405 Curralinho - Poço Redondo</t>
  </si>
  <si>
    <t>5.7</t>
  </si>
  <si>
    <t>TP - 8666</t>
  </si>
  <si>
    <t>TP-8666</t>
  </si>
  <si>
    <t>CONCORRENCIA-8666</t>
  </si>
  <si>
    <t>Tomada de Preços - Lei 8666</t>
  </si>
  <si>
    <t>CONCORRENCIA - 8666</t>
  </si>
  <si>
    <t>Concorrência Publica Lei 8666</t>
  </si>
  <si>
    <t>Revisão e atualização do PDITS Costa dos Coqueirais e Velho Chico</t>
  </si>
  <si>
    <t>Elaboração do Plano de Gestão dos Destinos Turísticos</t>
  </si>
  <si>
    <t>Adequação da trilha do cangaço (abertura de trilha, sinalização, melhoria)</t>
  </si>
  <si>
    <t>5.3.3</t>
  </si>
  <si>
    <t>1.14</t>
  </si>
  <si>
    <t>Avaliações intermediárias e final do programa e sistema de monitormaento e avaliação de impacto do programa</t>
  </si>
  <si>
    <t>% em Relação ao Total (incluindo custos de administração)</t>
  </si>
  <si>
    <t>Taxa de Cãmbio: US$ 1,00 = R$ 1,93 Média dos últimos 12 meses em 07.12.2012</t>
  </si>
  <si>
    <t>Sistema de gerenciamento do Programa</t>
  </si>
  <si>
    <t>Projetos Executivos e complementares para ampliação da pista de pouso e decolagem e novo terminal de passageiros do Aeroporto de Aracaju</t>
  </si>
  <si>
    <t>1.2.1</t>
  </si>
  <si>
    <t>1.2.2</t>
  </si>
  <si>
    <t>Valor Toral da Carta-Consulta em US$: 100.000.000,00</t>
  </si>
  <si>
    <t>Estratégia de roteiros e produtos históricos culturais e adequação e modernização de museus (programação visual, equipamentos interativos, etc.)</t>
  </si>
  <si>
    <t>Estratégia de roteiros e produtos históricos culturais</t>
  </si>
  <si>
    <t>Adequação e modernização de museus (programação visual, equipamentos interativos, etc.)</t>
  </si>
  <si>
    <t>1.10.1</t>
  </si>
  <si>
    <t>1.10.2</t>
  </si>
  <si>
    <t>1.15</t>
  </si>
  <si>
    <t>Elaboração dos Planos Diretores  municipais (Pirambu, Brejo Grande e Santana do São Francisco)</t>
  </si>
  <si>
    <t>3.8.1</t>
  </si>
  <si>
    <t>3.8.2</t>
  </si>
  <si>
    <t>Educação e Sensibilização Ambiental do Turista, entidades públicas e privadas e comunidades receptoras</t>
  </si>
  <si>
    <t>Empresa Gerenciadora de Apoio a UCP</t>
  </si>
  <si>
    <t>Fiscalização e Supervisão de obras</t>
  </si>
  <si>
    <t>AMOSTRA DE INVESTIMENTOS</t>
  </si>
  <si>
    <t>Contrapartida  Local (R$ mil)</t>
  </si>
  <si>
    <t>Taxa de Câmbio: US$ 1,00 = R$ 1,7713 (31.12.2007)</t>
  </si>
  <si>
    <t>Taxa de Câmbio: US$ 1,00 = R$ 1,93 Média dos últimos 12 meses em 07.12.2012</t>
  </si>
  <si>
    <t>Total da Amostra de Investimentos (1+2+3+4+5)</t>
  </si>
  <si>
    <t>% em Relação ao Total da Amosta</t>
  </si>
  <si>
    <t>% em Relação ao Total do Programa</t>
  </si>
  <si>
    <t>PLANO DE AQUISIÇÕES (PA) - PRODETUR NACIONAL SERGIPE (US$) - Janeiro/2013</t>
  </si>
  <si>
    <t>29.01.2013</t>
  </si>
  <si>
    <t>Financiamento de estudos de viabilidade socioeconômica, projetos básicos e executivos para o manejo de resíduos sólidos</t>
  </si>
  <si>
    <t>Financiamento de ações sociais e de fortalecimento institucional decorrente das ações dos Planos Intermunicipais</t>
  </si>
  <si>
    <t>Apoio à implementação dos Planos Intermunicipais de Resíduos Sólidos</t>
  </si>
  <si>
    <t>5.6.1</t>
  </si>
  <si>
    <t>5.6.2</t>
  </si>
  <si>
    <t>5.7.1</t>
  </si>
  <si>
    <t>5.7.2</t>
  </si>
  <si>
    <t>Elaboração da Política de Gerenciamento Costeiro do Estado</t>
  </si>
  <si>
    <t>Realização de Planos de Gestão Integrada dos munícipios costeiros</t>
  </si>
  <si>
    <t>5.7.3</t>
  </si>
  <si>
    <t>Apoio à elaboração de normas ambientais e treinamento para o controle e fiscalização de obras náuticas (marinas, piers, atracadouros), além de rodovias e saneamento, em parceria com a ADEMA</t>
  </si>
  <si>
    <t>Diagnóstico e Plano de Ação para Educação e Sensibilização Ambiental</t>
  </si>
  <si>
    <t>Implementação das ações de educação e sensibilização do turista, entidades e comunidades receptoras</t>
  </si>
  <si>
    <r>
      <t xml:space="preserve">Elaboração e Execução de planos de proteção e recuperação de áreas ambientais frágeis ou degradadas e elaboração de estudos ambientais - </t>
    </r>
    <r>
      <rPr>
        <u/>
        <sz val="12"/>
        <rFont val="Century Gothic"/>
        <family val="2"/>
      </rPr>
      <t>Rio Jacaré</t>
    </r>
  </si>
  <si>
    <r>
      <t xml:space="preserve">Elaboração e Execução de planos de proteção e recuperação de áreas ambientais frágeis ou degradadas e elaboração de estudos ambientais - </t>
    </r>
    <r>
      <rPr>
        <u/>
        <sz val="12"/>
        <rFont val="Century Gothic"/>
        <family val="2"/>
      </rPr>
      <t>Rio Betume</t>
    </r>
  </si>
  <si>
    <t>Fomento à qualidade do artesanato adequado à demanda turística</t>
  </si>
  <si>
    <t>Restauração Ecológica e Paisagística de áreas turísticas de alto valor natural e degradadas (Afluentes Jacaré e Betume do Rio e Foz do São Francisco)</t>
  </si>
  <si>
    <t>ex post</t>
  </si>
  <si>
    <t>CP</t>
  </si>
  <si>
    <t>ex ante</t>
  </si>
  <si>
    <t>Execução da adequação urbanística e delimitações das praias do litoral sul</t>
  </si>
  <si>
    <t>Revisão e complementação do Plano de Marketing</t>
  </si>
  <si>
    <t>Implantação do sistema de informações turísticas (inventariação turística, estudos e pesquisas de demanda, oferta, dados socioeconômicos do turismo) para turismo de sol e praia, turismo cultural e ecoturismo</t>
  </si>
  <si>
    <t>Elaboração de diagnósticos e planos da gestão municipal do turismo e incentivos para fiscalização</t>
  </si>
  <si>
    <t>Elaboração de projetos e execução da adequação urbanística e delimitações das praias do APA Litoral Sul</t>
  </si>
  <si>
    <t>Elaboração e implementacao do Plano de Uso público para a Monumento Natural Grota do Angico</t>
  </si>
  <si>
    <t>Programa de comunicación y participación de población local y vulnerable en el programa. Otras acoes de apoio à prevenção da impactos negativos indirectos del turismo</t>
  </si>
  <si>
    <t>Planeamiento costeiro</t>
  </si>
  <si>
    <t>Administração do Programa</t>
  </si>
  <si>
    <t>Elaboração e implementação de 4 projetos de valoriazação de atrativos e roteirização turística nos quatro destinos prioritários dos Polos Costa dos Coqueirais e Velho Chico</t>
  </si>
  <si>
    <t>CONSULTORIAS</t>
  </si>
  <si>
    <t>Componente 1 - Produto Turístico</t>
  </si>
  <si>
    <t>Componente 2 - Promocion turistica</t>
  </si>
  <si>
    <t>Componente 4 - Conectividad de apoyo al turismo</t>
  </si>
  <si>
    <t>PROGRAMA NACIONAL DE DESENVOLVIMENTO DO TURISMO EM SERGIPE (BR-L1256)</t>
  </si>
  <si>
    <t>Elaboração de projeto</t>
  </si>
  <si>
    <t>Execução do projeto</t>
  </si>
  <si>
    <t>Elaboração de projeto e execução da sinalização turistica e interpretativa para destinos turísticos (Polos Costa dos Coqueirais e Velho Chico)</t>
  </si>
  <si>
    <t>Execução do Plano de Capacitação profissional e empresarial para o turismo</t>
  </si>
  <si>
    <t>Estudo de inclusão social em turismo; diagnõstico e plano de incentivos a formalização; e assistência técnica à empresas turísticas para melhoria da qualidade dos serviços, gestão ambiental e responsabilidade social</t>
  </si>
  <si>
    <t>Revitalização do Complexo Turístico: Museu do Artesanato e o Centro de Informações Turísticas</t>
  </si>
  <si>
    <t>Construção do Centro de Referência do Cangaço</t>
  </si>
  <si>
    <t>Elaboração de projetos da adequação urbanística e delimitações das praias do litoral sul</t>
  </si>
  <si>
    <t>Estudo de circuitos de ecoturismo no Rio São Francisco e Costa marítima atendida pelo programa.</t>
  </si>
  <si>
    <t>Obras para Roteiros ecoturisticos no Rio São Francisco e Costa marítima atendida pelo programa.</t>
  </si>
  <si>
    <t>Elaboração do estudo de viabilidade turística (análise de paisagem) da ação de complementação da rota paisagística em AP Litoral Norte</t>
  </si>
  <si>
    <t>Adequações turística e ambiental da rota natural e paisagística do AP Litoral Norte</t>
  </si>
  <si>
    <t>Estudos de Avaliação de Limites de Mudanças aceitavéis e monitoreo do turismo em quatro áreas turísticas críticas (trilha do cangaço-Grota do Angico, Brejo grande, Litoral Norte e Indiaroba-Sta Luzia do Itanhy)</t>
  </si>
  <si>
    <t>Manejo e Proteção Ambiental da Unidade de Conservação com uso turístico (Elaboração e implementação do plano de manejo da AP do litoral Norte e Plano de uso público do AP Grota do Angico)</t>
  </si>
  <si>
    <t>Elaboração do Plano de Manejo da AP Litoral Norte</t>
  </si>
  <si>
    <t>Implementação das ações prioritárias do plano de manejo da AP do Litoral Norte</t>
  </si>
  <si>
    <t>Otras obras de adecuación y mejora de infraestructura de acceso a atractivos turísticos prioritarias en los Polos, en consistencia con los PDITS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</si>
</sst>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dd/mm/yy;@"/>
    <numFmt numFmtId="166" formatCode="_-[$$-409]* #,##0.00_ ;_-[$$-409]* \-#,##0.00\ ;_-[$$-409]* &quot;-&quot;??_ ;_-@_ "/>
    <numFmt numFmtId="167" formatCode="#,##0.000000"/>
    <numFmt numFmtId="168" formatCode="_(* #,##0.00_);_(* \(#,##0.00\);_(* \-??_);_(@_)"/>
    <numFmt numFmtId="169" formatCode="0.000"/>
  </numFmts>
  <fonts count="23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4"/>
      <name val="Century Gothic"/>
      <family val="2"/>
    </font>
    <font>
      <sz val="10"/>
      <name val="Century Gothic"/>
      <family val="2"/>
    </font>
    <font>
      <sz val="12"/>
      <name val="Century Gothic"/>
      <family val="2"/>
    </font>
    <font>
      <b/>
      <sz val="12"/>
      <name val="Century Gothic"/>
      <family val="2"/>
    </font>
    <font>
      <b/>
      <sz val="12"/>
      <color indexed="9"/>
      <name val="Century Gothic"/>
      <family val="2"/>
    </font>
    <font>
      <sz val="9"/>
      <name val="Century Gothic"/>
      <family val="2"/>
    </font>
    <font>
      <sz val="9"/>
      <name val="Arial"/>
      <family val="2"/>
    </font>
    <font>
      <sz val="8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sz val="10"/>
      <name val="Arial"/>
    </font>
    <font>
      <b/>
      <sz val="12"/>
      <color theme="0"/>
      <name val="Century Gothic"/>
      <family val="2"/>
    </font>
    <font>
      <b/>
      <sz val="16"/>
      <name val="Arial"/>
      <family val="2"/>
    </font>
    <font>
      <sz val="16"/>
      <name val="Century Gothic"/>
      <family val="2"/>
    </font>
    <font>
      <u/>
      <sz val="12"/>
      <name val="Century Gothic"/>
      <family val="2"/>
    </font>
    <font>
      <b/>
      <sz val="10"/>
      <name val="Century Gothic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sz val="12"/>
      <color rgb="FFFF0000"/>
      <name val="Century Gothic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3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13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38"/>
      </patternFill>
    </fill>
    <fill>
      <patternFill patternType="solid">
        <fgColor theme="3"/>
        <bgColor indexed="13"/>
      </patternFill>
    </fill>
    <fill>
      <patternFill patternType="solid">
        <fgColor theme="3"/>
        <bgColor indexed="51"/>
      </patternFill>
    </fill>
    <fill>
      <patternFill patternType="solid">
        <fgColor theme="3"/>
        <bgColor indexed="52"/>
      </patternFill>
    </fill>
    <fill>
      <patternFill patternType="solid">
        <fgColor theme="3"/>
        <bgColor indexed="64"/>
      </patternFill>
    </fill>
    <fill>
      <patternFill patternType="solid">
        <fgColor theme="3"/>
        <bgColor indexed="36"/>
      </patternFill>
    </fill>
    <fill>
      <patternFill patternType="solid">
        <fgColor theme="2"/>
        <bgColor indexed="32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32"/>
      </patternFill>
    </fill>
    <fill>
      <patternFill patternType="solid">
        <fgColor rgb="FFFF0000"/>
        <bgColor indexed="32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1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13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2" fillId="0" borderId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 applyNumberFormat="0" applyFill="0" applyBorder="0" applyAlignment="0" applyProtection="0"/>
    <xf numFmtId="0" fontId="2" fillId="0" borderId="0">
      <alignment vertical="center"/>
    </xf>
    <xf numFmtId="168" fontId="2" fillId="0" borderId="0" applyFill="0" applyBorder="0" applyProtection="0">
      <alignment vertical="center"/>
    </xf>
  </cellStyleXfs>
  <cellXfs count="14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2" borderId="0" xfId="0" applyFont="1" applyFill="1"/>
    <xf numFmtId="0" fontId="9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6" fillId="4" borderId="1" xfId="0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4" borderId="1" xfId="0" applyFont="1" applyFill="1" applyBorder="1" applyAlignment="1">
      <alignment horizontal="right" vertical="center" wrapText="1"/>
    </xf>
    <xf numFmtId="0" fontId="5" fillId="4" borderId="0" xfId="0" applyFont="1" applyFill="1"/>
    <xf numFmtId="0" fontId="8" fillId="8" borderId="1" xfId="0" applyFont="1" applyFill="1" applyBorder="1" applyAlignment="1">
      <alignment horizontal="left" vertical="center" wrapText="1"/>
    </xf>
    <xf numFmtId="4" fontId="8" fillId="8" borderId="1" xfId="0" applyNumberFormat="1" applyFont="1" applyFill="1" applyBorder="1" applyAlignment="1">
      <alignment horizontal="center" vertical="center" wrapText="1"/>
    </xf>
    <xf numFmtId="4" fontId="8" fillId="9" borderId="1" xfId="0" applyNumberFormat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left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left" vertical="center" wrapText="1"/>
    </xf>
    <xf numFmtId="4" fontId="8" fillId="11" borderId="1" xfId="0" applyNumberFormat="1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left" vertical="center" wrapText="1"/>
    </xf>
    <xf numFmtId="4" fontId="8" fillId="13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2" fillId="16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left" vertical="center" wrapText="1"/>
    </xf>
    <xf numFmtId="4" fontId="15" fillId="17" borderId="1" xfId="0" applyNumberFormat="1" applyFont="1" applyFill="1" applyBorder="1" applyAlignment="1">
      <alignment horizontal="center" vertical="center" wrapText="1"/>
    </xf>
    <xf numFmtId="0" fontId="15" fillId="17" borderId="1" xfId="0" applyFont="1" applyFill="1" applyBorder="1" applyAlignment="1">
      <alignment horizontal="center" vertical="center" wrapText="1"/>
    </xf>
    <xf numFmtId="4" fontId="1" fillId="14" borderId="1" xfId="0" applyNumberFormat="1" applyFont="1" applyFill="1" applyBorder="1" applyAlignment="1">
      <alignment horizontal="center" vertical="center" wrapText="1"/>
    </xf>
    <xf numFmtId="10" fontId="8" fillId="9" borderId="1" xfId="3" applyNumberFormat="1" applyFont="1" applyFill="1" applyBorder="1" applyAlignment="1">
      <alignment horizontal="center" vertical="center" wrapText="1"/>
    </xf>
    <xf numFmtId="10" fontId="1" fillId="14" borderId="1" xfId="3" applyNumberFormat="1" applyFont="1" applyFill="1" applyBorder="1" applyAlignment="1">
      <alignment horizontal="center" vertical="center" wrapText="1"/>
    </xf>
    <xf numFmtId="10" fontId="15" fillId="17" borderId="1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15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right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10" fontId="13" fillId="0" borderId="1" xfId="0" applyNumberFormat="1" applyFont="1" applyFill="1" applyBorder="1" applyAlignment="1">
      <alignment horizontal="center" vertical="center" wrapText="1"/>
    </xf>
    <xf numFmtId="9" fontId="1" fillId="14" borderId="1" xfId="0" applyNumberFormat="1" applyFont="1" applyFill="1" applyBorder="1" applyAlignment="1">
      <alignment horizontal="center" vertical="center" wrapText="1"/>
    </xf>
    <xf numFmtId="167" fontId="17" fillId="0" borderId="0" xfId="0" applyNumberFormat="1" applyFont="1" applyAlignment="1">
      <alignment horizontal="center"/>
    </xf>
    <xf numFmtId="0" fontId="19" fillId="0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4" fontId="7" fillId="20" borderId="1" xfId="0" applyNumberFormat="1" applyFont="1" applyFill="1" applyBorder="1" applyAlignment="1">
      <alignment horizontal="center" vertical="center" wrapText="1"/>
    </xf>
    <xf numFmtId="0" fontId="1" fillId="14" borderId="0" xfId="0" applyFont="1" applyFill="1" applyBorder="1" applyAlignment="1">
      <alignment horizontal="center" vertical="center" wrapText="1"/>
    </xf>
    <xf numFmtId="4" fontId="1" fillId="14" borderId="0" xfId="0" applyNumberFormat="1" applyFont="1" applyFill="1" applyBorder="1" applyAlignment="1">
      <alignment horizontal="center" vertical="center" wrapText="1"/>
    </xf>
    <xf numFmtId="9" fontId="1" fillId="14" borderId="0" xfId="0" applyNumberFormat="1" applyFont="1" applyFill="1" applyBorder="1" applyAlignment="1">
      <alignment horizontal="center" vertical="center" wrapText="1"/>
    </xf>
    <xf numFmtId="4" fontId="1" fillId="20" borderId="1" xfId="0" applyNumberFormat="1" applyFont="1" applyFill="1" applyBorder="1" applyAlignment="1">
      <alignment horizontal="center" vertical="center" wrapText="1"/>
    </xf>
    <xf numFmtId="4" fontId="1" fillId="19" borderId="1" xfId="0" applyNumberFormat="1" applyFont="1" applyFill="1" applyBorder="1" applyAlignment="1">
      <alignment horizontal="center" vertical="center" wrapText="1"/>
    </xf>
    <xf numFmtId="4" fontId="1" fillId="23" borderId="1" xfId="0" applyNumberFormat="1" applyFont="1" applyFill="1" applyBorder="1" applyAlignment="1">
      <alignment horizontal="center" vertical="center" wrapText="1"/>
    </xf>
    <xf numFmtId="10" fontId="1" fillId="22" borderId="1" xfId="0" applyNumberFormat="1" applyFont="1" applyFill="1" applyBorder="1" applyAlignment="1">
      <alignment horizontal="center" vertical="center" wrapText="1"/>
    </xf>
    <xf numFmtId="10" fontId="1" fillId="21" borderId="1" xfId="0" applyNumberFormat="1" applyFont="1" applyFill="1" applyBorder="1" applyAlignment="1">
      <alignment horizontal="center" vertical="center" wrapText="1"/>
    </xf>
    <xf numFmtId="10" fontId="8" fillId="13" borderId="1" xfId="3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9" fontId="15" fillId="7" borderId="1" xfId="2" applyFont="1" applyFill="1" applyBorder="1" applyAlignment="1">
      <alignment horizontal="center" vertical="center" wrapText="1"/>
    </xf>
    <xf numFmtId="165" fontId="15" fillId="7" borderId="1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4" fontId="22" fillId="4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left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65" fontId="19" fillId="0" borderId="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15" fillId="7" borderId="1" xfId="0" applyFont="1" applyFill="1" applyBorder="1" applyAlignment="1">
      <alignment horizontal="center" vertical="center" wrapText="1"/>
    </xf>
    <xf numFmtId="9" fontId="15" fillId="7" borderId="1" xfId="3" applyFont="1" applyFill="1" applyBorder="1" applyAlignment="1">
      <alignment horizontal="center" vertical="center" wrapText="1"/>
    </xf>
    <xf numFmtId="9" fontId="6" fillId="4" borderId="1" xfId="3" applyFont="1" applyFill="1" applyBorder="1" applyAlignment="1">
      <alignment horizontal="center" vertical="center" wrapText="1"/>
    </xf>
    <xf numFmtId="9" fontId="5" fillId="0" borderId="0" xfId="3" applyFont="1" applyFill="1" applyBorder="1" applyAlignment="1">
      <alignment horizontal="center" vertical="center" wrapText="1"/>
    </xf>
    <xf numFmtId="9" fontId="19" fillId="0" borderId="0" xfId="3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left" vertical="center" wrapText="1"/>
    </xf>
    <xf numFmtId="169" fontId="5" fillId="0" borderId="0" xfId="0" applyNumberFormat="1" applyFont="1" applyFill="1"/>
    <xf numFmtId="0" fontId="5" fillId="0" borderId="0" xfId="0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10" fontId="1" fillId="6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right" vertical="center" wrapText="1"/>
    </xf>
    <xf numFmtId="4" fontId="7" fillId="5" borderId="1" xfId="0" applyNumberFormat="1" applyFont="1" applyFill="1" applyBorder="1" applyAlignment="1">
      <alignment horizontal="center" vertical="center"/>
    </xf>
    <xf numFmtId="4" fontId="7" fillId="5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18" borderId="1" xfId="0" applyFont="1" applyFill="1" applyBorder="1" applyAlignment="1">
      <alignment vertical="center" wrapText="1"/>
    </xf>
    <xf numFmtId="166" fontId="7" fillId="18" borderId="1" xfId="4" applyNumberFormat="1" applyFont="1" applyFill="1" applyBorder="1" applyAlignment="1">
      <alignment horizontal="center" vertical="center"/>
    </xf>
    <xf numFmtId="166" fontId="7" fillId="18" borderId="0" xfId="4" applyNumberFormat="1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9" fontId="7" fillId="0" borderId="0" xfId="0" applyNumberFormat="1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" fillId="14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15" fillId="7" borderId="1" xfId="3" applyFont="1" applyFill="1" applyBorder="1" applyAlignment="1">
      <alignment horizontal="center" vertical="center" wrapText="1"/>
    </xf>
    <xf numFmtId="165" fontId="15" fillId="7" borderId="1" xfId="0" applyNumberFormat="1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4" fontId="15" fillId="7" borderId="1" xfId="0" applyNumberFormat="1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center" vertical="center" wrapText="1"/>
    </xf>
    <xf numFmtId="0" fontId="15" fillId="12" borderId="4" xfId="0" applyFont="1" applyFill="1" applyBorder="1" applyAlignment="1">
      <alignment horizontal="center" vertical="center" wrapText="1"/>
    </xf>
    <xf numFmtId="0" fontId="15" fillId="12" borderId="5" xfId="0" applyFont="1" applyFill="1" applyBorder="1" applyAlignment="1">
      <alignment horizontal="center" vertical="center" wrapText="1"/>
    </xf>
  </cellXfs>
  <cellStyles count="21">
    <cellStyle name="Currency" xfId="4" builtinId="4"/>
    <cellStyle name="Normal" xfId="0" builtinId="0"/>
    <cellStyle name="Normal 2" xfId="1"/>
    <cellStyle name="Normal 2 2" xfId="6"/>
    <cellStyle name="Normal 3" xfId="7"/>
    <cellStyle name="Normal 3 2" xfId="8"/>
    <cellStyle name="Normal 3 3" xfId="9"/>
    <cellStyle name="Normal 4" xfId="10"/>
    <cellStyle name="Normal 4 2" xfId="11"/>
    <cellStyle name="Normal 4 3" xfId="12"/>
    <cellStyle name="Normal 5" xfId="13"/>
    <cellStyle name="Normal 5 2" xfId="14"/>
    <cellStyle name="Normal 5 3" xfId="15"/>
    <cellStyle name="Normal 6" xfId="16"/>
    <cellStyle name="Normal 7" xfId="17"/>
    <cellStyle name="Normal 8" xfId="19"/>
    <cellStyle name="Percent" xfId="3" builtinId="5"/>
    <cellStyle name="Porcentagem 2" xfId="2"/>
    <cellStyle name="Separador de milhares 2" xfId="5"/>
    <cellStyle name="Título 5" xfId="18"/>
    <cellStyle name="Vírgula 2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647700</xdr:colOff>
      <xdr:row>0</xdr:row>
      <xdr:rowOff>19050</xdr:rowOff>
    </xdr:from>
    <xdr:to>
      <xdr:col>1</xdr:col>
      <xdr:colOff>1581150</xdr:colOff>
      <xdr:row>5</xdr:row>
      <xdr:rowOff>128939</xdr:rowOff>
    </xdr:to>
    <xdr:pic>
      <xdr:nvPicPr>
        <xdr:cNvPr id="2" name="Imagem 1" descr="LOGOTIPO_PRODETUR_SERGIPE_-_Arte_Final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7700" y="19050"/>
          <a:ext cx="1680210" cy="1237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747347</xdr:colOff>
      <xdr:row>0</xdr:row>
      <xdr:rowOff>90120</xdr:rowOff>
    </xdr:from>
    <xdr:to>
      <xdr:col>6</xdr:col>
      <xdr:colOff>1380393</xdr:colOff>
      <xdr:row>4</xdr:row>
      <xdr:rowOff>50723</xdr:rowOff>
    </xdr:to>
    <xdr:pic>
      <xdr:nvPicPr>
        <xdr:cNvPr id="3" name="Imagem 7" descr="BID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275885" y="90120"/>
          <a:ext cx="1761392" cy="869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2505075</xdr:colOff>
          <xdr:row>0</xdr:row>
          <xdr:rowOff>0</xdr:rowOff>
        </xdr:from>
        <xdr:to>
          <xdr:col>1</xdr:col>
          <xdr:colOff>2505075</xdr:colOff>
          <xdr:row>2</xdr:row>
          <xdr:rowOff>57150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647700</xdr:colOff>
      <xdr:row>0</xdr:row>
      <xdr:rowOff>19050</xdr:rowOff>
    </xdr:from>
    <xdr:to>
      <xdr:col>1</xdr:col>
      <xdr:colOff>1581150</xdr:colOff>
      <xdr:row>5</xdr:row>
      <xdr:rowOff>128939</xdr:rowOff>
    </xdr:to>
    <xdr:pic>
      <xdr:nvPicPr>
        <xdr:cNvPr id="2" name="Imagem 1" descr="LOGOTIPO_PRODETUR_SERGIPE_-_Arte_Final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7700" y="19050"/>
          <a:ext cx="1657350" cy="12528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952500</xdr:colOff>
      <xdr:row>0</xdr:row>
      <xdr:rowOff>31750</xdr:rowOff>
    </xdr:from>
    <xdr:to>
      <xdr:col>9</xdr:col>
      <xdr:colOff>1330325</xdr:colOff>
      <xdr:row>3</xdr:row>
      <xdr:rowOff>198728</xdr:rowOff>
    </xdr:to>
    <xdr:pic>
      <xdr:nvPicPr>
        <xdr:cNvPr id="3" name="Imagem 7" descr="BID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0875" y="31750"/>
          <a:ext cx="1758950" cy="8337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0</xdr:row>
          <xdr:rowOff>9525</xdr:rowOff>
        </xdr:from>
        <xdr:to>
          <xdr:col>6</xdr:col>
          <xdr:colOff>0</xdr:colOff>
          <xdr:row>4</xdr:row>
          <xdr:rowOff>142875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0</xdr:row>
          <xdr:rowOff>9525</xdr:rowOff>
        </xdr:from>
        <xdr:to>
          <xdr:col>3</xdr:col>
          <xdr:colOff>0</xdr:colOff>
          <xdr:row>4</xdr:row>
          <xdr:rowOff>142875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292946</xdr:colOff>
      <xdr:row>0</xdr:row>
      <xdr:rowOff>53340</xdr:rowOff>
    </xdr:from>
    <xdr:to>
      <xdr:col>2</xdr:col>
      <xdr:colOff>499667</xdr:colOff>
      <xdr:row>0</xdr:row>
      <xdr:rowOff>742950</xdr:rowOff>
    </xdr:to>
    <xdr:pic>
      <xdr:nvPicPr>
        <xdr:cNvPr id="2" name="Imagem 1" descr="LOGOTIPO_PRODETUR_SERGIPE_-_Arte_Final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946" y="53340"/>
          <a:ext cx="1444971" cy="6896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105493</xdr:colOff>
      <xdr:row>0</xdr:row>
      <xdr:rowOff>112667</xdr:rowOff>
    </xdr:from>
    <xdr:to>
      <xdr:col>12</xdr:col>
      <xdr:colOff>1330507</xdr:colOff>
      <xdr:row>0</xdr:row>
      <xdr:rowOff>680357</xdr:rowOff>
    </xdr:to>
    <xdr:pic>
      <xdr:nvPicPr>
        <xdr:cNvPr id="3" name="Imagem 7" descr="BID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093636" y="112667"/>
          <a:ext cx="1225014" cy="567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PCDOCS://IDBDOCS/37691808/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PwDMoniker.PwDMoniker.1">
    <oleItems>
      <mc:AlternateContent xmlns:mc="http://schemas.openxmlformats.org/markup-compatibility/2006">
        <mc:Choice Requires="x14">
          <x14:oleItem name="!Sólo desembolso BID!R12C2" advise="1">
            <x14:values>
              <value t="str">
                <val>Execução do Plano de Capacitação Profissional empresarial para o turismo</val>
              </value>
            </x14:values>
          </x14:oleItem>
        </mc:Choice>
        <mc:Fallback>
          <oleItem name="!Sólo desembolso BID!R12C2" advise="1"/>
        </mc:Fallback>
      </mc:AlternateContent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8000"/>
  </sheetPr>
  <dimension ref="A1:J94"/>
  <sheetViews>
    <sheetView topLeftCell="A40" zoomScale="65" zoomScaleNormal="65" zoomScaleSheetLayoutView="51" workbookViewId="0">
      <selection activeCell="B55" sqref="B55"/>
    </sheetView>
  </sheetViews>
  <sheetFormatPr defaultRowHeight="12.75" x14ac:dyDescent="0.2"/>
  <cols>
    <col min="1" max="1" width="10.85546875" style="16" customWidth="1"/>
    <col min="2" max="2" width="64.85546875" style="9" customWidth="1"/>
    <col min="3" max="3" width="20.28515625" customWidth="1"/>
    <col min="4" max="4" width="20.85546875" style="10" customWidth="1"/>
    <col min="5" max="5" width="21.5703125" style="10" customWidth="1"/>
    <col min="6" max="6" width="16.85546875" style="10" customWidth="1"/>
    <col min="7" max="7" width="21.28515625" style="10" customWidth="1"/>
  </cols>
  <sheetData>
    <row r="1" spans="1:7" s="1" customFormat="1" ht="18" x14ac:dyDescent="0.25">
      <c r="A1" s="130" t="s">
        <v>207</v>
      </c>
      <c r="B1" s="130"/>
      <c r="C1" s="130"/>
      <c r="D1" s="130"/>
      <c r="E1" s="130"/>
      <c r="F1" s="130"/>
      <c r="G1" s="130"/>
    </row>
    <row r="2" spans="1:7" s="1" customFormat="1" ht="18" x14ac:dyDescent="0.25">
      <c r="A2" s="130" t="s">
        <v>38</v>
      </c>
      <c r="B2" s="130"/>
      <c r="C2" s="130"/>
      <c r="D2" s="130"/>
      <c r="E2" s="130"/>
      <c r="F2" s="130"/>
      <c r="G2" s="130"/>
    </row>
    <row r="3" spans="1:7" s="1" customFormat="1" ht="18" x14ac:dyDescent="0.25">
      <c r="A3" s="130" t="s">
        <v>39</v>
      </c>
      <c r="B3" s="130"/>
      <c r="C3" s="130"/>
      <c r="D3" s="130"/>
      <c r="E3" s="130"/>
      <c r="F3" s="130"/>
      <c r="G3" s="130"/>
    </row>
    <row r="4" spans="1:7" s="1" customFormat="1" ht="15.75" x14ac:dyDescent="0.25">
      <c r="A4" s="40"/>
      <c r="B4" s="56"/>
      <c r="C4" s="41"/>
      <c r="D4" s="42"/>
      <c r="E4" s="42"/>
      <c r="F4" s="42"/>
      <c r="G4" s="42"/>
    </row>
    <row r="5" spans="1:7" s="1" customFormat="1" ht="20.25" x14ac:dyDescent="0.3">
      <c r="A5" s="131" t="s">
        <v>40</v>
      </c>
      <c r="B5" s="131"/>
      <c r="C5" s="131"/>
      <c r="D5" s="131"/>
      <c r="E5" s="131"/>
      <c r="F5" s="131"/>
      <c r="G5" s="131"/>
    </row>
    <row r="6" spans="1:7" s="1" customFormat="1" ht="17.25" x14ac:dyDescent="0.3">
      <c r="A6" s="13"/>
      <c r="B6" s="57"/>
      <c r="D6" s="3"/>
      <c r="E6" s="2"/>
      <c r="F6" s="3"/>
      <c r="G6" s="3"/>
    </row>
    <row r="7" spans="1:7" s="1" customFormat="1" ht="20.45" customHeight="1" x14ac:dyDescent="0.25">
      <c r="A7" s="133" t="s">
        <v>41</v>
      </c>
      <c r="B7" s="133" t="s">
        <v>42</v>
      </c>
      <c r="C7" s="133" t="s">
        <v>43</v>
      </c>
      <c r="D7" s="133" t="s">
        <v>45</v>
      </c>
      <c r="E7" s="133" t="s">
        <v>46</v>
      </c>
      <c r="F7" s="133" t="s">
        <v>47</v>
      </c>
      <c r="G7" s="133" t="s">
        <v>145</v>
      </c>
    </row>
    <row r="8" spans="1:7" s="1" customFormat="1" ht="20.45" customHeight="1" x14ac:dyDescent="0.25">
      <c r="A8" s="133"/>
      <c r="B8" s="133"/>
      <c r="C8" s="133"/>
      <c r="D8" s="133"/>
      <c r="E8" s="133"/>
      <c r="F8" s="133"/>
      <c r="G8" s="133"/>
    </row>
    <row r="9" spans="1:7" s="1" customFormat="1" ht="20.45" customHeight="1" x14ac:dyDescent="0.25">
      <c r="A9" s="133"/>
      <c r="B9" s="133"/>
      <c r="C9" s="133"/>
      <c r="D9" s="133"/>
      <c r="E9" s="133"/>
      <c r="F9" s="133" t="s">
        <v>48</v>
      </c>
      <c r="G9" s="133" t="s">
        <v>48</v>
      </c>
    </row>
    <row r="10" spans="1:7" s="1" customFormat="1" ht="20.45" customHeight="1" x14ac:dyDescent="0.25">
      <c r="A10" s="133"/>
      <c r="B10" s="133"/>
      <c r="C10" s="133"/>
      <c r="D10" s="133"/>
      <c r="E10" s="133"/>
      <c r="F10" s="133"/>
      <c r="G10" s="133"/>
    </row>
    <row r="11" spans="1:7" s="18" customFormat="1" ht="36.6" customHeight="1" x14ac:dyDescent="0.25">
      <c r="A11" s="28">
        <v>1</v>
      </c>
      <c r="B11" s="28" t="s">
        <v>204</v>
      </c>
      <c r="C11" s="21">
        <f>SUM(C12:C13,C16:C20,C23:C25,C28:C29,C30:C32)</f>
        <v>27615.135529015552</v>
      </c>
      <c r="D11" s="21">
        <f>SUM(D12:D13,D16:D20,D23:D25,D28:D29,D30:D32)</f>
        <v>8613.5832652849822</v>
      </c>
      <c r="E11" s="21">
        <f>SUM(E12:E13,E16:E20,E23:E25,E28:E29,E30:E32)</f>
        <v>36228.718794300526</v>
      </c>
      <c r="F11" s="49">
        <f t="shared" ref="F11:F42" si="0">E11/$E$77</f>
        <v>0.38624689509921456</v>
      </c>
      <c r="G11" s="49">
        <f t="shared" ref="G11:G42" si="1">E11/$E$84</f>
        <v>0.362287203480058</v>
      </c>
    </row>
    <row r="12" spans="1:7" s="5" customFormat="1" ht="43.5" customHeight="1" x14ac:dyDescent="0.25">
      <c r="A12" s="31" t="s">
        <v>50</v>
      </c>
      <c r="B12" s="31" t="s">
        <v>51</v>
      </c>
      <c r="C12" s="110">
        <v>0</v>
      </c>
      <c r="D12" s="110">
        <v>548.09345077720195</v>
      </c>
      <c r="E12" s="110">
        <f t="shared" ref="E12:E28" si="2">C12+D12</f>
        <v>548.09345077720195</v>
      </c>
      <c r="F12" s="111">
        <f t="shared" si="0"/>
        <v>5.8434137510877922E-3</v>
      </c>
      <c r="G12" s="111">
        <f t="shared" si="1"/>
        <v>5.4809347428274435E-3</v>
      </c>
    </row>
    <row r="13" spans="1:7" s="5" customFormat="1" ht="49.5" customHeight="1" x14ac:dyDescent="0.25">
      <c r="A13" s="32" t="s">
        <v>52</v>
      </c>
      <c r="B13" s="34" t="s">
        <v>210</v>
      </c>
      <c r="C13" s="110">
        <f>C14+C15</f>
        <v>0</v>
      </c>
      <c r="D13" s="110">
        <f>D14+D15</f>
        <v>3455.4898145077718</v>
      </c>
      <c r="E13" s="110">
        <f t="shared" si="2"/>
        <v>3455.4898145077718</v>
      </c>
      <c r="F13" s="111">
        <f t="shared" si="0"/>
        <v>3.6840171452890501E-2</v>
      </c>
      <c r="G13" s="111">
        <f t="shared" si="1"/>
        <v>3.4554899626999501E-2</v>
      </c>
    </row>
    <row r="14" spans="1:7" s="5" customFormat="1" ht="21" customHeight="1" x14ac:dyDescent="0.25">
      <c r="A14" s="30" t="s">
        <v>149</v>
      </c>
      <c r="B14" s="129" t="s">
        <v>208</v>
      </c>
      <c r="C14" s="29">
        <v>0</v>
      </c>
      <c r="D14" s="29">
        <v>355.489814507772</v>
      </c>
      <c r="E14" s="29">
        <f t="shared" si="2"/>
        <v>355.489814507772</v>
      </c>
      <c r="F14" s="62">
        <f t="shared" si="0"/>
        <v>3.7899998029912022E-3</v>
      </c>
      <c r="G14" s="62">
        <f t="shared" si="1"/>
        <v>3.5548982975331252E-3</v>
      </c>
    </row>
    <row r="15" spans="1:7" s="5" customFormat="1" ht="21.75" customHeight="1" x14ac:dyDescent="0.25">
      <c r="A15" s="30" t="s">
        <v>150</v>
      </c>
      <c r="B15" s="129" t="s">
        <v>209</v>
      </c>
      <c r="C15" s="29">
        <v>0</v>
      </c>
      <c r="D15" s="29">
        <v>3100</v>
      </c>
      <c r="E15" s="29">
        <f t="shared" si="2"/>
        <v>3100</v>
      </c>
      <c r="F15" s="62">
        <f t="shared" si="0"/>
        <v>3.3050171649899297E-2</v>
      </c>
      <c r="G15" s="62">
        <f t="shared" si="1"/>
        <v>3.1000001329466377E-2</v>
      </c>
    </row>
    <row r="16" spans="1:7" s="5" customFormat="1" ht="35.25" customHeight="1" x14ac:dyDescent="0.25">
      <c r="A16" s="32" t="s">
        <v>53</v>
      </c>
      <c r="B16" s="33" t="s">
        <v>211</v>
      </c>
      <c r="C16" s="110">
        <v>2590.6776823834198</v>
      </c>
      <c r="D16" s="110">
        <v>0</v>
      </c>
      <c r="E16" s="110">
        <f t="shared" si="2"/>
        <v>2590.6776823834198</v>
      </c>
      <c r="F16" s="111">
        <f t="shared" si="0"/>
        <v>2.7620110352366233E-2</v>
      </c>
      <c r="G16" s="111">
        <f t="shared" si="1"/>
        <v>2.5906777934872543E-2</v>
      </c>
    </row>
    <row r="17" spans="1:7" s="5" customFormat="1" ht="68.25" customHeight="1" x14ac:dyDescent="0.25">
      <c r="A17" s="32" t="s">
        <v>54</v>
      </c>
      <c r="B17" s="33" t="s">
        <v>212</v>
      </c>
      <c r="C17" s="110">
        <v>1000</v>
      </c>
      <c r="D17" s="110">
        <v>0</v>
      </c>
      <c r="E17" s="110">
        <f t="shared" si="2"/>
        <v>1000</v>
      </c>
      <c r="F17" s="111">
        <f t="shared" si="0"/>
        <v>1.0661345693515904E-2</v>
      </c>
      <c r="G17" s="111">
        <f t="shared" si="1"/>
        <v>1.0000000428860121E-2</v>
      </c>
    </row>
    <row r="18" spans="1:7" s="5" customFormat="1" ht="39" customHeight="1" x14ac:dyDescent="0.25">
      <c r="A18" s="32" t="s">
        <v>55</v>
      </c>
      <c r="B18" s="33" t="s">
        <v>188</v>
      </c>
      <c r="C18" s="110">
        <v>500</v>
      </c>
      <c r="D18" s="110">
        <v>0</v>
      </c>
      <c r="E18" s="44">
        <f t="shared" si="2"/>
        <v>500</v>
      </c>
      <c r="F18" s="111">
        <f t="shared" si="0"/>
        <v>5.3306728467579518E-3</v>
      </c>
      <c r="G18" s="111">
        <f t="shared" si="1"/>
        <v>5.0000002144300606E-3</v>
      </c>
    </row>
    <row r="19" spans="1:7" s="5" customFormat="1" ht="36" customHeight="1" x14ac:dyDescent="0.25">
      <c r="A19" s="32" t="s">
        <v>56</v>
      </c>
      <c r="B19" s="33" t="s">
        <v>213</v>
      </c>
      <c r="C19" s="110">
        <f>569.38901/1.93</f>
        <v>295.02021243523313</v>
      </c>
      <c r="D19" s="110">
        <v>0</v>
      </c>
      <c r="E19" s="110">
        <f t="shared" si="2"/>
        <v>295.02021243523313</v>
      </c>
      <c r="F19" s="111">
        <f t="shared" si="0"/>
        <v>3.1453124713465195E-3</v>
      </c>
      <c r="G19" s="111">
        <f t="shared" si="1"/>
        <v>2.9502022508747358E-3</v>
      </c>
    </row>
    <row r="20" spans="1:7" s="5" customFormat="1" ht="52.5" customHeight="1" x14ac:dyDescent="0.25">
      <c r="A20" s="32" t="s">
        <v>57</v>
      </c>
      <c r="B20" s="33" t="s">
        <v>152</v>
      </c>
      <c r="C20" s="110">
        <v>155</v>
      </c>
      <c r="D20" s="110">
        <v>1200</v>
      </c>
      <c r="E20" s="44">
        <f t="shared" si="2"/>
        <v>1355</v>
      </c>
      <c r="F20" s="111">
        <f t="shared" si="0"/>
        <v>1.4446123414714048E-2</v>
      </c>
      <c r="G20" s="111">
        <f t="shared" si="1"/>
        <v>1.3550000581105465E-2</v>
      </c>
    </row>
    <row r="21" spans="1:7" s="5" customFormat="1" ht="27" customHeight="1" x14ac:dyDescent="0.25">
      <c r="A21" s="30" t="s">
        <v>102</v>
      </c>
      <c r="B21" s="129" t="s">
        <v>153</v>
      </c>
      <c r="C21" s="29">
        <v>155</v>
      </c>
      <c r="D21" s="29">
        <v>0</v>
      </c>
      <c r="E21" s="29">
        <f t="shared" si="2"/>
        <v>155</v>
      </c>
      <c r="F21" s="62">
        <f t="shared" si="0"/>
        <v>1.652508582494965E-3</v>
      </c>
      <c r="G21" s="62">
        <f t="shared" si="1"/>
        <v>1.550000066473319E-3</v>
      </c>
    </row>
    <row r="22" spans="1:7" s="5" customFormat="1" ht="33.75" customHeight="1" x14ac:dyDescent="0.25">
      <c r="A22" s="30" t="s">
        <v>103</v>
      </c>
      <c r="B22" s="129" t="s">
        <v>154</v>
      </c>
      <c r="C22" s="29">
        <v>0</v>
      </c>
      <c r="D22" s="29">
        <v>1200</v>
      </c>
      <c r="E22" s="29">
        <f t="shared" si="2"/>
        <v>1200</v>
      </c>
      <c r="F22" s="62">
        <f t="shared" si="0"/>
        <v>1.2793614832219084E-2</v>
      </c>
      <c r="G22" s="62">
        <f t="shared" si="1"/>
        <v>1.2000000514632146E-2</v>
      </c>
    </row>
    <row r="23" spans="1:7" s="5" customFormat="1" ht="36.75" customHeight="1" x14ac:dyDescent="0.25">
      <c r="A23" s="32" t="s">
        <v>58</v>
      </c>
      <c r="B23" s="34" t="s">
        <v>141</v>
      </c>
      <c r="C23" s="110">
        <v>0</v>
      </c>
      <c r="D23" s="110">
        <v>160</v>
      </c>
      <c r="E23" s="110">
        <f t="shared" si="2"/>
        <v>160</v>
      </c>
      <c r="F23" s="111">
        <f t="shared" si="0"/>
        <v>1.7058153109625444E-3</v>
      </c>
      <c r="G23" s="111">
        <f t="shared" si="1"/>
        <v>1.6000000686176195E-3</v>
      </c>
    </row>
    <row r="24" spans="1:7" s="6" customFormat="1" ht="27.75" customHeight="1" x14ac:dyDescent="0.25">
      <c r="A24" s="32" t="s">
        <v>59</v>
      </c>
      <c r="B24" s="34" t="s">
        <v>214</v>
      </c>
      <c r="C24" s="110">
        <v>705</v>
      </c>
      <c r="D24" s="110">
        <v>0</v>
      </c>
      <c r="E24" s="110">
        <f t="shared" si="2"/>
        <v>705</v>
      </c>
      <c r="F24" s="111">
        <f t="shared" si="0"/>
        <v>7.5162487139287118E-3</v>
      </c>
      <c r="G24" s="111">
        <f t="shared" si="1"/>
        <v>7.0500003023463856E-3</v>
      </c>
    </row>
    <row r="25" spans="1:7" s="5" customFormat="1" ht="42" customHeight="1" x14ac:dyDescent="0.25">
      <c r="A25" s="32" t="s">
        <v>60</v>
      </c>
      <c r="B25" s="34" t="s">
        <v>197</v>
      </c>
      <c r="C25" s="110">
        <f>C26+C27</f>
        <v>6200</v>
      </c>
      <c r="D25" s="110">
        <f>D26+D27</f>
        <v>0</v>
      </c>
      <c r="E25" s="110">
        <f t="shared" si="2"/>
        <v>6200</v>
      </c>
      <c r="F25" s="111">
        <f t="shared" si="0"/>
        <v>6.6100343299798595E-2</v>
      </c>
      <c r="G25" s="111">
        <f t="shared" si="1"/>
        <v>6.2000002658932754E-2</v>
      </c>
    </row>
    <row r="26" spans="1:7" s="5" customFormat="1" ht="27" customHeight="1" x14ac:dyDescent="0.25">
      <c r="A26" s="60" t="s">
        <v>155</v>
      </c>
      <c r="B26" s="129" t="s">
        <v>215</v>
      </c>
      <c r="C26" s="29">
        <v>200</v>
      </c>
      <c r="D26" s="29">
        <v>0</v>
      </c>
      <c r="E26" s="29">
        <f t="shared" si="2"/>
        <v>200</v>
      </c>
      <c r="F26" s="62">
        <f t="shared" si="0"/>
        <v>2.1322691387031805E-3</v>
      </c>
      <c r="G26" s="62">
        <f t="shared" si="1"/>
        <v>2.0000000857720245E-3</v>
      </c>
    </row>
    <row r="27" spans="1:7" s="5" customFormat="1" ht="32.25" customHeight="1" x14ac:dyDescent="0.25">
      <c r="A27" s="60" t="s">
        <v>156</v>
      </c>
      <c r="B27" s="129" t="s">
        <v>193</v>
      </c>
      <c r="C27" s="29">
        <v>6000</v>
      </c>
      <c r="D27" s="29">
        <v>0</v>
      </c>
      <c r="E27" s="29">
        <f t="shared" si="2"/>
        <v>6000</v>
      </c>
      <c r="F27" s="62">
        <f t="shared" si="0"/>
        <v>6.3968074161095415E-2</v>
      </c>
      <c r="G27" s="62">
        <f t="shared" si="1"/>
        <v>6.0000002573160731E-2</v>
      </c>
    </row>
    <row r="28" spans="1:7" s="5" customFormat="1" ht="41.25" customHeight="1" x14ac:dyDescent="0.25">
      <c r="A28" s="32" t="s">
        <v>61</v>
      </c>
      <c r="B28" s="34" t="s">
        <v>216</v>
      </c>
      <c r="C28" s="110">
        <v>173.21111347150259</v>
      </c>
      <c r="D28" s="110">
        <v>0</v>
      </c>
      <c r="E28" s="110">
        <f t="shared" si="2"/>
        <v>173.21111347150259</v>
      </c>
      <c r="F28" s="111">
        <f t="shared" si="0"/>
        <v>1.8466635586784986E-3</v>
      </c>
      <c r="G28" s="111">
        <f t="shared" si="1"/>
        <v>1.732111208998365E-3</v>
      </c>
    </row>
    <row r="29" spans="1:7" s="5" customFormat="1" ht="42" customHeight="1" x14ac:dyDescent="0.25">
      <c r="A29" s="32" t="s">
        <v>62</v>
      </c>
      <c r="B29" s="34" t="s">
        <v>217</v>
      </c>
      <c r="C29" s="44">
        <v>5923.9889507772023</v>
      </c>
      <c r="D29" s="110">
        <v>0</v>
      </c>
      <c r="E29" s="44">
        <v>5923.9889507772023</v>
      </c>
      <c r="F29" s="111">
        <f t="shared" si="0"/>
        <v>6.3157694088804311E-2</v>
      </c>
      <c r="G29" s="111">
        <f t="shared" si="1"/>
        <v>5.9239892048334644E-2</v>
      </c>
    </row>
    <row r="30" spans="1:7" s="5" customFormat="1" ht="50.25" customHeight="1" x14ac:dyDescent="0.25">
      <c r="A30" s="32" t="s">
        <v>123</v>
      </c>
      <c r="B30" s="34" t="s">
        <v>218</v>
      </c>
      <c r="C30" s="110">
        <v>600</v>
      </c>
      <c r="D30" s="110">
        <v>0</v>
      </c>
      <c r="E30" s="110">
        <f>C30+D30</f>
        <v>600</v>
      </c>
      <c r="F30" s="111">
        <f t="shared" si="0"/>
        <v>6.3968074161095418E-3</v>
      </c>
      <c r="G30" s="111">
        <f t="shared" si="1"/>
        <v>6.0000002573160731E-3</v>
      </c>
    </row>
    <row r="31" spans="1:7" s="5" customFormat="1" ht="33.75" customHeight="1" x14ac:dyDescent="0.25">
      <c r="A31" s="32" t="s">
        <v>143</v>
      </c>
      <c r="B31" s="34" t="s">
        <v>219</v>
      </c>
      <c r="C31" s="110">
        <v>8000</v>
      </c>
      <c r="D31" s="110">
        <v>0</v>
      </c>
      <c r="E31" s="110">
        <f>C31+D31</f>
        <v>8000</v>
      </c>
      <c r="F31" s="111">
        <f t="shared" si="0"/>
        <v>8.5290765548127229E-2</v>
      </c>
      <c r="G31" s="111">
        <f t="shared" si="1"/>
        <v>8.000000343088097E-2</v>
      </c>
    </row>
    <row r="32" spans="1:7" s="5" customFormat="1" ht="66" customHeight="1" x14ac:dyDescent="0.25">
      <c r="A32" s="53" t="s">
        <v>157</v>
      </c>
      <c r="B32" s="34" t="s">
        <v>202</v>
      </c>
      <c r="C32" s="110">
        <v>1472.2375699481927</v>
      </c>
      <c r="D32" s="110">
        <v>3250.0000000000073</v>
      </c>
      <c r="E32" s="44">
        <f>C32+D32</f>
        <v>4722.2375699482</v>
      </c>
      <c r="F32" s="111">
        <f t="shared" si="0"/>
        <v>5.0345407180126242E-2</v>
      </c>
      <c r="G32" s="111">
        <f t="shared" si="1"/>
        <v>4.7222377724661382E-2</v>
      </c>
    </row>
    <row r="33" spans="1:10" s="18" customFormat="1" ht="36" customHeight="1" x14ac:dyDescent="0.25">
      <c r="A33" s="19">
        <v>2</v>
      </c>
      <c r="B33" s="19" t="s">
        <v>205</v>
      </c>
      <c r="C33" s="20">
        <f>SUM(C34:C36)</f>
        <v>6217.620931088084</v>
      </c>
      <c r="D33" s="20">
        <f>SUM(D34:D36)</f>
        <v>0</v>
      </c>
      <c r="E33" s="20">
        <f>SUM(E34:E36)</f>
        <v>6217.620931088084</v>
      </c>
      <c r="F33" s="49">
        <f t="shared" si="0"/>
        <v>6.6288206137570277E-2</v>
      </c>
      <c r="G33" s="49">
        <f t="shared" si="1"/>
        <v>6.2176211977370513E-2</v>
      </c>
    </row>
    <row r="34" spans="1:10" s="5" customFormat="1" ht="24" customHeight="1" x14ac:dyDescent="0.25">
      <c r="A34" s="31">
        <v>2.1</v>
      </c>
      <c r="B34" s="38" t="s">
        <v>194</v>
      </c>
      <c r="C34" s="110">
        <v>518.13737202072537</v>
      </c>
      <c r="D34" s="110">
        <v>0</v>
      </c>
      <c r="E34" s="110">
        <f>C34+D34</f>
        <v>518.13737202072537</v>
      </c>
      <c r="F34" s="111">
        <f t="shared" si="0"/>
        <v>5.5240416398428076E-3</v>
      </c>
      <c r="G34" s="111">
        <f t="shared" si="1"/>
        <v>5.1813739424157101E-3</v>
      </c>
    </row>
    <row r="35" spans="1:10" s="109" customFormat="1" ht="21" customHeight="1" x14ac:dyDescent="0.25">
      <c r="A35" s="31">
        <v>2.2000000000000002</v>
      </c>
      <c r="B35" s="38" t="s">
        <v>104</v>
      </c>
      <c r="C35" s="110">
        <v>5181.3461870466326</v>
      </c>
      <c r="D35" s="110">
        <v>0</v>
      </c>
      <c r="E35" s="110">
        <f>C35+D35</f>
        <v>5181.3461870466326</v>
      </c>
      <c r="F35" s="111">
        <f t="shared" si="0"/>
        <v>5.5240122857884662E-2</v>
      </c>
      <c r="G35" s="111">
        <f t="shared" si="1"/>
        <v>5.1813464092539084E-2</v>
      </c>
    </row>
    <row r="36" spans="1:10" s="5" customFormat="1" ht="21.75" customHeight="1" x14ac:dyDescent="0.25">
      <c r="A36" s="31">
        <v>2.2999999999999998</v>
      </c>
      <c r="B36" s="38" t="s">
        <v>105</v>
      </c>
      <c r="C36" s="110">
        <v>518.13737202072537</v>
      </c>
      <c r="D36" s="110">
        <v>0</v>
      </c>
      <c r="E36" s="110">
        <f>C36+D36</f>
        <v>518.13737202072537</v>
      </c>
      <c r="F36" s="111">
        <f t="shared" si="0"/>
        <v>5.5240416398428076E-3</v>
      </c>
      <c r="G36" s="111">
        <f t="shared" si="1"/>
        <v>5.1813739424157101E-3</v>
      </c>
      <c r="J36" s="108"/>
    </row>
    <row r="37" spans="1:10" s="18" customFormat="1" ht="37.9" customHeight="1" x14ac:dyDescent="0.25">
      <c r="A37" s="22">
        <v>3</v>
      </c>
      <c r="B37" s="22" t="s">
        <v>66</v>
      </c>
      <c r="C37" s="23">
        <f>SUM(C38:C45,C48)</f>
        <v>5562.8519528497409</v>
      </c>
      <c r="D37" s="23">
        <f t="shared" ref="D37" si="3">SUM(D38:D45,D48)</f>
        <v>950</v>
      </c>
      <c r="E37" s="23">
        <f>SUM(E38:E45,E48)</f>
        <v>6512.8519528497409</v>
      </c>
      <c r="F37" s="49">
        <f t="shared" si="0"/>
        <v>6.9435766120021225E-2</v>
      </c>
      <c r="G37" s="49">
        <f t="shared" si="1"/>
        <v>6.5128522321599894E-2</v>
      </c>
    </row>
    <row r="38" spans="1:10" s="5" customFormat="1" ht="66" customHeight="1" x14ac:dyDescent="0.25">
      <c r="A38" s="31" t="s">
        <v>67</v>
      </c>
      <c r="B38" s="38" t="s">
        <v>195</v>
      </c>
      <c r="C38" s="110">
        <v>1347.1516606217617</v>
      </c>
      <c r="D38" s="110">
        <v>0</v>
      </c>
      <c r="E38" s="110">
        <f t="shared" ref="E38:E44" si="4">C38+D38</f>
        <v>1347.1516606217617</v>
      </c>
      <c r="F38" s="111">
        <f t="shared" si="0"/>
        <v>1.4362449555482616E-2</v>
      </c>
      <c r="G38" s="111">
        <f t="shared" si="1"/>
        <v>1.3471517183957242E-2</v>
      </c>
    </row>
    <row r="39" spans="1:10" s="5" customFormat="1" ht="36" customHeight="1" x14ac:dyDescent="0.25">
      <c r="A39" s="31" t="s">
        <v>68</v>
      </c>
      <c r="B39" s="38" t="s">
        <v>139</v>
      </c>
      <c r="C39" s="110">
        <v>259.06868601036268</v>
      </c>
      <c r="D39" s="110">
        <v>0</v>
      </c>
      <c r="E39" s="110">
        <f t="shared" si="4"/>
        <v>259.06868601036268</v>
      </c>
      <c r="F39" s="111">
        <f t="shared" si="0"/>
        <v>2.7620208199214038E-3</v>
      </c>
      <c r="G39" s="111">
        <f t="shared" si="1"/>
        <v>2.5906869712078551E-3</v>
      </c>
    </row>
    <row r="40" spans="1:10" s="5" customFormat="1" ht="30.75" customHeight="1" x14ac:dyDescent="0.25">
      <c r="A40" s="31" t="s">
        <v>106</v>
      </c>
      <c r="B40" s="38" t="s">
        <v>140</v>
      </c>
      <c r="C40" s="110">
        <v>310.87691658031093</v>
      </c>
      <c r="D40" s="110">
        <v>0</v>
      </c>
      <c r="E40" s="110">
        <f t="shared" si="4"/>
        <v>310.87691658031093</v>
      </c>
      <c r="F40" s="111">
        <f t="shared" si="0"/>
        <v>3.3143662757970007E-3</v>
      </c>
      <c r="G40" s="111">
        <f t="shared" si="1"/>
        <v>3.1087692991258217E-3</v>
      </c>
    </row>
    <row r="41" spans="1:10" s="5" customFormat="1" ht="46.5" customHeight="1" x14ac:dyDescent="0.25">
      <c r="A41" s="31" t="s">
        <v>107</v>
      </c>
      <c r="B41" s="38" t="s">
        <v>158</v>
      </c>
      <c r="C41" s="110">
        <v>533.67525233160632</v>
      </c>
      <c r="D41" s="110">
        <v>0</v>
      </c>
      <c r="E41" s="110">
        <f t="shared" si="4"/>
        <v>533.67525233160632</v>
      </c>
      <c r="F41" s="111">
        <f t="shared" si="0"/>
        <v>5.689696353181584E-3</v>
      </c>
      <c r="G41" s="111">
        <f t="shared" si="1"/>
        <v>5.3367527521880967E-3</v>
      </c>
    </row>
    <row r="42" spans="1:10" s="5" customFormat="1" ht="44.25" customHeight="1" x14ac:dyDescent="0.25">
      <c r="A42" s="31" t="s">
        <v>108</v>
      </c>
      <c r="B42" s="38" t="s">
        <v>196</v>
      </c>
      <c r="C42" s="110">
        <v>120</v>
      </c>
      <c r="D42" s="110">
        <v>0</v>
      </c>
      <c r="E42" s="110">
        <f t="shared" si="4"/>
        <v>120</v>
      </c>
      <c r="F42" s="111">
        <f t="shared" si="0"/>
        <v>1.2793614832219084E-3</v>
      </c>
      <c r="G42" s="111">
        <f t="shared" si="1"/>
        <v>1.2000000514632147E-3</v>
      </c>
    </row>
    <row r="43" spans="1:10" s="5" customFormat="1" ht="33" customHeight="1" x14ac:dyDescent="0.25">
      <c r="A43" s="31" t="s">
        <v>109</v>
      </c>
      <c r="B43" s="38" t="s">
        <v>111</v>
      </c>
      <c r="C43" s="110">
        <v>518.13737202072537</v>
      </c>
      <c r="D43" s="110">
        <v>0</v>
      </c>
      <c r="E43" s="110">
        <f t="shared" si="4"/>
        <v>518.13737202072537</v>
      </c>
      <c r="F43" s="111">
        <f t="shared" ref="F43:F74" si="5">E43/$E$77</f>
        <v>5.5240416398428076E-3</v>
      </c>
      <c r="G43" s="111">
        <f t="shared" ref="G43:G78" si="6">E43/$E$84</f>
        <v>5.1813739424157101E-3</v>
      </c>
    </row>
    <row r="44" spans="1:10" s="5" customFormat="1" ht="34.5" customHeight="1" x14ac:dyDescent="0.25">
      <c r="A44" s="31" t="s">
        <v>110</v>
      </c>
      <c r="B44" s="38" t="s">
        <v>112</v>
      </c>
      <c r="C44" s="110">
        <v>1510</v>
      </c>
      <c r="D44" s="110">
        <v>0</v>
      </c>
      <c r="E44" s="110">
        <f t="shared" si="4"/>
        <v>1510</v>
      </c>
      <c r="F44" s="111">
        <f t="shared" si="5"/>
        <v>1.6098631997209012E-2</v>
      </c>
      <c r="G44" s="111">
        <f t="shared" si="6"/>
        <v>1.5100000647578785E-2</v>
      </c>
    </row>
    <row r="45" spans="1:10" s="5" customFormat="1" ht="33" customHeight="1" x14ac:dyDescent="0.25">
      <c r="A45" s="31" t="s">
        <v>124</v>
      </c>
      <c r="B45" s="38" t="s">
        <v>126</v>
      </c>
      <c r="C45" s="110">
        <f>C47+C46</f>
        <v>280</v>
      </c>
      <c r="D45" s="110">
        <f>D47+D46</f>
        <v>950</v>
      </c>
      <c r="E45" s="110">
        <f>E47+E46</f>
        <v>1230</v>
      </c>
      <c r="F45" s="111">
        <f t="shared" si="5"/>
        <v>1.311345520302456E-2</v>
      </c>
      <c r="G45" s="111">
        <f t="shared" si="6"/>
        <v>1.230000052749795E-2</v>
      </c>
    </row>
    <row r="46" spans="1:10" s="5" customFormat="1" ht="31.5" customHeight="1" x14ac:dyDescent="0.25">
      <c r="A46" s="60" t="s">
        <v>159</v>
      </c>
      <c r="B46" s="127" t="s">
        <v>127</v>
      </c>
      <c r="C46" s="29">
        <v>0</v>
      </c>
      <c r="D46" s="29">
        <v>850</v>
      </c>
      <c r="E46" s="29">
        <f>C46+D46</f>
        <v>850</v>
      </c>
      <c r="F46" s="62">
        <f t="shared" si="5"/>
        <v>9.0621438394885168E-3</v>
      </c>
      <c r="G46" s="62">
        <f t="shared" si="6"/>
        <v>8.5000003645311038E-3</v>
      </c>
    </row>
    <row r="47" spans="1:10" s="5" customFormat="1" ht="37.5" customHeight="1" x14ac:dyDescent="0.25">
      <c r="A47" s="60" t="s">
        <v>160</v>
      </c>
      <c r="B47" s="127" t="s">
        <v>128</v>
      </c>
      <c r="C47" s="29">
        <v>280</v>
      </c>
      <c r="D47" s="29">
        <v>100</v>
      </c>
      <c r="E47" s="29">
        <f>C47+D47</f>
        <v>380</v>
      </c>
      <c r="F47" s="62">
        <f t="shared" si="5"/>
        <v>4.0513113635360434E-3</v>
      </c>
      <c r="G47" s="62">
        <f t="shared" si="6"/>
        <v>3.8000001629668462E-3</v>
      </c>
    </row>
    <row r="48" spans="1:10" s="5" customFormat="1" ht="27" customHeight="1" x14ac:dyDescent="0.25">
      <c r="A48" s="32" t="s">
        <v>125</v>
      </c>
      <c r="B48" s="38" t="s">
        <v>147</v>
      </c>
      <c r="C48" s="110">
        <v>683.94206528497421</v>
      </c>
      <c r="D48" s="110">
        <v>0</v>
      </c>
      <c r="E48" s="110">
        <f>C48+D48</f>
        <v>683.94206528497421</v>
      </c>
      <c r="F48" s="111">
        <f t="shared" si="5"/>
        <v>7.2917427923403326E-3</v>
      </c>
      <c r="G48" s="111">
        <f t="shared" si="6"/>
        <v>6.8394209461652197E-3</v>
      </c>
    </row>
    <row r="49" spans="1:7" s="18" customFormat="1" ht="39.6" customHeight="1" x14ac:dyDescent="0.25">
      <c r="A49" s="24">
        <v>4</v>
      </c>
      <c r="B49" s="24" t="s">
        <v>206</v>
      </c>
      <c r="C49" s="25">
        <f>SUM(C50:C52,C55:C55)</f>
        <v>0</v>
      </c>
      <c r="D49" s="25">
        <f>SUM(D50:D52,D55:D55)</f>
        <v>30436.416734715021</v>
      </c>
      <c r="E49" s="25">
        <f>SUM(E50:E52,E55:E55)</f>
        <v>30436.416734715021</v>
      </c>
      <c r="F49" s="49">
        <f t="shared" si="5"/>
        <v>0.32449316048070936</v>
      </c>
      <c r="G49" s="49">
        <f t="shared" si="6"/>
        <v>0.30436418040011559</v>
      </c>
    </row>
    <row r="50" spans="1:7" s="5" customFormat="1" ht="42.75" customHeight="1" x14ac:dyDescent="0.25">
      <c r="A50" s="52" t="s">
        <v>70</v>
      </c>
      <c r="B50" s="38" t="s">
        <v>73</v>
      </c>
      <c r="C50" s="110">
        <v>0</v>
      </c>
      <c r="D50" s="110">
        <v>9519.0396217616581</v>
      </c>
      <c r="E50" s="44">
        <f t="shared" ref="E50:E55" si="7">C50+D50</f>
        <v>9519.0396217616581</v>
      </c>
      <c r="F50" s="111">
        <f t="shared" si="5"/>
        <v>0.1014857720778759</v>
      </c>
      <c r="G50" s="111">
        <f t="shared" si="6"/>
        <v>9.5190400299953071E-2</v>
      </c>
    </row>
    <row r="51" spans="1:7" s="5" customFormat="1" ht="54" customHeight="1" x14ac:dyDescent="0.25">
      <c r="A51" s="52" t="s">
        <v>71</v>
      </c>
      <c r="B51" s="38" t="s">
        <v>148</v>
      </c>
      <c r="C51" s="110">
        <v>0</v>
      </c>
      <c r="D51" s="110">
        <v>3626.9430051813474</v>
      </c>
      <c r="E51" s="44">
        <f t="shared" si="7"/>
        <v>3626.9430051813474</v>
      </c>
      <c r="F51" s="111">
        <f t="shared" si="5"/>
        <v>3.8668093188917785E-2</v>
      </c>
      <c r="G51" s="111">
        <f t="shared" si="6"/>
        <v>3.6269431607264695E-2</v>
      </c>
    </row>
    <row r="52" spans="1:7" s="5" customFormat="1" ht="35.25" customHeight="1" x14ac:dyDescent="0.25">
      <c r="A52" s="52" t="s">
        <v>72</v>
      </c>
      <c r="B52" s="38" t="s">
        <v>129</v>
      </c>
      <c r="C52" s="110">
        <f>C53+C54</f>
        <v>0</v>
      </c>
      <c r="D52" s="110">
        <f>D53+D54</f>
        <v>4744.3005181347153</v>
      </c>
      <c r="E52" s="44">
        <f t="shared" si="7"/>
        <v>4744.3005181347153</v>
      </c>
      <c r="F52" s="111">
        <f t="shared" si="5"/>
        <v>5.0580627897760813E-2</v>
      </c>
      <c r="G52" s="111">
        <f t="shared" si="6"/>
        <v>4.7443007215988452E-2</v>
      </c>
    </row>
    <row r="53" spans="1:7" s="5" customFormat="1" ht="30.75" customHeight="1" x14ac:dyDescent="0.25">
      <c r="A53" s="128" t="s">
        <v>118</v>
      </c>
      <c r="B53" s="127" t="s">
        <v>130</v>
      </c>
      <c r="C53" s="29">
        <v>0</v>
      </c>
      <c r="D53" s="29">
        <v>155.44041450777203</v>
      </c>
      <c r="E53" s="4">
        <f t="shared" si="7"/>
        <v>155.44041450777203</v>
      </c>
      <c r="F53" s="62">
        <f t="shared" si="5"/>
        <v>1.6572039938107623E-3</v>
      </c>
      <c r="G53" s="62">
        <f t="shared" si="6"/>
        <v>1.5544042117399154E-3</v>
      </c>
    </row>
    <row r="54" spans="1:7" s="5" customFormat="1" ht="28.5" customHeight="1" x14ac:dyDescent="0.25">
      <c r="A54" s="128" t="s">
        <v>119</v>
      </c>
      <c r="B54" s="127" t="s">
        <v>131</v>
      </c>
      <c r="C54" s="29">
        <v>0</v>
      </c>
      <c r="D54" s="29">
        <v>4588.8601036269429</v>
      </c>
      <c r="E54" s="4">
        <f t="shared" si="7"/>
        <v>4588.8601036269429</v>
      </c>
      <c r="F54" s="62">
        <f t="shared" si="5"/>
        <v>4.8923423903950047E-2</v>
      </c>
      <c r="G54" s="62">
        <f t="shared" si="6"/>
        <v>4.5888603004248532E-2</v>
      </c>
    </row>
    <row r="55" spans="1:7" s="5" customFormat="1" ht="65.25" customHeight="1" x14ac:dyDescent="0.25">
      <c r="A55" s="52" t="s">
        <v>74</v>
      </c>
      <c r="B55" s="38" t="s">
        <v>224</v>
      </c>
      <c r="C55" s="110">
        <v>0</v>
      </c>
      <c r="D55" s="110">
        <v>12546.1335896373</v>
      </c>
      <c r="E55" s="44">
        <f t="shared" si="7"/>
        <v>12546.1335896373</v>
      </c>
      <c r="F55" s="111">
        <f t="shared" si="5"/>
        <v>0.13375866731615485</v>
      </c>
      <c r="G55" s="111">
        <f t="shared" si="6"/>
        <v>0.12546134127690939</v>
      </c>
    </row>
    <row r="56" spans="1:7" s="18" customFormat="1" ht="34.9" customHeight="1" x14ac:dyDescent="0.25">
      <c r="A56" s="26">
        <v>5</v>
      </c>
      <c r="B56" s="43" t="s">
        <v>75</v>
      </c>
      <c r="C56" s="27">
        <f>SUM(C57,C58,C61,C65,C66,C69,C72,C76)</f>
        <v>14401.18129326425</v>
      </c>
      <c r="D56" s="27">
        <f>SUM(D57,D58,D61,D65,D66,D69,D72,D76)</f>
        <v>0</v>
      </c>
      <c r="E56" s="27">
        <f>SUM(E57,E58,E61,E65,E66,E69,E72,E76)</f>
        <v>14401.18129326425</v>
      </c>
      <c r="F56" s="49">
        <f t="shared" si="5"/>
        <v>0.1535359721624846</v>
      </c>
      <c r="G56" s="49">
        <f t="shared" si="6"/>
        <v>0.14401181910873487</v>
      </c>
    </row>
    <row r="57" spans="1:7" s="5" customFormat="1" ht="66.75" customHeight="1" x14ac:dyDescent="0.25">
      <c r="A57" s="52" t="s">
        <v>76</v>
      </c>
      <c r="B57" s="38" t="s">
        <v>220</v>
      </c>
      <c r="C57" s="110">
        <v>1036.2655663212436</v>
      </c>
      <c r="D57" s="110">
        <v>0</v>
      </c>
      <c r="E57" s="44">
        <f>C57+D57</f>
        <v>1036.2655663212436</v>
      </c>
      <c r="F57" s="111">
        <f t="shared" si="5"/>
        <v>1.1047985432837809E-2</v>
      </c>
      <c r="G57" s="111">
        <f t="shared" si="6"/>
        <v>1.0362656107625413E-2</v>
      </c>
    </row>
    <row r="58" spans="1:7" s="5" customFormat="1" ht="50.25" customHeight="1" x14ac:dyDescent="0.25">
      <c r="A58" s="54" t="s">
        <v>77</v>
      </c>
      <c r="B58" s="38" t="s">
        <v>161</v>
      </c>
      <c r="C58" s="110">
        <f>C59+C60</f>
        <v>388.60302901554411</v>
      </c>
      <c r="D58" s="110">
        <f>D59+D60</f>
        <v>0</v>
      </c>
      <c r="E58" s="44">
        <f>C58+D58</f>
        <v>388.60302901554411</v>
      </c>
      <c r="F58" s="111">
        <f t="shared" si="5"/>
        <v>4.1430312298821066E-3</v>
      </c>
      <c r="G58" s="111">
        <f t="shared" si="6"/>
        <v>3.8860304568117837E-3</v>
      </c>
    </row>
    <row r="59" spans="1:7" s="5" customFormat="1" ht="32.25" customHeight="1" x14ac:dyDescent="0.25">
      <c r="A59" s="17" t="s">
        <v>91</v>
      </c>
      <c r="B59" s="127" t="s">
        <v>184</v>
      </c>
      <c r="C59" s="29">
        <v>45.888601036269435</v>
      </c>
      <c r="D59" s="29">
        <v>0</v>
      </c>
      <c r="E59" s="4">
        <f>C59+D59</f>
        <v>45.888601036269435</v>
      </c>
      <c r="F59" s="62">
        <f t="shared" si="5"/>
        <v>4.892342390395005E-4</v>
      </c>
      <c r="G59" s="62">
        <f t="shared" si="6"/>
        <v>4.5888603004248536E-4</v>
      </c>
    </row>
    <row r="60" spans="1:7" s="5" customFormat="1" ht="44.25" customHeight="1" x14ac:dyDescent="0.25">
      <c r="A60" s="17" t="s">
        <v>92</v>
      </c>
      <c r="B60" s="127" t="s">
        <v>185</v>
      </c>
      <c r="C60" s="29">
        <v>342.71442797927466</v>
      </c>
      <c r="D60" s="29">
        <v>0</v>
      </c>
      <c r="E60" s="4">
        <f>C60+D60</f>
        <v>342.71442797927466</v>
      </c>
      <c r="F60" s="62">
        <f t="shared" si="5"/>
        <v>3.6537969908426058E-3</v>
      </c>
      <c r="G60" s="62">
        <f t="shared" si="6"/>
        <v>3.4271444267692979E-3</v>
      </c>
    </row>
    <row r="61" spans="1:7" s="5" customFormat="1" ht="78.75" customHeight="1" x14ac:dyDescent="0.25">
      <c r="A61" s="54" t="s">
        <v>78</v>
      </c>
      <c r="B61" s="38" t="s">
        <v>221</v>
      </c>
      <c r="C61" s="110">
        <f>C62+C63+C64</f>
        <v>906.73122331606237</v>
      </c>
      <c r="D61" s="110">
        <f>D62+D63+D64</f>
        <v>0</v>
      </c>
      <c r="E61" s="110">
        <f>E62+E63+E64</f>
        <v>906.73122331606237</v>
      </c>
      <c r="F61" s="111">
        <f t="shared" si="5"/>
        <v>9.6669750228771077E-3</v>
      </c>
      <c r="G61" s="111">
        <f t="shared" si="6"/>
        <v>9.0673126220214874E-3</v>
      </c>
    </row>
    <row r="62" spans="1:7" s="5" customFormat="1" ht="23.25" customHeight="1" x14ac:dyDescent="0.25">
      <c r="A62" s="17" t="s">
        <v>93</v>
      </c>
      <c r="B62" s="127" t="s">
        <v>222</v>
      </c>
      <c r="C62" s="29">
        <v>183.55440414507774</v>
      </c>
      <c r="D62" s="29">
        <v>0</v>
      </c>
      <c r="E62" s="4">
        <f t="shared" ref="E62:E68" si="8">C62+D62</f>
        <v>183.55440414507774</v>
      </c>
      <c r="F62" s="62">
        <f t="shared" si="5"/>
        <v>1.956936956158002E-3</v>
      </c>
      <c r="G62" s="62">
        <f t="shared" si="6"/>
        <v>1.8355441201699414E-3</v>
      </c>
    </row>
    <row r="63" spans="1:7" s="5" customFormat="1" ht="35.25" customHeight="1" x14ac:dyDescent="0.25">
      <c r="A63" s="17" t="s">
        <v>94</v>
      </c>
      <c r="B63" s="127" t="s">
        <v>223</v>
      </c>
      <c r="C63" s="29">
        <v>539.62241502590678</v>
      </c>
      <c r="D63" s="29">
        <v>0</v>
      </c>
      <c r="E63" s="4">
        <f t="shared" si="8"/>
        <v>539.62241502590678</v>
      </c>
      <c r="F63" s="62">
        <f t="shared" si="5"/>
        <v>5.7531011105611029E-3</v>
      </c>
      <c r="G63" s="62">
        <f t="shared" si="6"/>
        <v>5.3962243816816028E-3</v>
      </c>
    </row>
    <row r="64" spans="1:7" s="5" customFormat="1" ht="45" customHeight="1" x14ac:dyDescent="0.25">
      <c r="A64" s="17" t="s">
        <v>142</v>
      </c>
      <c r="B64" s="127" t="s">
        <v>198</v>
      </c>
      <c r="C64" s="29">
        <v>183.55440414507774</v>
      </c>
      <c r="D64" s="29">
        <v>0</v>
      </c>
      <c r="E64" s="4">
        <f t="shared" si="8"/>
        <v>183.55440414507774</v>
      </c>
      <c r="F64" s="62">
        <f t="shared" si="5"/>
        <v>1.956936956158002E-3</v>
      </c>
      <c r="G64" s="62">
        <f t="shared" si="6"/>
        <v>1.8355441201699414E-3</v>
      </c>
    </row>
    <row r="65" spans="1:7" s="65" customFormat="1" ht="60" customHeight="1" x14ac:dyDescent="0.2">
      <c r="A65" s="52" t="s">
        <v>79</v>
      </c>
      <c r="B65" s="38" t="s">
        <v>199</v>
      </c>
      <c r="C65" s="110">
        <v>410</v>
      </c>
      <c r="D65" s="110">
        <v>0</v>
      </c>
      <c r="E65" s="44">
        <f t="shared" si="8"/>
        <v>410</v>
      </c>
      <c r="F65" s="111">
        <f t="shared" si="5"/>
        <v>4.3711517343415201E-3</v>
      </c>
      <c r="G65" s="111">
        <f t="shared" si="6"/>
        <v>4.10000017583265E-3</v>
      </c>
    </row>
    <row r="66" spans="1:7" s="5" customFormat="1" ht="27.75" customHeight="1" x14ac:dyDescent="0.25">
      <c r="A66" s="54" t="s">
        <v>80</v>
      </c>
      <c r="B66" s="38" t="s">
        <v>175</v>
      </c>
      <c r="C66" s="110">
        <f>C67+C68</f>
        <v>1109.014288601036</v>
      </c>
      <c r="D66" s="110">
        <f>D67+D68</f>
        <v>0</v>
      </c>
      <c r="E66" s="44">
        <f t="shared" si="8"/>
        <v>1109.014288601036</v>
      </c>
      <c r="F66" s="111">
        <f t="shared" si="5"/>
        <v>1.1823584709824258E-2</v>
      </c>
      <c r="G66" s="111">
        <f t="shared" si="6"/>
        <v>1.1090143361622362E-2</v>
      </c>
    </row>
    <row r="67" spans="1:7" s="5" customFormat="1" ht="53.25" customHeight="1" x14ac:dyDescent="0.25">
      <c r="A67" s="17" t="s">
        <v>95</v>
      </c>
      <c r="B67" s="127" t="s">
        <v>173</v>
      </c>
      <c r="C67" s="29">
        <v>592.99740932642499</v>
      </c>
      <c r="D67" s="29">
        <v>0</v>
      </c>
      <c r="E67" s="4">
        <f t="shared" si="8"/>
        <v>592.99740932642499</v>
      </c>
      <c r="F67" s="62">
        <f t="shared" si="5"/>
        <v>6.3221503761883681E-3</v>
      </c>
      <c r="G67" s="62">
        <f t="shared" si="6"/>
        <v>5.9299743475771912E-3</v>
      </c>
    </row>
    <row r="68" spans="1:7" s="5" customFormat="1" ht="42" customHeight="1" x14ac:dyDescent="0.25">
      <c r="A68" s="17" t="s">
        <v>96</v>
      </c>
      <c r="B68" s="127" t="s">
        <v>174</v>
      </c>
      <c r="C68" s="29">
        <v>516.01687927461103</v>
      </c>
      <c r="D68" s="29">
        <v>0</v>
      </c>
      <c r="E68" s="4">
        <f t="shared" si="8"/>
        <v>516.01687927461103</v>
      </c>
      <c r="F68" s="62">
        <f t="shared" si="5"/>
        <v>5.5014343336358901E-3</v>
      </c>
      <c r="G68" s="62">
        <f t="shared" si="6"/>
        <v>5.1601690140451722E-3</v>
      </c>
    </row>
    <row r="69" spans="1:7" s="5" customFormat="1" ht="52.5" customHeight="1" x14ac:dyDescent="0.25">
      <c r="A69" s="54" t="s">
        <v>81</v>
      </c>
      <c r="B69" s="38" t="s">
        <v>189</v>
      </c>
      <c r="C69" s="110">
        <f>C70+C71</f>
        <v>1401.5571860103628</v>
      </c>
      <c r="D69" s="110">
        <f>D70+D71</f>
        <v>0</v>
      </c>
      <c r="E69" s="110">
        <f>E70+E71</f>
        <v>1401.5571860103628</v>
      </c>
      <c r="F69" s="111">
        <f t="shared" si="5"/>
        <v>1.4942485669287849E-2</v>
      </c>
      <c r="G69" s="111">
        <f t="shared" si="6"/>
        <v>1.4015572461175614E-2</v>
      </c>
    </row>
    <row r="70" spans="1:7" s="5" customFormat="1" ht="58.5" customHeight="1" x14ac:dyDescent="0.25">
      <c r="A70" s="17" t="s">
        <v>176</v>
      </c>
      <c r="B70" s="127" t="s">
        <v>186</v>
      </c>
      <c r="C70" s="29">
        <v>688.32901554404145</v>
      </c>
      <c r="D70" s="29">
        <v>0</v>
      </c>
      <c r="E70" s="4">
        <f t="shared" ref="E70:E76" si="9">C70+D70</f>
        <v>688.32901554404145</v>
      </c>
      <c r="F70" s="62">
        <f t="shared" si="5"/>
        <v>7.3385135855925073E-3</v>
      </c>
      <c r="G70" s="62">
        <f t="shared" si="6"/>
        <v>6.8832904506372803E-3</v>
      </c>
    </row>
    <row r="71" spans="1:7" s="5" customFormat="1" ht="60" customHeight="1" x14ac:dyDescent="0.25">
      <c r="A71" s="17" t="s">
        <v>177</v>
      </c>
      <c r="B71" s="127" t="s">
        <v>187</v>
      </c>
      <c r="C71" s="29">
        <v>713.22817046632133</v>
      </c>
      <c r="D71" s="29">
        <v>0</v>
      </c>
      <c r="E71" s="4">
        <f t="shared" si="9"/>
        <v>713.22817046632133</v>
      </c>
      <c r="F71" s="62">
        <f t="shared" si="5"/>
        <v>7.6039720836953411E-3</v>
      </c>
      <c r="G71" s="62">
        <f t="shared" si="6"/>
        <v>7.1322820105383334E-3</v>
      </c>
    </row>
    <row r="72" spans="1:7" s="5" customFormat="1" ht="25.5" customHeight="1" x14ac:dyDescent="0.25">
      <c r="A72" s="54" t="s">
        <v>132</v>
      </c>
      <c r="B72" s="38" t="s">
        <v>200</v>
      </c>
      <c r="C72" s="110">
        <v>1149.01</v>
      </c>
      <c r="D72" s="110">
        <v>0</v>
      </c>
      <c r="E72" s="44">
        <f t="shared" si="9"/>
        <v>1149.01</v>
      </c>
      <c r="F72" s="111">
        <f t="shared" si="5"/>
        <v>1.2249992815306707E-2</v>
      </c>
      <c r="G72" s="111">
        <f t="shared" si="6"/>
        <v>1.1490100492764568E-2</v>
      </c>
    </row>
    <row r="73" spans="1:7" s="5" customFormat="1" ht="30" customHeight="1" x14ac:dyDescent="0.25">
      <c r="A73" s="17" t="s">
        <v>178</v>
      </c>
      <c r="B73" s="127" t="s">
        <v>180</v>
      </c>
      <c r="C73" s="29">
        <v>264.75</v>
      </c>
      <c r="D73" s="29">
        <v>0</v>
      </c>
      <c r="E73" s="4">
        <f t="shared" si="9"/>
        <v>264.75</v>
      </c>
      <c r="F73" s="62">
        <f t="shared" si="5"/>
        <v>2.8225912723583353E-3</v>
      </c>
      <c r="G73" s="62">
        <f t="shared" si="6"/>
        <v>2.6475001135407173E-3</v>
      </c>
    </row>
    <row r="74" spans="1:7" s="5" customFormat="1" ht="33.75" customHeight="1" x14ac:dyDescent="0.25">
      <c r="A74" s="17" t="s">
        <v>179</v>
      </c>
      <c r="B74" s="127" t="s">
        <v>181</v>
      </c>
      <c r="C74" s="29">
        <v>672.46</v>
      </c>
      <c r="D74" s="29">
        <v>0</v>
      </c>
      <c r="E74" s="4">
        <f t="shared" si="9"/>
        <v>672.46</v>
      </c>
      <c r="F74" s="62">
        <f t="shared" si="5"/>
        <v>7.1693285250617042E-3</v>
      </c>
      <c r="G74" s="62">
        <f t="shared" si="6"/>
        <v>6.7246002883912777E-3</v>
      </c>
    </row>
    <row r="75" spans="1:7" s="5" customFormat="1" ht="61.5" customHeight="1" x14ac:dyDescent="0.25">
      <c r="A75" s="17" t="s">
        <v>182</v>
      </c>
      <c r="B75" s="127" t="s">
        <v>183</v>
      </c>
      <c r="C75" s="29">
        <v>211.8</v>
      </c>
      <c r="D75" s="29">
        <v>0</v>
      </c>
      <c r="E75" s="4">
        <f t="shared" si="9"/>
        <v>211.8</v>
      </c>
      <c r="F75" s="62">
        <f t="shared" ref="F75:F76" si="10">E75/$E$77</f>
        <v>2.2580730178866685E-3</v>
      </c>
      <c r="G75" s="62">
        <f t="shared" si="6"/>
        <v>2.1180000908325738E-3</v>
      </c>
    </row>
    <row r="76" spans="1:7" s="109" customFormat="1" ht="62.25" customHeight="1" x14ac:dyDescent="0.25">
      <c r="A76" s="54">
        <v>5.8</v>
      </c>
      <c r="B76" s="45" t="s">
        <v>113</v>
      </c>
      <c r="C76" s="110">
        <v>8000</v>
      </c>
      <c r="D76" s="110">
        <v>0</v>
      </c>
      <c r="E76" s="39">
        <f t="shared" si="9"/>
        <v>8000</v>
      </c>
      <c r="F76" s="112">
        <f t="shared" si="10"/>
        <v>8.5290765548127229E-2</v>
      </c>
      <c r="G76" s="111">
        <f t="shared" si="6"/>
        <v>8.000000343088097E-2</v>
      </c>
    </row>
    <row r="77" spans="1:7" s="18" customFormat="1" ht="36" customHeight="1" x14ac:dyDescent="0.25">
      <c r="A77" s="132" t="s">
        <v>115</v>
      </c>
      <c r="B77" s="132"/>
      <c r="C77" s="48">
        <f>C11+C33+C37+C49+C56</f>
        <v>53796.789706217627</v>
      </c>
      <c r="D77" s="48">
        <f>D11+D33+D37+D49+D56</f>
        <v>40000</v>
      </c>
      <c r="E77" s="48">
        <f>E11+E33+E37+E49+E56</f>
        <v>93796.78970621762</v>
      </c>
      <c r="F77" s="63">
        <f>E77/E77</f>
        <v>1</v>
      </c>
      <c r="G77" s="50">
        <f t="shared" si="6"/>
        <v>0.93796793728787886</v>
      </c>
    </row>
    <row r="78" spans="1:7" s="18" customFormat="1" ht="54" customHeight="1" x14ac:dyDescent="0.25">
      <c r="A78" s="26">
        <v>6</v>
      </c>
      <c r="B78" s="43" t="s">
        <v>201</v>
      </c>
      <c r="C78" s="27">
        <f>SUM(C79:C83)</f>
        <v>6203.2060051813469</v>
      </c>
      <c r="D78" s="27">
        <f>SUM(D79:D83)</f>
        <v>0</v>
      </c>
      <c r="E78" s="27">
        <f>SUM(E79:E83)</f>
        <v>6203.2060051813469</v>
      </c>
      <c r="F78" s="49"/>
      <c r="G78" s="49">
        <f t="shared" si="6"/>
        <v>6.2032062712121153E-2</v>
      </c>
    </row>
    <row r="79" spans="1:7" s="5" customFormat="1" ht="23.25" customHeight="1" x14ac:dyDescent="0.25">
      <c r="A79" s="52" t="s">
        <v>82</v>
      </c>
      <c r="B79" s="38" t="s">
        <v>83</v>
      </c>
      <c r="C79" s="35">
        <v>229.44300518134716</v>
      </c>
      <c r="D79" s="35">
        <v>0</v>
      </c>
      <c r="E79" s="39">
        <f>C79+D79</f>
        <v>229.44300518134716</v>
      </c>
      <c r="F79" s="36"/>
      <c r="G79" s="61">
        <f t="shared" ref="G79:G83" si="11">E79/$E$84</f>
        <v>2.2944301502124268E-3</v>
      </c>
    </row>
    <row r="80" spans="1:7" s="5" customFormat="1" ht="18" customHeight="1" x14ac:dyDescent="0.25">
      <c r="A80" s="52" t="s">
        <v>84</v>
      </c>
      <c r="B80" s="38" t="s">
        <v>162</v>
      </c>
      <c r="C80" s="35">
        <v>3671.0880829015546</v>
      </c>
      <c r="D80" s="35">
        <v>0</v>
      </c>
      <c r="E80" s="39">
        <f>C80+D80</f>
        <v>3671.0880829015546</v>
      </c>
      <c r="F80" s="36"/>
      <c r="G80" s="61">
        <f t="shared" si="11"/>
        <v>3.6710882403398828E-2</v>
      </c>
    </row>
    <row r="81" spans="1:7" s="5" customFormat="1" ht="21" customHeight="1" x14ac:dyDescent="0.25">
      <c r="A81" s="52" t="s">
        <v>85</v>
      </c>
      <c r="B81" s="38" t="s">
        <v>163</v>
      </c>
      <c r="C81" s="35">
        <v>1398.9598911917099</v>
      </c>
      <c r="D81" s="35">
        <v>0</v>
      </c>
      <c r="E81" s="39">
        <f>C81+D81</f>
        <v>1398.9598911917099</v>
      </c>
      <c r="F81" s="36"/>
      <c r="G81" s="61">
        <f t="shared" si="11"/>
        <v>1.3989599511875207E-2</v>
      </c>
    </row>
    <row r="82" spans="1:7" s="5" customFormat="1" ht="34.5" customHeight="1" x14ac:dyDescent="0.25">
      <c r="A82" s="52" t="s">
        <v>86</v>
      </c>
      <c r="B82" s="38" t="s">
        <v>144</v>
      </c>
      <c r="C82" s="35">
        <v>825.99481865284974</v>
      </c>
      <c r="D82" s="35">
        <v>0</v>
      </c>
      <c r="E82" s="39">
        <f>C82+D82</f>
        <v>825.99481865284974</v>
      </c>
      <c r="F82" s="36"/>
      <c r="G82" s="61">
        <f t="shared" si="11"/>
        <v>8.2599485407647364E-3</v>
      </c>
    </row>
    <row r="83" spans="1:7" s="5" customFormat="1" ht="18.75" customHeight="1" x14ac:dyDescent="0.25">
      <c r="A83" s="52" t="s">
        <v>87</v>
      </c>
      <c r="B83" s="38" t="s">
        <v>88</v>
      </c>
      <c r="C83" s="35">
        <v>77.720207253886016</v>
      </c>
      <c r="D83" s="35">
        <v>0</v>
      </c>
      <c r="E83" s="39">
        <f>C83+D83</f>
        <v>77.720207253886016</v>
      </c>
      <c r="F83" s="36"/>
      <c r="G83" s="61">
        <f t="shared" si="11"/>
        <v>7.7720210586995772E-4</v>
      </c>
    </row>
    <row r="84" spans="1:7" s="5" customFormat="1" ht="37.15" customHeight="1" x14ac:dyDescent="0.25">
      <c r="A84" s="14"/>
      <c r="B84" s="47" t="s">
        <v>114</v>
      </c>
      <c r="C84" s="46">
        <f t="shared" ref="C84:E84" si="12">C77+C78</f>
        <v>59999.995711398973</v>
      </c>
      <c r="D84" s="46">
        <f t="shared" si="12"/>
        <v>40000</v>
      </c>
      <c r="E84" s="46">
        <f t="shared" si="12"/>
        <v>99999.995711398966</v>
      </c>
      <c r="F84" s="46"/>
      <c r="G84" s="51">
        <f>G77+G78</f>
        <v>1</v>
      </c>
    </row>
    <row r="85" spans="1:7" s="1" customFormat="1" ht="39.6" customHeight="1" x14ac:dyDescent="0.25">
      <c r="A85" s="58"/>
      <c r="B85" s="47" t="s">
        <v>121</v>
      </c>
      <c r="C85" s="51">
        <f>C84/$E$84</f>
        <v>0.59999998284559519</v>
      </c>
      <c r="D85" s="51">
        <f>D84/$E$84</f>
        <v>0.40000001715440486</v>
      </c>
      <c r="E85" s="51">
        <f>C85+D85</f>
        <v>1</v>
      </c>
      <c r="F85" s="51"/>
      <c r="G85" s="51"/>
    </row>
    <row r="86" spans="1:7" s="1" customFormat="1" ht="39" customHeight="1" x14ac:dyDescent="0.3">
      <c r="A86" s="15"/>
      <c r="B86" s="115" t="s">
        <v>116</v>
      </c>
      <c r="C86" s="116">
        <f>60000-C84</f>
        <v>4.288601026928518E-3</v>
      </c>
      <c r="D86" s="116">
        <f>40000-D84</f>
        <v>0</v>
      </c>
      <c r="E86" s="116">
        <f>100000-E84</f>
        <v>4.2886010342044756E-3</v>
      </c>
      <c r="F86" s="117"/>
      <c r="G86" s="118"/>
    </row>
    <row r="87" spans="1:7" s="1" customFormat="1" ht="42.75" customHeight="1" x14ac:dyDescent="0.3">
      <c r="A87" s="15"/>
      <c r="B87" s="119" t="s">
        <v>120</v>
      </c>
      <c r="C87" s="120">
        <v>60000</v>
      </c>
      <c r="D87" s="120">
        <v>40000</v>
      </c>
      <c r="E87" s="120">
        <v>100000</v>
      </c>
      <c r="F87" s="121"/>
      <c r="G87" s="122"/>
    </row>
    <row r="88" spans="1:7" s="1" customFormat="1" ht="17.25" x14ac:dyDescent="0.3">
      <c r="A88" s="15"/>
      <c r="B88" s="123" t="s">
        <v>89</v>
      </c>
      <c r="C88" s="124">
        <v>0.6</v>
      </c>
      <c r="D88" s="124">
        <v>0.4</v>
      </c>
      <c r="E88" s="124">
        <f>SUM(C88:D88)</f>
        <v>1</v>
      </c>
      <c r="F88" s="124"/>
      <c r="G88" s="125"/>
    </row>
    <row r="89" spans="1:7" s="1" customFormat="1" ht="34.5" x14ac:dyDescent="0.3">
      <c r="A89" s="15"/>
      <c r="B89" s="123" t="s">
        <v>146</v>
      </c>
      <c r="C89" s="2"/>
      <c r="D89" s="118"/>
      <c r="E89" s="118"/>
      <c r="F89" s="126"/>
      <c r="G89" s="118"/>
    </row>
    <row r="90" spans="1:7" s="1" customFormat="1" ht="14.25" x14ac:dyDescent="0.25">
      <c r="A90" s="15"/>
      <c r="B90" s="7"/>
      <c r="D90" s="3"/>
      <c r="E90" s="3"/>
      <c r="F90" s="3"/>
      <c r="G90" s="3"/>
    </row>
    <row r="91" spans="1:7" s="1" customFormat="1" ht="19.5" x14ac:dyDescent="0.25">
      <c r="A91" s="15"/>
      <c r="B91" s="7"/>
      <c r="D91" s="3"/>
      <c r="E91" s="64"/>
      <c r="F91" s="64"/>
      <c r="G91" s="3"/>
    </row>
    <row r="92" spans="1:7" s="1" customFormat="1" ht="14.25" x14ac:dyDescent="0.25">
      <c r="A92" s="15"/>
      <c r="B92" s="7"/>
      <c r="D92" s="3"/>
      <c r="E92" s="3"/>
      <c r="F92" s="3"/>
      <c r="G92" s="3"/>
    </row>
    <row r="93" spans="1:7" s="1" customFormat="1" ht="14.25" x14ac:dyDescent="0.25">
      <c r="A93" s="15"/>
      <c r="B93" s="7"/>
      <c r="D93" s="3"/>
      <c r="E93" s="3"/>
      <c r="F93" s="3"/>
      <c r="G93" s="3"/>
    </row>
    <row r="94" spans="1:7" s="1" customFormat="1" ht="14.25" x14ac:dyDescent="0.25">
      <c r="A94" s="15"/>
      <c r="B94" s="7"/>
      <c r="D94" s="3"/>
      <c r="E94" s="3"/>
      <c r="F94" s="3"/>
      <c r="G94" s="3"/>
    </row>
  </sheetData>
  <mergeCells count="12">
    <mergeCell ref="A1:G1"/>
    <mergeCell ref="A2:G2"/>
    <mergeCell ref="A3:G3"/>
    <mergeCell ref="A5:G5"/>
    <mergeCell ref="A77:B77"/>
    <mergeCell ref="A7:A10"/>
    <mergeCell ref="B7:B10"/>
    <mergeCell ref="C7:C10"/>
    <mergeCell ref="D7:D10"/>
    <mergeCell ref="E7:E10"/>
    <mergeCell ref="F7:F10"/>
    <mergeCell ref="G7:G10"/>
  </mergeCells>
  <pageMargins left="0.31496062992125984" right="0.31496062992125984" top="0.39370078740157483" bottom="0.39370078740157483" header="0.31496062992125984" footer="0.31496062992125984"/>
  <pageSetup paperSize="9" scale="50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5121" r:id="rId4">
          <objectPr defaultSize="0" autoPict="0" r:id="rId5">
            <anchor moveWithCells="1" sizeWithCells="1">
              <from>
                <xdr:col>1</xdr:col>
                <xdr:colOff>2505075</xdr:colOff>
                <xdr:row>0</xdr:row>
                <xdr:rowOff>0</xdr:rowOff>
              </from>
              <to>
                <xdr:col>1</xdr:col>
                <xdr:colOff>2505075</xdr:colOff>
                <xdr:row>2</xdr:row>
                <xdr:rowOff>57150</xdr:rowOff>
              </to>
            </anchor>
          </objectPr>
        </oleObject>
      </mc:Choice>
      <mc:Fallback>
        <oleObject progId="Word.Picture.8" shapeId="51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-0.499984740745262"/>
  </sheetPr>
  <dimension ref="A1:J37"/>
  <sheetViews>
    <sheetView view="pageBreakPreview" zoomScale="51" zoomScaleNormal="60" zoomScaleSheetLayoutView="51" workbookViewId="0">
      <selection activeCell="F14" sqref="F14"/>
    </sheetView>
  </sheetViews>
  <sheetFormatPr defaultRowHeight="12.75" x14ac:dyDescent="0.2"/>
  <cols>
    <col min="1" max="1" width="10.85546875" style="16" customWidth="1"/>
    <col min="2" max="2" width="64.85546875" style="9" customWidth="1"/>
    <col min="3" max="3" width="21.42578125" customWidth="1"/>
    <col min="4" max="4" width="21.42578125" style="10" customWidth="1"/>
    <col min="5" max="5" width="20.85546875" style="10" customWidth="1"/>
    <col min="6" max="6" width="21.42578125" customWidth="1"/>
    <col min="7" max="7" width="21.42578125" style="10" customWidth="1"/>
    <col min="8" max="8" width="22.7109375" style="10" customWidth="1"/>
    <col min="9" max="9" width="20.7109375" style="10" customWidth="1"/>
    <col min="10" max="10" width="20.85546875" customWidth="1"/>
  </cols>
  <sheetData>
    <row r="1" spans="1:10" s="1" customFormat="1" ht="18" x14ac:dyDescent="0.25">
      <c r="A1" s="130" t="s">
        <v>37</v>
      </c>
      <c r="B1" s="130"/>
      <c r="C1" s="130"/>
      <c r="D1" s="130"/>
      <c r="E1" s="130"/>
      <c r="F1" s="130"/>
      <c r="G1" s="130"/>
      <c r="H1" s="130"/>
      <c r="I1" s="130"/>
    </row>
    <row r="2" spans="1:10" s="1" customFormat="1" ht="18" x14ac:dyDescent="0.25">
      <c r="A2" s="130" t="s">
        <v>38</v>
      </c>
      <c r="B2" s="130"/>
      <c r="C2" s="130"/>
      <c r="D2" s="130"/>
      <c r="E2" s="130"/>
      <c r="F2" s="130"/>
      <c r="G2" s="130"/>
      <c r="H2" s="130"/>
      <c r="I2" s="130"/>
    </row>
    <row r="3" spans="1:10" s="1" customFormat="1" ht="18" x14ac:dyDescent="0.25">
      <c r="A3" s="130" t="s">
        <v>39</v>
      </c>
      <c r="B3" s="130"/>
      <c r="C3" s="130"/>
      <c r="D3" s="130"/>
      <c r="E3" s="130"/>
      <c r="F3" s="130"/>
      <c r="G3" s="130"/>
      <c r="H3" s="130"/>
      <c r="I3" s="130"/>
    </row>
    <row r="4" spans="1:10" s="1" customFormat="1" ht="15.75" x14ac:dyDescent="0.25">
      <c r="A4" s="40"/>
      <c r="B4" s="56"/>
      <c r="C4" s="41"/>
      <c r="D4" s="42"/>
      <c r="E4" s="42"/>
      <c r="F4" s="41"/>
      <c r="G4" s="42"/>
      <c r="H4" s="42"/>
      <c r="I4" s="42"/>
    </row>
    <row r="5" spans="1:10" s="1" customFormat="1" ht="20.25" x14ac:dyDescent="0.3">
      <c r="A5" s="131" t="s">
        <v>164</v>
      </c>
      <c r="B5" s="131"/>
      <c r="C5" s="131"/>
      <c r="D5" s="131"/>
      <c r="E5" s="131"/>
      <c r="F5" s="131"/>
      <c r="G5" s="131"/>
      <c r="H5" s="131"/>
      <c r="I5" s="131"/>
    </row>
    <row r="6" spans="1:10" s="1" customFormat="1" ht="17.25" x14ac:dyDescent="0.3">
      <c r="A6" s="13"/>
      <c r="B6" s="57"/>
      <c r="D6" s="3"/>
      <c r="E6" s="2"/>
      <c r="G6" s="3"/>
      <c r="H6" s="2"/>
      <c r="J6" s="67" t="s">
        <v>172</v>
      </c>
    </row>
    <row r="7" spans="1:10" s="1" customFormat="1" ht="20.45" customHeight="1" x14ac:dyDescent="0.25">
      <c r="A7" s="133" t="s">
        <v>41</v>
      </c>
      <c r="B7" s="133" t="s">
        <v>42</v>
      </c>
      <c r="C7" s="134" t="s">
        <v>45</v>
      </c>
      <c r="D7" s="133" t="s">
        <v>45</v>
      </c>
      <c r="E7" s="133" t="s">
        <v>46</v>
      </c>
      <c r="F7" s="134" t="s">
        <v>165</v>
      </c>
      <c r="G7" s="133" t="s">
        <v>165</v>
      </c>
      <c r="H7" s="133" t="s">
        <v>44</v>
      </c>
      <c r="I7" s="133" t="s">
        <v>169</v>
      </c>
      <c r="J7" s="133" t="s">
        <v>170</v>
      </c>
    </row>
    <row r="8" spans="1:10" s="1" customFormat="1" ht="20.45" customHeight="1" x14ac:dyDescent="0.25">
      <c r="A8" s="133"/>
      <c r="B8" s="133"/>
      <c r="C8" s="135"/>
      <c r="D8" s="133"/>
      <c r="E8" s="133"/>
      <c r="F8" s="135"/>
      <c r="G8" s="133"/>
      <c r="H8" s="133"/>
      <c r="I8" s="133"/>
      <c r="J8" s="133"/>
    </row>
    <row r="9" spans="1:10" s="1" customFormat="1" ht="20.45" customHeight="1" x14ac:dyDescent="0.25">
      <c r="A9" s="133"/>
      <c r="B9" s="133"/>
      <c r="C9" s="135"/>
      <c r="D9" s="133"/>
      <c r="E9" s="133"/>
      <c r="F9" s="135"/>
      <c r="G9" s="133"/>
      <c r="H9" s="133"/>
      <c r="I9" s="133" t="s">
        <v>48</v>
      </c>
      <c r="J9" s="133" t="s">
        <v>48</v>
      </c>
    </row>
    <row r="10" spans="1:10" s="1" customFormat="1" ht="20.45" customHeight="1" x14ac:dyDescent="0.25">
      <c r="A10" s="133"/>
      <c r="B10" s="133"/>
      <c r="C10" s="136"/>
      <c r="D10" s="133"/>
      <c r="E10" s="133"/>
      <c r="F10" s="136"/>
      <c r="G10" s="133"/>
      <c r="H10" s="133"/>
      <c r="I10" s="133"/>
      <c r="J10" s="133"/>
    </row>
    <row r="11" spans="1:10" s="18" customFormat="1" ht="36.6" customHeight="1" x14ac:dyDescent="0.25">
      <c r="A11" s="28">
        <v>1</v>
      </c>
      <c r="B11" s="28" t="s">
        <v>49</v>
      </c>
      <c r="C11" s="21">
        <f>SUM(C12:C15)</f>
        <v>8514.6666331606211</v>
      </c>
      <c r="D11" s="21">
        <f t="shared" ref="D11:E11" si="0">SUM(D12:D15)</f>
        <v>4003.583265284974</v>
      </c>
      <c r="E11" s="21">
        <f t="shared" si="0"/>
        <v>12518.249898445596</v>
      </c>
      <c r="F11" s="21">
        <f>SUM(F12:F15)</f>
        <v>16433.306602000001</v>
      </c>
      <c r="G11" s="21">
        <f t="shared" ref="G11" si="1">SUM(G12:G15)</f>
        <v>7726.9157019999993</v>
      </c>
      <c r="H11" s="21">
        <f t="shared" ref="H11" si="2">SUM(H12:H15)</f>
        <v>24160.222303999999</v>
      </c>
      <c r="I11" s="49">
        <f t="shared" ref="I11:I27" si="3">H11/H$29</f>
        <v>0.46395161475402075</v>
      </c>
      <c r="J11" s="49">
        <f>H11/193000</f>
        <v>0.12518249898445596</v>
      </c>
    </row>
    <row r="12" spans="1:10" s="5" customFormat="1" ht="39.75" customHeight="1" x14ac:dyDescent="0.25">
      <c r="A12" s="31" t="s">
        <v>50</v>
      </c>
      <c r="B12" s="31" t="str">
        <f>'MATRIZ  INVEST.'!B12</f>
        <v>Complementação da sinalização turística da Cidade de Aracaju - 4ª etapa</v>
      </c>
      <c r="C12" s="72">
        <f>'MATRIZ  INVEST.'!C12</f>
        <v>0</v>
      </c>
      <c r="D12" s="72">
        <f>'MATRIZ  INVEST.'!D12</f>
        <v>548.09345077720195</v>
      </c>
      <c r="E12" s="73">
        <f>'MATRIZ  INVEST.'!E12</f>
        <v>548.09345077720195</v>
      </c>
      <c r="F12" s="74">
        <f>C12*1.93</f>
        <v>0</v>
      </c>
      <c r="G12" s="74">
        <f t="shared" ref="G12:H12" si="4">D12*1.93</f>
        <v>1057.8203599999997</v>
      </c>
      <c r="H12" s="74">
        <f t="shared" si="4"/>
        <v>1057.8203599999997</v>
      </c>
      <c r="I12" s="75">
        <f t="shared" si="3"/>
        <v>2.0313449850187248E-2</v>
      </c>
      <c r="J12" s="75">
        <f t="shared" ref="J12:J29" si="5">H12/193000</f>
        <v>5.4809345077720195E-3</v>
      </c>
    </row>
    <row r="13" spans="1:10" s="5" customFormat="1" ht="63" customHeight="1" x14ac:dyDescent="0.25">
      <c r="A13" s="32" t="s">
        <v>52</v>
      </c>
      <c r="B13" s="34" t="str">
        <f>'MATRIZ  INVEST.'!B13</f>
        <v>Elaboração de projeto e execução da sinalização turistica e interpretativa para destinos turísticos (Polos Costa dos Coqueirais e Velho Chico)</v>
      </c>
      <c r="C13" s="72">
        <f>'MATRIZ  INVEST.'!C13</f>
        <v>0</v>
      </c>
      <c r="D13" s="72">
        <f>'MATRIZ  INVEST.'!D13</f>
        <v>3455.4898145077718</v>
      </c>
      <c r="E13" s="73">
        <f>'MATRIZ  INVEST.'!E13</f>
        <v>3455.4898145077718</v>
      </c>
      <c r="F13" s="74">
        <f t="shared" ref="F13:F15" si="6">C13*1.93</f>
        <v>0</v>
      </c>
      <c r="G13" s="74">
        <f t="shared" ref="G13:G15" si="7">D13*1.93</f>
        <v>6669.0953419999996</v>
      </c>
      <c r="H13" s="74">
        <f t="shared" ref="H13:H15" si="8">E13*1.93</f>
        <v>6669.0953419999996</v>
      </c>
      <c r="I13" s="75">
        <f t="shared" si="3"/>
        <v>0.12806742893078216</v>
      </c>
      <c r="J13" s="75">
        <f t="shared" si="5"/>
        <v>3.4554898145077721E-2</v>
      </c>
    </row>
    <row r="14" spans="1:10" s="5" customFormat="1" ht="51" customHeight="1" x14ac:dyDescent="0.25">
      <c r="A14" s="31" t="s">
        <v>53</v>
      </c>
      <c r="B14" s="33" t="str">
        <f>'MATRIZ  INVEST.'!B16</f>
        <v>Execução do Plano de Capacitação profissional e empresarial para o turismo</v>
      </c>
      <c r="C14" s="72">
        <f>'MATRIZ  INVEST.'!C16</f>
        <v>2590.6776823834198</v>
      </c>
      <c r="D14" s="72">
        <f>'MATRIZ  INVEST.'!D16</f>
        <v>0</v>
      </c>
      <c r="E14" s="73">
        <f>'MATRIZ  INVEST.'!E16</f>
        <v>2590.6776823834198</v>
      </c>
      <c r="F14" s="74">
        <f t="shared" si="6"/>
        <v>5000.0079269999997</v>
      </c>
      <c r="G14" s="74">
        <f t="shared" si="7"/>
        <v>0</v>
      </c>
      <c r="H14" s="74">
        <f t="shared" si="8"/>
        <v>5000.0079269999997</v>
      </c>
      <c r="I14" s="75">
        <f t="shared" si="3"/>
        <v>9.6015745315823978E-2</v>
      </c>
      <c r="J14" s="75">
        <f t="shared" si="5"/>
        <v>2.5906776823834195E-2</v>
      </c>
    </row>
    <row r="15" spans="1:10" s="5" customFormat="1" ht="50.25" customHeight="1" x14ac:dyDescent="0.25">
      <c r="A15" s="32" t="s">
        <v>54</v>
      </c>
      <c r="B15" s="38" t="str">
        <f>'MATRIZ  INVEST.'!B29</f>
        <v>Obras para Roteiros ecoturisticos no Rio São Francisco e Costa marítima atendida pelo programa.</v>
      </c>
      <c r="C15" s="72">
        <f>'MATRIZ  INVEST.'!C29</f>
        <v>5923.9889507772023</v>
      </c>
      <c r="D15" s="72">
        <f>'MATRIZ  INVEST.'!D29</f>
        <v>0</v>
      </c>
      <c r="E15" s="68">
        <f>'MATRIZ  INVEST.'!E29</f>
        <v>5923.9889507772023</v>
      </c>
      <c r="F15" s="74">
        <f t="shared" si="6"/>
        <v>11433.298675</v>
      </c>
      <c r="G15" s="74">
        <f t="shared" si="7"/>
        <v>0</v>
      </c>
      <c r="H15" s="74">
        <f t="shared" si="8"/>
        <v>11433.298675</v>
      </c>
      <c r="I15" s="75">
        <f t="shared" si="3"/>
        <v>0.21955499065722736</v>
      </c>
      <c r="J15" s="75">
        <f t="shared" si="5"/>
        <v>5.9239889507772023E-2</v>
      </c>
    </row>
    <row r="16" spans="1:10" s="18" customFormat="1" ht="36" customHeight="1" x14ac:dyDescent="0.25">
      <c r="A16" s="19">
        <v>2</v>
      </c>
      <c r="B16" s="19" t="s">
        <v>63</v>
      </c>
      <c r="C16" s="21">
        <f t="shared" ref="C16:H16" si="9">SUM(C17:C18)</f>
        <v>1036.2747440414507</v>
      </c>
      <c r="D16" s="21">
        <f t="shared" si="9"/>
        <v>0</v>
      </c>
      <c r="E16" s="21">
        <f t="shared" si="9"/>
        <v>1036.2747440414507</v>
      </c>
      <c r="F16" s="21">
        <f t="shared" si="9"/>
        <v>2000.0102559999998</v>
      </c>
      <c r="G16" s="21">
        <f t="shared" si="9"/>
        <v>0</v>
      </c>
      <c r="H16" s="21">
        <f t="shared" si="9"/>
        <v>2000.0102559999998</v>
      </c>
      <c r="I16" s="49">
        <f t="shared" si="3"/>
        <v>3.8406434184265627E-2</v>
      </c>
      <c r="J16" s="49">
        <f t="shared" si="5"/>
        <v>1.0362747440414507E-2</v>
      </c>
    </row>
    <row r="17" spans="1:10" s="5" customFormat="1" ht="29.45" customHeight="1" x14ac:dyDescent="0.25">
      <c r="A17" s="31" t="s">
        <v>64</v>
      </c>
      <c r="B17" s="37" t="str">
        <f>'MATRIZ  INVEST.'!B34</f>
        <v>Revisão e complementação do Plano de Marketing</v>
      </c>
      <c r="C17" s="72">
        <f>'MATRIZ  INVEST.'!C34</f>
        <v>518.13737202072537</v>
      </c>
      <c r="D17" s="72">
        <f>'MATRIZ  INVEST.'!D34</f>
        <v>0</v>
      </c>
      <c r="E17" s="73">
        <f>'MATRIZ  INVEST.'!E34</f>
        <v>518.13737202072537</v>
      </c>
      <c r="F17" s="74">
        <f t="shared" ref="F17:F18" si="10">C17*1.93</f>
        <v>1000.0051279999999</v>
      </c>
      <c r="G17" s="74">
        <f t="shared" ref="G17:G18" si="11">D17*1.93</f>
        <v>0</v>
      </c>
      <c r="H17" s="74">
        <f t="shared" ref="H17:H18" si="12">E17*1.93</f>
        <v>1000.0051279999999</v>
      </c>
      <c r="I17" s="75">
        <f t="shared" si="3"/>
        <v>1.9203217092132813E-2</v>
      </c>
      <c r="J17" s="75">
        <f t="shared" si="5"/>
        <v>5.1813737202072536E-3</v>
      </c>
    </row>
    <row r="18" spans="1:10" s="5" customFormat="1" ht="36" customHeight="1" x14ac:dyDescent="0.25">
      <c r="A18" s="31" t="s">
        <v>65</v>
      </c>
      <c r="B18" s="37" t="str">
        <f>'MATRIZ  INVEST.'!B36</f>
        <v>Monitoramento do Plano de Marketing</v>
      </c>
      <c r="C18" s="72">
        <f>'MATRIZ  INVEST.'!C36</f>
        <v>518.13737202072537</v>
      </c>
      <c r="D18" s="72">
        <f>'MATRIZ  INVEST.'!D36</f>
        <v>0</v>
      </c>
      <c r="E18" s="73">
        <f>'MATRIZ  INVEST.'!E36</f>
        <v>518.13737202072537</v>
      </c>
      <c r="F18" s="74">
        <f t="shared" si="10"/>
        <v>1000.0051279999999</v>
      </c>
      <c r="G18" s="74">
        <f t="shared" si="11"/>
        <v>0</v>
      </c>
      <c r="H18" s="74">
        <f t="shared" si="12"/>
        <v>1000.0051279999999</v>
      </c>
      <c r="I18" s="75">
        <f t="shared" si="3"/>
        <v>1.9203217092132813E-2</v>
      </c>
      <c r="J18" s="75">
        <f t="shared" si="5"/>
        <v>5.1813737202072536E-3</v>
      </c>
    </row>
    <row r="19" spans="1:10" s="18" customFormat="1" ht="37.9" customHeight="1" x14ac:dyDescent="0.25">
      <c r="A19" s="22">
        <v>3</v>
      </c>
      <c r="B19" s="22" t="s">
        <v>66</v>
      </c>
      <c r="C19" s="21">
        <f>SUM(C20:C23)</f>
        <v>2461.9706424870469</v>
      </c>
      <c r="D19" s="21">
        <f t="shared" ref="D19:H19" si="13">SUM(D20:D23)</f>
        <v>0</v>
      </c>
      <c r="E19" s="21">
        <f t="shared" si="13"/>
        <v>2461.9706424870469</v>
      </c>
      <c r="F19" s="21">
        <f t="shared" si="13"/>
        <v>4751.6033400000006</v>
      </c>
      <c r="G19" s="21">
        <f t="shared" si="13"/>
        <v>0</v>
      </c>
      <c r="H19" s="21">
        <f t="shared" si="13"/>
        <v>4751.6033400000006</v>
      </c>
      <c r="I19" s="49">
        <f t="shared" si="3"/>
        <v>9.1245602566273412E-2</v>
      </c>
      <c r="J19" s="49">
        <f t="shared" si="5"/>
        <v>2.461970642487047E-2</v>
      </c>
    </row>
    <row r="20" spans="1:10" s="5" customFormat="1" ht="66" customHeight="1" x14ac:dyDescent="0.25">
      <c r="A20" s="31" t="s">
        <v>67</v>
      </c>
      <c r="B20" s="38" t="str">
        <f>'MATRIZ  INVEST.'!B38</f>
        <v>Implantação do sistema de informações turísticas (inventariação turística, estudos e pesquisas de demanda, oferta, dados socioeconômicos do turismo) para turismo de sol e praia, turismo cultural e ecoturismo</v>
      </c>
      <c r="C20" s="72">
        <f>'MATRIZ  INVEST.'!C38</f>
        <v>1347.1516606217617</v>
      </c>
      <c r="D20" s="72">
        <f>'MATRIZ  INVEST.'!D38</f>
        <v>0</v>
      </c>
      <c r="E20" s="73">
        <f>'MATRIZ  INVEST.'!E38</f>
        <v>1347.1516606217617</v>
      </c>
      <c r="F20" s="74">
        <f t="shared" ref="F20:F23" si="14">C20*1.93</f>
        <v>2600.0027049999999</v>
      </c>
      <c r="G20" s="74">
        <f t="shared" ref="G20:G23" si="15">D20*1.93</f>
        <v>0</v>
      </c>
      <c r="H20" s="74">
        <f t="shared" ref="H20:H23" si="16">E20*1.93</f>
        <v>2600.0027049999999</v>
      </c>
      <c r="I20" s="75">
        <f t="shared" si="3"/>
        <v>4.9928160352641256E-2</v>
      </c>
      <c r="J20" s="75">
        <f t="shared" si="5"/>
        <v>1.3471516606217615E-2</v>
      </c>
    </row>
    <row r="21" spans="1:10" s="5" customFormat="1" ht="42" customHeight="1" x14ac:dyDescent="0.25">
      <c r="A21" s="31" t="s">
        <v>68</v>
      </c>
      <c r="B21" s="38" t="str">
        <f>'MATRIZ  INVEST.'!B40</f>
        <v>Elaboração do Plano de Gestão dos Destinos Turísticos</v>
      </c>
      <c r="C21" s="72">
        <f>'MATRIZ  INVEST.'!C40</f>
        <v>310.87691658031093</v>
      </c>
      <c r="D21" s="72">
        <f>'MATRIZ  INVEST.'!D40</f>
        <v>0</v>
      </c>
      <c r="E21" s="73">
        <f>'MATRIZ  INVEST.'!E40</f>
        <v>310.87691658031093</v>
      </c>
      <c r="F21" s="74">
        <f t="shared" si="14"/>
        <v>599.99244900000008</v>
      </c>
      <c r="G21" s="74">
        <f t="shared" si="15"/>
        <v>0</v>
      </c>
      <c r="H21" s="74">
        <f t="shared" si="16"/>
        <v>599.99244900000008</v>
      </c>
      <c r="I21" s="75">
        <f t="shared" si="3"/>
        <v>1.1521726168375636E-2</v>
      </c>
      <c r="J21" s="75">
        <f t="shared" si="5"/>
        <v>3.108769165803109E-3</v>
      </c>
    </row>
    <row r="22" spans="1:10" s="5" customFormat="1" ht="53.25" customHeight="1" x14ac:dyDescent="0.25">
      <c r="A22" s="31" t="s">
        <v>106</v>
      </c>
      <c r="B22" s="38" t="str">
        <f>'MATRIZ  INVEST.'!B42</f>
        <v>Elaboração de diagnósticos e planos da gestão municipal do turismo e incentivos para fiscalização</v>
      </c>
      <c r="C22" s="72">
        <f>'MATRIZ  INVEST.'!C42</f>
        <v>120</v>
      </c>
      <c r="D22" s="72">
        <f>'MATRIZ  INVEST.'!D42</f>
        <v>0</v>
      </c>
      <c r="E22" s="73">
        <f>'MATRIZ  INVEST.'!E42</f>
        <v>120</v>
      </c>
      <c r="F22" s="74">
        <f t="shared" si="14"/>
        <v>231.6</v>
      </c>
      <c r="G22" s="74">
        <f t="shared" si="15"/>
        <v>0</v>
      </c>
      <c r="H22" s="74">
        <f t="shared" si="16"/>
        <v>231.6</v>
      </c>
      <c r="I22" s="75">
        <f t="shared" si="3"/>
        <v>4.4474422720539881E-3</v>
      </c>
      <c r="J22" s="75">
        <f t="shared" si="5"/>
        <v>1.1999999999999999E-3</v>
      </c>
    </row>
    <row r="23" spans="1:10" s="5" customFormat="1" ht="36" customHeight="1" x14ac:dyDescent="0.25">
      <c r="A23" s="31" t="s">
        <v>107</v>
      </c>
      <c r="B23" s="38" t="str">
        <f>'MATRIZ  INVEST.'!B48</f>
        <v>Sistema de gerenciamento do Programa</v>
      </c>
      <c r="C23" s="72">
        <f>'MATRIZ  INVEST.'!C48</f>
        <v>683.94206528497421</v>
      </c>
      <c r="D23" s="72">
        <f>'MATRIZ  INVEST.'!D48</f>
        <v>0</v>
      </c>
      <c r="E23" s="73">
        <f>'MATRIZ  INVEST.'!E48</f>
        <v>683.94206528497421</v>
      </c>
      <c r="F23" s="74">
        <f t="shared" si="14"/>
        <v>1320.0081860000003</v>
      </c>
      <c r="G23" s="74">
        <f t="shared" si="15"/>
        <v>0</v>
      </c>
      <c r="H23" s="74">
        <f t="shared" si="16"/>
        <v>1320.0081860000003</v>
      </c>
      <c r="I23" s="75">
        <f t="shared" si="3"/>
        <v>2.5348273773202527E-2</v>
      </c>
      <c r="J23" s="75">
        <f t="shared" si="5"/>
        <v>6.8394206528497418E-3</v>
      </c>
    </row>
    <row r="24" spans="1:10" s="18" customFormat="1" ht="39.6" customHeight="1" x14ac:dyDescent="0.25">
      <c r="A24" s="24">
        <v>4</v>
      </c>
      <c r="B24" s="24" t="s">
        <v>69</v>
      </c>
      <c r="C24" s="25">
        <f>C25</f>
        <v>0</v>
      </c>
      <c r="D24" s="25">
        <f t="shared" ref="D24:H24" si="17">D25</f>
        <v>9519.0396217616581</v>
      </c>
      <c r="E24" s="25">
        <f t="shared" si="17"/>
        <v>9519.0396217616581</v>
      </c>
      <c r="F24" s="25">
        <f t="shared" si="17"/>
        <v>0</v>
      </c>
      <c r="G24" s="25">
        <f t="shared" si="17"/>
        <v>18371.746469999998</v>
      </c>
      <c r="H24" s="25">
        <f t="shared" si="17"/>
        <v>18371.746469999998</v>
      </c>
      <c r="I24" s="49">
        <f t="shared" si="3"/>
        <v>0.35279482669316337</v>
      </c>
      <c r="J24" s="49">
        <f t="shared" si="5"/>
        <v>9.5190396217616574E-2</v>
      </c>
    </row>
    <row r="25" spans="1:10" s="5" customFormat="1" ht="58.5" customHeight="1" x14ac:dyDescent="0.25">
      <c r="A25" s="52" t="s">
        <v>70</v>
      </c>
      <c r="B25" s="38" t="str">
        <f>'MATRIZ  INVEST.'!B50</f>
        <v>Desmonte do morro da piçarra para viabilizar ampliação da pista de pouso e decolagem (PPD) cabeceira 29</v>
      </c>
      <c r="C25" s="72">
        <f>'MATRIZ  INVEST.'!C50</f>
        <v>0</v>
      </c>
      <c r="D25" s="72">
        <f>'MATRIZ  INVEST.'!D50</f>
        <v>9519.0396217616581</v>
      </c>
      <c r="E25" s="68">
        <f>'MATRIZ  INVEST.'!E50</f>
        <v>9519.0396217616581</v>
      </c>
      <c r="F25" s="74">
        <f t="shared" ref="F25" si="18">C25*1.93</f>
        <v>0</v>
      </c>
      <c r="G25" s="74">
        <f t="shared" ref="G25" si="19">D25*1.93</f>
        <v>18371.746469999998</v>
      </c>
      <c r="H25" s="74">
        <f t="shared" ref="H25" si="20">E25*1.93</f>
        <v>18371.746469999998</v>
      </c>
      <c r="I25" s="75">
        <f t="shared" si="3"/>
        <v>0.35279482669316337</v>
      </c>
      <c r="J25" s="75">
        <f t="shared" si="5"/>
        <v>9.5190396217616574E-2</v>
      </c>
    </row>
    <row r="26" spans="1:10" s="18" customFormat="1" ht="34.9" customHeight="1" x14ac:dyDescent="0.25">
      <c r="A26" s="26">
        <v>5</v>
      </c>
      <c r="B26" s="43" t="s">
        <v>75</v>
      </c>
      <c r="C26" s="27">
        <f t="shared" ref="C26:H26" si="21">SUM(C27:C28)</f>
        <v>1446.2655663212436</v>
      </c>
      <c r="D26" s="27">
        <f t="shared" si="21"/>
        <v>0</v>
      </c>
      <c r="E26" s="27">
        <f t="shared" si="21"/>
        <v>1446.2655663212436</v>
      </c>
      <c r="F26" s="27">
        <f t="shared" si="21"/>
        <v>2791.292543</v>
      </c>
      <c r="G26" s="27">
        <f t="shared" si="21"/>
        <v>0</v>
      </c>
      <c r="H26" s="27">
        <f t="shared" si="21"/>
        <v>2791.292543</v>
      </c>
      <c r="I26" s="49">
        <f t="shared" si="3"/>
        <v>5.3601521802276668E-2</v>
      </c>
      <c r="J26" s="49">
        <f t="shared" si="5"/>
        <v>1.4462655663212436E-2</v>
      </c>
    </row>
    <row r="27" spans="1:10" s="5" customFormat="1" ht="87" customHeight="1" x14ac:dyDescent="0.25">
      <c r="A27" s="54" t="s">
        <v>76</v>
      </c>
      <c r="B27" s="45" t="str">
        <f>'MATRIZ  INVEST.'!B57</f>
        <v>Estudos de Avaliação de Limites de Mudanças aceitavéis e monitoreo do turismo em quatro áreas turísticas críticas (trilha do cangaço-Grota do Angico, Brejo grande, Litoral Norte e Indiaroba-Sta Luzia do Itanhy)</v>
      </c>
      <c r="C27" s="68">
        <f>'MATRIZ  INVEST.'!C57</f>
        <v>1036.2655663212436</v>
      </c>
      <c r="D27" s="72">
        <f>'MATRIZ  INVEST.'!D57</f>
        <v>0</v>
      </c>
      <c r="E27" s="68">
        <f>'MATRIZ  INVEST.'!E57</f>
        <v>1036.2655663212436</v>
      </c>
      <c r="F27" s="74">
        <f t="shared" ref="F27:F28" si="22">C27*1.93</f>
        <v>1999.9925430000001</v>
      </c>
      <c r="G27" s="74">
        <f t="shared" ref="G27:G28" si="23">D27*1.93</f>
        <v>0</v>
      </c>
      <c r="H27" s="74">
        <f t="shared" ref="H27:H28" si="24">E27*1.93</f>
        <v>1999.9925430000001</v>
      </c>
      <c r="I27" s="75">
        <f t="shared" si="3"/>
        <v>3.8406094039425541E-2</v>
      </c>
      <c r="J27" s="75">
        <f t="shared" si="5"/>
        <v>1.0362655663212435E-2</v>
      </c>
    </row>
    <row r="28" spans="1:10" s="65" customFormat="1" ht="60" customHeight="1" x14ac:dyDescent="0.2">
      <c r="A28" s="54" t="s">
        <v>77</v>
      </c>
      <c r="B28" s="38" t="str">
        <f>[1]!'!Sólo desembolso BID!R12C2'</f>
        <v>Execução do Plano de Capacitação Profissional empresarial para o turismo</v>
      </c>
      <c r="C28" s="72">
        <f>'MATRIZ  INVEST.'!C65</f>
        <v>410</v>
      </c>
      <c r="D28" s="72">
        <f>'MATRIZ  INVEST.'!D65</f>
        <v>0</v>
      </c>
      <c r="E28" s="68">
        <f>'MATRIZ  INVEST.'!E65</f>
        <v>410</v>
      </c>
      <c r="F28" s="74">
        <f t="shared" si="22"/>
        <v>791.3</v>
      </c>
      <c r="G28" s="74">
        <f t="shared" si="23"/>
        <v>0</v>
      </c>
      <c r="H28" s="74">
        <f t="shared" si="24"/>
        <v>791.3</v>
      </c>
      <c r="I28" s="76">
        <f t="shared" ref="I28" si="25">H28/H$29</f>
        <v>1.5195427762851127E-2</v>
      </c>
      <c r="J28" s="76">
        <f t="shared" si="5"/>
        <v>4.0999999999999995E-3</v>
      </c>
    </row>
    <row r="29" spans="1:10" s="18" customFormat="1" ht="36" customHeight="1" x14ac:dyDescent="0.25">
      <c r="A29" s="137" t="s">
        <v>168</v>
      </c>
      <c r="B29" s="138"/>
      <c r="C29" s="27">
        <f t="shared" ref="C29:I29" si="26">C11+C16+C19+C24+C26</f>
        <v>13459.177586010363</v>
      </c>
      <c r="D29" s="27">
        <f t="shared" si="26"/>
        <v>13522.622887046633</v>
      </c>
      <c r="E29" s="27">
        <f t="shared" si="26"/>
        <v>26981.800473056996</v>
      </c>
      <c r="F29" s="27">
        <f t="shared" si="26"/>
        <v>25976.212741000003</v>
      </c>
      <c r="G29" s="27">
        <f t="shared" si="26"/>
        <v>26098.662171999997</v>
      </c>
      <c r="H29" s="27">
        <f t="shared" si="26"/>
        <v>52074.874913000007</v>
      </c>
      <c r="I29" s="77">
        <f t="shared" si="26"/>
        <v>0.99999999999999989</v>
      </c>
      <c r="J29" s="77">
        <f t="shared" si="5"/>
        <v>0.26981800473056999</v>
      </c>
    </row>
    <row r="30" spans="1:10" s="18" customFormat="1" ht="36" customHeight="1" x14ac:dyDescent="0.25">
      <c r="A30" s="69"/>
      <c r="B30" s="69"/>
      <c r="C30" s="70"/>
      <c r="D30" s="70"/>
      <c r="E30" s="70"/>
      <c r="F30" s="70"/>
      <c r="G30" s="70"/>
      <c r="H30" s="70"/>
      <c r="I30" s="71"/>
    </row>
    <row r="31" spans="1:10" s="1" customFormat="1" ht="18" x14ac:dyDescent="0.25">
      <c r="A31" s="15"/>
      <c r="B31" s="78" t="s">
        <v>151</v>
      </c>
      <c r="C31" s="55"/>
      <c r="D31" s="55"/>
      <c r="E31" s="55"/>
      <c r="F31" s="55"/>
      <c r="G31" s="55"/>
      <c r="H31" s="55"/>
      <c r="I31" s="55"/>
    </row>
    <row r="32" spans="1:10" s="1" customFormat="1" ht="15.75" x14ac:dyDescent="0.25">
      <c r="A32" s="15"/>
      <c r="B32" s="78" t="s">
        <v>166</v>
      </c>
      <c r="D32" s="3"/>
      <c r="E32" s="3"/>
      <c r="G32" s="3"/>
      <c r="H32" s="3"/>
      <c r="I32" s="8"/>
    </row>
    <row r="33" spans="1:9" s="1" customFormat="1" ht="15.75" x14ac:dyDescent="0.25">
      <c r="A33" s="15"/>
      <c r="B33" s="78" t="s">
        <v>167</v>
      </c>
      <c r="D33" s="3"/>
      <c r="E33" s="3"/>
      <c r="G33" s="3"/>
      <c r="H33" s="3"/>
      <c r="I33" s="3"/>
    </row>
    <row r="34" spans="1:9" s="1" customFormat="1" ht="19.5" x14ac:dyDescent="0.25">
      <c r="A34" s="15"/>
      <c r="B34" s="7"/>
      <c r="D34" s="3"/>
      <c r="E34" s="64"/>
      <c r="G34" s="3"/>
      <c r="H34" s="64"/>
      <c r="I34" s="64"/>
    </row>
    <row r="35" spans="1:9" s="1" customFormat="1" ht="14.25" x14ac:dyDescent="0.25">
      <c r="A35" s="15"/>
      <c r="B35" s="7"/>
      <c r="D35" s="3"/>
      <c r="E35" s="3"/>
      <c r="G35" s="3"/>
      <c r="H35" s="3"/>
      <c r="I35" s="3"/>
    </row>
    <row r="36" spans="1:9" s="1" customFormat="1" ht="14.25" x14ac:dyDescent="0.25">
      <c r="A36" s="15"/>
      <c r="B36" s="7"/>
      <c r="D36" s="3"/>
      <c r="E36" s="3"/>
      <c r="G36" s="3"/>
      <c r="H36" s="3"/>
      <c r="I36" s="3"/>
    </row>
    <row r="37" spans="1:9" s="1" customFormat="1" ht="14.25" x14ac:dyDescent="0.25">
      <c r="A37" s="15"/>
      <c r="B37" s="7"/>
      <c r="D37" s="3"/>
      <c r="E37" s="3"/>
      <c r="G37" s="3"/>
      <c r="H37" s="3"/>
      <c r="I37" s="3"/>
    </row>
  </sheetData>
  <mergeCells count="15">
    <mergeCell ref="A29:B29"/>
    <mergeCell ref="E7:E10"/>
    <mergeCell ref="G7:G10"/>
    <mergeCell ref="H7:H10"/>
    <mergeCell ref="I7:I10"/>
    <mergeCell ref="J7:J10"/>
    <mergeCell ref="A1:I1"/>
    <mergeCell ref="A2:I2"/>
    <mergeCell ref="A3:I3"/>
    <mergeCell ref="A5:I5"/>
    <mergeCell ref="A7:A10"/>
    <mergeCell ref="B7:B10"/>
    <mergeCell ref="C7:C10"/>
    <mergeCell ref="D7:D10"/>
    <mergeCell ref="F7:F10"/>
  </mergeCells>
  <pageMargins left="0.31496062992125984" right="0.31496062992125984" top="0.39370078740157483" bottom="0.39370078740157483" header="0.31496062992125984" footer="0.31496062992125984"/>
  <pageSetup paperSize="9" scale="50" orientation="landscape" r:id="rId1"/>
  <rowBreaks count="1" manualBreakCount="1">
    <brk id="23" max="9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8193" r:id="rId4">
          <objectPr defaultSize="0" autoPict="0" r:id="rId5">
            <anchor moveWithCells="1" sizeWithCells="1">
              <from>
                <xdr:col>6</xdr:col>
                <xdr:colOff>0</xdr:colOff>
                <xdr:row>0</xdr:row>
                <xdr:rowOff>9525</xdr:rowOff>
              </from>
              <to>
                <xdr:col>6</xdr:col>
                <xdr:colOff>0</xdr:colOff>
                <xdr:row>4</xdr:row>
                <xdr:rowOff>142875</xdr:rowOff>
              </to>
            </anchor>
          </objectPr>
        </oleObject>
      </mc:Choice>
      <mc:Fallback>
        <oleObject progId="Word.Picture.8" shapeId="8193" r:id="rId4"/>
      </mc:Fallback>
    </mc:AlternateContent>
    <mc:AlternateContent xmlns:mc="http://schemas.openxmlformats.org/markup-compatibility/2006">
      <mc:Choice Requires="x14">
        <oleObject progId="Word.Picture.8" shapeId="8194" r:id="rId6">
          <objectPr defaultSize="0" autoPict="0" r:id="rId5">
            <anchor moveWithCells="1" sizeWithCells="1">
              <from>
                <xdr:col>3</xdr:col>
                <xdr:colOff>0</xdr:colOff>
                <xdr:row>0</xdr:row>
                <xdr:rowOff>9525</xdr:rowOff>
              </from>
              <to>
                <xdr:col>3</xdr:col>
                <xdr:colOff>0</xdr:colOff>
                <xdr:row>4</xdr:row>
                <xdr:rowOff>142875</xdr:rowOff>
              </to>
            </anchor>
          </objectPr>
        </oleObject>
      </mc:Choice>
      <mc:Fallback>
        <oleObject progId="Word.Picture.8" shapeId="8194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75"/>
  <sheetViews>
    <sheetView showGridLines="0" tabSelected="1" zoomScale="60" zoomScaleNormal="60" zoomScaleSheetLayoutView="50" workbookViewId="0">
      <pane xSplit="3" ySplit="3" topLeftCell="D49" activePane="bottomRight" state="frozenSplit"/>
      <selection pane="topRight" activeCell="E1" sqref="E1"/>
      <selection pane="bottomLeft" activeCell="A7" sqref="A7"/>
      <selection pane="bottomRight" activeCell="D62" sqref="D62"/>
    </sheetView>
  </sheetViews>
  <sheetFormatPr defaultColWidth="9.140625" defaultRowHeight="17.25" x14ac:dyDescent="0.2"/>
  <cols>
    <col min="1" max="1" width="6.5703125" style="79" customWidth="1"/>
    <col min="2" max="2" width="11.28515625" style="93" customWidth="1"/>
    <col min="3" max="3" width="13.7109375" style="81" customWidth="1"/>
    <col min="4" max="4" width="54" style="92" customWidth="1"/>
    <col min="5" max="5" width="15.85546875" style="81" customWidth="1"/>
    <col min="6" max="6" width="28.7109375" style="81" bestFit="1" customWidth="1"/>
    <col min="7" max="7" width="10.28515625" style="104" bestFit="1" customWidth="1"/>
    <col min="8" max="8" width="11.42578125" style="104" bestFit="1" customWidth="1"/>
    <col min="9" max="9" width="11.7109375" style="81" customWidth="1"/>
    <col min="10" max="10" width="15.7109375" style="94" customWidth="1"/>
    <col min="11" max="11" width="17.28515625" style="94" bestFit="1" customWidth="1"/>
    <col min="12" max="12" width="13.28515625" style="81" customWidth="1"/>
    <col min="13" max="13" width="21.28515625" style="93" customWidth="1"/>
    <col min="14" max="14" width="12.42578125" style="92" customWidth="1"/>
    <col min="15" max="15" width="9.140625" style="81"/>
    <col min="16" max="16" width="19.7109375" style="81" customWidth="1"/>
    <col min="17" max="17" width="11.7109375" style="81" bestFit="1" customWidth="1"/>
    <col min="18" max="16384" width="9.140625" style="81"/>
  </cols>
  <sheetData>
    <row r="1" spans="1:17" ht="61.15" customHeight="1" x14ac:dyDescent="0.2">
      <c r="B1" s="140" t="s">
        <v>171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80"/>
    </row>
    <row r="2" spans="1:17" ht="31.15" customHeight="1" x14ac:dyDescent="0.2">
      <c r="A2" s="143" t="s">
        <v>122</v>
      </c>
      <c r="B2" s="143" t="s">
        <v>98</v>
      </c>
      <c r="C2" s="143" t="s">
        <v>1</v>
      </c>
      <c r="D2" s="144" t="s">
        <v>0</v>
      </c>
      <c r="E2" s="144" t="s">
        <v>34</v>
      </c>
      <c r="F2" s="144" t="s">
        <v>2</v>
      </c>
      <c r="G2" s="141" t="s">
        <v>5</v>
      </c>
      <c r="H2" s="141"/>
      <c r="I2" s="144" t="s">
        <v>10</v>
      </c>
      <c r="J2" s="142" t="s">
        <v>8</v>
      </c>
      <c r="K2" s="142"/>
      <c r="L2" s="144" t="s">
        <v>6</v>
      </c>
      <c r="M2" s="144" t="s">
        <v>4</v>
      </c>
      <c r="N2" s="80"/>
    </row>
    <row r="3" spans="1:17" ht="60" customHeight="1" x14ac:dyDescent="0.2">
      <c r="A3" s="143"/>
      <c r="B3" s="143"/>
      <c r="C3" s="143"/>
      <c r="D3" s="144"/>
      <c r="E3" s="144"/>
      <c r="F3" s="144"/>
      <c r="G3" s="102" t="s">
        <v>3</v>
      </c>
      <c r="H3" s="102" t="s">
        <v>97</v>
      </c>
      <c r="I3" s="144"/>
      <c r="J3" s="82" t="s">
        <v>9</v>
      </c>
      <c r="K3" s="83" t="s">
        <v>7</v>
      </c>
      <c r="L3" s="144"/>
      <c r="M3" s="144"/>
      <c r="N3" s="84"/>
    </row>
    <row r="4" spans="1:17" ht="36" customHeight="1" x14ac:dyDescent="0.2">
      <c r="A4" s="85"/>
      <c r="B4" s="145" t="s">
        <v>100</v>
      </c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7"/>
      <c r="N4" s="84"/>
    </row>
    <row r="5" spans="1:17" ht="34.5" x14ac:dyDescent="0.2">
      <c r="A5" s="85">
        <v>1</v>
      </c>
      <c r="B5" s="59" t="str">
        <f>'MATRIZ  INVEST.'!A12</f>
        <v>1.1</v>
      </c>
      <c r="C5" s="86" t="s">
        <v>101</v>
      </c>
      <c r="D5" s="11" t="str">
        <f>'MATRIZ  INVEST.'!B12</f>
        <v>Complementação da sinalização turística da Cidade de Aracaju - 4ª etapa</v>
      </c>
      <c r="E5" s="66">
        <f>'MATRIZ  INVEST.'!D12</f>
        <v>548.09345077720195</v>
      </c>
      <c r="F5" s="66" t="s">
        <v>137</v>
      </c>
      <c r="G5" s="103">
        <v>0</v>
      </c>
      <c r="H5" s="103">
        <v>1</v>
      </c>
      <c r="I5" s="66" t="s">
        <v>32</v>
      </c>
      <c r="J5" s="87">
        <v>41475</v>
      </c>
      <c r="K5" s="88">
        <f>J5+545</f>
        <v>42020</v>
      </c>
      <c r="L5" s="66" t="s">
        <v>33</v>
      </c>
      <c r="M5" s="66"/>
      <c r="N5" s="90"/>
      <c r="P5" s="91"/>
    </row>
    <row r="6" spans="1:17" x14ac:dyDescent="0.2">
      <c r="A6" s="85">
        <f>A5+1</f>
        <v>2</v>
      </c>
      <c r="B6" s="59" t="str">
        <f>'MATRIZ  INVEST.'!A15</f>
        <v>1.2.2</v>
      </c>
      <c r="C6" s="86" t="s">
        <v>101</v>
      </c>
      <c r="D6" s="12" t="str">
        <f>'MATRIZ  INVEST.'!B15</f>
        <v>Execução do projeto</v>
      </c>
      <c r="E6" s="66">
        <f>'MATRIZ  INVEST.'!D15</f>
        <v>3100</v>
      </c>
      <c r="F6" s="66" t="s">
        <v>137</v>
      </c>
      <c r="G6" s="103">
        <v>0</v>
      </c>
      <c r="H6" s="103">
        <v>1</v>
      </c>
      <c r="I6" s="66" t="s">
        <v>32</v>
      </c>
      <c r="J6" s="88">
        <v>41491</v>
      </c>
      <c r="K6" s="88">
        <f>J6+545</f>
        <v>42036</v>
      </c>
      <c r="L6" s="66" t="s">
        <v>33</v>
      </c>
      <c r="M6" s="66"/>
      <c r="N6" s="90"/>
      <c r="P6" s="91"/>
    </row>
    <row r="7" spans="1:17" ht="51.75" x14ac:dyDescent="0.2">
      <c r="A7" s="114">
        <f t="shared" ref="A7:A13" si="0">A6+1</f>
        <v>3</v>
      </c>
      <c r="B7" s="59" t="str">
        <f>'MATRIZ  INVEST.'!A22</f>
        <v>1.7.2</v>
      </c>
      <c r="C7" s="86" t="s">
        <v>101</v>
      </c>
      <c r="D7" s="12" t="str">
        <f>'MATRIZ  INVEST.'!B22</f>
        <v>Adequação e modernização de museus (programação visual, equipamentos interativos, etc.)</v>
      </c>
      <c r="E7" s="66">
        <f>'MATRIZ  INVEST.'!D22</f>
        <v>1200</v>
      </c>
      <c r="F7" s="66" t="s">
        <v>137</v>
      </c>
      <c r="G7" s="103">
        <v>0</v>
      </c>
      <c r="H7" s="103">
        <v>1</v>
      </c>
      <c r="I7" s="66" t="s">
        <v>32</v>
      </c>
      <c r="J7" s="88">
        <v>41675</v>
      </c>
      <c r="K7" s="88">
        <f>J7+845</f>
        <v>42520</v>
      </c>
      <c r="L7" s="66" t="s">
        <v>33</v>
      </c>
      <c r="M7" s="66"/>
      <c r="N7" s="90"/>
      <c r="P7" s="91"/>
    </row>
    <row r="8" spans="1:17" ht="34.5" x14ac:dyDescent="0.2">
      <c r="A8" s="114">
        <f t="shared" si="0"/>
        <v>4</v>
      </c>
      <c r="B8" s="59" t="str">
        <f>'MATRIZ  INVEST.'!A23</f>
        <v>1.8</v>
      </c>
      <c r="C8" s="86" t="s">
        <v>101</v>
      </c>
      <c r="D8" s="12" t="str">
        <f>'MATRIZ  INVEST.'!B23</f>
        <v>Adequação da trilha do cangaço (abertura de trilha, sinalização, melhoria)</v>
      </c>
      <c r="E8" s="66">
        <f>'MATRIZ  INVEST.'!D23</f>
        <v>160</v>
      </c>
      <c r="F8" s="66" t="s">
        <v>134</v>
      </c>
      <c r="G8" s="103">
        <v>0</v>
      </c>
      <c r="H8" s="103">
        <v>1</v>
      </c>
      <c r="I8" s="66" t="s">
        <v>32</v>
      </c>
      <c r="J8" s="88">
        <v>41641</v>
      </c>
      <c r="K8" s="88">
        <f>J8+575</f>
        <v>42216</v>
      </c>
      <c r="L8" s="66" t="s">
        <v>33</v>
      </c>
      <c r="M8" s="66"/>
      <c r="N8" s="90"/>
      <c r="P8" s="91"/>
      <c r="Q8" s="91"/>
    </row>
    <row r="9" spans="1:17" ht="51.75" x14ac:dyDescent="0.2">
      <c r="A9" s="114">
        <f t="shared" si="0"/>
        <v>5</v>
      </c>
      <c r="B9" s="59" t="str">
        <f>'MATRIZ  INVEST.'!A47</f>
        <v>3.8.2</v>
      </c>
      <c r="C9" s="86" t="s">
        <v>11</v>
      </c>
      <c r="D9" s="12" t="str">
        <f>'MATRIZ  INVEST.'!B47</f>
        <v>Aquisição de equipamentos da Galeria Ana Maria para instalação de nova sede da SETUR</v>
      </c>
      <c r="E9" s="66">
        <f>'MATRIZ  INVEST.'!C47+'MATRIZ  INVEST.'!D47</f>
        <v>380</v>
      </c>
      <c r="F9" s="66" t="s">
        <v>14</v>
      </c>
      <c r="G9" s="103">
        <f>'MATRIZ  INVEST.'!C47/E9</f>
        <v>0.73684210526315785</v>
      </c>
      <c r="H9" s="103">
        <f>'MATRIZ  INVEST.'!D47/E9</f>
        <v>0.26315789473684209</v>
      </c>
      <c r="I9" s="66" t="s">
        <v>190</v>
      </c>
      <c r="J9" s="88">
        <v>42024</v>
      </c>
      <c r="K9" s="88">
        <v>42358</v>
      </c>
      <c r="L9" s="66" t="s">
        <v>33</v>
      </c>
      <c r="M9" s="66"/>
      <c r="N9" s="90"/>
    </row>
    <row r="10" spans="1:17" ht="51.75" x14ac:dyDescent="0.2">
      <c r="A10" s="114">
        <f t="shared" si="0"/>
        <v>6</v>
      </c>
      <c r="B10" s="59" t="str">
        <f>'MATRIZ  INVEST.'!A60</f>
        <v>5.2.2</v>
      </c>
      <c r="C10" s="86" t="s">
        <v>101</v>
      </c>
      <c r="D10" s="12" t="str">
        <f>'MATRIZ  INVEST.'!B60</f>
        <v>Implementação das ações de educação e sensibilização do turista, entidades e comunidades receptoras</v>
      </c>
      <c r="E10" s="66">
        <f>'MATRIZ  INVEST.'!C60</f>
        <v>342.71442797927466</v>
      </c>
      <c r="F10" s="66" t="s">
        <v>14</v>
      </c>
      <c r="G10" s="103">
        <v>1</v>
      </c>
      <c r="H10" s="103">
        <v>0</v>
      </c>
      <c r="I10" s="66" t="s">
        <v>190</v>
      </c>
      <c r="J10" s="88">
        <v>41445</v>
      </c>
      <c r="K10" s="88">
        <f>J10+720+360</f>
        <v>42525</v>
      </c>
      <c r="L10" s="66" t="s">
        <v>33</v>
      </c>
      <c r="M10" s="66"/>
      <c r="N10" s="90"/>
    </row>
    <row r="11" spans="1:17" ht="51.75" x14ac:dyDescent="0.2">
      <c r="A11" s="114">
        <f t="shared" si="0"/>
        <v>7</v>
      </c>
      <c r="B11" s="59" t="str">
        <f>'MATRIZ  INVEST.'!A68</f>
        <v>5.5.2</v>
      </c>
      <c r="C11" s="86" t="s">
        <v>101</v>
      </c>
      <c r="D11" s="12" t="str">
        <f>'MATRIZ  INVEST.'!B68</f>
        <v>Financiamento de ações sociais e de fortalecimento institucional decorrente das ações dos Planos Intermunicipais</v>
      </c>
      <c r="E11" s="66">
        <f>'MATRIZ  INVEST.'!C68</f>
        <v>516.01687927461103</v>
      </c>
      <c r="F11" s="89"/>
      <c r="G11" s="103">
        <v>1</v>
      </c>
      <c r="H11" s="103">
        <v>0</v>
      </c>
      <c r="I11" s="66" t="s">
        <v>31</v>
      </c>
      <c r="J11" s="88">
        <v>42024</v>
      </c>
      <c r="K11" s="88">
        <v>42525</v>
      </c>
      <c r="L11" s="66" t="s">
        <v>33</v>
      </c>
      <c r="M11" s="113"/>
      <c r="N11" s="90"/>
    </row>
    <row r="12" spans="1:17" ht="34.5" x14ac:dyDescent="0.2">
      <c r="A12" s="114">
        <f t="shared" si="0"/>
        <v>8</v>
      </c>
      <c r="B12" s="59" t="str">
        <f>'MATRIZ  INVEST.'!A63</f>
        <v>5.3.2</v>
      </c>
      <c r="C12" s="86" t="s">
        <v>101</v>
      </c>
      <c r="D12" s="12" t="str">
        <f>'MATRIZ  INVEST.'!B63</f>
        <v>Implementação das ações prioritárias do plano de manejo da AP do Litoral Norte</v>
      </c>
      <c r="E12" s="66">
        <f>'MATRIZ  INVEST.'!C63</f>
        <v>539.62241502590678</v>
      </c>
      <c r="F12" s="66" t="s">
        <v>14</v>
      </c>
      <c r="G12" s="103">
        <v>1</v>
      </c>
      <c r="H12" s="103">
        <v>0</v>
      </c>
      <c r="I12" s="66" t="s">
        <v>32</v>
      </c>
      <c r="J12" s="88">
        <v>42010</v>
      </c>
      <c r="K12" s="88">
        <f>J12+180</f>
        <v>42190</v>
      </c>
      <c r="L12" s="66" t="s">
        <v>33</v>
      </c>
      <c r="M12" s="66"/>
      <c r="N12" s="90"/>
    </row>
    <row r="13" spans="1:17" x14ac:dyDescent="0.2">
      <c r="A13" s="114">
        <f t="shared" si="0"/>
        <v>9</v>
      </c>
      <c r="B13" s="59" t="str">
        <f>'MATRIZ  INVEST.'!A83</f>
        <v>6.5</v>
      </c>
      <c r="C13" s="86" t="s">
        <v>101</v>
      </c>
      <c r="D13" s="12" t="str">
        <f>'MATRIZ  INVEST.'!B83</f>
        <v>Publicações de aquisições</v>
      </c>
      <c r="E13" s="66">
        <f>'MATRIZ  INVEST.'!C83</f>
        <v>77.720207253886016</v>
      </c>
      <c r="F13" s="66" t="s">
        <v>191</v>
      </c>
      <c r="G13" s="103">
        <v>1</v>
      </c>
      <c r="H13" s="103">
        <v>0</v>
      </c>
      <c r="I13" s="66" t="s">
        <v>190</v>
      </c>
      <c r="J13" s="88">
        <v>41294</v>
      </c>
      <c r="K13" s="88">
        <f>J13+545+360</f>
        <v>42199</v>
      </c>
      <c r="L13" s="66" t="s">
        <v>33</v>
      </c>
      <c r="M13" s="66"/>
      <c r="N13" s="90"/>
    </row>
    <row r="14" spans="1:17" ht="37.5" customHeight="1" x14ac:dyDescent="0.2">
      <c r="A14" s="85"/>
      <c r="B14" s="145" t="s">
        <v>203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7"/>
      <c r="N14" s="90"/>
    </row>
    <row r="15" spans="1:17" ht="34.5" x14ac:dyDescent="0.2">
      <c r="A15" s="85">
        <f>A13+1</f>
        <v>10</v>
      </c>
      <c r="B15" s="59" t="str">
        <f>'MATRIZ  INVEST.'!A14</f>
        <v>1.2.1</v>
      </c>
      <c r="C15" s="86" t="s">
        <v>12</v>
      </c>
      <c r="D15" s="12" t="str">
        <f>'MATRIZ  INVEST.'!B14</f>
        <v>Elaboração de projeto</v>
      </c>
      <c r="E15" s="66">
        <f>'MATRIZ  INVEST.'!D14</f>
        <v>355.489814507772</v>
      </c>
      <c r="F15" s="66" t="s">
        <v>135</v>
      </c>
      <c r="G15" s="103">
        <v>0</v>
      </c>
      <c r="H15" s="103">
        <v>1</v>
      </c>
      <c r="I15" s="66" t="s">
        <v>32</v>
      </c>
      <c r="J15" s="88">
        <v>41475</v>
      </c>
      <c r="K15" s="88">
        <f>J15+180</f>
        <v>41655</v>
      </c>
      <c r="L15" s="66" t="s">
        <v>33</v>
      </c>
      <c r="M15" s="66"/>
      <c r="N15" s="90"/>
    </row>
    <row r="16" spans="1:17" ht="34.5" x14ac:dyDescent="0.2">
      <c r="A16" s="85">
        <f>A15+1</f>
        <v>11</v>
      </c>
      <c r="B16" s="59" t="str">
        <f>'MATRIZ  INVEST.'!A16</f>
        <v>1.3</v>
      </c>
      <c r="C16" s="86" t="s">
        <v>12</v>
      </c>
      <c r="D16" s="12" t="str">
        <f>'MATRIZ  INVEST.'!B16</f>
        <v>Execução do Plano de Capacitação profissional e empresarial para o turismo</v>
      </c>
      <c r="E16" s="66">
        <f>'MATRIZ  INVEST.'!C16</f>
        <v>2590.6776823834198</v>
      </c>
      <c r="F16" s="66" t="s">
        <v>35</v>
      </c>
      <c r="G16" s="103">
        <v>1</v>
      </c>
      <c r="H16" s="103">
        <v>0</v>
      </c>
      <c r="I16" s="66" t="s">
        <v>192</v>
      </c>
      <c r="J16" s="88">
        <v>41475</v>
      </c>
      <c r="K16" s="88">
        <f>J16+545+720+360</f>
        <v>43100</v>
      </c>
      <c r="L16" s="66" t="s">
        <v>33</v>
      </c>
      <c r="M16" s="66"/>
      <c r="N16" s="90"/>
    </row>
    <row r="17" spans="1:14" ht="103.5" x14ac:dyDescent="0.2">
      <c r="A17" s="114">
        <f t="shared" ref="A17:A51" si="1">A16+1</f>
        <v>12</v>
      </c>
      <c r="B17" s="59" t="str">
        <f>'MATRIZ  INVEST.'!A17</f>
        <v>1.4</v>
      </c>
      <c r="C17" s="86" t="s">
        <v>12</v>
      </c>
      <c r="D17" s="12" t="str">
        <f>'MATRIZ  INVEST.'!B17</f>
        <v>Estudo de inclusão social em turismo; diagnõstico e plano de incentivos a formalização; e assistência técnica à empresas turísticas para melhoria da qualidade dos serviços, gestão ambiental e responsabilidade social</v>
      </c>
      <c r="E17" s="66">
        <f>'MATRIZ  INVEST.'!C17</f>
        <v>1000</v>
      </c>
      <c r="F17" s="113" t="s">
        <v>17</v>
      </c>
      <c r="G17" s="103">
        <v>1</v>
      </c>
      <c r="H17" s="103">
        <v>0</v>
      </c>
      <c r="I17" s="113" t="s">
        <v>190</v>
      </c>
      <c r="J17" s="88">
        <v>41673</v>
      </c>
      <c r="K17" s="88">
        <f>J17+545</f>
        <v>42218</v>
      </c>
      <c r="L17" s="66" t="s">
        <v>33</v>
      </c>
      <c r="M17" s="66"/>
      <c r="N17" s="90"/>
    </row>
    <row r="18" spans="1:14" ht="34.5" x14ac:dyDescent="0.2">
      <c r="A18" s="114">
        <f t="shared" si="1"/>
        <v>13</v>
      </c>
      <c r="B18" s="59" t="str">
        <f>'MATRIZ  INVEST.'!A18</f>
        <v>1.5</v>
      </c>
      <c r="C18" s="86" t="s">
        <v>12</v>
      </c>
      <c r="D18" s="12" t="str">
        <f>'MATRIZ  INVEST.'!B18</f>
        <v>Fomento à qualidade do artesanato adequado à demanda turística</v>
      </c>
      <c r="E18" s="66">
        <f>'MATRIZ  INVEST.'!C18</f>
        <v>500</v>
      </c>
      <c r="F18" s="66" t="s">
        <v>17</v>
      </c>
      <c r="G18" s="103">
        <v>1</v>
      </c>
      <c r="H18" s="103">
        <v>0</v>
      </c>
      <c r="I18" s="66" t="s">
        <v>32</v>
      </c>
      <c r="J18" s="88">
        <v>42205</v>
      </c>
      <c r="K18" s="88">
        <f>J18+360</f>
        <v>42565</v>
      </c>
      <c r="L18" s="66" t="s">
        <v>33</v>
      </c>
      <c r="M18" s="66"/>
      <c r="N18" s="90"/>
    </row>
    <row r="19" spans="1:14" ht="34.5" x14ac:dyDescent="0.2">
      <c r="A19" s="114">
        <f t="shared" si="1"/>
        <v>14</v>
      </c>
      <c r="B19" s="59" t="str">
        <f>'MATRIZ  INVEST.'!A21</f>
        <v>1.7.1</v>
      </c>
      <c r="C19" s="86" t="s">
        <v>12</v>
      </c>
      <c r="D19" s="12" t="str">
        <f>'MATRIZ  INVEST.'!B21</f>
        <v>Estratégia de roteiros e produtos históricos culturais</v>
      </c>
      <c r="E19" s="66">
        <f>'MATRIZ  INVEST.'!C21</f>
        <v>155</v>
      </c>
      <c r="F19" s="66" t="s">
        <v>29</v>
      </c>
      <c r="G19" s="103">
        <v>1</v>
      </c>
      <c r="H19" s="103">
        <v>0</v>
      </c>
      <c r="I19" s="66" t="s">
        <v>32</v>
      </c>
      <c r="J19" s="88">
        <v>41475</v>
      </c>
      <c r="K19" s="88">
        <f>J19+200</f>
        <v>41675</v>
      </c>
      <c r="L19" s="66" t="s">
        <v>33</v>
      </c>
      <c r="M19" s="66"/>
      <c r="N19" s="90"/>
    </row>
    <row r="20" spans="1:14" ht="51.75" x14ac:dyDescent="0.2">
      <c r="A20" s="114">
        <f t="shared" si="1"/>
        <v>15</v>
      </c>
      <c r="B20" s="59" t="str">
        <f>'MATRIZ  INVEST.'!A26</f>
        <v>1.10.1</v>
      </c>
      <c r="C20" s="86" t="s">
        <v>12</v>
      </c>
      <c r="D20" s="12" t="str">
        <f>'MATRIZ  INVEST.'!B26</f>
        <v>Elaboração de projetos da adequação urbanística e delimitações das praias do litoral sul</v>
      </c>
      <c r="E20" s="66">
        <f>'MATRIZ  INVEST.'!C26</f>
        <v>200</v>
      </c>
      <c r="F20" s="66" t="s">
        <v>17</v>
      </c>
      <c r="G20" s="103">
        <v>1</v>
      </c>
      <c r="H20" s="103">
        <v>0</v>
      </c>
      <c r="I20" s="66" t="s">
        <v>190</v>
      </c>
      <c r="J20" s="88">
        <v>41475</v>
      </c>
      <c r="K20" s="88">
        <f>J20+180</f>
        <v>41655</v>
      </c>
      <c r="L20" s="66" t="s">
        <v>33</v>
      </c>
      <c r="M20" s="66"/>
      <c r="N20" s="90"/>
    </row>
    <row r="21" spans="1:14" ht="51.75" x14ac:dyDescent="0.2">
      <c r="A21" s="114">
        <f t="shared" si="1"/>
        <v>16</v>
      </c>
      <c r="B21" s="59" t="str">
        <f>'MATRIZ  INVEST.'!A28</f>
        <v>1.11</v>
      </c>
      <c r="C21" s="86" t="s">
        <v>12</v>
      </c>
      <c r="D21" s="12" t="str">
        <f>'MATRIZ  INVEST.'!B28</f>
        <v>Estudo de circuitos de ecoturismo no Rio São Francisco e Costa marítima atendida pelo programa.</v>
      </c>
      <c r="E21" s="66">
        <f>'MATRIZ  INVEST.'!C28</f>
        <v>173.21111347150259</v>
      </c>
      <c r="F21" s="66" t="s">
        <v>29</v>
      </c>
      <c r="G21" s="103">
        <v>1</v>
      </c>
      <c r="H21" s="103">
        <v>0</v>
      </c>
      <c r="I21" s="66" t="s">
        <v>190</v>
      </c>
      <c r="J21" s="88">
        <v>41840</v>
      </c>
      <c r="K21" s="88">
        <f>J21+180</f>
        <v>42020</v>
      </c>
      <c r="L21" s="66" t="s">
        <v>33</v>
      </c>
      <c r="M21" s="66"/>
      <c r="N21" s="90"/>
    </row>
    <row r="22" spans="1:14" ht="69" x14ac:dyDescent="0.2">
      <c r="A22" s="114">
        <f t="shared" si="1"/>
        <v>17</v>
      </c>
      <c r="B22" s="59" t="str">
        <f>'MATRIZ  INVEST.'!A30</f>
        <v>1.13</v>
      </c>
      <c r="C22" s="86" t="s">
        <v>12</v>
      </c>
      <c r="D22" s="12" t="str">
        <f>'MATRIZ  INVEST.'!B30</f>
        <v>Elaboração do estudo de viabilidade turística (análise de paisagem) da ação de complementação da rota paisagística em AP Litoral Norte</v>
      </c>
      <c r="E22" s="66">
        <f>'MATRIZ  INVEST.'!C30</f>
        <v>600</v>
      </c>
      <c r="F22" s="66" t="s">
        <v>18</v>
      </c>
      <c r="G22" s="103">
        <v>1</v>
      </c>
      <c r="H22" s="103">
        <v>0</v>
      </c>
      <c r="I22" s="66" t="s">
        <v>31</v>
      </c>
      <c r="J22" s="88">
        <v>41475</v>
      </c>
      <c r="K22" s="88">
        <f>J22+210</f>
        <v>41685</v>
      </c>
      <c r="L22" s="66" t="s">
        <v>33</v>
      </c>
      <c r="M22" s="66"/>
      <c r="N22" s="90"/>
    </row>
    <row r="23" spans="1:14" ht="69" x14ac:dyDescent="0.2">
      <c r="A23" s="114">
        <f t="shared" si="1"/>
        <v>18</v>
      </c>
      <c r="B23" s="59" t="str">
        <f>'MATRIZ  INVEST.'!A32</f>
        <v>1.15</v>
      </c>
      <c r="C23" s="86" t="s">
        <v>12</v>
      </c>
      <c r="D23" s="12" t="str">
        <f>'MATRIZ  INVEST.'!B32</f>
        <v>Elaboração e implementação de 4 projetos de valoriazação de atrativos e roteirização turística nos quatro destinos prioritários dos Polos Costa dos Coqueirais e Velho Chico</v>
      </c>
      <c r="E23" s="66">
        <f>'MATRIZ  INVEST.'!C32+'MATRIZ  INVEST.'!D32</f>
        <v>4722.2375699482</v>
      </c>
      <c r="F23" s="113" t="s">
        <v>17</v>
      </c>
      <c r="G23" s="103">
        <f>'MATRIZ  INVEST.'!C32/E23</f>
        <v>0.31176694271320665</v>
      </c>
      <c r="H23" s="103">
        <f>'MATRIZ  INVEST.'!D32/E23</f>
        <v>0.68823305728679329</v>
      </c>
      <c r="I23" s="66" t="s">
        <v>31</v>
      </c>
      <c r="J23" s="88">
        <v>41294</v>
      </c>
      <c r="K23" s="88">
        <f>J23+545+360</f>
        <v>42199</v>
      </c>
      <c r="L23" s="66" t="s">
        <v>33</v>
      </c>
      <c r="M23" s="113"/>
      <c r="N23" s="90"/>
    </row>
    <row r="24" spans="1:14" ht="34.5" x14ac:dyDescent="0.2">
      <c r="A24" s="114">
        <f t="shared" si="1"/>
        <v>19</v>
      </c>
      <c r="B24" s="59">
        <f>'MATRIZ  INVEST.'!A34</f>
        <v>2.1</v>
      </c>
      <c r="C24" s="86" t="s">
        <v>12</v>
      </c>
      <c r="D24" s="12" t="str">
        <f>'MATRIZ  INVEST.'!B34</f>
        <v>Revisão e complementação do Plano de Marketing</v>
      </c>
      <c r="E24" s="113">
        <f>'MATRIZ  INVEST.'!C34</f>
        <v>518.13737202072537</v>
      </c>
      <c r="F24" s="113" t="s">
        <v>17</v>
      </c>
      <c r="G24" s="103">
        <v>1</v>
      </c>
      <c r="H24" s="103">
        <v>0</v>
      </c>
      <c r="I24" s="66" t="s">
        <v>31</v>
      </c>
      <c r="J24" s="88">
        <v>41475</v>
      </c>
      <c r="K24" s="88">
        <v>42935</v>
      </c>
      <c r="L24" s="66" t="s">
        <v>33</v>
      </c>
      <c r="M24" s="66"/>
      <c r="N24" s="90"/>
    </row>
    <row r="25" spans="1:14" ht="34.5" x14ac:dyDescent="0.2">
      <c r="A25" s="114">
        <f t="shared" si="1"/>
        <v>20</v>
      </c>
      <c r="B25" s="59">
        <f>'MATRIZ  INVEST.'!A35</f>
        <v>2.2000000000000002</v>
      </c>
      <c r="C25" s="86" t="s">
        <v>12</v>
      </c>
      <c r="D25" s="12" t="str">
        <f>'MATRIZ  INVEST.'!B35</f>
        <v>Execução do Plano de Marketing</v>
      </c>
      <c r="E25" s="113">
        <f>'MATRIZ  INVEST.'!C35</f>
        <v>5181.3461870466326</v>
      </c>
      <c r="F25" s="113" t="s">
        <v>35</v>
      </c>
      <c r="G25" s="103">
        <v>1</v>
      </c>
      <c r="H25" s="103">
        <v>0</v>
      </c>
      <c r="I25" s="113" t="s">
        <v>192</v>
      </c>
      <c r="J25" s="88">
        <v>42205</v>
      </c>
      <c r="K25" s="88">
        <v>42935</v>
      </c>
      <c r="L25" s="66" t="s">
        <v>33</v>
      </c>
      <c r="M25" s="66"/>
      <c r="N25" s="90"/>
    </row>
    <row r="26" spans="1:14" ht="34.5" x14ac:dyDescent="0.2">
      <c r="A26" s="114">
        <f t="shared" si="1"/>
        <v>21</v>
      </c>
      <c r="B26" s="59">
        <f>'MATRIZ  INVEST.'!A36</f>
        <v>2.2999999999999998</v>
      </c>
      <c r="C26" s="86" t="s">
        <v>12</v>
      </c>
      <c r="D26" s="12" t="str">
        <f>'MATRIZ  INVEST.'!B36</f>
        <v>Monitoramento do Plano de Marketing</v>
      </c>
      <c r="E26" s="113">
        <f>'MATRIZ  INVEST.'!C36</f>
        <v>518.13737202072537</v>
      </c>
      <c r="F26" s="66" t="s">
        <v>17</v>
      </c>
      <c r="G26" s="103">
        <v>1</v>
      </c>
      <c r="H26" s="103">
        <v>0</v>
      </c>
      <c r="I26" s="66" t="s">
        <v>31</v>
      </c>
      <c r="J26" s="88">
        <v>41475</v>
      </c>
      <c r="K26" s="88">
        <f>J26+360*5</f>
        <v>43275</v>
      </c>
      <c r="L26" s="66" t="s">
        <v>33</v>
      </c>
      <c r="M26" s="66"/>
      <c r="N26" s="90"/>
    </row>
    <row r="27" spans="1:14" ht="86.25" x14ac:dyDescent="0.2">
      <c r="A27" s="114">
        <f t="shared" si="1"/>
        <v>22</v>
      </c>
      <c r="B27" s="59" t="str">
        <f>'MATRIZ  INVEST.'!A38</f>
        <v>3.1</v>
      </c>
      <c r="C27" s="86" t="s">
        <v>12</v>
      </c>
      <c r="D27" s="12" t="str">
        <f>'MATRIZ  INVEST.'!B38</f>
        <v>Implantação do sistema de informações turísticas (inventariação turística, estudos e pesquisas de demanda, oferta, dados socioeconômicos do turismo) para turismo de sol e praia, turismo cultural e ecoturismo</v>
      </c>
      <c r="E27" s="66">
        <f>'MATRIZ  INVEST.'!C38</f>
        <v>1347.1516606217617</v>
      </c>
      <c r="F27" s="66" t="s">
        <v>17</v>
      </c>
      <c r="G27" s="103">
        <v>1</v>
      </c>
      <c r="H27" s="103">
        <v>0</v>
      </c>
      <c r="I27" s="66" t="s">
        <v>192</v>
      </c>
      <c r="J27" s="88">
        <v>41475</v>
      </c>
      <c r="K27" s="88">
        <f>J27+360*5</f>
        <v>43275</v>
      </c>
      <c r="L27" s="66" t="s">
        <v>33</v>
      </c>
      <c r="M27" s="66"/>
      <c r="N27" s="90"/>
    </row>
    <row r="28" spans="1:14" ht="34.5" x14ac:dyDescent="0.2">
      <c r="A28" s="114">
        <f t="shared" si="1"/>
        <v>23</v>
      </c>
      <c r="B28" s="59" t="str">
        <f>'MATRIZ  INVEST.'!A39</f>
        <v>3.2</v>
      </c>
      <c r="C28" s="86" t="s">
        <v>12</v>
      </c>
      <c r="D28" s="12" t="str">
        <f>'MATRIZ  INVEST.'!B39</f>
        <v>Revisão e atualização do PDITS Costa dos Coqueirais e Velho Chico</v>
      </c>
      <c r="E28" s="66">
        <f>'MATRIZ  INVEST.'!C39</f>
        <v>259.06868601036268</v>
      </c>
      <c r="F28" s="66" t="s">
        <v>117</v>
      </c>
      <c r="G28" s="103">
        <v>1</v>
      </c>
      <c r="H28" s="103">
        <v>0</v>
      </c>
      <c r="I28" s="66" t="s">
        <v>190</v>
      </c>
      <c r="J28" s="88">
        <v>41537</v>
      </c>
      <c r="K28" s="88">
        <f>J28+360</f>
        <v>41897</v>
      </c>
      <c r="L28" s="66" t="s">
        <v>33</v>
      </c>
      <c r="M28" s="66"/>
      <c r="N28" s="90"/>
    </row>
    <row r="29" spans="1:14" ht="34.5" x14ac:dyDescent="0.2">
      <c r="A29" s="114">
        <f t="shared" si="1"/>
        <v>24</v>
      </c>
      <c r="B29" s="59" t="str">
        <f>'MATRIZ  INVEST.'!A40</f>
        <v>3.3</v>
      </c>
      <c r="C29" s="86" t="s">
        <v>12</v>
      </c>
      <c r="D29" s="12" t="str">
        <f>'MATRIZ  INVEST.'!B40</f>
        <v>Elaboração do Plano de Gestão dos Destinos Turísticos</v>
      </c>
      <c r="E29" s="66">
        <f>'MATRIZ  INVEST.'!C40</f>
        <v>310.87691658031093</v>
      </c>
      <c r="F29" s="66" t="s">
        <v>117</v>
      </c>
      <c r="G29" s="103">
        <v>1</v>
      </c>
      <c r="H29" s="103">
        <v>0</v>
      </c>
      <c r="I29" s="66" t="s">
        <v>32</v>
      </c>
      <c r="J29" s="88">
        <v>41475</v>
      </c>
      <c r="K29" s="88">
        <f>J29+545+180</f>
        <v>42200</v>
      </c>
      <c r="L29" s="66" t="s">
        <v>33</v>
      </c>
      <c r="M29" s="66"/>
      <c r="N29" s="90"/>
    </row>
    <row r="30" spans="1:14" ht="51.75" x14ac:dyDescent="0.2">
      <c r="A30" s="114">
        <f t="shared" si="1"/>
        <v>25</v>
      </c>
      <c r="B30" s="59" t="str">
        <f>'MATRIZ  INVEST.'!A41</f>
        <v>3.4</v>
      </c>
      <c r="C30" s="86" t="s">
        <v>12</v>
      </c>
      <c r="D30" s="12" t="str">
        <f>'MATRIZ  INVEST.'!B41</f>
        <v>Elaboração dos Planos Diretores  municipais (Pirambu, Brejo Grande e Santana do São Francisco)</v>
      </c>
      <c r="E30" s="66">
        <f>'MATRIZ  INVEST.'!C41</f>
        <v>533.67525233160632</v>
      </c>
      <c r="F30" s="66" t="s">
        <v>117</v>
      </c>
      <c r="G30" s="103">
        <v>1</v>
      </c>
      <c r="H30" s="103">
        <v>0</v>
      </c>
      <c r="I30" s="66" t="s">
        <v>190</v>
      </c>
      <c r="J30" s="88">
        <v>41659</v>
      </c>
      <c r="K30" s="88">
        <f>J30+720</f>
        <v>42379</v>
      </c>
      <c r="L30" s="66" t="s">
        <v>33</v>
      </c>
      <c r="M30" s="66"/>
      <c r="N30" s="90"/>
    </row>
    <row r="31" spans="1:14" ht="51.75" x14ac:dyDescent="0.2">
      <c r="A31" s="114">
        <f t="shared" si="1"/>
        <v>26</v>
      </c>
      <c r="B31" s="59" t="str">
        <f>'MATRIZ  INVEST.'!A42</f>
        <v>3.5</v>
      </c>
      <c r="C31" s="86" t="s">
        <v>12</v>
      </c>
      <c r="D31" s="12" t="str">
        <f>'MATRIZ  INVEST.'!B42</f>
        <v>Elaboração de diagnósticos e planos da gestão municipal do turismo e incentivos para fiscalização</v>
      </c>
      <c r="E31" s="66">
        <f>'MATRIZ  INVEST.'!C42</f>
        <v>120</v>
      </c>
      <c r="F31" s="66" t="s">
        <v>18</v>
      </c>
      <c r="G31" s="103">
        <v>1</v>
      </c>
      <c r="H31" s="103">
        <v>0</v>
      </c>
      <c r="I31" s="66" t="s">
        <v>190</v>
      </c>
      <c r="J31" s="88">
        <v>41475</v>
      </c>
      <c r="K31" s="88">
        <f>J31+160</f>
        <v>41635</v>
      </c>
      <c r="L31" s="66" t="s">
        <v>33</v>
      </c>
      <c r="M31" s="66"/>
      <c r="N31" s="90"/>
    </row>
    <row r="32" spans="1:14" ht="34.5" x14ac:dyDescent="0.2">
      <c r="A32" s="114">
        <f t="shared" si="1"/>
        <v>27</v>
      </c>
      <c r="B32" s="59" t="str">
        <f>'MATRIZ  INVEST.'!A43</f>
        <v>3.6</v>
      </c>
      <c r="C32" s="86" t="s">
        <v>12</v>
      </c>
      <c r="D32" s="12" t="str">
        <f>'MATRIZ  INVEST.'!B43</f>
        <v>Implementação do fortalecimento de gestão municipal do turismo</v>
      </c>
      <c r="E32" s="66">
        <f>'MATRIZ  INVEST.'!C43</f>
        <v>518.13737202072537</v>
      </c>
      <c r="F32" s="66" t="s">
        <v>117</v>
      </c>
      <c r="G32" s="103">
        <v>1</v>
      </c>
      <c r="H32" s="103">
        <v>0</v>
      </c>
      <c r="I32" s="66" t="s">
        <v>190</v>
      </c>
      <c r="J32" s="88">
        <v>41659</v>
      </c>
      <c r="K32" s="88">
        <f>J32+360*3</f>
        <v>42739</v>
      </c>
      <c r="L32" s="66" t="s">
        <v>33</v>
      </c>
      <c r="M32" s="66"/>
      <c r="N32" s="90"/>
    </row>
    <row r="33" spans="1:14" ht="51.75" x14ac:dyDescent="0.2">
      <c r="A33" s="114">
        <f t="shared" si="1"/>
        <v>28</v>
      </c>
      <c r="B33" s="59" t="str">
        <f>'MATRIZ  INVEST.'!A44</f>
        <v>3.7</v>
      </c>
      <c r="C33" s="86" t="s">
        <v>12</v>
      </c>
      <c r="D33" s="12" t="str">
        <f>'MATRIZ  INVEST.'!B44</f>
        <v>Implementação do fortalecimento institucional dos órgãos estaduais gestores de turismo</v>
      </c>
      <c r="E33" s="66">
        <f>'MATRIZ  INVEST.'!C44</f>
        <v>1510</v>
      </c>
      <c r="F33" s="66" t="s">
        <v>35</v>
      </c>
      <c r="G33" s="103">
        <v>1</v>
      </c>
      <c r="H33" s="103">
        <v>0</v>
      </c>
      <c r="I33" s="66" t="s">
        <v>31</v>
      </c>
      <c r="J33" s="88">
        <v>41475</v>
      </c>
      <c r="K33" s="88">
        <f>J33+360*3</f>
        <v>42555</v>
      </c>
      <c r="L33" s="66" t="s">
        <v>33</v>
      </c>
      <c r="M33" s="66"/>
      <c r="N33" s="90"/>
    </row>
    <row r="34" spans="1:14" ht="34.5" x14ac:dyDescent="0.2">
      <c r="A34" s="114">
        <f t="shared" si="1"/>
        <v>29</v>
      </c>
      <c r="B34" s="59" t="str">
        <f>'MATRIZ  INVEST.'!A48</f>
        <v>3.9</v>
      </c>
      <c r="C34" s="86" t="s">
        <v>12</v>
      </c>
      <c r="D34" s="12" t="str">
        <f>'MATRIZ  INVEST.'!B48</f>
        <v>Sistema de gerenciamento do Programa</v>
      </c>
      <c r="E34" s="66">
        <f>'MATRIZ  INVEST.'!C48</f>
        <v>683.94206528497421</v>
      </c>
      <c r="F34" s="66" t="s">
        <v>17</v>
      </c>
      <c r="G34" s="103">
        <v>1</v>
      </c>
      <c r="H34" s="103">
        <v>0</v>
      </c>
      <c r="I34" s="66" t="s">
        <v>32</v>
      </c>
      <c r="J34" s="88">
        <v>41475</v>
      </c>
      <c r="K34" s="88">
        <f>J34+360*5</f>
        <v>43275</v>
      </c>
      <c r="L34" s="66" t="s">
        <v>33</v>
      </c>
      <c r="M34" s="66"/>
      <c r="N34" s="90"/>
    </row>
    <row r="35" spans="1:14" ht="69" x14ac:dyDescent="0.2">
      <c r="A35" s="114">
        <f t="shared" si="1"/>
        <v>30</v>
      </c>
      <c r="B35" s="59" t="str">
        <f>'MATRIZ  INVEST.'!A51</f>
        <v>4.2</v>
      </c>
      <c r="C35" s="86" t="s">
        <v>12</v>
      </c>
      <c r="D35" s="12" t="str">
        <f>'MATRIZ  INVEST.'!B51</f>
        <v>Projetos Executivos e complementares para ampliação da pista de pouso e decolagem e novo terminal de passageiros do Aeroporto de Aracaju</v>
      </c>
      <c r="E35" s="66">
        <f>'MATRIZ  INVEST.'!D51</f>
        <v>3626.9430051813474</v>
      </c>
      <c r="F35" s="66" t="s">
        <v>133</v>
      </c>
      <c r="G35" s="103">
        <v>0</v>
      </c>
      <c r="H35" s="103">
        <v>1</v>
      </c>
      <c r="I35" s="66" t="s">
        <v>32</v>
      </c>
      <c r="J35" s="88">
        <v>41427</v>
      </c>
      <c r="K35" s="88">
        <f t="shared" ref="K35" si="2">J35+545</f>
        <v>41972</v>
      </c>
      <c r="L35" s="66" t="s">
        <v>33</v>
      </c>
      <c r="M35" s="66"/>
      <c r="N35" s="90"/>
    </row>
    <row r="36" spans="1:14" ht="34.5" x14ac:dyDescent="0.2">
      <c r="A36" s="114">
        <f t="shared" si="1"/>
        <v>31</v>
      </c>
      <c r="B36" s="59" t="str">
        <f>'MATRIZ  INVEST.'!A53</f>
        <v>4.3.1</v>
      </c>
      <c r="C36" s="86" t="s">
        <v>12</v>
      </c>
      <c r="D36" s="12" t="str">
        <f>'MATRIZ  INVEST.'!B53</f>
        <v>Elaboração do Projeto Executivo  da Rodovia SE-405 Curralinho - Poço Redondo</v>
      </c>
      <c r="E36" s="66">
        <f>'MATRIZ  INVEST.'!D53</f>
        <v>155.44041450777203</v>
      </c>
      <c r="F36" s="66" t="s">
        <v>133</v>
      </c>
      <c r="G36" s="103">
        <v>0</v>
      </c>
      <c r="H36" s="103">
        <v>1</v>
      </c>
      <c r="I36" s="66" t="s">
        <v>32</v>
      </c>
      <c r="J36" s="88">
        <v>41427</v>
      </c>
      <c r="K36" s="88">
        <f t="shared" ref="K36:K44" si="3">J36+545</f>
        <v>41972</v>
      </c>
      <c r="L36" s="66" t="s">
        <v>33</v>
      </c>
      <c r="M36" s="66"/>
    </row>
    <row r="37" spans="1:14" ht="86.25" x14ac:dyDescent="0.2">
      <c r="A37" s="114">
        <f t="shared" si="1"/>
        <v>32</v>
      </c>
      <c r="B37" s="59" t="str">
        <f>'MATRIZ  INVEST.'!A57</f>
        <v>5.1</v>
      </c>
      <c r="C37" s="86" t="s">
        <v>12</v>
      </c>
      <c r="D37" s="12" t="str">
        <f>'MATRIZ  INVEST.'!B57</f>
        <v>Estudos de Avaliação de Limites de Mudanças aceitavéis e monitoreo do turismo em quatro áreas turísticas críticas (trilha do cangaço-Grota do Angico, Brejo grande, Litoral Norte e Indiaroba-Sta Luzia do Itanhy)</v>
      </c>
      <c r="E37" s="66">
        <f>'MATRIZ  INVEST.'!C57</f>
        <v>1036.2655663212436</v>
      </c>
      <c r="F37" s="86" t="s">
        <v>17</v>
      </c>
      <c r="G37" s="103">
        <v>1</v>
      </c>
      <c r="H37" s="103">
        <v>0</v>
      </c>
      <c r="I37" s="66" t="s">
        <v>31</v>
      </c>
      <c r="J37" s="88">
        <v>41641</v>
      </c>
      <c r="K37" s="88">
        <f t="shared" si="3"/>
        <v>42186</v>
      </c>
      <c r="L37" s="66" t="s">
        <v>33</v>
      </c>
      <c r="M37" s="66"/>
    </row>
    <row r="38" spans="1:14" ht="34.5" x14ac:dyDescent="0.2">
      <c r="A38" s="114">
        <f t="shared" si="1"/>
        <v>33</v>
      </c>
      <c r="B38" s="59" t="str">
        <f>'MATRIZ  INVEST.'!A59</f>
        <v>5.2.1</v>
      </c>
      <c r="C38" s="86" t="s">
        <v>12</v>
      </c>
      <c r="D38" s="12" t="str">
        <f>'MATRIZ  INVEST.'!B59</f>
        <v>Diagnóstico e Plano de Ação para Educação e Sensibilização Ambiental</v>
      </c>
      <c r="E38" s="66">
        <f>'MATRIZ  INVEST.'!C59</f>
        <v>45.888601036269435</v>
      </c>
      <c r="F38" s="86" t="s">
        <v>18</v>
      </c>
      <c r="G38" s="103">
        <v>1</v>
      </c>
      <c r="H38" s="103">
        <v>0</v>
      </c>
      <c r="I38" s="66" t="s">
        <v>190</v>
      </c>
      <c r="J38" s="88">
        <v>41641</v>
      </c>
      <c r="K38" s="88">
        <f>J38+200</f>
        <v>41841</v>
      </c>
      <c r="L38" s="66" t="s">
        <v>33</v>
      </c>
      <c r="M38" s="66"/>
    </row>
    <row r="39" spans="1:14" ht="34.5" x14ac:dyDescent="0.2">
      <c r="A39" s="114">
        <f t="shared" si="1"/>
        <v>34</v>
      </c>
      <c r="B39" s="59" t="str">
        <f>'MATRIZ  INVEST.'!A62</f>
        <v>5.3.1</v>
      </c>
      <c r="C39" s="86" t="s">
        <v>12</v>
      </c>
      <c r="D39" s="12" t="str">
        <f>'MATRIZ  INVEST.'!B62</f>
        <v>Elaboração do Plano de Manejo da AP Litoral Norte</v>
      </c>
      <c r="E39" s="66">
        <f>'MATRIZ  INVEST.'!C62</f>
        <v>183.55440414507774</v>
      </c>
      <c r="F39" s="86" t="s">
        <v>29</v>
      </c>
      <c r="G39" s="103">
        <v>1</v>
      </c>
      <c r="H39" s="103">
        <v>0</v>
      </c>
      <c r="I39" s="66" t="s">
        <v>190</v>
      </c>
      <c r="J39" s="88">
        <v>41659</v>
      </c>
      <c r="K39" s="88">
        <f>J39+200</f>
        <v>41859</v>
      </c>
      <c r="L39" s="66" t="s">
        <v>33</v>
      </c>
      <c r="M39" s="66"/>
      <c r="N39" s="90"/>
    </row>
    <row r="40" spans="1:14" ht="51.75" x14ac:dyDescent="0.2">
      <c r="A40" s="114">
        <f t="shared" si="1"/>
        <v>35</v>
      </c>
      <c r="B40" s="59" t="str">
        <f>'MATRIZ  INVEST.'!A64</f>
        <v>5.3.3</v>
      </c>
      <c r="C40" s="86" t="s">
        <v>12</v>
      </c>
      <c r="D40" s="12" t="str">
        <f>'MATRIZ  INVEST.'!B64</f>
        <v>Elaboração e implementacao do Plano de Uso público para a Monumento Natural Grota do Angico</v>
      </c>
      <c r="E40" s="113">
        <f>'MATRIZ  INVEST.'!C64</f>
        <v>183.55440414507774</v>
      </c>
      <c r="F40" s="86" t="s">
        <v>29</v>
      </c>
      <c r="G40" s="103">
        <v>1</v>
      </c>
      <c r="H40" s="103">
        <v>0</v>
      </c>
      <c r="I40" s="66" t="s">
        <v>190</v>
      </c>
      <c r="J40" s="88">
        <v>41659</v>
      </c>
      <c r="K40" s="88">
        <f>J40+200</f>
        <v>41859</v>
      </c>
      <c r="L40" s="66" t="s">
        <v>33</v>
      </c>
      <c r="M40" s="66"/>
      <c r="N40" s="90"/>
    </row>
    <row r="41" spans="1:14" ht="86.25" x14ac:dyDescent="0.2">
      <c r="A41" s="114">
        <f t="shared" si="1"/>
        <v>36</v>
      </c>
      <c r="B41" s="59" t="str">
        <f>'MATRIZ  INVEST.'!A65</f>
        <v>5.4</v>
      </c>
      <c r="C41" s="86" t="s">
        <v>12</v>
      </c>
      <c r="D41" s="12" t="str">
        <f>'MATRIZ  INVEST.'!B65</f>
        <v>Programa de comunicación y participación de población local y vulnerable en el programa. Otras acoes de apoio à prevenção da impactos negativos indirectos del turismo</v>
      </c>
      <c r="E41" s="113">
        <f>'MATRIZ  INVEST.'!C65</f>
        <v>410</v>
      </c>
      <c r="F41" s="113" t="s">
        <v>17</v>
      </c>
      <c r="G41" s="103">
        <v>1</v>
      </c>
      <c r="H41" s="103">
        <v>0</v>
      </c>
      <c r="I41" s="66" t="s">
        <v>32</v>
      </c>
      <c r="J41" s="88">
        <v>41475</v>
      </c>
      <c r="K41" s="88">
        <f>J41+720+360+360</f>
        <v>42915</v>
      </c>
      <c r="L41" s="66" t="s">
        <v>33</v>
      </c>
      <c r="M41" s="66"/>
      <c r="N41" s="90"/>
    </row>
    <row r="42" spans="1:14" ht="51.75" x14ac:dyDescent="0.2">
      <c r="A42" s="114">
        <f t="shared" si="1"/>
        <v>37</v>
      </c>
      <c r="B42" s="59" t="str">
        <f>'MATRIZ  INVEST.'!A67</f>
        <v>5.5.1</v>
      </c>
      <c r="C42" s="86" t="s">
        <v>12</v>
      </c>
      <c r="D42" s="12" t="str">
        <f>'MATRIZ  INVEST.'!B67</f>
        <v>Financiamento de estudos de viabilidade socioeconômica, projetos básicos e executivos para o manejo de resíduos sólidos</v>
      </c>
      <c r="E42" s="113">
        <f>'MATRIZ  INVEST.'!C67</f>
        <v>592.99740932642499</v>
      </c>
      <c r="F42" s="86" t="s">
        <v>18</v>
      </c>
      <c r="G42" s="103">
        <v>1</v>
      </c>
      <c r="H42" s="103">
        <v>0</v>
      </c>
      <c r="I42" s="66" t="s">
        <v>190</v>
      </c>
      <c r="J42" s="88">
        <v>41659</v>
      </c>
      <c r="K42" s="88">
        <f>J42+150</f>
        <v>41809</v>
      </c>
      <c r="L42" s="66" t="s">
        <v>33</v>
      </c>
      <c r="M42" s="66"/>
      <c r="N42" s="90"/>
    </row>
    <row r="43" spans="1:14" ht="69" x14ac:dyDescent="0.2">
      <c r="A43" s="114">
        <f t="shared" si="1"/>
        <v>38</v>
      </c>
      <c r="B43" s="59" t="str">
        <f>'MATRIZ  INVEST.'!A70</f>
        <v>5.6.1</v>
      </c>
      <c r="C43" s="86" t="s">
        <v>12</v>
      </c>
      <c r="D43" s="12" t="str">
        <f>'MATRIZ  INVEST.'!B70</f>
        <v>Elaboração e Execução de planos de proteção e recuperação de áreas ambientais frágeis ou degradadas e elaboração de estudos ambientais - Rio Jacaré</v>
      </c>
      <c r="E43" s="113">
        <f>'MATRIZ  INVEST.'!C70</f>
        <v>688.32901554404145</v>
      </c>
      <c r="F43" s="86" t="s">
        <v>17</v>
      </c>
      <c r="G43" s="103">
        <v>1</v>
      </c>
      <c r="H43" s="103">
        <v>0</v>
      </c>
      <c r="I43" s="66" t="s">
        <v>190</v>
      </c>
      <c r="J43" s="88">
        <v>41659</v>
      </c>
      <c r="K43" s="88">
        <f t="shared" ref="K43" si="4">J43+545</f>
        <v>42204</v>
      </c>
      <c r="L43" s="66" t="s">
        <v>33</v>
      </c>
      <c r="M43" s="66"/>
      <c r="N43" s="90"/>
    </row>
    <row r="44" spans="1:14" ht="69" x14ac:dyDescent="0.2">
      <c r="A44" s="114">
        <f t="shared" si="1"/>
        <v>39</v>
      </c>
      <c r="B44" s="59" t="str">
        <f>'MATRIZ  INVEST.'!A71</f>
        <v>5.6.2</v>
      </c>
      <c r="C44" s="86" t="s">
        <v>12</v>
      </c>
      <c r="D44" s="12" t="str">
        <f>'MATRIZ  INVEST.'!B71</f>
        <v>Elaboração e Execução de planos de proteção e recuperação de áreas ambientais frágeis ou degradadas e elaboração de estudos ambientais - Rio Betume</v>
      </c>
      <c r="E44" s="113">
        <f>'MATRIZ  INVEST.'!C71</f>
        <v>713.22817046632133</v>
      </c>
      <c r="F44" s="86" t="s">
        <v>17</v>
      </c>
      <c r="G44" s="103">
        <v>1</v>
      </c>
      <c r="H44" s="103">
        <v>0</v>
      </c>
      <c r="I44" s="66" t="s">
        <v>31</v>
      </c>
      <c r="J44" s="88">
        <v>41659</v>
      </c>
      <c r="K44" s="88">
        <f t="shared" si="3"/>
        <v>42204</v>
      </c>
      <c r="L44" s="66" t="s">
        <v>33</v>
      </c>
      <c r="M44" s="66"/>
      <c r="N44" s="90"/>
    </row>
    <row r="45" spans="1:14" ht="34.5" x14ac:dyDescent="0.2">
      <c r="A45" s="114">
        <f t="shared" si="1"/>
        <v>40</v>
      </c>
      <c r="B45" s="59" t="str">
        <f>'MATRIZ  INVEST.'!A73</f>
        <v>5.7.1</v>
      </c>
      <c r="C45" s="86" t="s">
        <v>12</v>
      </c>
      <c r="D45" s="12" t="str">
        <f>'MATRIZ  INVEST.'!B73</f>
        <v>Elaboração da Política de Gerenciamento Costeiro do Estado</v>
      </c>
      <c r="E45" s="113">
        <f>'MATRIZ  INVEST.'!C73</f>
        <v>264.75</v>
      </c>
      <c r="F45" s="86" t="s">
        <v>17</v>
      </c>
      <c r="G45" s="103">
        <v>1</v>
      </c>
      <c r="H45" s="103">
        <v>0</v>
      </c>
      <c r="I45" s="66" t="s">
        <v>190</v>
      </c>
      <c r="J45" s="88">
        <v>41475</v>
      </c>
      <c r="K45" s="88">
        <f>J45+545+180</f>
        <v>42200</v>
      </c>
      <c r="L45" s="66" t="s">
        <v>33</v>
      </c>
      <c r="M45" s="66"/>
    </row>
    <row r="46" spans="1:14" ht="34.5" x14ac:dyDescent="0.2">
      <c r="A46" s="114">
        <f t="shared" si="1"/>
        <v>41</v>
      </c>
      <c r="B46" s="59" t="str">
        <f>'MATRIZ  INVEST.'!A74</f>
        <v>5.7.2</v>
      </c>
      <c r="C46" s="86" t="s">
        <v>12</v>
      </c>
      <c r="D46" s="12" t="str">
        <f>'MATRIZ  INVEST.'!B74</f>
        <v>Realização de Planos de Gestão Integrada dos munícipios costeiros</v>
      </c>
      <c r="E46" s="113">
        <f>'MATRIZ  INVEST.'!C74</f>
        <v>672.46</v>
      </c>
      <c r="F46" s="86" t="s">
        <v>17</v>
      </c>
      <c r="G46" s="103">
        <v>1</v>
      </c>
      <c r="H46" s="103">
        <v>0</v>
      </c>
      <c r="I46" s="66" t="s">
        <v>190</v>
      </c>
      <c r="J46" s="88">
        <v>41902</v>
      </c>
      <c r="K46" s="88">
        <f>J46+545+180</f>
        <v>42627</v>
      </c>
      <c r="L46" s="66" t="s">
        <v>33</v>
      </c>
      <c r="M46" s="66"/>
    </row>
    <row r="47" spans="1:14" ht="86.25" x14ac:dyDescent="0.2">
      <c r="A47" s="114">
        <f t="shared" si="1"/>
        <v>42</v>
      </c>
      <c r="B47" s="59" t="str">
        <f>'MATRIZ  INVEST.'!A75</f>
        <v>5.7.3</v>
      </c>
      <c r="C47" s="86" t="s">
        <v>12</v>
      </c>
      <c r="D47" s="12" t="str">
        <f>'MATRIZ  INVEST.'!B75</f>
        <v>Apoio à elaboração de normas ambientais e treinamento para o controle e fiscalização de obras náuticas (marinas, piers, atracadouros), além de rodovias e saneamento, em parceria com a ADEMA</v>
      </c>
      <c r="E47" s="113">
        <f>'MATRIZ  INVEST.'!C75</f>
        <v>211.8</v>
      </c>
      <c r="F47" s="86" t="s">
        <v>17</v>
      </c>
      <c r="G47" s="103">
        <v>1</v>
      </c>
      <c r="H47" s="103">
        <v>0</v>
      </c>
      <c r="I47" s="66" t="s">
        <v>190</v>
      </c>
      <c r="J47" s="88">
        <v>41475</v>
      </c>
      <c r="K47" s="88">
        <f>J47+545+180</f>
        <v>42200</v>
      </c>
      <c r="L47" s="66" t="s">
        <v>33</v>
      </c>
      <c r="M47" s="66"/>
    </row>
    <row r="48" spans="1:14" ht="34.5" x14ac:dyDescent="0.2">
      <c r="A48" s="114">
        <f t="shared" si="1"/>
        <v>43</v>
      </c>
      <c r="B48" s="59" t="str">
        <f>'MATRIZ  INVEST.'!A79</f>
        <v>6.1</v>
      </c>
      <c r="C48" s="86" t="s">
        <v>12</v>
      </c>
      <c r="D48" s="12" t="str">
        <f>'MATRIZ  INVEST.'!B79</f>
        <v>Auditoria externa</v>
      </c>
      <c r="E48" s="66">
        <f>'MATRIZ  INVEST.'!C79</f>
        <v>229.44300518134716</v>
      </c>
      <c r="F48" s="66" t="s">
        <v>36</v>
      </c>
      <c r="G48" s="103">
        <v>1</v>
      </c>
      <c r="H48" s="103">
        <v>0</v>
      </c>
      <c r="I48" s="66" t="s">
        <v>31</v>
      </c>
      <c r="J48" s="88">
        <v>41641</v>
      </c>
      <c r="K48" s="88">
        <f>J48+545</f>
        <v>42186</v>
      </c>
      <c r="L48" s="66" t="s">
        <v>33</v>
      </c>
      <c r="M48" s="66"/>
    </row>
    <row r="49" spans="1:14" ht="34.5" x14ac:dyDescent="0.2">
      <c r="A49" s="114">
        <f t="shared" si="1"/>
        <v>44</v>
      </c>
      <c r="B49" s="59" t="str">
        <f>'MATRIZ  INVEST.'!A80</f>
        <v>6.2</v>
      </c>
      <c r="C49" s="86" t="s">
        <v>12</v>
      </c>
      <c r="D49" s="12" t="str">
        <f>'MATRIZ  INVEST.'!B80</f>
        <v>Empresa Gerenciadora de Apoio a UCP</v>
      </c>
      <c r="E49" s="66">
        <f>'MATRIZ  INVEST.'!C80</f>
        <v>3671.0880829015546</v>
      </c>
      <c r="F49" s="66" t="s">
        <v>35</v>
      </c>
      <c r="G49" s="103">
        <v>1</v>
      </c>
      <c r="H49" s="103">
        <v>0</v>
      </c>
      <c r="I49" s="66" t="s">
        <v>31</v>
      </c>
      <c r="J49" s="88">
        <v>41427</v>
      </c>
      <c r="K49" s="88">
        <f>J49+545</f>
        <v>41972</v>
      </c>
      <c r="L49" s="66" t="s">
        <v>33</v>
      </c>
      <c r="M49" s="66"/>
    </row>
    <row r="50" spans="1:14" ht="34.5" x14ac:dyDescent="0.2">
      <c r="A50" s="114">
        <f t="shared" si="1"/>
        <v>45</v>
      </c>
      <c r="B50" s="59" t="str">
        <f>'MATRIZ  INVEST.'!A81</f>
        <v>6.3</v>
      </c>
      <c r="C50" s="86" t="s">
        <v>12</v>
      </c>
      <c r="D50" s="12" t="str">
        <f>'MATRIZ  INVEST.'!B81</f>
        <v>Fiscalização e Supervisão de obras</v>
      </c>
      <c r="E50" s="66">
        <f>'MATRIZ  INVEST.'!C81</f>
        <v>1398.9598911917099</v>
      </c>
      <c r="F50" s="66" t="s">
        <v>35</v>
      </c>
      <c r="G50" s="103">
        <v>1</v>
      </c>
      <c r="H50" s="103">
        <v>0</v>
      </c>
      <c r="I50" s="66" t="s">
        <v>31</v>
      </c>
      <c r="J50" s="88">
        <v>41659</v>
      </c>
      <c r="K50" s="88">
        <f>J50+545</f>
        <v>42204</v>
      </c>
      <c r="L50" s="66" t="s">
        <v>33</v>
      </c>
      <c r="M50" s="66"/>
    </row>
    <row r="51" spans="1:14" ht="51.75" x14ac:dyDescent="0.2">
      <c r="A51" s="114">
        <f t="shared" si="1"/>
        <v>46</v>
      </c>
      <c r="B51" s="59" t="str">
        <f>'MATRIZ  INVEST.'!A82</f>
        <v>6.4</v>
      </c>
      <c r="C51" s="86" t="s">
        <v>12</v>
      </c>
      <c r="D51" s="12" t="str">
        <f>'MATRIZ  INVEST.'!B82</f>
        <v>Avaliações intermediárias e final do programa e sistema de monitormaento e avaliação de impacto do programa</v>
      </c>
      <c r="E51" s="66">
        <f>'MATRIZ  INVEST.'!C82</f>
        <v>825.99481865284974</v>
      </c>
      <c r="F51" s="86" t="s">
        <v>17</v>
      </c>
      <c r="G51" s="103">
        <v>1</v>
      </c>
      <c r="H51" s="103">
        <v>0</v>
      </c>
      <c r="I51" s="66" t="s">
        <v>31</v>
      </c>
      <c r="J51" s="88">
        <v>41659</v>
      </c>
      <c r="K51" s="88">
        <f>J51+545</f>
        <v>42204</v>
      </c>
      <c r="L51" s="66" t="s">
        <v>33</v>
      </c>
      <c r="M51" s="66"/>
    </row>
    <row r="52" spans="1:14" ht="39" customHeight="1" x14ac:dyDescent="0.2">
      <c r="A52" s="85"/>
      <c r="B52" s="145" t="s">
        <v>90</v>
      </c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7"/>
    </row>
    <row r="53" spans="1:14" ht="60" customHeight="1" x14ac:dyDescent="0.2">
      <c r="A53" s="101">
        <v>47</v>
      </c>
      <c r="B53" s="59" t="str">
        <f>'MATRIZ  INVEST.'!A19</f>
        <v>1.6</v>
      </c>
      <c r="C53" s="86" t="s">
        <v>99</v>
      </c>
      <c r="D53" s="12" t="str">
        <f>'MATRIZ  INVEST.'!B19</f>
        <v>Revitalização do Complexo Turístico: Museu do Artesanato e o Centro de Informações Turísticas</v>
      </c>
      <c r="E53" s="66">
        <f>'MATRIZ  INVEST.'!C19</f>
        <v>295.02021243523313</v>
      </c>
      <c r="F53" s="66" t="s">
        <v>14</v>
      </c>
      <c r="G53" s="103">
        <v>1</v>
      </c>
      <c r="H53" s="103">
        <v>0</v>
      </c>
      <c r="I53" s="66" t="s">
        <v>190</v>
      </c>
      <c r="J53" s="88">
        <v>41506</v>
      </c>
      <c r="K53" s="88">
        <f>J53+545</f>
        <v>42051</v>
      </c>
      <c r="L53" s="66" t="s">
        <v>33</v>
      </c>
      <c r="M53" s="66"/>
      <c r="N53" s="90"/>
    </row>
    <row r="54" spans="1:14" ht="34.5" x14ac:dyDescent="0.2">
      <c r="A54" s="101">
        <v>48</v>
      </c>
      <c r="B54" s="59" t="str">
        <f>'MATRIZ  INVEST.'!A24</f>
        <v>1.9</v>
      </c>
      <c r="C54" s="86" t="s">
        <v>99</v>
      </c>
      <c r="D54" s="12" t="str">
        <f>'MATRIZ  INVEST.'!B24</f>
        <v>Construção do Centro de Referência do Cangaço</v>
      </c>
      <c r="E54" s="66">
        <f>'MATRIZ  INVEST.'!C24</f>
        <v>705</v>
      </c>
      <c r="F54" s="66" t="s">
        <v>14</v>
      </c>
      <c r="G54" s="103">
        <v>1</v>
      </c>
      <c r="H54" s="103">
        <v>0</v>
      </c>
      <c r="I54" s="66" t="s">
        <v>190</v>
      </c>
      <c r="J54" s="88">
        <v>41821</v>
      </c>
      <c r="K54" s="88">
        <f>J54+545+120</f>
        <v>42486</v>
      </c>
      <c r="L54" s="66" t="s">
        <v>33</v>
      </c>
      <c r="M54" s="66"/>
      <c r="N54" s="90"/>
    </row>
    <row r="55" spans="1:14" ht="34.5" x14ac:dyDescent="0.2">
      <c r="A55" s="101">
        <v>49</v>
      </c>
      <c r="B55" s="59" t="str">
        <f>'MATRIZ  INVEST.'!A27</f>
        <v>1.10.2</v>
      </c>
      <c r="C55" s="86" t="s">
        <v>99</v>
      </c>
      <c r="D55" s="12" t="str">
        <f>'MATRIZ  INVEST.'!B27</f>
        <v>Execução da adequação urbanística e delimitações das praias do litoral sul</v>
      </c>
      <c r="E55" s="66">
        <f>'MATRIZ  INVEST.'!C27</f>
        <v>6000</v>
      </c>
      <c r="F55" s="66" t="s">
        <v>14</v>
      </c>
      <c r="G55" s="103">
        <v>1</v>
      </c>
      <c r="H55" s="103">
        <v>0</v>
      </c>
      <c r="I55" s="66" t="s">
        <v>190</v>
      </c>
      <c r="J55" s="88">
        <v>41821</v>
      </c>
      <c r="K55" s="88">
        <f>J55+545+120</f>
        <v>42486</v>
      </c>
      <c r="L55" s="66" t="s">
        <v>33</v>
      </c>
      <c r="M55" s="66"/>
      <c r="N55" s="90"/>
    </row>
    <row r="56" spans="1:14" ht="51.75" x14ac:dyDescent="0.2">
      <c r="A56" s="101">
        <v>50</v>
      </c>
      <c r="B56" s="59" t="str">
        <f>'MATRIZ  INVEST.'!A29</f>
        <v>1.12</v>
      </c>
      <c r="C56" s="86" t="s">
        <v>99</v>
      </c>
      <c r="D56" s="12" t="str">
        <f>'MATRIZ  INVEST.'!B29</f>
        <v>Obras para Roteiros ecoturisticos no Rio São Francisco e Costa marítima atendida pelo programa.</v>
      </c>
      <c r="E56" s="66">
        <f>'MATRIZ  INVEST.'!C29</f>
        <v>5923.9889507772023</v>
      </c>
      <c r="F56" s="66" t="s">
        <v>14</v>
      </c>
      <c r="G56" s="103">
        <v>1</v>
      </c>
      <c r="H56" s="103">
        <v>0</v>
      </c>
      <c r="I56" s="66" t="s">
        <v>190</v>
      </c>
      <c r="J56" s="88">
        <v>41659</v>
      </c>
      <c r="K56" s="88">
        <f>J56+545+120</f>
        <v>42324</v>
      </c>
      <c r="L56" s="66" t="s">
        <v>33</v>
      </c>
      <c r="M56" s="66"/>
      <c r="N56" s="90"/>
    </row>
    <row r="57" spans="1:14" ht="34.5" x14ac:dyDescent="0.2">
      <c r="A57" s="101">
        <v>51</v>
      </c>
      <c r="B57" s="59" t="str">
        <f>'MATRIZ  INVEST.'!A31</f>
        <v>1.14</v>
      </c>
      <c r="C57" s="86" t="s">
        <v>99</v>
      </c>
      <c r="D57" s="12" t="str">
        <f>'MATRIZ  INVEST.'!B31</f>
        <v>Adequações turística e ambiental da rota natural e paisagística do AP Litoral Norte</v>
      </c>
      <c r="E57" s="66">
        <f>'MATRIZ  INVEST.'!C31</f>
        <v>8000</v>
      </c>
      <c r="F57" s="66" t="s">
        <v>14</v>
      </c>
      <c r="G57" s="103">
        <v>1</v>
      </c>
      <c r="H57" s="103">
        <v>0</v>
      </c>
      <c r="I57" s="66" t="s">
        <v>190</v>
      </c>
      <c r="J57" s="88">
        <v>42024</v>
      </c>
      <c r="K57" s="88">
        <f>J57+545+120</f>
        <v>42689</v>
      </c>
      <c r="L57" s="66" t="s">
        <v>33</v>
      </c>
      <c r="M57" s="66"/>
      <c r="N57" s="90"/>
    </row>
    <row r="58" spans="1:14" ht="34.5" x14ac:dyDescent="0.2">
      <c r="A58" s="101">
        <v>52</v>
      </c>
      <c r="B58" s="59" t="str">
        <f>'MATRIZ  INVEST.'!A46</f>
        <v>3.8.1</v>
      </c>
      <c r="C58" s="86" t="s">
        <v>99</v>
      </c>
      <c r="D58" s="12" t="str">
        <f>'MATRIZ  INVEST.'!B46</f>
        <v>Reforma  da Galeria Ana Maria para instalação de nova sede da SETUR</v>
      </c>
      <c r="E58" s="66">
        <f>'MATRIZ  INVEST.'!D46</f>
        <v>850</v>
      </c>
      <c r="F58" s="66" t="s">
        <v>14</v>
      </c>
      <c r="G58" s="103">
        <v>0</v>
      </c>
      <c r="H58" s="103">
        <v>1</v>
      </c>
      <c r="I58" s="66" t="s">
        <v>190</v>
      </c>
      <c r="J58" s="88">
        <v>41459</v>
      </c>
      <c r="K58" s="88">
        <f>J58+545</f>
        <v>42004</v>
      </c>
      <c r="L58" s="66" t="s">
        <v>33</v>
      </c>
      <c r="M58" s="66"/>
      <c r="N58" s="90"/>
    </row>
    <row r="59" spans="1:14" ht="51.75" x14ac:dyDescent="0.2">
      <c r="A59" s="101">
        <v>53</v>
      </c>
      <c r="B59" s="59" t="str">
        <f>'MATRIZ  INVEST.'!A50</f>
        <v>4.1</v>
      </c>
      <c r="C59" s="86" t="s">
        <v>99</v>
      </c>
      <c r="D59" s="12" t="str">
        <f>'MATRIZ  INVEST.'!B50</f>
        <v>Desmonte do morro da piçarra para viabilizar ampliação da pista de pouso e decolagem (PPD) cabeceira 29</v>
      </c>
      <c r="E59" s="66">
        <f>'MATRIZ  INVEST.'!D50</f>
        <v>9519.0396217616581</v>
      </c>
      <c r="F59" s="66" t="s">
        <v>135</v>
      </c>
      <c r="G59" s="103">
        <v>0</v>
      </c>
      <c r="H59" s="103">
        <v>1</v>
      </c>
      <c r="I59" s="66" t="s">
        <v>32</v>
      </c>
      <c r="J59" s="88">
        <v>41294</v>
      </c>
      <c r="K59" s="88">
        <f>J59+120</f>
        <v>41414</v>
      </c>
      <c r="L59" s="66" t="s">
        <v>33</v>
      </c>
      <c r="M59" s="66"/>
      <c r="N59" s="90"/>
    </row>
    <row r="60" spans="1:14" ht="34.5" x14ac:dyDescent="0.2">
      <c r="A60" s="101">
        <v>54</v>
      </c>
      <c r="B60" s="59" t="str">
        <f>'MATRIZ  INVEST.'!A54</f>
        <v>4.3.2</v>
      </c>
      <c r="C60" s="86" t="s">
        <v>99</v>
      </c>
      <c r="D60" s="12" t="str">
        <f>'MATRIZ  INVEST.'!B54</f>
        <v>Construção da Rodovia SE-405 Curralinho - Poço Redondo</v>
      </c>
      <c r="E60" s="66">
        <f>'MATRIZ  INVEST.'!D54</f>
        <v>4588.8601036269429</v>
      </c>
      <c r="F60" s="66" t="s">
        <v>135</v>
      </c>
      <c r="G60" s="103">
        <v>0</v>
      </c>
      <c r="H60" s="103">
        <v>1</v>
      </c>
      <c r="I60" s="66" t="s">
        <v>32</v>
      </c>
      <c r="J60" s="88">
        <v>41810</v>
      </c>
      <c r="K60" s="88">
        <f t="shared" ref="K60" si="5">J60+545</f>
        <v>42355</v>
      </c>
      <c r="L60" s="66" t="s">
        <v>33</v>
      </c>
      <c r="M60" s="66"/>
      <c r="N60" s="90"/>
    </row>
    <row r="61" spans="1:14" ht="66" customHeight="1" x14ac:dyDescent="0.2">
      <c r="A61" s="101">
        <v>55</v>
      </c>
      <c r="B61" s="59" t="str">
        <f>'MATRIZ  INVEST.'!A55</f>
        <v>4.4</v>
      </c>
      <c r="C61" s="86" t="s">
        <v>99</v>
      </c>
      <c r="D61" s="12" t="str">
        <f>'MATRIZ  INVEST.'!B55</f>
        <v>Otras obras de adecuación y mejora de infraestructura de acceso a atractivos turísticos prioritarias en los Polos, en consistencia con los PDITS</v>
      </c>
      <c r="E61" s="66">
        <f>'MATRIZ  INVEST.'!D55</f>
        <v>12546.1335896373</v>
      </c>
      <c r="F61" s="66" t="s">
        <v>135</v>
      </c>
      <c r="G61" s="103">
        <v>0</v>
      </c>
      <c r="H61" s="103">
        <v>1</v>
      </c>
      <c r="I61" s="66" t="s">
        <v>32</v>
      </c>
      <c r="J61" s="88">
        <v>41294</v>
      </c>
      <c r="K61" s="88">
        <f>J61+320</f>
        <v>41614</v>
      </c>
      <c r="L61" s="66" t="s">
        <v>33</v>
      </c>
      <c r="M61" s="66"/>
      <c r="N61" s="90"/>
    </row>
    <row r="62" spans="1:14" ht="56.25" customHeight="1" x14ac:dyDescent="0.2">
      <c r="A62" s="101">
        <v>56</v>
      </c>
      <c r="B62" s="59">
        <f>'MATRIZ  INVEST.'!A76</f>
        <v>5.8</v>
      </c>
      <c r="C62" s="86" t="s">
        <v>99</v>
      </c>
      <c r="D62" s="12" t="str">
        <f>'MATRIZ  INVEST.'!B76</f>
        <v>Implantação de sistema de esgotamento sanitário: Crasto (Sta. Luzia do Itanhy), Pontal (Indiaroba), Prainha (Canindé de São Francisco)</v>
      </c>
      <c r="E62" s="113">
        <f>'MATRIZ  INVEST.'!C76</f>
        <v>8000</v>
      </c>
      <c r="F62" s="66" t="s">
        <v>14</v>
      </c>
      <c r="G62" s="103">
        <v>1</v>
      </c>
      <c r="H62" s="103">
        <v>0</v>
      </c>
      <c r="I62" s="66" t="s">
        <v>32</v>
      </c>
      <c r="J62" s="88">
        <v>41810</v>
      </c>
      <c r="K62" s="88">
        <f>J62+545</f>
        <v>42355</v>
      </c>
      <c r="L62" s="66" t="s">
        <v>33</v>
      </c>
      <c r="M62" s="66"/>
      <c r="N62" s="90"/>
    </row>
    <row r="63" spans="1:14" x14ac:dyDescent="0.2">
      <c r="D63" s="107"/>
      <c r="E63" s="106"/>
      <c r="F63" s="106"/>
      <c r="M63" s="81"/>
    </row>
    <row r="64" spans="1:14" ht="15" customHeight="1" x14ac:dyDescent="0.2">
      <c r="D64" s="95"/>
      <c r="E64" s="96"/>
      <c r="F64" s="97"/>
      <c r="G64" s="105"/>
      <c r="H64" s="105"/>
      <c r="I64" s="84"/>
      <c r="J64" s="98"/>
      <c r="K64" s="98"/>
      <c r="L64" s="84"/>
      <c r="M64" s="84"/>
      <c r="N64" s="99"/>
    </row>
    <row r="65" spans="2:14" ht="22.15" customHeight="1" x14ac:dyDescent="0.2">
      <c r="D65" s="139" t="s">
        <v>15</v>
      </c>
      <c r="E65" s="139"/>
      <c r="F65" s="79" t="s">
        <v>13</v>
      </c>
    </row>
    <row r="66" spans="2:14" ht="19.899999999999999" customHeight="1" x14ac:dyDescent="0.2">
      <c r="D66" s="139" t="s">
        <v>16</v>
      </c>
      <c r="E66" s="139"/>
      <c r="F66" s="79" t="s">
        <v>14</v>
      </c>
    </row>
    <row r="67" spans="2:14" ht="15" customHeight="1" x14ac:dyDescent="0.2">
      <c r="D67" s="139" t="s">
        <v>21</v>
      </c>
      <c r="E67" s="139"/>
      <c r="F67" s="79" t="s">
        <v>20</v>
      </c>
    </row>
    <row r="68" spans="2:14" ht="15" customHeight="1" x14ac:dyDescent="0.2">
      <c r="D68" s="139" t="s">
        <v>28</v>
      </c>
      <c r="E68" s="139"/>
      <c r="F68" s="79" t="s">
        <v>27</v>
      </c>
    </row>
    <row r="69" spans="2:14" ht="15" customHeight="1" x14ac:dyDescent="0.2">
      <c r="D69" s="139" t="s">
        <v>19</v>
      </c>
      <c r="E69" s="139"/>
      <c r="F69" s="79" t="s">
        <v>18</v>
      </c>
    </row>
    <row r="70" spans="2:14" ht="15" customHeight="1" x14ac:dyDescent="0.2">
      <c r="D70" s="139" t="s">
        <v>23</v>
      </c>
      <c r="E70" s="139"/>
      <c r="F70" s="79" t="s">
        <v>17</v>
      </c>
    </row>
    <row r="71" spans="2:14" ht="15" customHeight="1" x14ac:dyDescent="0.2">
      <c r="D71" s="139" t="s">
        <v>24</v>
      </c>
      <c r="E71" s="139"/>
      <c r="F71" s="79" t="s">
        <v>22</v>
      </c>
    </row>
    <row r="72" spans="2:14" ht="15" customHeight="1" x14ac:dyDescent="0.2">
      <c r="D72" s="139" t="s">
        <v>26</v>
      </c>
      <c r="E72" s="139"/>
      <c r="F72" s="79" t="s">
        <v>25</v>
      </c>
    </row>
    <row r="73" spans="2:14" ht="15" customHeight="1" x14ac:dyDescent="0.2">
      <c r="B73" s="81"/>
      <c r="D73" s="139" t="s">
        <v>30</v>
      </c>
      <c r="E73" s="139"/>
      <c r="F73" s="79" t="s">
        <v>29</v>
      </c>
      <c r="J73" s="81"/>
      <c r="K73" s="81"/>
      <c r="N73" s="81"/>
    </row>
    <row r="74" spans="2:14" ht="15" customHeight="1" x14ac:dyDescent="0.2">
      <c r="B74" s="81"/>
      <c r="D74" s="139" t="s">
        <v>136</v>
      </c>
      <c r="E74" s="139"/>
      <c r="F74" s="79" t="s">
        <v>134</v>
      </c>
      <c r="J74" s="81"/>
      <c r="K74" s="81"/>
      <c r="N74" s="81"/>
    </row>
    <row r="75" spans="2:14" ht="27" customHeight="1" x14ac:dyDescent="0.2">
      <c r="B75" s="81"/>
      <c r="D75" s="139" t="s">
        <v>138</v>
      </c>
      <c r="E75" s="139"/>
      <c r="F75" s="100" t="s">
        <v>137</v>
      </c>
      <c r="J75" s="81"/>
      <c r="K75" s="81"/>
      <c r="N75" s="81"/>
    </row>
  </sheetData>
  <autoFilter ref="A2:M63">
    <filterColumn colId="6" showButton="0"/>
    <filterColumn colId="9" showButton="0"/>
  </autoFilter>
  <sortState ref="B4:M13">
    <sortCondition ref="C4:C54"/>
    <sortCondition ref="B4:B54"/>
  </sortState>
  <mergeCells count="26">
    <mergeCell ref="A2:A3"/>
    <mergeCell ref="D73:E73"/>
    <mergeCell ref="D70:E70"/>
    <mergeCell ref="D71:E71"/>
    <mergeCell ref="D72:E72"/>
    <mergeCell ref="D65:E65"/>
    <mergeCell ref="D69:E69"/>
    <mergeCell ref="D66:E66"/>
    <mergeCell ref="D67:E67"/>
    <mergeCell ref="D68:E68"/>
    <mergeCell ref="B4:M4"/>
    <mergeCell ref="B14:M14"/>
    <mergeCell ref="B52:M52"/>
    <mergeCell ref="D74:E74"/>
    <mergeCell ref="D75:E75"/>
    <mergeCell ref="B1:M1"/>
    <mergeCell ref="G2:H2"/>
    <mergeCell ref="J2:K2"/>
    <mergeCell ref="B2:B3"/>
    <mergeCell ref="C2:C3"/>
    <mergeCell ref="D2:D3"/>
    <mergeCell ref="E2:E3"/>
    <mergeCell ref="F2:F3"/>
    <mergeCell ref="I2:I3"/>
    <mergeCell ref="L2:L3"/>
    <mergeCell ref="M2:M3"/>
  </mergeCells>
  <phoneticPr fontId="11" type="noConversion"/>
  <printOptions horizontalCentered="1"/>
  <pageMargins left="0.23622047244094491" right="0.23622047244094491" top="0.78740157480314965" bottom="0.39370078740157483" header="0.31496062992125984" footer="0.51181102362204722"/>
  <pageSetup paperSize="9" scale="62" orientation="landscape" horizontalDpi="300" verticalDpi="300" r:id="rId1"/>
  <headerFooter alignWithMargins="0"/>
  <rowBreaks count="2" manualBreakCount="2">
    <brk id="26" max="12" man="1"/>
    <brk id="51" max="12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4C0A6038A29514091A6F1DC5AE0D2CE" ma:contentTypeVersion="0" ma:contentTypeDescription="A content type to manage public (operations) IDB documents" ma:contentTypeScope="" ma:versionID="aeb57ed66ecaa353dbf731c11db53b0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INE/RND</Division_x0020_or_x0020_Unit>
    <Other_x0020_Author xmlns="9c571b2f-e523-4ab2-ba2e-09e151a03ef4" xsi:nil="true"/>
    <Region xmlns="9c571b2f-e523-4ab2-ba2e-09e151a03ef4" xsi:nil="true"/>
    <IDBDocs_x0020_Number xmlns="9c571b2f-e523-4ab2-ba2e-09e151a03ef4">37693759</IDBDocs_x0020_Number>
    <Document_x0020_Author xmlns="9c571b2f-e523-4ab2-ba2e-09e151a03ef4">Velasco, M. Mercedes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17</Value>
      <Value>11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BR-L1256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Proposal&lt;/USER_STAGE&gt;&lt;PD_OBJ_TYPE&gt;0&lt;/PD_OBJ_TYPE&gt;&lt;MAKERECORD&gt;N&lt;/MAKERECORD&gt;&lt;PD_FILEPT_NO&gt;PO-BR-L1245-Plan&lt;/PD_FILEPT_NO&gt;&lt;/Data&gt;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PA-ECO</Webtopic>
    <Identifier xmlns="9c571b2f-e523-4ab2-ba2e-09e151a03ef4">LinkReq-PIC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C75861BB-8DD7-4245-B2FE-CC24B738A1C3}"/>
</file>

<file path=customXml/itemProps2.xml><?xml version="1.0" encoding="utf-8"?>
<ds:datastoreItem xmlns:ds="http://schemas.openxmlformats.org/officeDocument/2006/customXml" ds:itemID="{6A13FB10-C0C3-41B7-94BA-99777D48130F}"/>
</file>

<file path=customXml/itemProps3.xml><?xml version="1.0" encoding="utf-8"?>
<ds:datastoreItem xmlns:ds="http://schemas.openxmlformats.org/officeDocument/2006/customXml" ds:itemID="{6AD80BB5-C4A7-4B23-9E8C-0E0BA57D18AE}"/>
</file>

<file path=customXml/itemProps4.xml><?xml version="1.0" encoding="utf-8"?>
<ds:datastoreItem xmlns:ds="http://schemas.openxmlformats.org/officeDocument/2006/customXml" ds:itemID="{CF422A7F-370A-4C09-9319-16CFD36CF5D4}"/>
</file>

<file path=customXml/itemProps5.xml><?xml version="1.0" encoding="utf-8"?>
<ds:datastoreItem xmlns:ds="http://schemas.openxmlformats.org/officeDocument/2006/customXml" ds:itemID="{D1DA4CF9-7D73-4DD6-8F4E-09F194D981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MATRIZ  INVEST.</vt:lpstr>
      <vt:lpstr>AMOSTRA</vt:lpstr>
      <vt:lpstr>PA</vt:lpstr>
      <vt:lpstr>AMOSTRA!Print_Area</vt:lpstr>
      <vt:lpstr>'MATRIZ  INVEST.'!Print_Area</vt:lpstr>
      <vt:lpstr>PA!Print_Area</vt:lpstr>
      <vt:lpstr>AMOSTRA!Print_Titles</vt:lpstr>
      <vt:lpstr>'MATRIZ  INVEST.'!Print_Titles</vt:lpstr>
      <vt:lpstr>PA!Print_Titles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(PA)</dc:title>
  <dc:creator>Nelson Caldeira</dc:creator>
  <cp:lastModifiedBy>Inter-American Development Bank</cp:lastModifiedBy>
  <cp:lastPrinted>2013-02-04T14:43:35Z</cp:lastPrinted>
  <dcterms:created xsi:type="dcterms:W3CDTF">2009-07-09T21:06:08Z</dcterms:created>
  <dcterms:modified xsi:type="dcterms:W3CDTF">2013-08-02T19:53:16Z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0x01010046CF21643EE8D14686A648AA6DAD089200D4C0A6038A29514091A6F1DC5AE0D2CE</vt:lpwstr>
  </property>
  <property fmtid="{D5CDD505-2E9C-101B-9397-08002B2CF9AE}" pid="5" name="TaxKeywordTaxHTField">
    <vt:lpwstr/>
  </property>
  <property fmtid="{D5CDD505-2E9C-101B-9397-08002B2CF9AE}" pid="6" name="Series Operations IDB">
    <vt:lpwstr>17;#Project Profile (PP)|ac5f0c28-f2f6-431c-8d05-62f851b6a822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17;#Project Profile (PP)|ac5f0c28-f2f6-431c-8d05-62f851b6a822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11;#Project Preparation, Planning and Design|29ca0c72-1fc4-435f-a09c-28585cb5eac9</vt:lpwstr>
  </property>
</Properties>
</file>