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EstaPasta_de_trabalho" defaultThemeVersion="124226"/>
  <bookViews>
    <workbookView xWindow="0" yWindow="0" windowWidth="7905" windowHeight="4035"/>
  </bookViews>
  <sheets>
    <sheet name="Detalle Plan Acquisiciones" sheetId="6" r:id="rId1"/>
  </sheets>
  <externalReferences>
    <externalReference r:id="rId2"/>
  </externalReferences>
  <definedNames>
    <definedName name="FPstatus">'[1]Financial plan (Disbursements)'!$AX$7:$AX$8</definedName>
    <definedName name="_xlnm.Print_Area" localSheetId="0">'Detalle Plan Acquisiciones'!$A$1:$O$77</definedName>
    <definedName name="_xlnm.Print_Titles" localSheetId="0">'Detalle Plan Acquisiciones'!$1:$9</definedName>
  </definedNames>
  <calcPr calcId="152511"/>
</workbook>
</file>

<file path=xl/calcChain.xml><?xml version="1.0" encoding="utf-8"?>
<calcChain xmlns="http://schemas.openxmlformats.org/spreadsheetml/2006/main">
  <c r="G28" i="6" l="1"/>
  <c r="M50" i="6" l="1"/>
  <c r="M49" i="6"/>
  <c r="G47" i="6"/>
  <c r="M62" i="6" l="1"/>
  <c r="G61" i="6"/>
  <c r="M38" i="6"/>
  <c r="M44" i="6"/>
  <c r="M13" i="6" l="1"/>
  <c r="G35" i="6" l="1"/>
  <c r="M18" i="6" l="1"/>
  <c r="G14" i="6"/>
  <c r="G37" i="6" l="1"/>
  <c r="G36" i="6" l="1"/>
  <c r="M17" i="6" l="1"/>
  <c r="G71" i="6" l="1"/>
  <c r="G70" i="6"/>
  <c r="G69" i="6"/>
  <c r="G52" i="6"/>
  <c r="G48" i="6" l="1"/>
  <c r="G46" i="6"/>
  <c r="G19" i="6" l="1"/>
  <c r="G16" i="6"/>
  <c r="G15" i="6" l="1"/>
  <c r="G13" i="6"/>
  <c r="G20" i="6" l="1"/>
  <c r="G21" i="6" s="1"/>
  <c r="G39" i="6"/>
  <c r="G72" i="6" l="1"/>
  <c r="G60" i="6"/>
  <c r="G51" i="6"/>
  <c r="G63" i="6" l="1"/>
  <c r="G64" i="6" s="1"/>
  <c r="M43" i="6" l="1"/>
  <c r="M26" i="6" l="1"/>
  <c r="M41" i="6"/>
  <c r="M45" i="6"/>
  <c r="M59" i="6"/>
  <c r="M42" i="6" l="1"/>
  <c r="M36" i="6" l="1"/>
  <c r="M35" i="6"/>
  <c r="M34" i="6"/>
  <c r="M16" i="6" l="1"/>
  <c r="M27" i="6" l="1"/>
  <c r="G53" i="6" l="1"/>
  <c r="G54" i="6" s="1"/>
  <c r="M15" i="6" l="1"/>
  <c r="G29" i="6" l="1"/>
  <c r="G73" i="6" l="1"/>
  <c r="G76" i="6" s="1"/>
  <c r="G74" i="6" l="1"/>
  <c r="G121" i="6" l="1"/>
  <c r="G77" i="6"/>
</calcChain>
</file>

<file path=xl/sharedStrings.xml><?xml version="1.0" encoding="utf-8"?>
<sst xmlns="http://schemas.openxmlformats.org/spreadsheetml/2006/main" count="383" uniqueCount="172">
  <si>
    <t>OBRAS</t>
  </si>
  <si>
    <t>Rechazo de Ofertas</t>
  </si>
  <si>
    <t>Contrato Terminado</t>
  </si>
  <si>
    <t>Total</t>
  </si>
  <si>
    <t>Ex-Post</t>
  </si>
  <si>
    <t>Ex-Ante</t>
  </si>
  <si>
    <t>Sistema Nacional</t>
  </si>
  <si>
    <t>Unidade Executora</t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</si>
  <si>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</si>
  <si>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</si>
  <si>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</si>
  <si>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</si>
  <si>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</si>
  <si>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</si>
  <si>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Processo em curso</t>
  </si>
  <si>
    <t>Licitação Pública Internacional em 2 etapas </t>
  </si>
  <si>
    <t>Licitação Pública Internacional com Precalificación</t>
  </si>
  <si>
    <t xml:space="preserve">Montante Estimado </t>
  </si>
  <si>
    <t>Datas</t>
  </si>
  <si>
    <t>Publicação do Anúncio</t>
  </si>
  <si>
    <t>Assinatura do Contrato</t>
  </si>
  <si>
    <t>CONSULTORIAS FIRMAS</t>
  </si>
  <si>
    <t>Não Objeção aos  TDR da Atividade</t>
  </si>
  <si>
    <t>CONSULTORIAS INDIVIDUAL</t>
  </si>
  <si>
    <t>CAPACITAÇÃO</t>
  </si>
  <si>
    <t>Licitação Pública Internacional sem Pré-qualificação</t>
  </si>
  <si>
    <t>Seleção Baseada na Qualificação do Consultor (SQC)</t>
  </si>
  <si>
    <t>Comparação de Qualificações (3 CV's)</t>
  </si>
  <si>
    <t>UCP/SETESP</t>
  </si>
  <si>
    <t>1.3.1</t>
  </si>
  <si>
    <t>5.2.1</t>
  </si>
  <si>
    <t xml:space="preserve">Elaboração de projetos executivos dos aterros sanitários </t>
  </si>
  <si>
    <t>Elaboração da Política de Gerenciamento Costeiro do Estado</t>
  </si>
  <si>
    <t>Revitalização do Complexo Turístico SE - Reforma do Centro de Turismo de Aracaju</t>
  </si>
  <si>
    <t>Cursos de aperfeiçoamento gerencial nos estabelecimentos formais e informais dos empreendimentos turísticos localizados nos pólos Costa dos Coqueirais e Velho Chico</t>
  </si>
  <si>
    <t>Estudo de Avaliação do Impacto do PRODETUR na Economia Local</t>
  </si>
  <si>
    <t>Comparação de Preços </t>
  </si>
  <si>
    <t>Seleção Baseada na Qualidade e Custo </t>
  </si>
  <si>
    <t>Seleção Baseado em Orçamento Fixo</t>
  </si>
  <si>
    <t>Elaboração do projeto executivo das obras de recuperação da contenção da Orla da praia da Caueira – Itaporanga D’Ajuda-SE</t>
  </si>
  <si>
    <t>BRASIL</t>
  </si>
  <si>
    <t>PROGRAMA NACIONAL DE DESENVOLVIMENTO DO TURISMO EM SERGIPE - PRODETUR/SERGIPE</t>
  </si>
  <si>
    <t>Numero PRISM</t>
  </si>
  <si>
    <t>Status</t>
  </si>
  <si>
    <t>Publicação  Manifestação de Interesse</t>
  </si>
  <si>
    <t>Revisão/Supervisão</t>
  </si>
  <si>
    <t>Previsto</t>
  </si>
  <si>
    <t>Declaração de Licitação Deserta</t>
  </si>
  <si>
    <t>Contrato em Execução</t>
  </si>
  <si>
    <t xml:space="preserve">Metodos </t>
  </si>
  <si>
    <t>Consultoria firmas</t>
  </si>
  <si>
    <t>Seleção Baseada na Qualidade </t>
  </si>
  <si>
    <t>Seleção Baseada no Menor Custo </t>
  </si>
  <si>
    <t>Bens, obras e Serviços</t>
  </si>
  <si>
    <t>Licitação Pública Internacional</t>
  </si>
  <si>
    <t>Consultoria Individual</t>
  </si>
  <si>
    <r>
      <t>Cursos de</t>
    </r>
    <r>
      <rPr>
        <b/>
        <sz val="10"/>
        <rFont val="Calibri"/>
        <family val="2"/>
        <scheme val="minor"/>
      </rPr>
      <t xml:space="preserve"> pós-graduação</t>
    </r>
    <r>
      <rPr>
        <sz val="10"/>
        <rFont val="Calibri"/>
        <family val="2"/>
        <scheme val="minor"/>
      </rPr>
      <t xml:space="preserve"> em gestão de empreendimentos turísticos e em planejamento da atividade turística nos pólos Costa dos Coqueirais e Velho Chico</t>
    </r>
  </si>
  <si>
    <r>
      <t xml:space="preserve">Atualizado por: </t>
    </r>
    <r>
      <rPr>
        <b/>
        <sz val="12"/>
        <color rgb="FFFF0000"/>
        <rFont val="Calibri"/>
        <family val="2"/>
        <scheme val="minor"/>
      </rPr>
      <t>Eduardo Paiva</t>
    </r>
  </si>
  <si>
    <t>Construção de orla do povoado Pontal em Indiaroba</t>
  </si>
  <si>
    <t>Construção de orla do povoado Crasto em Santa Luiza do Itanhy</t>
  </si>
  <si>
    <t>Construção de atracadouro da Ilha Mem de Sá e do povoado Caibrós em Itaporanga d' Ajuda</t>
  </si>
  <si>
    <t>Reforma da orla Pôr do Sol em Aracaju</t>
  </si>
  <si>
    <t xml:space="preserve">Elaboração de projetos da adequação urbanística e delimitações das praias do litoral sul </t>
  </si>
  <si>
    <t>Construção do sistema de esgotamento sanitário do povoado Crasto em Santa Luiza do Itanhy</t>
  </si>
  <si>
    <t xml:space="preserve">Revisão de plano de marketing e desenvolvimento de peças publicitárias para os dois polos do Prodetur </t>
  </si>
  <si>
    <t>Quantidade de Lotes</t>
  </si>
  <si>
    <t>Categoria de Investimento</t>
  </si>
  <si>
    <r>
      <t xml:space="preserve">Método de Revisão </t>
    </r>
    <r>
      <rPr>
        <i/>
        <sz val="9"/>
        <color indexed="9"/>
        <rFont val="Calibri"/>
        <family val="2"/>
        <scheme val="minor"/>
      </rPr>
      <t>(Selecionar uma das opções)</t>
    </r>
  </si>
  <si>
    <r>
      <t xml:space="preserve">Método de Aquisição
</t>
    </r>
    <r>
      <rPr>
        <i/>
        <sz val="9"/>
        <color indexed="9"/>
        <rFont val="Calibri"/>
        <family val="2"/>
      </rPr>
      <t>(Selecionar uma das Opções)</t>
    </r>
  </si>
  <si>
    <r>
      <t xml:space="preserve">Método de Seleção
</t>
    </r>
    <r>
      <rPr>
        <i/>
        <sz val="9"/>
        <color indexed="9"/>
        <rFont val="Calibri"/>
        <family val="2"/>
      </rPr>
      <t>(Selecionar uma das Opções)</t>
    </r>
  </si>
  <si>
    <t>Objeto</t>
  </si>
  <si>
    <t>Quantidade Estimada de Consultores</t>
  </si>
  <si>
    <t>Estudo de avaliação de limites aceitáveis de mudanças em áreas turísticas críticas dos Polos Costa dos Coqueirais e Velho Chico do estado de Sergipe</t>
  </si>
  <si>
    <t>Pesquisa de ocupação dos meios de hospedagem</t>
  </si>
  <si>
    <t>PLANO DE AQUISIÇÕES (PA) 2016 (12 meses)</t>
  </si>
  <si>
    <t>1 e 5</t>
  </si>
  <si>
    <t>BRB3015</t>
  </si>
  <si>
    <t>BR10598</t>
  </si>
  <si>
    <t>% BID</t>
  </si>
  <si>
    <t>% Contrapartida</t>
  </si>
  <si>
    <t>BR11198</t>
  </si>
  <si>
    <t>BR11155</t>
  </si>
  <si>
    <t>BR11055</t>
  </si>
  <si>
    <t>[apenas p/ contratos acima de US$ 25.000,00]</t>
  </si>
  <si>
    <t>Total a contratar</t>
  </si>
  <si>
    <t>Elaboração de projetos básico e executivo para implantar  SAAI Litoral Sul</t>
  </si>
  <si>
    <t>Implementação do fortalecimento institucional dos órgãos estaduais gestores de turismo (aquisição de equipamentos de informática)</t>
  </si>
  <si>
    <t>Número do Processo   [033.000...]</t>
  </si>
  <si>
    <t>00390/2015-6</t>
  </si>
  <si>
    <t>00054/2014-3</t>
  </si>
  <si>
    <t>00015/2016-1</t>
  </si>
  <si>
    <t>00036/2016-1</t>
  </si>
  <si>
    <t>00391/2015-0</t>
  </si>
  <si>
    <t>00046/2016-5</t>
  </si>
  <si>
    <t>00339/2015-5</t>
  </si>
  <si>
    <t>00343/2015-1</t>
  </si>
  <si>
    <t>00371/2015-3</t>
  </si>
  <si>
    <t>00193/2012-1</t>
  </si>
  <si>
    <t>00346/2015-5</t>
  </si>
  <si>
    <t>00025/2015-5</t>
  </si>
  <si>
    <t>00024/2015-0</t>
  </si>
  <si>
    <t>00400/2015-6</t>
  </si>
  <si>
    <t>00399/2015-7</t>
  </si>
  <si>
    <t>00398/2015-2</t>
  </si>
  <si>
    <t>00049/2014-2</t>
  </si>
  <si>
    <t>Número do Processo                      [033.000...]</t>
  </si>
  <si>
    <t>Total                                   (em US$ x 1.000)</t>
  </si>
  <si>
    <t>1.2.6.1</t>
  </si>
  <si>
    <t>1.4.2.10</t>
  </si>
  <si>
    <t>1.4.2.12</t>
  </si>
  <si>
    <t>1.4.2.8</t>
  </si>
  <si>
    <t>5.2.8.4</t>
  </si>
  <si>
    <t>Elaboração e/ou Revisão de Estudos e Projetos para Obras para roteiros de ecoturismo - Revisão Projeto da Orla de Crasto</t>
  </si>
  <si>
    <t>1.6.1.1</t>
  </si>
  <si>
    <t>ID do PEP</t>
  </si>
  <si>
    <t>3.1.2.2</t>
  </si>
  <si>
    <t>Elaboração dos Planos Diretores municipais (São Cristóvão, Estância, Brejo Grande e Santana do São Francisco)</t>
  </si>
  <si>
    <t>5.2.7.1</t>
  </si>
  <si>
    <t>5.2.5.1</t>
  </si>
  <si>
    <t>5.3.1</t>
  </si>
  <si>
    <t>5.2.8.1, 5.2.8.2 e 5.2.8.3</t>
  </si>
  <si>
    <t>Empresa Gerenciadora de Apoio a UCP + Sistema de gerenciamento integral do programa + Fiscalização e supervisão de obras</t>
  </si>
  <si>
    <t xml:space="preserve">Diagnóstico para o sistema de informações turísticas. </t>
  </si>
  <si>
    <t>3.1.2.1</t>
  </si>
  <si>
    <t>Diagnóstico e Plano de Ação para Educação e Sensibilização Ambiental.</t>
  </si>
  <si>
    <t>5.1.2.1</t>
  </si>
  <si>
    <t>5.2.3.2</t>
  </si>
  <si>
    <t>Capacitação de profissionais diretamente ligados ao turismo.</t>
  </si>
  <si>
    <t>1.7.4.1</t>
  </si>
  <si>
    <t>1.7.4.2</t>
  </si>
  <si>
    <t>1.7.4.3</t>
  </si>
  <si>
    <t>1.7.4.4</t>
  </si>
  <si>
    <t xml:space="preserve">Construção de orla e atracadouro e implantação do Sistema de Esgotamento Sanitário – Prainha de Canindé do São Francisco (trecho 3). </t>
  </si>
  <si>
    <t>Projeto executivo para sistema de esgotamento sanitário em pontos turísticos chaves e estudos ambientais - Pontal (Indiaroba, Santana do São Francisco e Barra dos Coqueiros)</t>
  </si>
  <si>
    <t>1.4.2.6</t>
  </si>
  <si>
    <t>Estudos e plano de ação para fomentar a produção e comercialização turística de artesanato elaborados e aprovados por SETESP e SEIDES</t>
  </si>
  <si>
    <t>1.2.4 e 1.2.5</t>
  </si>
  <si>
    <t>1.2.1, 1.4.1  e 3.1.1</t>
  </si>
  <si>
    <t>Estudos de pesquisa do mercado e estratégia de circuitos histórico-culturais e ecoturísticos</t>
  </si>
  <si>
    <t>1.4.2.2</t>
  </si>
  <si>
    <t>Elaboração do plano de fortalecimento da gestão estadual e municipal de turismo</t>
  </si>
  <si>
    <t>Elaboração do Plano de Uso Público para a Monumento Natural Grota do Angico</t>
  </si>
  <si>
    <r>
      <t xml:space="preserve">Curso de formação e capacitação </t>
    </r>
    <r>
      <rPr>
        <b/>
        <sz val="10"/>
        <rFont val="Calibri"/>
        <family val="2"/>
        <scheme val="minor"/>
      </rPr>
      <t>básica</t>
    </r>
    <r>
      <rPr>
        <sz val="10"/>
        <rFont val="Calibri"/>
        <family val="2"/>
        <scheme val="minor"/>
      </rPr>
      <t xml:space="preserve"> de profissionais ligados à área de turismo nos municípios integrantes dos Polos Costa dos Coqueirais e Polo Velho Chico</t>
    </r>
  </si>
  <si>
    <t>Subtotal Obras</t>
  </si>
  <si>
    <t>Subtotal Consultorias PJ</t>
  </si>
  <si>
    <t>Subtotal Consultorias PJ a contratar</t>
  </si>
  <si>
    <t>Subtotal Consultorias PF</t>
  </si>
  <si>
    <t>Subtotal Consultorias PF a contratar</t>
  </si>
  <si>
    <t>Subtotal Capacitação</t>
  </si>
  <si>
    <t>Subtotal Capacitação a contratar</t>
  </si>
  <si>
    <t>Criação e Execução do Programa de Prevenção a Exploração Sexual de Crianças e Adolescentes Decorrente da Atividade Turística</t>
  </si>
  <si>
    <t>Diagnóstico e Plano de Incentivo a Formalização de Pequenos Negócios Associados à Atividade Turística</t>
  </si>
  <si>
    <t>6.2.2</t>
  </si>
  <si>
    <t>Avaliação intermediária do programa</t>
  </si>
  <si>
    <t>Implantação do SITUR - desenvolvimento do sistema</t>
  </si>
  <si>
    <t>5.1.1</t>
  </si>
  <si>
    <t>3.2.5.3</t>
  </si>
  <si>
    <t>3.1.2.4</t>
  </si>
  <si>
    <t>1.4.2.5 + 5.2.8.6</t>
  </si>
  <si>
    <t>BENS E SERVIÇOS (QUE NÃO CONSULTORIA)</t>
  </si>
  <si>
    <t>Subtotal Bens e Serviços</t>
  </si>
  <si>
    <t>Subtotal Bens e Serviços a contratar</t>
  </si>
  <si>
    <t>Subtotal Obras a contratar</t>
  </si>
  <si>
    <t>1.10</t>
  </si>
  <si>
    <t>3.2.1, 3.2.2, 3.2.3</t>
  </si>
  <si>
    <t>3.4.1</t>
  </si>
  <si>
    <t>6.2.1</t>
  </si>
  <si>
    <t>6.1</t>
  </si>
  <si>
    <t>1.8.1</t>
  </si>
  <si>
    <t>Elaboração de estudos ambientais complementares ao projeto – lote 1 (4 municípios)</t>
  </si>
  <si>
    <r>
      <t>Atualizado em:</t>
    </r>
    <r>
      <rPr>
        <b/>
        <sz val="12"/>
        <color rgb="FFFF0000"/>
        <rFont val="Calibri"/>
        <family val="2"/>
        <scheme val="minor"/>
      </rPr>
      <t xml:space="preserve"> 07/10/2016</t>
    </r>
  </si>
  <si>
    <r>
      <t>Atualização Nº:</t>
    </r>
    <r>
      <rPr>
        <b/>
        <sz val="12"/>
        <color rgb="FFFF0000"/>
        <rFont val="Calibri"/>
        <family val="2"/>
        <scheme val="minor"/>
      </rPr>
      <t xml:space="preserve"> 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</si>
</sst>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7" formatCode="_(* #,##0.00_);_(* \(#,##0.00\);_(* \-??_);_(@_)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indexed="9"/>
      <name val="Calibri"/>
      <family val="2"/>
    </font>
    <font>
      <i/>
      <sz val="9"/>
      <color indexed="9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0" fontId="1" fillId="0" borderId="0"/>
    <xf numFmtId="165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ill="0" applyBorder="0" applyAlignment="0" applyProtection="0"/>
    <xf numFmtId="0" fontId="17" fillId="0" borderId="0" applyNumberFormat="0" applyFill="0" applyBorder="0" applyAlignment="0" applyProtection="0"/>
    <xf numFmtId="167" fontId="1" fillId="0" borderId="0" applyFill="0" applyBorder="0" applyProtection="0">
      <alignment vertical="center"/>
    </xf>
  </cellStyleXfs>
  <cellXfs count="93">
    <xf numFmtId="0" fontId="0" fillId="0" borderId="0" xfId="0"/>
    <xf numFmtId="0" fontId="2" fillId="0" borderId="0" xfId="38"/>
    <xf numFmtId="0" fontId="0" fillId="0" borderId="0" xfId="0"/>
    <xf numFmtId="0" fontId="20" fillId="0" borderId="10" xfId="38" applyFont="1" applyFill="1" applyBorder="1" applyAlignment="1">
      <alignment vertical="center" wrapText="1"/>
    </xf>
    <xf numFmtId="4" fontId="0" fillId="0" borderId="0" xfId="0" applyNumberFormat="1"/>
    <xf numFmtId="10" fontId="0" fillId="0" borderId="0" xfId="0" applyNumberFormat="1"/>
    <xf numFmtId="0" fontId="20" fillId="0" borderId="0" xfId="38" applyFont="1" applyFill="1" applyBorder="1" applyAlignment="1">
      <alignment vertical="center" wrapText="1"/>
    </xf>
    <xf numFmtId="4" fontId="20" fillId="0" borderId="0" xfId="38" applyNumberFormat="1" applyFont="1" applyFill="1" applyBorder="1" applyAlignment="1">
      <alignment vertical="center" wrapText="1"/>
    </xf>
    <xf numFmtId="10" fontId="20" fillId="0" borderId="0" xfId="38" applyNumberFormat="1" applyFont="1" applyFill="1" applyBorder="1" applyAlignment="1">
      <alignment vertical="center" wrapText="1"/>
    </xf>
    <xf numFmtId="4" fontId="22" fillId="24" borderId="10" xfId="38" applyNumberFormat="1" applyFont="1" applyFill="1" applyBorder="1" applyAlignment="1">
      <alignment horizontal="center" vertical="center" wrapText="1"/>
    </xf>
    <xf numFmtId="17" fontId="20" fillId="0" borderId="10" xfId="0" applyNumberFormat="1" applyFont="1" applyFill="1" applyBorder="1" applyAlignment="1">
      <alignment horizontal="center" vertical="center" wrapText="1"/>
    </xf>
    <xf numFmtId="9" fontId="20" fillId="0" borderId="10" xfId="38" applyNumberFormat="1" applyFont="1" applyFill="1" applyBorder="1" applyAlignment="1">
      <alignment horizontal="center" vertical="center" wrapText="1"/>
    </xf>
    <xf numFmtId="0" fontId="28" fillId="0" borderId="0" xfId="0" applyFont="1"/>
    <xf numFmtId="0" fontId="20" fillId="0" borderId="10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10" fontId="22" fillId="24" borderId="10" xfId="38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justify" vertical="center"/>
    </xf>
    <xf numFmtId="0" fontId="30" fillId="0" borderId="0" xfId="0" applyFont="1"/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justify" vertical="center"/>
    </xf>
    <xf numFmtId="0" fontId="24" fillId="0" borderId="0" xfId="38" applyFont="1" applyFill="1" applyBorder="1" applyAlignment="1">
      <alignment vertical="center" wrapText="1"/>
    </xf>
    <xf numFmtId="4" fontId="24" fillId="0" borderId="0" xfId="38" applyNumberFormat="1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25" fillId="0" borderId="10" xfId="0" applyFont="1" applyBorder="1"/>
    <xf numFmtId="1" fontId="20" fillId="0" borderId="10" xfId="38" applyNumberFormat="1" applyFont="1" applyFill="1" applyBorder="1" applyAlignment="1">
      <alignment horizontal="center" vertical="center" wrapText="1"/>
    </xf>
    <xf numFmtId="10" fontId="35" fillId="0" borderId="0" xfId="0" applyNumberFormat="1" applyFont="1"/>
    <xf numFmtId="0" fontId="27" fillId="0" borderId="10" xfId="38" applyFont="1" applyFill="1" applyBorder="1" applyAlignment="1">
      <alignment vertical="center" wrapText="1"/>
    </xf>
    <xf numFmtId="17" fontId="27" fillId="0" borderId="10" xfId="0" applyNumberFormat="1" applyFont="1" applyFill="1" applyBorder="1" applyAlignment="1">
      <alignment horizontal="center" vertical="center" wrapText="1"/>
    </xf>
    <xf numFmtId="0" fontId="20" fillId="25" borderId="10" xfId="38" applyFont="1" applyFill="1" applyBorder="1" applyAlignment="1">
      <alignment horizontal="center" vertical="center" wrapText="1"/>
    </xf>
    <xf numFmtId="0" fontId="20" fillId="25" borderId="10" xfId="38" applyFont="1" applyFill="1" applyBorder="1" applyAlignment="1">
      <alignment vertical="center" wrapText="1"/>
    </xf>
    <xf numFmtId="9" fontId="20" fillId="25" borderId="10" xfId="38" applyNumberFormat="1" applyFont="1" applyFill="1" applyBorder="1" applyAlignment="1">
      <alignment horizontal="center" vertical="center" wrapText="1"/>
    </xf>
    <xf numFmtId="17" fontId="20" fillId="25" borderId="10" xfId="0" applyNumberFormat="1" applyFont="1" applyFill="1" applyBorder="1" applyAlignment="1">
      <alignment horizontal="center" vertical="center" wrapText="1"/>
    </xf>
    <xf numFmtId="165" fontId="20" fillId="0" borderId="0" xfId="44" applyFont="1" applyFill="1" applyBorder="1" applyAlignment="1">
      <alignment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4" fontId="36" fillId="0" borderId="0" xfId="38" applyNumberFormat="1" applyFont="1" applyFill="1" applyBorder="1" applyAlignment="1">
      <alignment horizontal="right" vertical="center" wrapText="1"/>
    </xf>
    <xf numFmtId="4" fontId="27" fillId="0" borderId="10" xfId="0" applyNumberFormat="1" applyFont="1" applyFill="1" applyBorder="1" applyAlignment="1">
      <alignment horizontal="right" vertical="center" wrapText="1"/>
    </xf>
    <xf numFmtId="165" fontId="24" fillId="0" borderId="0" xfId="44" applyFont="1" applyFill="1" applyBorder="1" applyAlignment="1">
      <alignment horizontal="right" vertical="center" wrapText="1"/>
    </xf>
    <xf numFmtId="0" fontId="20" fillId="0" borderId="10" xfId="38" applyFont="1" applyFill="1" applyBorder="1" applyAlignment="1">
      <alignment horizontal="left" vertical="center" wrapText="1"/>
    </xf>
    <xf numFmtId="0" fontId="20" fillId="25" borderId="10" xfId="38" applyFont="1" applyFill="1" applyBorder="1" applyAlignment="1">
      <alignment horizontal="left" vertical="center" wrapText="1"/>
    </xf>
    <xf numFmtId="0" fontId="27" fillId="25" borderId="10" xfId="38" applyFont="1" applyFill="1" applyBorder="1" applyAlignment="1">
      <alignment horizontal="left" vertical="center" wrapText="1"/>
    </xf>
    <xf numFmtId="0" fontId="27" fillId="0" borderId="10" xfId="38" applyFont="1" applyFill="1" applyBorder="1" applyAlignment="1">
      <alignment horizontal="center" vertical="center" wrapText="1"/>
    </xf>
    <xf numFmtId="0" fontId="20" fillId="0" borderId="16" xfId="38" applyFont="1" applyFill="1" applyBorder="1" applyAlignment="1">
      <alignment vertical="center" wrapText="1"/>
    </xf>
    <xf numFmtId="0" fontId="20" fillId="0" borderId="17" xfId="38" applyFont="1" applyFill="1" applyBorder="1" applyAlignment="1">
      <alignment vertical="center" wrapText="1"/>
    </xf>
    <xf numFmtId="0" fontId="24" fillId="0" borderId="0" xfId="38" applyFont="1" applyFill="1" applyBorder="1" applyAlignment="1">
      <alignment horizontal="left" vertical="center"/>
    </xf>
    <xf numFmtId="0" fontId="24" fillId="0" borderId="0" xfId="38" applyFont="1" applyFill="1" applyBorder="1" applyAlignment="1">
      <alignment vertical="center"/>
    </xf>
    <xf numFmtId="4" fontId="27" fillId="0" borderId="10" xfId="0" applyNumberFormat="1" applyFont="1" applyFill="1" applyBorder="1" applyAlignment="1">
      <alignment vertical="center" wrapText="1"/>
    </xf>
    <xf numFmtId="1" fontId="27" fillId="0" borderId="10" xfId="0" applyNumberFormat="1" applyFont="1" applyFill="1" applyBorder="1" applyAlignment="1">
      <alignment horizontal="center" vertical="center" wrapText="1"/>
    </xf>
    <xf numFmtId="4" fontId="23" fillId="0" borderId="0" xfId="38" applyNumberFormat="1" applyFont="1" applyFill="1" applyBorder="1" applyAlignment="1">
      <alignment vertical="center" wrapText="1"/>
    </xf>
    <xf numFmtId="0" fontId="20" fillId="0" borderId="10" xfId="38" applyFont="1" applyFill="1" applyBorder="1" applyAlignment="1">
      <alignment horizontal="center" vertical="center" wrapText="1"/>
    </xf>
    <xf numFmtId="10" fontId="22" fillId="24" borderId="10" xfId="38" applyNumberFormat="1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9" fontId="27" fillId="0" borderId="10" xfId="38" applyNumberFormat="1" applyFont="1" applyFill="1" applyBorder="1" applyAlignment="1">
      <alignment horizontal="center" vertical="center" wrapText="1"/>
    </xf>
    <xf numFmtId="0" fontId="23" fillId="0" borderId="0" xfId="38" applyFont="1" applyFill="1" applyBorder="1" applyAlignment="1">
      <alignment vertical="center"/>
    </xf>
    <xf numFmtId="0" fontId="39" fillId="0" borderId="10" xfId="38" applyFont="1" applyFill="1" applyBorder="1" applyAlignment="1">
      <alignment horizontal="center" vertical="center" wrapText="1"/>
    </xf>
    <xf numFmtId="1" fontId="27" fillId="0" borderId="10" xfId="0" applyNumberFormat="1" applyFont="1" applyFill="1" applyBorder="1" applyAlignment="1">
      <alignment horizontal="justify" vertical="center" wrapText="1"/>
    </xf>
    <xf numFmtId="4" fontId="20" fillId="25" borderId="10" xfId="0" applyNumberFormat="1" applyFont="1" applyFill="1" applyBorder="1" applyAlignment="1">
      <alignment horizontal="justify" vertical="center" wrapText="1"/>
    </xf>
    <xf numFmtId="4" fontId="27" fillId="25" borderId="10" xfId="0" applyNumberFormat="1" applyFont="1" applyFill="1" applyBorder="1" applyAlignment="1">
      <alignment horizontal="justify" vertical="center" wrapText="1"/>
    </xf>
    <xf numFmtId="4" fontId="20" fillId="0" borderId="10" xfId="0" applyNumberFormat="1" applyFont="1" applyFill="1" applyBorder="1" applyAlignment="1">
      <alignment horizontal="justify" vertical="center" wrapText="1"/>
    </xf>
    <xf numFmtId="4" fontId="27" fillId="0" borderId="10" xfId="0" applyNumberFormat="1" applyFont="1" applyFill="1" applyBorder="1" applyAlignment="1">
      <alignment horizontal="justify" vertical="center" wrapText="1"/>
    </xf>
    <xf numFmtId="0" fontId="20" fillId="0" borderId="10" xfId="45" applyFont="1" applyFill="1" applyBorder="1" applyAlignment="1">
      <alignment vertical="center" wrapText="1"/>
    </xf>
    <xf numFmtId="4" fontId="27" fillId="0" borderId="1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27" fillId="0" borderId="10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40" fillId="0" borderId="0" xfId="38" applyFont="1" applyAlignment="1">
      <alignment vertical="center"/>
    </xf>
    <xf numFmtId="1" fontId="27" fillId="25" borderId="10" xfId="0" applyNumberFormat="1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1" fillId="24" borderId="14" xfId="38" applyFont="1" applyFill="1" applyBorder="1" applyAlignment="1">
      <alignment horizontal="left" vertical="center" wrapText="1"/>
    </xf>
    <xf numFmtId="0" fontId="21" fillId="24" borderId="15" xfId="38" applyFont="1" applyFill="1" applyBorder="1" applyAlignment="1">
      <alignment horizontal="left" vertical="center" wrapText="1"/>
    </xf>
    <xf numFmtId="0" fontId="21" fillId="24" borderId="13" xfId="38" applyFont="1" applyFill="1" applyBorder="1" applyAlignment="1">
      <alignment horizontal="left" vertical="center" wrapText="1"/>
    </xf>
    <xf numFmtId="0" fontId="22" fillId="24" borderId="10" xfId="38" applyFont="1" applyFill="1" applyBorder="1" applyAlignment="1">
      <alignment horizontal="center" vertical="center"/>
    </xf>
    <xf numFmtId="0" fontId="21" fillId="24" borderId="12" xfId="38" applyFont="1" applyFill="1" applyBorder="1" applyAlignment="1">
      <alignment horizontal="left" vertical="center" wrapText="1"/>
    </xf>
    <xf numFmtId="0" fontId="22" fillId="24" borderId="15" xfId="38" applyFont="1" applyFill="1" applyBorder="1" applyAlignment="1">
      <alignment horizontal="center" vertical="center" wrapText="1"/>
    </xf>
    <xf numFmtId="0" fontId="20" fillId="0" borderId="16" xfId="38" applyFont="1" applyFill="1" applyBorder="1" applyAlignment="1">
      <alignment horizontal="center" vertical="center" wrapText="1"/>
    </xf>
    <xf numFmtId="0" fontId="20" fillId="0" borderId="17" xfId="38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/>
    </xf>
    <xf numFmtId="0" fontId="20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9" fillId="26" borderId="12" xfId="0" applyFont="1" applyFill="1" applyBorder="1" applyAlignment="1">
      <alignment horizontal="center" vertical="center"/>
    </xf>
    <xf numFmtId="0" fontId="29" fillId="26" borderId="11" xfId="0" applyFont="1" applyFill="1" applyBorder="1" applyAlignment="1">
      <alignment horizontal="center" vertical="center"/>
    </xf>
    <xf numFmtId="0" fontId="29" fillId="26" borderId="15" xfId="0" applyFont="1" applyFill="1" applyBorder="1" applyAlignment="1">
      <alignment horizontal="center" vertical="center"/>
    </xf>
    <xf numFmtId="0" fontId="29" fillId="26" borderId="12" xfId="0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center" vertical="center" wrapText="1"/>
    </xf>
    <xf numFmtId="0" fontId="29" fillId="26" borderId="15" xfId="0" applyFont="1" applyFill="1" applyBorder="1" applyAlignment="1">
      <alignment horizontal="center" vertical="center" wrapText="1"/>
    </xf>
    <xf numFmtId="0" fontId="27" fillId="0" borderId="16" xfId="38" applyFont="1" applyFill="1" applyBorder="1" applyAlignment="1">
      <alignment horizontal="center" vertical="center" wrapText="1"/>
    </xf>
    <xf numFmtId="0" fontId="27" fillId="0" borderId="17" xfId="38" applyFont="1" applyFill="1" applyBorder="1" applyAlignment="1">
      <alignment horizontal="center" vertical="center" wrapText="1"/>
    </xf>
    <xf numFmtId="0" fontId="22" fillId="24" borderId="12" xfId="38" applyFont="1" applyFill="1" applyBorder="1" applyAlignment="1">
      <alignment horizontal="center" vertical="center" wrapText="1"/>
    </xf>
  </cellXfs>
  <cellStyles count="69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Comma 2" xfId="46"/>
    <cellStyle name="Currency 2" xfId="47"/>
    <cellStyle name="Currency 3" xfId="4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5"/>
    <cellStyle name="Normal 2 2 2" xfId="49"/>
    <cellStyle name="Normal 2 3" xfId="50"/>
    <cellStyle name="Normal 3" xfId="1"/>
    <cellStyle name="Normal 3 2" xfId="51"/>
    <cellStyle name="Normal 3 3" xfId="52"/>
    <cellStyle name="Normal 3 4" xfId="53"/>
    <cellStyle name="Normal 4" xfId="54"/>
    <cellStyle name="Normal 4 2" xfId="55"/>
    <cellStyle name="Normal 4 3" xfId="56"/>
    <cellStyle name="Normal 5" xfId="57"/>
    <cellStyle name="Normal 5 2" xfId="58"/>
    <cellStyle name="Normal 5 3" xfId="59"/>
    <cellStyle name="Normal 6" xfId="60"/>
    <cellStyle name="Normal 7" xfId="61"/>
    <cellStyle name="Normal 8" xfId="62"/>
    <cellStyle name="Normal 9" xfId="63"/>
    <cellStyle name="Note 2" xfId="39"/>
    <cellStyle name="Output 2" xfId="40"/>
    <cellStyle name="Percent 2" xfId="64"/>
    <cellStyle name="Porcentagem 2" xfId="65"/>
    <cellStyle name="Separador de milhares 2" xfId="66"/>
    <cellStyle name="Title 2" xfId="41"/>
    <cellStyle name="Título 5" xfId="67"/>
    <cellStyle name="Total 2" xfId="42"/>
    <cellStyle name="Vírgula 2" xfId="68"/>
    <cellStyle name="Warning Text 2" xfId="43"/>
  </cellStyles>
  <dxfs count="0"/>
  <tableStyles count="0" defaultTableStyle="TableStyleMedium9" defaultPivotStyle="PivotStyleLight16"/>
  <colors>
    <mruColors>
      <color rgb="FF33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ATA.IDB/My%20Documents/Work%20in%20Progress/Brazil%20General/Models%20-%20Bank%20Templates/Planning_tools_SG_supervision_v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Procurement Plan (By Component)"/>
      <sheetName val="Procurement Plan (By proctype)"/>
      <sheetName val="Financial plan (Disbursements)"/>
      <sheetName val="Sheet2"/>
      <sheetName val="Sheet1"/>
    </sheetNames>
    <sheetDataSet>
      <sheetData sheetId="0"/>
      <sheetData sheetId="1" refreshError="1"/>
      <sheetData sheetId="2" refreshError="1"/>
      <sheetData sheetId="3">
        <row r="7">
          <cell r="AX7" t="str">
            <v>Programmed</v>
          </cell>
        </row>
        <row r="8">
          <cell r="AX8" t="str">
            <v>Signed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1"/>
  <sheetViews>
    <sheetView tabSelected="1" zoomScale="87" zoomScaleNormal="87" workbookViewId="0"/>
  </sheetViews>
  <sheetFormatPr defaultRowHeight="15" x14ac:dyDescent="0.25"/>
  <cols>
    <col min="1" max="1" width="11.7109375" style="2" customWidth="1"/>
    <col min="2" max="2" width="9.85546875" style="2" customWidth="1"/>
    <col min="3" max="3" width="36.5703125" style="2" customWidth="1"/>
    <col min="4" max="4" width="23.140625" style="2" customWidth="1"/>
    <col min="5" max="5" width="12.28515625" style="2" customWidth="1"/>
    <col min="6" max="6" width="13.140625" style="2" customWidth="1"/>
    <col min="7" max="7" width="17.7109375" style="4" customWidth="1"/>
    <col min="8" max="9" width="17.7109375" style="5" customWidth="1"/>
    <col min="10" max="10" width="12.85546875" style="2" customWidth="1"/>
    <col min="11" max="11" width="21.140625" style="2" customWidth="1"/>
    <col min="12" max="12" width="13.5703125" style="2" customWidth="1"/>
    <col min="13" max="13" width="12.7109375" style="2" customWidth="1"/>
    <col min="14" max="14" width="11.85546875" style="2" customWidth="1"/>
    <col min="15" max="15" width="16.7109375" style="2" customWidth="1"/>
    <col min="16" max="16384" width="9.140625" style="2"/>
  </cols>
  <sheetData>
    <row r="1" spans="1:16" ht="18.75" x14ac:dyDescent="0.25">
      <c r="A1" s="16" t="s">
        <v>40</v>
      </c>
    </row>
    <row r="2" spans="1:16" ht="18.75" x14ac:dyDescent="0.3">
      <c r="A2" s="17" t="s">
        <v>41</v>
      </c>
    </row>
    <row r="3" spans="1:16" ht="10.5" customHeight="1" x14ac:dyDescent="0.25">
      <c r="A3" s="18"/>
    </row>
    <row r="4" spans="1:16" ht="15.75" x14ac:dyDescent="0.25">
      <c r="A4" s="19" t="s">
        <v>74</v>
      </c>
    </row>
    <row r="5" spans="1:16" ht="9" customHeight="1" x14ac:dyDescent="0.25">
      <c r="A5" s="20"/>
    </row>
    <row r="6" spans="1:16" ht="15.75" x14ac:dyDescent="0.25">
      <c r="A6" s="19" t="s">
        <v>170</v>
      </c>
    </row>
    <row r="7" spans="1:16" ht="15.75" x14ac:dyDescent="0.25">
      <c r="A7" s="19" t="s">
        <v>171</v>
      </c>
      <c r="B7" s="12"/>
    </row>
    <row r="8" spans="1:16" ht="15.75" x14ac:dyDescent="0.25">
      <c r="A8" s="19" t="s">
        <v>57</v>
      </c>
      <c r="B8" s="12"/>
    </row>
    <row r="9" spans="1:16" ht="6.75" customHeight="1" x14ac:dyDescent="0.25"/>
    <row r="10" spans="1:16" ht="15.75" x14ac:dyDescent="0.25">
      <c r="A10" s="70" t="s">
        <v>0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2"/>
      <c r="P10" s="1"/>
    </row>
    <row r="11" spans="1:16" ht="15" customHeight="1" x14ac:dyDescent="0.25">
      <c r="A11" s="69" t="s">
        <v>7</v>
      </c>
      <c r="B11" s="69" t="s">
        <v>114</v>
      </c>
      <c r="C11" s="69" t="s">
        <v>70</v>
      </c>
      <c r="D11" s="69" t="s">
        <v>68</v>
      </c>
      <c r="E11" s="69" t="s">
        <v>65</v>
      </c>
      <c r="F11" s="69" t="s">
        <v>87</v>
      </c>
      <c r="G11" s="73" t="s">
        <v>17</v>
      </c>
      <c r="H11" s="73"/>
      <c r="I11" s="73"/>
      <c r="J11" s="69" t="s">
        <v>66</v>
      </c>
      <c r="K11" s="69" t="s">
        <v>67</v>
      </c>
      <c r="L11" s="69" t="s">
        <v>18</v>
      </c>
      <c r="M11" s="69"/>
      <c r="N11" s="69" t="s">
        <v>42</v>
      </c>
      <c r="O11" s="69" t="s">
        <v>43</v>
      </c>
      <c r="P11" s="1"/>
    </row>
    <row r="12" spans="1:16" ht="54.75" customHeight="1" x14ac:dyDescent="0.25">
      <c r="A12" s="69"/>
      <c r="B12" s="69"/>
      <c r="C12" s="69"/>
      <c r="D12" s="69"/>
      <c r="E12" s="69"/>
      <c r="F12" s="69"/>
      <c r="G12" s="9" t="s">
        <v>106</v>
      </c>
      <c r="H12" s="15" t="s">
        <v>78</v>
      </c>
      <c r="I12" s="15" t="s">
        <v>79</v>
      </c>
      <c r="J12" s="69"/>
      <c r="K12" s="69"/>
      <c r="L12" s="14" t="s">
        <v>19</v>
      </c>
      <c r="M12" s="14" t="s">
        <v>20</v>
      </c>
      <c r="N12" s="69"/>
      <c r="O12" s="69"/>
      <c r="P12" s="1"/>
    </row>
    <row r="13" spans="1:16" ht="45" customHeight="1" x14ac:dyDescent="0.25">
      <c r="A13" s="13" t="s">
        <v>28</v>
      </c>
      <c r="B13" s="42" t="s">
        <v>107</v>
      </c>
      <c r="C13" s="60" t="s">
        <v>33</v>
      </c>
      <c r="D13" s="39" t="s">
        <v>36</v>
      </c>
      <c r="E13" s="13">
        <v>1</v>
      </c>
      <c r="F13" s="53" t="s">
        <v>88</v>
      </c>
      <c r="G13" s="37">
        <f>1121850.65/3.1358/1000</f>
        <v>357.75580394157782</v>
      </c>
      <c r="H13" s="11">
        <v>1</v>
      </c>
      <c r="I13" s="11">
        <v>0</v>
      </c>
      <c r="J13" s="13">
        <v>1</v>
      </c>
      <c r="K13" s="35" t="s">
        <v>5</v>
      </c>
      <c r="L13" s="28">
        <v>42566</v>
      </c>
      <c r="M13" s="28">
        <f>L13+90</f>
        <v>42656</v>
      </c>
      <c r="N13" s="3"/>
      <c r="O13" s="3" t="s">
        <v>14</v>
      </c>
      <c r="P13" s="1"/>
    </row>
    <row r="14" spans="1:16" ht="60" customHeight="1" x14ac:dyDescent="0.25">
      <c r="A14" s="50" t="s">
        <v>28</v>
      </c>
      <c r="B14" s="42" t="s">
        <v>158</v>
      </c>
      <c r="C14" s="60" t="s">
        <v>132</v>
      </c>
      <c r="D14" s="3" t="s">
        <v>8</v>
      </c>
      <c r="E14" s="50">
        <v>1</v>
      </c>
      <c r="F14" s="53" t="s">
        <v>89</v>
      </c>
      <c r="G14" s="37">
        <f>(6633884.61+983021.21 )/3.964/1000</f>
        <v>1921.5201362260345</v>
      </c>
      <c r="H14" s="11">
        <v>1</v>
      </c>
      <c r="I14" s="11">
        <v>0</v>
      </c>
      <c r="J14" s="50" t="s">
        <v>75</v>
      </c>
      <c r="K14" s="29" t="s">
        <v>5</v>
      </c>
      <c r="L14" s="10">
        <v>42194</v>
      </c>
      <c r="M14" s="10">
        <v>42277</v>
      </c>
      <c r="N14" s="50" t="s">
        <v>76</v>
      </c>
      <c r="O14" s="3" t="s">
        <v>48</v>
      </c>
      <c r="P14" s="1"/>
    </row>
    <row r="15" spans="1:16" ht="45" customHeight="1" x14ac:dyDescent="0.25">
      <c r="A15" s="29" t="s">
        <v>28</v>
      </c>
      <c r="B15" s="42" t="s">
        <v>134</v>
      </c>
      <c r="C15" s="58" t="s">
        <v>60</v>
      </c>
      <c r="D15" s="41" t="s">
        <v>8</v>
      </c>
      <c r="E15" s="29">
        <v>1</v>
      </c>
      <c r="F15" s="30"/>
      <c r="G15" s="37">
        <f>2268495.07/3.1358/1000</f>
        <v>723.41828879392813</v>
      </c>
      <c r="H15" s="31">
        <v>1</v>
      </c>
      <c r="I15" s="31">
        <v>0</v>
      </c>
      <c r="J15" s="29">
        <v>1</v>
      </c>
      <c r="K15" s="29" t="s">
        <v>5</v>
      </c>
      <c r="L15" s="32">
        <v>42675</v>
      </c>
      <c r="M15" s="32">
        <f t="shared" ref="M15" si="0">L15+90</f>
        <v>42765</v>
      </c>
      <c r="N15" s="3"/>
      <c r="O15" s="3" t="s">
        <v>14</v>
      </c>
      <c r="P15" s="1"/>
    </row>
    <row r="16" spans="1:16" ht="30" customHeight="1" x14ac:dyDescent="0.25">
      <c r="A16" s="29" t="s">
        <v>28</v>
      </c>
      <c r="B16" s="42" t="s">
        <v>110</v>
      </c>
      <c r="C16" s="58" t="s">
        <v>61</v>
      </c>
      <c r="D16" s="41" t="s">
        <v>36</v>
      </c>
      <c r="E16" s="29">
        <v>1</v>
      </c>
      <c r="F16" s="30"/>
      <c r="G16" s="37">
        <f>1355174.61/3.1358/1000</f>
        <v>432.16232221442692</v>
      </c>
      <c r="H16" s="31">
        <v>1</v>
      </c>
      <c r="I16" s="31">
        <v>0</v>
      </c>
      <c r="J16" s="29">
        <v>1</v>
      </c>
      <c r="K16" s="29" t="s">
        <v>4</v>
      </c>
      <c r="L16" s="32">
        <v>42658</v>
      </c>
      <c r="M16" s="28">
        <f>L16+60</f>
        <v>42718</v>
      </c>
      <c r="N16" s="3"/>
      <c r="O16" s="3" t="s">
        <v>46</v>
      </c>
      <c r="P16" s="1"/>
    </row>
    <row r="17" spans="1:16" ht="30" customHeight="1" x14ac:dyDescent="0.25">
      <c r="A17" s="29" t="s">
        <v>28</v>
      </c>
      <c r="B17" s="42" t="s">
        <v>108</v>
      </c>
      <c r="C17" s="58" t="s">
        <v>58</v>
      </c>
      <c r="D17" s="3" t="s">
        <v>8</v>
      </c>
      <c r="E17" s="29">
        <v>1</v>
      </c>
      <c r="F17" s="29"/>
      <c r="G17" s="37">
        <v>500</v>
      </c>
      <c r="H17" s="31">
        <v>1</v>
      </c>
      <c r="I17" s="31">
        <v>0</v>
      </c>
      <c r="J17" s="29">
        <v>1</v>
      </c>
      <c r="K17" s="29" t="s">
        <v>5</v>
      </c>
      <c r="L17" s="32">
        <v>42809</v>
      </c>
      <c r="M17" s="28">
        <f>L17+90</f>
        <v>42899</v>
      </c>
      <c r="N17" s="3"/>
      <c r="O17" s="3" t="s">
        <v>46</v>
      </c>
      <c r="P17" s="1"/>
    </row>
    <row r="18" spans="1:16" ht="30" customHeight="1" x14ac:dyDescent="0.25">
      <c r="A18" s="29" t="s">
        <v>28</v>
      </c>
      <c r="B18" s="42" t="s">
        <v>109</v>
      </c>
      <c r="C18" s="58" t="s">
        <v>59</v>
      </c>
      <c r="D18" s="3" t="s">
        <v>8</v>
      </c>
      <c r="E18" s="29">
        <v>1</v>
      </c>
      <c r="F18" s="30"/>
      <c r="G18" s="37">
        <v>500</v>
      </c>
      <c r="H18" s="31">
        <v>1</v>
      </c>
      <c r="I18" s="31">
        <v>0</v>
      </c>
      <c r="J18" s="29">
        <v>1</v>
      </c>
      <c r="K18" s="29" t="s">
        <v>5</v>
      </c>
      <c r="L18" s="32">
        <v>42719</v>
      </c>
      <c r="M18" s="28">
        <f>L18+90</f>
        <v>42809</v>
      </c>
      <c r="N18" s="3"/>
      <c r="O18" s="3" t="s">
        <v>46</v>
      </c>
      <c r="P18" s="1"/>
    </row>
    <row r="19" spans="1:16" ht="45" customHeight="1" x14ac:dyDescent="0.25">
      <c r="A19" s="29" t="s">
        <v>28</v>
      </c>
      <c r="B19" s="42" t="s">
        <v>111</v>
      </c>
      <c r="C19" s="58" t="s">
        <v>63</v>
      </c>
      <c r="D19" s="40" t="s">
        <v>8</v>
      </c>
      <c r="E19" s="29">
        <v>1</v>
      </c>
      <c r="F19" s="29" t="s">
        <v>90</v>
      </c>
      <c r="G19" s="37">
        <f>5984822.67/3.1358/1000</f>
        <v>1908.5473148797753</v>
      </c>
      <c r="H19" s="31">
        <v>1</v>
      </c>
      <c r="I19" s="31">
        <v>0</v>
      </c>
      <c r="J19" s="29">
        <v>1</v>
      </c>
      <c r="K19" s="29" t="s">
        <v>5</v>
      </c>
      <c r="L19" s="32">
        <v>42471</v>
      </c>
      <c r="M19" s="32">
        <v>42614</v>
      </c>
      <c r="N19" s="3"/>
      <c r="O19" s="3" t="s">
        <v>14</v>
      </c>
      <c r="P19" s="1"/>
    </row>
    <row r="20" spans="1:16" x14ac:dyDescent="0.25">
      <c r="A20" s="6"/>
      <c r="B20" s="6"/>
      <c r="C20" s="6"/>
      <c r="D20" s="6"/>
      <c r="E20" s="46" t="s">
        <v>143</v>
      </c>
      <c r="F20" s="21"/>
      <c r="G20" s="36">
        <f>SUM(G13:G19)</f>
        <v>6343.4038660557426</v>
      </c>
      <c r="H20" s="8"/>
      <c r="I20" s="33"/>
      <c r="J20" s="33"/>
      <c r="K20" s="6"/>
      <c r="L20" s="6"/>
      <c r="M20" s="6"/>
      <c r="N20" s="6"/>
      <c r="O20" s="6"/>
      <c r="P20" s="1"/>
    </row>
    <row r="21" spans="1:16" ht="15" customHeight="1" x14ac:dyDescent="0.25">
      <c r="E21" s="46" t="s">
        <v>162</v>
      </c>
      <c r="F21" s="46"/>
      <c r="G21" s="36">
        <f>G20-G14</f>
        <v>4421.8837298297076</v>
      </c>
    </row>
    <row r="22" spans="1:16" ht="15" customHeight="1" x14ac:dyDescent="0.25">
      <c r="E22" s="46"/>
      <c r="F22" s="46"/>
      <c r="G22" s="36"/>
    </row>
    <row r="23" spans="1:16" ht="15.75" x14ac:dyDescent="0.25">
      <c r="A23" s="70" t="s">
        <v>159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2"/>
      <c r="P23" s="1"/>
    </row>
    <row r="24" spans="1:16" ht="15" customHeight="1" x14ac:dyDescent="0.25">
      <c r="A24" s="69" t="s">
        <v>7</v>
      </c>
      <c r="B24" s="69" t="s">
        <v>114</v>
      </c>
      <c r="C24" s="69" t="s">
        <v>70</v>
      </c>
      <c r="D24" s="69" t="s">
        <v>68</v>
      </c>
      <c r="E24" s="69" t="s">
        <v>65</v>
      </c>
      <c r="F24" s="69" t="s">
        <v>87</v>
      </c>
      <c r="G24" s="73" t="s">
        <v>17</v>
      </c>
      <c r="H24" s="73"/>
      <c r="I24" s="73"/>
      <c r="J24" s="69" t="s">
        <v>66</v>
      </c>
      <c r="K24" s="69" t="s">
        <v>67</v>
      </c>
      <c r="L24" s="69" t="s">
        <v>18</v>
      </c>
      <c r="M24" s="69"/>
      <c r="N24" s="69" t="s">
        <v>42</v>
      </c>
      <c r="O24" s="69" t="s">
        <v>43</v>
      </c>
      <c r="P24" s="1"/>
    </row>
    <row r="25" spans="1:16" ht="51.75" customHeight="1" x14ac:dyDescent="0.25">
      <c r="A25" s="69"/>
      <c r="B25" s="69"/>
      <c r="C25" s="69"/>
      <c r="D25" s="69"/>
      <c r="E25" s="69"/>
      <c r="F25" s="69"/>
      <c r="G25" s="9" t="s">
        <v>106</v>
      </c>
      <c r="H25" s="51" t="s">
        <v>78</v>
      </c>
      <c r="I25" s="51" t="s">
        <v>79</v>
      </c>
      <c r="J25" s="69"/>
      <c r="K25" s="69"/>
      <c r="L25" s="34" t="s">
        <v>19</v>
      </c>
      <c r="M25" s="34" t="s">
        <v>20</v>
      </c>
      <c r="N25" s="69"/>
      <c r="O25" s="69"/>
      <c r="P25" s="1"/>
    </row>
    <row r="26" spans="1:16" ht="45" customHeight="1" x14ac:dyDescent="0.25">
      <c r="A26" s="42" t="s">
        <v>28</v>
      </c>
      <c r="B26" s="65" t="s">
        <v>115</v>
      </c>
      <c r="C26" s="63" t="s">
        <v>154</v>
      </c>
      <c r="D26" s="27" t="s">
        <v>36</v>
      </c>
      <c r="E26" s="53">
        <v>1</v>
      </c>
      <c r="F26" s="53"/>
      <c r="G26" s="37">
        <v>200</v>
      </c>
      <c r="H26" s="54">
        <v>1</v>
      </c>
      <c r="I26" s="54">
        <v>0</v>
      </c>
      <c r="J26" s="25">
        <v>3</v>
      </c>
      <c r="K26" s="53" t="s">
        <v>4</v>
      </c>
      <c r="L26" s="10">
        <v>42809</v>
      </c>
      <c r="M26" s="10">
        <f t="shared" ref="M26" si="1">L26+180</f>
        <v>42989</v>
      </c>
      <c r="N26" s="3"/>
      <c r="O26" s="3" t="s">
        <v>46</v>
      </c>
      <c r="P26" s="12"/>
    </row>
    <row r="27" spans="1:16" ht="60" customHeight="1" x14ac:dyDescent="0.25">
      <c r="A27" s="52" t="s">
        <v>28</v>
      </c>
      <c r="B27" s="48" t="s">
        <v>156</v>
      </c>
      <c r="C27" s="60" t="s">
        <v>86</v>
      </c>
      <c r="D27" s="27" t="s">
        <v>36</v>
      </c>
      <c r="E27" s="52">
        <v>1</v>
      </c>
      <c r="F27" s="52"/>
      <c r="G27" s="37">
        <v>90</v>
      </c>
      <c r="H27" s="11">
        <v>1</v>
      </c>
      <c r="I27" s="11">
        <v>0</v>
      </c>
      <c r="J27" s="52">
        <v>3</v>
      </c>
      <c r="K27" s="52" t="s">
        <v>5</v>
      </c>
      <c r="L27" s="10">
        <v>42658</v>
      </c>
      <c r="M27" s="10">
        <f>L27+60</f>
        <v>42718</v>
      </c>
      <c r="N27" s="3"/>
      <c r="O27" s="3" t="s">
        <v>46</v>
      </c>
      <c r="P27" s="67"/>
    </row>
    <row r="28" spans="1:16" x14ac:dyDescent="0.25">
      <c r="A28" s="6"/>
      <c r="B28" s="6"/>
      <c r="C28" s="6"/>
      <c r="D28" s="6"/>
      <c r="E28" s="45" t="s">
        <v>160</v>
      </c>
      <c r="F28" s="21"/>
      <c r="G28" s="22">
        <f>SUM(G26:G27)</f>
        <v>290</v>
      </c>
      <c r="H28" s="8"/>
      <c r="I28" s="8"/>
      <c r="J28" s="6"/>
      <c r="K28" s="6"/>
      <c r="L28" s="6"/>
      <c r="M28" s="6"/>
      <c r="N28" s="6"/>
      <c r="O28" s="6"/>
      <c r="P28" s="1"/>
    </row>
    <row r="29" spans="1:16" x14ac:dyDescent="0.25">
      <c r="E29" s="45" t="s">
        <v>161</v>
      </c>
      <c r="F29" s="46"/>
      <c r="G29" s="22">
        <f>G28</f>
        <v>290</v>
      </c>
    </row>
    <row r="30" spans="1:16" x14ac:dyDescent="0.25">
      <c r="E30" s="45"/>
      <c r="F30" s="46"/>
      <c r="G30" s="22"/>
    </row>
    <row r="31" spans="1:16" ht="15.75" customHeight="1" x14ac:dyDescent="0.25">
      <c r="A31" s="70" t="s">
        <v>21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2"/>
    </row>
    <row r="32" spans="1:16" ht="15" customHeight="1" x14ac:dyDescent="0.25">
      <c r="A32" s="69" t="s">
        <v>7</v>
      </c>
      <c r="B32" s="69" t="s">
        <v>114</v>
      </c>
      <c r="C32" s="69" t="s">
        <v>70</v>
      </c>
      <c r="D32" s="69" t="s">
        <v>69</v>
      </c>
      <c r="E32" s="74"/>
      <c r="F32" s="74"/>
      <c r="G32" s="73" t="s">
        <v>17</v>
      </c>
      <c r="H32" s="73"/>
      <c r="I32" s="73"/>
      <c r="J32" s="69" t="s">
        <v>66</v>
      </c>
      <c r="K32" s="69" t="s">
        <v>67</v>
      </c>
      <c r="L32" s="69" t="s">
        <v>18</v>
      </c>
      <c r="M32" s="69"/>
      <c r="N32" s="69" t="s">
        <v>42</v>
      </c>
      <c r="O32" s="69" t="s">
        <v>43</v>
      </c>
    </row>
    <row r="33" spans="1:16" ht="45" customHeight="1" x14ac:dyDescent="0.25">
      <c r="A33" s="69"/>
      <c r="B33" s="69"/>
      <c r="C33" s="69"/>
      <c r="D33" s="69"/>
      <c r="E33" s="75" t="s">
        <v>105</v>
      </c>
      <c r="F33" s="75"/>
      <c r="G33" s="9" t="s">
        <v>106</v>
      </c>
      <c r="H33" s="51" t="s">
        <v>78</v>
      </c>
      <c r="I33" s="51" t="s">
        <v>79</v>
      </c>
      <c r="J33" s="69"/>
      <c r="K33" s="69"/>
      <c r="L33" s="14" t="s">
        <v>44</v>
      </c>
      <c r="M33" s="14" t="s">
        <v>20</v>
      </c>
      <c r="N33" s="69"/>
      <c r="O33" s="69"/>
    </row>
    <row r="34" spans="1:16" ht="60" customHeight="1" x14ac:dyDescent="0.25">
      <c r="A34" s="35" t="s">
        <v>28</v>
      </c>
      <c r="B34" s="65" t="s">
        <v>136</v>
      </c>
      <c r="C34" s="60" t="s">
        <v>135</v>
      </c>
      <c r="D34" s="3" t="s">
        <v>37</v>
      </c>
      <c r="E34" s="43"/>
      <c r="F34" s="44"/>
      <c r="G34" s="37">
        <v>328.24</v>
      </c>
      <c r="H34" s="11">
        <v>1</v>
      </c>
      <c r="I34" s="11">
        <v>0</v>
      </c>
      <c r="J34" s="25">
        <v>1</v>
      </c>
      <c r="K34" s="42" t="s">
        <v>5</v>
      </c>
      <c r="L34" s="10">
        <v>42658</v>
      </c>
      <c r="M34" s="10">
        <f>L34+180</f>
        <v>42838</v>
      </c>
      <c r="N34" s="3"/>
      <c r="O34" s="3" t="s">
        <v>46</v>
      </c>
    </row>
    <row r="35" spans="1:16" ht="45" customHeight="1" x14ac:dyDescent="0.25">
      <c r="A35" s="35" t="s">
        <v>28</v>
      </c>
      <c r="B35" s="65" t="s">
        <v>137</v>
      </c>
      <c r="C35" s="60" t="s">
        <v>138</v>
      </c>
      <c r="D35" s="3" t="s">
        <v>37</v>
      </c>
      <c r="E35" s="43"/>
      <c r="F35" s="44"/>
      <c r="G35" s="37">
        <f>340.1+429.75</f>
        <v>769.85</v>
      </c>
      <c r="H35" s="11">
        <v>1</v>
      </c>
      <c r="I35" s="11">
        <v>0</v>
      </c>
      <c r="J35" s="25">
        <v>1</v>
      </c>
      <c r="K35" s="42" t="s">
        <v>5</v>
      </c>
      <c r="L35" s="10">
        <v>42658</v>
      </c>
      <c r="M35" s="10">
        <f t="shared" ref="M35:M36" si="2">L35+180</f>
        <v>42838</v>
      </c>
      <c r="N35" s="3"/>
      <c r="O35" s="3" t="s">
        <v>46</v>
      </c>
    </row>
    <row r="36" spans="1:16" ht="45" customHeight="1" x14ac:dyDescent="0.25">
      <c r="A36" s="35" t="s">
        <v>28</v>
      </c>
      <c r="B36" s="65" t="s">
        <v>29</v>
      </c>
      <c r="C36" s="60" t="s">
        <v>62</v>
      </c>
      <c r="D36" s="3" t="s">
        <v>37</v>
      </c>
      <c r="E36" s="43"/>
      <c r="F36" s="44"/>
      <c r="G36" s="37">
        <f>1540237.23/3.1358/1000</f>
        <v>491.17840104598503</v>
      </c>
      <c r="H36" s="11">
        <v>1</v>
      </c>
      <c r="I36" s="11">
        <v>0</v>
      </c>
      <c r="J36" s="25">
        <v>1</v>
      </c>
      <c r="K36" s="35" t="s">
        <v>5</v>
      </c>
      <c r="L36" s="10">
        <v>42658</v>
      </c>
      <c r="M36" s="10">
        <f t="shared" si="2"/>
        <v>42838</v>
      </c>
      <c r="N36" s="3"/>
      <c r="O36" s="3" t="s">
        <v>46</v>
      </c>
    </row>
    <row r="37" spans="1:16" ht="54.95" customHeight="1" x14ac:dyDescent="0.25">
      <c r="A37" s="13" t="s">
        <v>28</v>
      </c>
      <c r="B37" s="65" t="s">
        <v>139</v>
      </c>
      <c r="C37" s="60" t="s">
        <v>112</v>
      </c>
      <c r="D37" s="3" t="s">
        <v>13</v>
      </c>
      <c r="E37" s="76" t="s">
        <v>91</v>
      </c>
      <c r="F37" s="77"/>
      <c r="G37" s="37">
        <f>65453.19/3.3382/1000</f>
        <v>19.607330297765262</v>
      </c>
      <c r="H37" s="11">
        <v>1</v>
      </c>
      <c r="I37" s="11">
        <v>0</v>
      </c>
      <c r="J37" s="25">
        <v>1</v>
      </c>
      <c r="K37" s="35" t="s">
        <v>4</v>
      </c>
      <c r="L37" s="10"/>
      <c r="M37" s="10">
        <v>42558</v>
      </c>
      <c r="N37" s="56" t="s">
        <v>83</v>
      </c>
      <c r="O37" s="3" t="s">
        <v>48</v>
      </c>
    </row>
    <row r="38" spans="1:16" ht="45" customHeight="1" x14ac:dyDescent="0.25">
      <c r="A38" s="53" t="s">
        <v>28</v>
      </c>
      <c r="B38" s="65" t="s">
        <v>163</v>
      </c>
      <c r="C38" s="60" t="s">
        <v>151</v>
      </c>
      <c r="D38" s="3" t="s">
        <v>26</v>
      </c>
      <c r="E38" s="43"/>
      <c r="F38" s="44"/>
      <c r="G38" s="37">
        <v>200</v>
      </c>
      <c r="H38" s="11">
        <v>1</v>
      </c>
      <c r="I38" s="11">
        <v>0</v>
      </c>
      <c r="J38" s="25">
        <v>1</v>
      </c>
      <c r="K38" s="53" t="s">
        <v>4</v>
      </c>
      <c r="L38" s="10">
        <v>42658</v>
      </c>
      <c r="M38" s="10">
        <f>L38+150</f>
        <v>42808</v>
      </c>
      <c r="N38" s="3"/>
      <c r="O38" s="3" t="s">
        <v>46</v>
      </c>
      <c r="P38" s="66"/>
    </row>
    <row r="39" spans="1:16" ht="39.950000000000003" customHeight="1" x14ac:dyDescent="0.25">
      <c r="A39" s="13" t="s">
        <v>28</v>
      </c>
      <c r="B39" s="48" t="s">
        <v>113</v>
      </c>
      <c r="C39" s="60" t="s">
        <v>85</v>
      </c>
      <c r="D39" s="3" t="s">
        <v>37</v>
      </c>
      <c r="E39" s="76" t="s">
        <v>92</v>
      </c>
      <c r="F39" s="77"/>
      <c r="G39" s="37">
        <f>1695591.45/3.1358/1000</f>
        <v>540.72053383506602</v>
      </c>
      <c r="H39" s="11">
        <v>1</v>
      </c>
      <c r="I39" s="11">
        <v>0</v>
      </c>
      <c r="J39" s="25">
        <v>1</v>
      </c>
      <c r="K39" s="35" t="s">
        <v>5</v>
      </c>
      <c r="L39" s="10">
        <v>42248</v>
      </c>
      <c r="M39" s="10">
        <v>42614</v>
      </c>
      <c r="N39" s="3"/>
      <c r="O39" s="3" t="s">
        <v>14</v>
      </c>
    </row>
    <row r="40" spans="1:16" ht="54.95" customHeight="1" x14ac:dyDescent="0.25">
      <c r="A40" s="13" t="s">
        <v>28</v>
      </c>
      <c r="B40" s="48">
        <v>2.1</v>
      </c>
      <c r="C40" s="61" t="s">
        <v>64</v>
      </c>
      <c r="D40" s="27" t="s">
        <v>37</v>
      </c>
      <c r="E40" s="90" t="s">
        <v>93</v>
      </c>
      <c r="F40" s="91"/>
      <c r="G40" s="37">
        <v>230</v>
      </c>
      <c r="H40" s="11">
        <v>1</v>
      </c>
      <c r="I40" s="11">
        <v>0</v>
      </c>
      <c r="J40" s="25">
        <v>2</v>
      </c>
      <c r="K40" s="35" t="s">
        <v>5</v>
      </c>
      <c r="L40" s="10">
        <v>42451</v>
      </c>
      <c r="M40" s="10">
        <v>42675</v>
      </c>
      <c r="N40" s="3"/>
      <c r="O40" s="3" t="s">
        <v>14</v>
      </c>
    </row>
    <row r="41" spans="1:16" ht="45" customHeight="1" x14ac:dyDescent="0.25">
      <c r="A41" s="42" t="s">
        <v>28</v>
      </c>
      <c r="B41" s="48" t="s">
        <v>157</v>
      </c>
      <c r="C41" s="63" t="s">
        <v>73</v>
      </c>
      <c r="D41" s="62" t="s">
        <v>26</v>
      </c>
      <c r="E41" s="43"/>
      <c r="F41" s="44"/>
      <c r="G41" s="37">
        <v>60</v>
      </c>
      <c r="H41" s="11">
        <v>1</v>
      </c>
      <c r="I41" s="11">
        <v>0</v>
      </c>
      <c r="J41" s="25">
        <v>3</v>
      </c>
      <c r="K41" s="52" t="s">
        <v>4</v>
      </c>
      <c r="L41" s="10">
        <v>42658</v>
      </c>
      <c r="M41" s="10">
        <f>L41+90</f>
        <v>42748</v>
      </c>
      <c r="N41" s="3"/>
      <c r="O41" s="3" t="s">
        <v>46</v>
      </c>
      <c r="P41" s="66"/>
    </row>
    <row r="42" spans="1:16" ht="54.95" customHeight="1" x14ac:dyDescent="0.25">
      <c r="A42" s="35" t="s">
        <v>28</v>
      </c>
      <c r="B42" s="65" t="s">
        <v>164</v>
      </c>
      <c r="C42" s="63" t="s">
        <v>116</v>
      </c>
      <c r="D42" s="3" t="s">
        <v>37</v>
      </c>
      <c r="E42" s="43"/>
      <c r="F42" s="44"/>
      <c r="G42" s="37">
        <v>656.8</v>
      </c>
      <c r="H42" s="11">
        <v>1</v>
      </c>
      <c r="I42" s="11">
        <v>0</v>
      </c>
      <c r="J42" s="25">
        <v>3</v>
      </c>
      <c r="K42" s="35" t="s">
        <v>5</v>
      </c>
      <c r="L42" s="10">
        <v>42658</v>
      </c>
      <c r="M42" s="10">
        <f t="shared" ref="M42:M45" si="3">L42+180</f>
        <v>42838</v>
      </c>
      <c r="N42" s="3"/>
      <c r="O42" s="3" t="s">
        <v>46</v>
      </c>
      <c r="P42" s="66"/>
    </row>
    <row r="43" spans="1:16" ht="45" customHeight="1" x14ac:dyDescent="0.25">
      <c r="A43" s="52" t="s">
        <v>28</v>
      </c>
      <c r="B43" s="65" t="s">
        <v>165</v>
      </c>
      <c r="C43" s="63" t="s">
        <v>140</v>
      </c>
      <c r="D43" s="3" t="s">
        <v>37</v>
      </c>
      <c r="E43" s="43"/>
      <c r="F43" s="44"/>
      <c r="G43" s="37">
        <v>221.66</v>
      </c>
      <c r="H43" s="11">
        <v>1</v>
      </c>
      <c r="I43" s="11">
        <v>0</v>
      </c>
      <c r="J43" s="25">
        <v>3</v>
      </c>
      <c r="K43" s="53" t="s">
        <v>5</v>
      </c>
      <c r="L43" s="10">
        <v>42658</v>
      </c>
      <c r="M43" s="10">
        <f t="shared" si="3"/>
        <v>42838</v>
      </c>
      <c r="N43" s="3"/>
      <c r="O43" s="3" t="s">
        <v>46</v>
      </c>
      <c r="P43" s="66"/>
    </row>
    <row r="44" spans="1:16" ht="60" customHeight="1" x14ac:dyDescent="0.25">
      <c r="A44" s="53" t="s">
        <v>28</v>
      </c>
      <c r="B44" s="65" t="s">
        <v>155</v>
      </c>
      <c r="C44" s="63" t="s">
        <v>150</v>
      </c>
      <c r="D44" s="3" t="s">
        <v>37</v>
      </c>
      <c r="E44" s="43"/>
      <c r="F44" s="44"/>
      <c r="G44" s="37">
        <v>410</v>
      </c>
      <c r="H44" s="11">
        <v>1</v>
      </c>
      <c r="I44" s="11">
        <v>0</v>
      </c>
      <c r="J44" s="25">
        <v>5</v>
      </c>
      <c r="K44" s="53" t="s">
        <v>5</v>
      </c>
      <c r="L44" s="10">
        <v>42658</v>
      </c>
      <c r="M44" s="10">
        <f t="shared" ref="M44" si="4">L44+180</f>
        <v>42838</v>
      </c>
      <c r="N44" s="3"/>
      <c r="O44" s="3" t="s">
        <v>46</v>
      </c>
      <c r="P44" s="66"/>
    </row>
    <row r="45" spans="1:16" ht="69.95" customHeight="1" x14ac:dyDescent="0.25">
      <c r="A45" s="52" t="s">
        <v>28</v>
      </c>
      <c r="B45" s="65" t="s">
        <v>30</v>
      </c>
      <c r="C45" s="57" t="s">
        <v>72</v>
      </c>
      <c r="D45" s="3" t="s">
        <v>37</v>
      </c>
      <c r="E45" s="43"/>
      <c r="F45" s="44"/>
      <c r="G45" s="37">
        <v>400.18</v>
      </c>
      <c r="H45" s="11">
        <v>1</v>
      </c>
      <c r="I45" s="11">
        <v>0</v>
      </c>
      <c r="J45" s="25">
        <v>5</v>
      </c>
      <c r="K45" s="52" t="s">
        <v>5</v>
      </c>
      <c r="L45" s="10">
        <v>42658</v>
      </c>
      <c r="M45" s="10">
        <f t="shared" si="3"/>
        <v>42838</v>
      </c>
      <c r="N45" s="3"/>
      <c r="O45" s="3" t="s">
        <v>46</v>
      </c>
    </row>
    <row r="46" spans="1:16" ht="30" customHeight="1" x14ac:dyDescent="0.25">
      <c r="A46" s="13" t="s">
        <v>28</v>
      </c>
      <c r="B46" s="48" t="s">
        <v>117</v>
      </c>
      <c r="C46" s="57" t="s">
        <v>31</v>
      </c>
      <c r="D46" s="3" t="s">
        <v>37</v>
      </c>
      <c r="E46" s="76" t="s">
        <v>94</v>
      </c>
      <c r="F46" s="77"/>
      <c r="G46" s="37">
        <f>1441939.34 /3.1358/1000</f>
        <v>459.83141144205626</v>
      </c>
      <c r="H46" s="11">
        <v>1</v>
      </c>
      <c r="I46" s="11">
        <v>0</v>
      </c>
      <c r="J46" s="25">
        <v>5</v>
      </c>
      <c r="K46" s="35" t="s">
        <v>5</v>
      </c>
      <c r="L46" s="10">
        <v>42186</v>
      </c>
      <c r="M46" s="10">
        <v>42628</v>
      </c>
      <c r="N46" s="3"/>
      <c r="O46" s="3" t="s">
        <v>14</v>
      </c>
    </row>
    <row r="47" spans="1:16" ht="54.95" customHeight="1" x14ac:dyDescent="0.25">
      <c r="A47" s="13" t="s">
        <v>28</v>
      </c>
      <c r="B47" s="48" t="s">
        <v>118</v>
      </c>
      <c r="C47" s="57" t="s">
        <v>39</v>
      </c>
      <c r="D47" s="3" t="s">
        <v>37</v>
      </c>
      <c r="E47" s="76" t="s">
        <v>95</v>
      </c>
      <c r="F47" s="77"/>
      <c r="G47" s="37">
        <f>693304.15/3.1358/1000</f>
        <v>221.09322979781874</v>
      </c>
      <c r="H47" s="11">
        <v>1</v>
      </c>
      <c r="I47" s="11">
        <v>0</v>
      </c>
      <c r="J47" s="25">
        <v>5</v>
      </c>
      <c r="K47" s="35" t="s">
        <v>5</v>
      </c>
      <c r="L47" s="10">
        <v>42186</v>
      </c>
      <c r="M47" s="10">
        <v>42628</v>
      </c>
      <c r="N47" s="3"/>
      <c r="O47" s="3" t="s">
        <v>14</v>
      </c>
    </row>
    <row r="48" spans="1:16" ht="30" customHeight="1" x14ac:dyDescent="0.25">
      <c r="A48" s="13" t="s">
        <v>28</v>
      </c>
      <c r="B48" s="48" t="s">
        <v>119</v>
      </c>
      <c r="C48" s="57" t="s">
        <v>32</v>
      </c>
      <c r="D48" s="3" t="s">
        <v>37</v>
      </c>
      <c r="E48" s="76" t="s">
        <v>96</v>
      </c>
      <c r="F48" s="77"/>
      <c r="G48" s="37">
        <f>((343011.03)+(111648.73 *3.5014))/3.1358/1000</f>
        <v>234.05124472925567</v>
      </c>
      <c r="H48" s="11">
        <v>1</v>
      </c>
      <c r="I48" s="11">
        <v>0</v>
      </c>
      <c r="J48" s="25">
        <v>5</v>
      </c>
      <c r="K48" s="35" t="s">
        <v>4</v>
      </c>
      <c r="L48" s="10">
        <v>42186</v>
      </c>
      <c r="M48" s="10">
        <v>42644</v>
      </c>
      <c r="N48" s="3"/>
      <c r="O48" s="3" t="s">
        <v>14</v>
      </c>
    </row>
    <row r="49" spans="1:16" ht="69.95" customHeight="1" x14ac:dyDescent="0.25">
      <c r="A49" s="52" t="s">
        <v>28</v>
      </c>
      <c r="B49" s="48" t="s">
        <v>120</v>
      </c>
      <c r="C49" s="57" t="s">
        <v>133</v>
      </c>
      <c r="D49" s="3" t="s">
        <v>37</v>
      </c>
      <c r="E49" s="43"/>
      <c r="F49" s="44"/>
      <c r="G49" s="37">
        <v>307</v>
      </c>
      <c r="H49" s="11">
        <v>1</v>
      </c>
      <c r="I49" s="11">
        <v>0</v>
      </c>
      <c r="J49" s="25">
        <v>3</v>
      </c>
      <c r="K49" s="53" t="s">
        <v>5</v>
      </c>
      <c r="L49" s="10">
        <v>42658</v>
      </c>
      <c r="M49" s="10">
        <f>L49+180</f>
        <v>42838</v>
      </c>
      <c r="N49" s="3"/>
      <c r="O49" s="3" t="s">
        <v>46</v>
      </c>
    </row>
    <row r="50" spans="1:16" ht="45" customHeight="1" x14ac:dyDescent="0.25">
      <c r="A50" s="52" t="s">
        <v>28</v>
      </c>
      <c r="B50" s="48" t="s">
        <v>126</v>
      </c>
      <c r="C50" s="57" t="s">
        <v>141</v>
      </c>
      <c r="D50" s="3" t="s">
        <v>37</v>
      </c>
      <c r="E50" s="43"/>
      <c r="F50" s="44"/>
      <c r="G50" s="37">
        <v>333.16</v>
      </c>
      <c r="H50" s="11">
        <v>1</v>
      </c>
      <c r="I50" s="11">
        <v>0</v>
      </c>
      <c r="J50" s="25">
        <v>5</v>
      </c>
      <c r="K50" s="53" t="s">
        <v>5</v>
      </c>
      <c r="L50" s="10">
        <v>42658</v>
      </c>
      <c r="M50" s="10">
        <f>L50+180</f>
        <v>42838</v>
      </c>
      <c r="N50" s="3"/>
      <c r="O50" s="3" t="s">
        <v>46</v>
      </c>
    </row>
    <row r="51" spans="1:16" ht="54.95" customHeight="1" x14ac:dyDescent="0.25">
      <c r="A51" s="52" t="s">
        <v>28</v>
      </c>
      <c r="B51" s="48" t="s">
        <v>167</v>
      </c>
      <c r="C51" s="57" t="s">
        <v>121</v>
      </c>
      <c r="D51" s="3" t="s">
        <v>51</v>
      </c>
      <c r="E51" s="76" t="s">
        <v>97</v>
      </c>
      <c r="F51" s="77"/>
      <c r="G51" s="37">
        <f>14401167/1000/2.26</f>
        <v>6372.1977876106203</v>
      </c>
      <c r="H51" s="11">
        <v>1</v>
      </c>
      <c r="I51" s="11">
        <v>0</v>
      </c>
      <c r="J51" s="25">
        <v>6</v>
      </c>
      <c r="K51" s="52" t="s">
        <v>5</v>
      </c>
      <c r="L51" s="10">
        <v>41430</v>
      </c>
      <c r="M51" s="10">
        <v>41852</v>
      </c>
      <c r="N51" s="52" t="s">
        <v>77</v>
      </c>
      <c r="O51" s="3" t="s">
        <v>48</v>
      </c>
    </row>
    <row r="52" spans="1:16" ht="30" customHeight="1" x14ac:dyDescent="0.25">
      <c r="A52" s="13" t="s">
        <v>28</v>
      </c>
      <c r="B52" s="68" t="s">
        <v>166</v>
      </c>
      <c r="C52" s="57" t="s">
        <v>35</v>
      </c>
      <c r="D52" s="3" t="s">
        <v>37</v>
      </c>
      <c r="E52" s="76" t="s">
        <v>98</v>
      </c>
      <c r="F52" s="77"/>
      <c r="G52" s="37">
        <f>1356000/3.1358/1000</f>
        <v>432.42553734294279</v>
      </c>
      <c r="H52" s="11">
        <v>1</v>
      </c>
      <c r="I52" s="11">
        <v>0</v>
      </c>
      <c r="J52" s="25">
        <v>6</v>
      </c>
      <c r="K52" s="35" t="s">
        <v>5</v>
      </c>
      <c r="L52" s="10">
        <v>42186</v>
      </c>
      <c r="M52" s="10">
        <v>42675</v>
      </c>
      <c r="N52" s="3"/>
      <c r="O52" s="3" t="s">
        <v>14</v>
      </c>
      <c r="P52" s="66"/>
    </row>
    <row r="53" spans="1:16" x14ac:dyDescent="0.25">
      <c r="A53" s="6"/>
      <c r="B53" s="6"/>
      <c r="C53" s="6"/>
      <c r="D53" s="6"/>
      <c r="E53" s="45" t="s">
        <v>144</v>
      </c>
      <c r="F53" s="21"/>
      <c r="G53" s="38">
        <f>SUM(G34:G52)</f>
        <v>12687.995476101509</v>
      </c>
      <c r="H53" s="7"/>
      <c r="I53" s="8"/>
      <c r="J53" s="8"/>
      <c r="K53" s="6"/>
      <c r="L53" s="6"/>
      <c r="M53" s="6"/>
      <c r="N53" s="6"/>
      <c r="O53" s="6"/>
    </row>
    <row r="54" spans="1:16" x14ac:dyDescent="0.25">
      <c r="E54" s="45" t="s">
        <v>145</v>
      </c>
      <c r="G54" s="38">
        <f>G53-G37-G51</f>
        <v>6296.1903581931228</v>
      </c>
    </row>
    <row r="55" spans="1:16" x14ac:dyDescent="0.25">
      <c r="E55" s="45"/>
      <c r="G55" s="38"/>
    </row>
    <row r="56" spans="1:16" ht="15.75" customHeight="1" x14ac:dyDescent="0.25">
      <c r="A56" s="70" t="s">
        <v>23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2"/>
    </row>
    <row r="57" spans="1:16" ht="15" customHeight="1" x14ac:dyDescent="0.25">
      <c r="A57" s="69" t="s">
        <v>7</v>
      </c>
      <c r="B57" s="69" t="s">
        <v>114</v>
      </c>
      <c r="C57" s="69" t="s">
        <v>70</v>
      </c>
      <c r="D57" s="69" t="s">
        <v>69</v>
      </c>
      <c r="E57" s="69" t="s">
        <v>87</v>
      </c>
      <c r="F57" s="92" t="s">
        <v>71</v>
      </c>
      <c r="G57" s="73" t="s">
        <v>17</v>
      </c>
      <c r="H57" s="73"/>
      <c r="I57" s="73"/>
      <c r="J57" s="69" t="s">
        <v>66</v>
      </c>
      <c r="K57" s="69" t="s">
        <v>67</v>
      </c>
      <c r="L57" s="69" t="s">
        <v>18</v>
      </c>
      <c r="M57" s="69"/>
      <c r="N57" s="69" t="s">
        <v>42</v>
      </c>
      <c r="O57" s="69" t="s">
        <v>43</v>
      </c>
    </row>
    <row r="58" spans="1:16" ht="38.25" x14ac:dyDescent="0.25">
      <c r="A58" s="69"/>
      <c r="B58" s="69"/>
      <c r="C58" s="69"/>
      <c r="D58" s="69"/>
      <c r="E58" s="69"/>
      <c r="F58" s="75"/>
      <c r="G58" s="9" t="s">
        <v>106</v>
      </c>
      <c r="H58" s="51" t="s">
        <v>78</v>
      </c>
      <c r="I58" s="51" t="s">
        <v>79</v>
      </c>
      <c r="J58" s="69"/>
      <c r="K58" s="69"/>
      <c r="L58" s="34" t="s">
        <v>22</v>
      </c>
      <c r="M58" s="34" t="s">
        <v>20</v>
      </c>
      <c r="N58" s="69"/>
      <c r="O58" s="69"/>
    </row>
    <row r="59" spans="1:16" ht="60" customHeight="1" x14ac:dyDescent="0.25">
      <c r="A59" s="52" t="s">
        <v>28</v>
      </c>
      <c r="B59" s="65" t="s">
        <v>168</v>
      </c>
      <c r="C59" s="57" t="s">
        <v>169</v>
      </c>
      <c r="D59" s="3" t="s">
        <v>27</v>
      </c>
      <c r="E59" s="53"/>
      <c r="F59" s="52">
        <v>1</v>
      </c>
      <c r="G59" s="37">
        <v>60.87</v>
      </c>
      <c r="H59" s="11">
        <v>1</v>
      </c>
      <c r="I59" s="11">
        <v>0</v>
      </c>
      <c r="J59" s="25">
        <v>1</v>
      </c>
      <c r="K59" s="52" t="s">
        <v>4</v>
      </c>
      <c r="L59" s="10">
        <v>42658</v>
      </c>
      <c r="M59" s="10">
        <f>L59+60</f>
        <v>42718</v>
      </c>
      <c r="N59" s="3"/>
      <c r="O59" s="3" t="s">
        <v>46</v>
      </c>
      <c r="P59" s="67"/>
    </row>
    <row r="60" spans="1:16" ht="30" customHeight="1" x14ac:dyDescent="0.25">
      <c r="A60" s="52" t="s">
        <v>28</v>
      </c>
      <c r="B60" s="48" t="s">
        <v>123</v>
      </c>
      <c r="C60" s="57" t="s">
        <v>122</v>
      </c>
      <c r="D60" s="3" t="s">
        <v>27</v>
      </c>
      <c r="E60" s="53" t="s">
        <v>99</v>
      </c>
      <c r="F60" s="52">
        <v>1</v>
      </c>
      <c r="G60" s="37">
        <f>137985.55/1000/3.812</f>
        <v>36.197678384050363</v>
      </c>
      <c r="H60" s="11">
        <v>1</v>
      </c>
      <c r="I60" s="11">
        <v>0</v>
      </c>
      <c r="J60" s="52">
        <v>3</v>
      </c>
      <c r="K60" s="52" t="s">
        <v>5</v>
      </c>
      <c r="L60" s="10">
        <v>41845</v>
      </c>
      <c r="M60" s="10">
        <v>42311</v>
      </c>
      <c r="N60" s="52" t="s">
        <v>80</v>
      </c>
      <c r="O60" s="3" t="s">
        <v>48</v>
      </c>
    </row>
    <row r="61" spans="1:16" ht="30" customHeight="1" x14ac:dyDescent="0.25">
      <c r="A61" s="53" t="s">
        <v>28</v>
      </c>
      <c r="B61" s="48" t="s">
        <v>125</v>
      </c>
      <c r="C61" s="57" t="s">
        <v>124</v>
      </c>
      <c r="D61" s="3" t="s">
        <v>27</v>
      </c>
      <c r="E61" s="53" t="s">
        <v>100</v>
      </c>
      <c r="F61" s="53">
        <v>1</v>
      </c>
      <c r="G61" s="37">
        <f>136240/1000/3.5339</f>
        <v>38.552307648773315</v>
      </c>
      <c r="H61" s="11">
        <v>1</v>
      </c>
      <c r="I61" s="11">
        <v>0</v>
      </c>
      <c r="J61" s="53">
        <v>5</v>
      </c>
      <c r="K61" s="53" t="s">
        <v>5</v>
      </c>
      <c r="L61" s="10">
        <v>41879</v>
      </c>
      <c r="M61" s="10">
        <v>42241</v>
      </c>
      <c r="N61" s="53" t="s">
        <v>81</v>
      </c>
      <c r="O61" s="3" t="s">
        <v>48</v>
      </c>
    </row>
    <row r="62" spans="1:16" ht="30" customHeight="1" x14ac:dyDescent="0.25">
      <c r="A62" s="52" t="s">
        <v>28</v>
      </c>
      <c r="B62" s="48" t="s">
        <v>152</v>
      </c>
      <c r="C62" s="57" t="s">
        <v>153</v>
      </c>
      <c r="D62" s="3" t="s">
        <v>27</v>
      </c>
      <c r="E62" s="53"/>
      <c r="F62" s="52">
        <v>1</v>
      </c>
      <c r="G62" s="37">
        <v>60</v>
      </c>
      <c r="H62" s="11">
        <v>1</v>
      </c>
      <c r="I62" s="11">
        <v>0</v>
      </c>
      <c r="J62" s="52">
        <v>6</v>
      </c>
      <c r="K62" s="52" t="s">
        <v>5</v>
      </c>
      <c r="L62" s="10">
        <v>42658</v>
      </c>
      <c r="M62" s="10">
        <f>L62+60</f>
        <v>42718</v>
      </c>
      <c r="N62" s="52"/>
      <c r="O62" s="3" t="s">
        <v>46</v>
      </c>
      <c r="P62" s="66"/>
    </row>
    <row r="63" spans="1:16" x14ac:dyDescent="0.25">
      <c r="A63" s="6"/>
      <c r="B63" s="6"/>
      <c r="C63" s="6"/>
      <c r="D63" s="6"/>
      <c r="E63" s="45" t="s">
        <v>146</v>
      </c>
      <c r="G63" s="22">
        <f>SUM(G59:G62)</f>
        <v>195.61998603282368</v>
      </c>
      <c r="H63" s="8"/>
      <c r="I63" s="8"/>
      <c r="J63" s="6"/>
      <c r="K63" s="6"/>
      <c r="L63" s="6"/>
      <c r="M63" s="6"/>
      <c r="N63" s="6"/>
      <c r="O63" s="6"/>
    </row>
    <row r="64" spans="1:16" x14ac:dyDescent="0.25">
      <c r="E64" s="45" t="s">
        <v>147</v>
      </c>
      <c r="G64" s="22">
        <f>G63-G60-G61</f>
        <v>120.87</v>
      </c>
    </row>
    <row r="65" spans="1:15" x14ac:dyDescent="0.25">
      <c r="E65" s="45"/>
      <c r="G65" s="22"/>
    </row>
    <row r="66" spans="1:15" ht="15.75" customHeight="1" x14ac:dyDescent="0.25">
      <c r="A66" s="70" t="s">
        <v>24</v>
      </c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2"/>
    </row>
    <row r="67" spans="1:15" ht="15" customHeight="1" x14ac:dyDescent="0.25">
      <c r="A67" s="69" t="s">
        <v>7</v>
      </c>
      <c r="B67" s="69" t="s">
        <v>114</v>
      </c>
      <c r="C67" s="69" t="s">
        <v>70</v>
      </c>
      <c r="D67" s="69" t="s">
        <v>69</v>
      </c>
      <c r="E67" s="74"/>
      <c r="F67" s="74"/>
      <c r="G67" s="73" t="s">
        <v>17</v>
      </c>
      <c r="H67" s="73"/>
      <c r="I67" s="73"/>
      <c r="J67" s="69" t="s">
        <v>66</v>
      </c>
      <c r="K67" s="69" t="s">
        <v>67</v>
      </c>
      <c r="L67" s="69" t="s">
        <v>18</v>
      </c>
      <c r="M67" s="69"/>
      <c r="N67" s="69" t="s">
        <v>42</v>
      </c>
      <c r="O67" s="69" t="s">
        <v>43</v>
      </c>
    </row>
    <row r="68" spans="1:15" ht="36" customHeight="1" x14ac:dyDescent="0.25">
      <c r="A68" s="69"/>
      <c r="B68" s="69"/>
      <c r="C68" s="69"/>
      <c r="D68" s="69"/>
      <c r="E68" s="75" t="s">
        <v>105</v>
      </c>
      <c r="F68" s="75"/>
      <c r="G68" s="9" t="s">
        <v>106</v>
      </c>
      <c r="H68" s="51" t="s">
        <v>78</v>
      </c>
      <c r="I68" s="51" t="s">
        <v>79</v>
      </c>
      <c r="J68" s="69"/>
      <c r="K68" s="69"/>
      <c r="L68" s="34" t="s">
        <v>44</v>
      </c>
      <c r="M68" s="34" t="s">
        <v>20</v>
      </c>
      <c r="N68" s="69"/>
      <c r="O68" s="69"/>
    </row>
    <row r="69" spans="1:15" ht="65.099999999999994" customHeight="1" x14ac:dyDescent="0.25">
      <c r="A69" s="13" t="s">
        <v>28</v>
      </c>
      <c r="B69" s="65" t="s">
        <v>128</v>
      </c>
      <c r="C69" s="58" t="s">
        <v>142</v>
      </c>
      <c r="D69" s="3" t="s">
        <v>37</v>
      </c>
      <c r="E69" s="76" t="s">
        <v>101</v>
      </c>
      <c r="F69" s="77"/>
      <c r="G69" s="37">
        <f>1749600/3.1358/1000</f>
        <v>557.94374641239881</v>
      </c>
      <c r="H69" s="11">
        <v>1</v>
      </c>
      <c r="I69" s="11">
        <v>0</v>
      </c>
      <c r="J69" s="25">
        <v>1</v>
      </c>
      <c r="K69" s="35" t="s">
        <v>5</v>
      </c>
      <c r="L69" s="10">
        <v>42186</v>
      </c>
      <c r="M69" s="10">
        <v>42628</v>
      </c>
      <c r="N69" s="3"/>
      <c r="O69" s="3" t="s">
        <v>14</v>
      </c>
    </row>
    <row r="70" spans="1:15" ht="65.099999999999994" customHeight="1" x14ac:dyDescent="0.25">
      <c r="A70" s="13" t="s">
        <v>28</v>
      </c>
      <c r="B70" s="65" t="s">
        <v>129</v>
      </c>
      <c r="C70" s="58" t="s">
        <v>34</v>
      </c>
      <c r="D70" s="3" t="s">
        <v>37</v>
      </c>
      <c r="E70" s="76" t="s">
        <v>102</v>
      </c>
      <c r="F70" s="77"/>
      <c r="G70" s="47">
        <f>601000/3.1358/1000</f>
        <v>191.65763122648127</v>
      </c>
      <c r="H70" s="11">
        <v>1</v>
      </c>
      <c r="I70" s="11">
        <v>0</v>
      </c>
      <c r="J70" s="25">
        <v>1</v>
      </c>
      <c r="K70" s="35" t="s">
        <v>5</v>
      </c>
      <c r="L70" s="10">
        <v>42186</v>
      </c>
      <c r="M70" s="10">
        <v>42628</v>
      </c>
      <c r="N70" s="3"/>
      <c r="O70" s="3" t="s">
        <v>14</v>
      </c>
    </row>
    <row r="71" spans="1:15" ht="65.099999999999994" customHeight="1" x14ac:dyDescent="0.25">
      <c r="A71" s="52" t="s">
        <v>28</v>
      </c>
      <c r="B71" s="65" t="s">
        <v>130</v>
      </c>
      <c r="C71" s="58" t="s">
        <v>56</v>
      </c>
      <c r="D71" s="3" t="s">
        <v>37</v>
      </c>
      <c r="E71" s="76" t="s">
        <v>103</v>
      </c>
      <c r="F71" s="77"/>
      <c r="G71" s="47">
        <f>788927.25/3.1358/1000</f>
        <v>251.58723451750748</v>
      </c>
      <c r="H71" s="11">
        <v>1</v>
      </c>
      <c r="I71" s="11">
        <v>0</v>
      </c>
      <c r="J71" s="25">
        <v>1</v>
      </c>
      <c r="K71" s="52" t="s">
        <v>5</v>
      </c>
      <c r="L71" s="10">
        <v>42186</v>
      </c>
      <c r="M71" s="10">
        <v>42658</v>
      </c>
      <c r="N71" s="3"/>
      <c r="O71" s="3" t="s">
        <v>14</v>
      </c>
    </row>
    <row r="72" spans="1:15" ht="45" customHeight="1" x14ac:dyDescent="0.25">
      <c r="A72" s="13" t="s">
        <v>28</v>
      </c>
      <c r="B72" s="65" t="s">
        <v>131</v>
      </c>
      <c r="C72" s="59" t="s">
        <v>127</v>
      </c>
      <c r="D72" s="3" t="s">
        <v>26</v>
      </c>
      <c r="E72" s="76" t="s">
        <v>104</v>
      </c>
      <c r="F72" s="77"/>
      <c r="G72" s="47">
        <f>(382699.68+30000)/1000/3.1224</f>
        <v>132.1738662567256</v>
      </c>
      <c r="H72" s="11">
        <v>1</v>
      </c>
      <c r="I72" s="11">
        <v>0</v>
      </c>
      <c r="J72" s="25">
        <v>1</v>
      </c>
      <c r="K72" s="52" t="s">
        <v>5</v>
      </c>
      <c r="L72" s="10">
        <v>41894</v>
      </c>
      <c r="M72" s="10">
        <v>42199</v>
      </c>
      <c r="N72" s="52" t="s">
        <v>82</v>
      </c>
      <c r="O72" s="3" t="s">
        <v>2</v>
      </c>
    </row>
    <row r="73" spans="1:15" x14ac:dyDescent="0.25">
      <c r="A73" s="6"/>
      <c r="B73" s="6"/>
      <c r="C73" s="6"/>
      <c r="D73" s="6"/>
      <c r="E73" s="46" t="s">
        <v>148</v>
      </c>
      <c r="F73" s="21"/>
      <c r="G73" s="22">
        <f>SUM(G69:G72)</f>
        <v>1133.3624784131132</v>
      </c>
      <c r="H73" s="7"/>
      <c r="I73" s="8"/>
      <c r="J73" s="8"/>
      <c r="K73" s="6"/>
      <c r="L73" s="6"/>
      <c r="M73" s="6"/>
      <c r="N73" s="6"/>
      <c r="O73" s="6"/>
    </row>
    <row r="74" spans="1:15" x14ac:dyDescent="0.25">
      <c r="E74" s="46" t="s">
        <v>149</v>
      </c>
      <c r="F74" s="6"/>
      <c r="G74" s="22">
        <f>G73-G72</f>
        <v>1001.1886121563875</v>
      </c>
      <c r="H74" s="7"/>
      <c r="I74" s="8"/>
      <c r="J74" s="8"/>
      <c r="K74" s="6"/>
      <c r="L74" s="6"/>
      <c r="M74" s="6"/>
      <c r="N74" s="6"/>
      <c r="O74" s="6"/>
    </row>
    <row r="76" spans="1:15" ht="20.100000000000001" customHeight="1" x14ac:dyDescent="0.25">
      <c r="E76" s="55" t="s">
        <v>3</v>
      </c>
      <c r="G76" s="49">
        <f>G20+G28+G53+G63+G73</f>
        <v>20650.381806603189</v>
      </c>
      <c r="H76" s="22"/>
    </row>
    <row r="77" spans="1:15" ht="15.75" x14ac:dyDescent="0.25">
      <c r="E77" s="55" t="s">
        <v>84</v>
      </c>
      <c r="F77" s="64"/>
      <c r="G77" s="49">
        <f>G21+G29+G54+G64+G74</f>
        <v>12130.132700179218</v>
      </c>
    </row>
    <row r="78" spans="1:15" ht="23.25" customHeight="1" x14ac:dyDescent="0.25">
      <c r="A78" s="84" t="s">
        <v>45</v>
      </c>
      <c r="B78" s="23" t="s">
        <v>6</v>
      </c>
    </row>
    <row r="79" spans="1:15" x14ac:dyDescent="0.25">
      <c r="A79" s="85"/>
      <c r="B79" s="23" t="s">
        <v>4</v>
      </c>
    </row>
    <row r="80" spans="1:15" x14ac:dyDescent="0.25">
      <c r="A80" s="86"/>
      <c r="B80" s="24" t="s">
        <v>5</v>
      </c>
    </row>
    <row r="82" spans="1:8" x14ac:dyDescent="0.25">
      <c r="A82" s="87" t="s">
        <v>43</v>
      </c>
      <c r="B82" s="23" t="s">
        <v>46</v>
      </c>
    </row>
    <row r="83" spans="1:8" ht="25.5" x14ac:dyDescent="0.25">
      <c r="A83" s="88"/>
      <c r="B83" s="23" t="s">
        <v>14</v>
      </c>
      <c r="H83" s="26"/>
    </row>
    <row r="84" spans="1:8" ht="25.5" x14ac:dyDescent="0.25">
      <c r="A84" s="88"/>
      <c r="B84" s="23" t="s">
        <v>12</v>
      </c>
    </row>
    <row r="85" spans="1:8" ht="25.5" x14ac:dyDescent="0.25">
      <c r="A85" s="88"/>
      <c r="B85" s="23" t="s">
        <v>11</v>
      </c>
    </row>
    <row r="86" spans="1:8" ht="51" x14ac:dyDescent="0.25">
      <c r="A86" s="88"/>
      <c r="B86" s="23" t="s">
        <v>47</v>
      </c>
    </row>
    <row r="87" spans="1:8" ht="25.5" x14ac:dyDescent="0.25">
      <c r="A87" s="88"/>
      <c r="B87" s="23" t="s">
        <v>1</v>
      </c>
    </row>
    <row r="88" spans="1:8" ht="38.25" x14ac:dyDescent="0.25">
      <c r="A88" s="88"/>
      <c r="B88" s="23" t="s">
        <v>48</v>
      </c>
    </row>
    <row r="89" spans="1:8" ht="25.5" x14ac:dyDescent="0.25">
      <c r="A89" s="89"/>
      <c r="B89" s="23" t="s">
        <v>2</v>
      </c>
    </row>
    <row r="91" spans="1:8" x14ac:dyDescent="0.25">
      <c r="A91" s="78" t="s">
        <v>49</v>
      </c>
      <c r="B91" s="79" t="s">
        <v>50</v>
      </c>
      <c r="C91" s="23" t="s">
        <v>37</v>
      </c>
    </row>
    <row r="92" spans="1:8" x14ac:dyDescent="0.25">
      <c r="A92" s="78"/>
      <c r="B92" s="79"/>
      <c r="C92" s="23" t="s">
        <v>51</v>
      </c>
    </row>
    <row r="93" spans="1:8" ht="25.5" x14ac:dyDescent="0.25">
      <c r="A93" s="78"/>
      <c r="B93" s="79"/>
      <c r="C93" s="23" t="s">
        <v>26</v>
      </c>
    </row>
    <row r="94" spans="1:8" x14ac:dyDescent="0.25">
      <c r="A94" s="78"/>
      <c r="B94" s="79"/>
      <c r="C94" s="23" t="s">
        <v>13</v>
      </c>
    </row>
    <row r="95" spans="1:8" x14ac:dyDescent="0.25">
      <c r="A95" s="78"/>
      <c r="B95" s="79"/>
      <c r="C95" s="23" t="s">
        <v>6</v>
      </c>
    </row>
    <row r="96" spans="1:8" x14ac:dyDescent="0.25">
      <c r="A96" s="78"/>
      <c r="B96" s="79"/>
      <c r="C96" s="23" t="s">
        <v>52</v>
      </c>
    </row>
    <row r="97" spans="1:3" x14ac:dyDescent="0.25">
      <c r="A97" s="78"/>
      <c r="B97" s="79"/>
      <c r="C97" s="23" t="s">
        <v>38</v>
      </c>
    </row>
    <row r="98" spans="1:3" x14ac:dyDescent="0.25">
      <c r="A98" s="78"/>
      <c r="B98" s="80" t="s">
        <v>53</v>
      </c>
      <c r="C98" s="23" t="s">
        <v>54</v>
      </c>
    </row>
    <row r="99" spans="1:3" x14ac:dyDescent="0.25">
      <c r="A99" s="78"/>
      <c r="B99" s="80"/>
      <c r="C99" s="23" t="s">
        <v>8</v>
      </c>
    </row>
    <row r="100" spans="1:3" x14ac:dyDescent="0.25">
      <c r="A100" s="78"/>
      <c r="B100" s="80"/>
      <c r="C100" s="23" t="s">
        <v>36</v>
      </c>
    </row>
    <row r="101" spans="1:3" x14ac:dyDescent="0.25">
      <c r="A101" s="78"/>
      <c r="B101" s="80"/>
      <c r="C101" s="23" t="s">
        <v>13</v>
      </c>
    </row>
    <row r="102" spans="1:3" x14ac:dyDescent="0.25">
      <c r="A102" s="78"/>
      <c r="B102" s="80"/>
      <c r="C102" s="23" t="s">
        <v>6</v>
      </c>
    </row>
    <row r="103" spans="1:3" x14ac:dyDescent="0.25">
      <c r="A103" s="78"/>
      <c r="B103" s="80"/>
      <c r="C103" s="23" t="s">
        <v>9</v>
      </c>
    </row>
    <row r="104" spans="1:3" ht="25.5" x14ac:dyDescent="0.25">
      <c r="A104" s="78"/>
      <c r="B104" s="80"/>
      <c r="C104" s="23" t="s">
        <v>16</v>
      </c>
    </row>
    <row r="105" spans="1:3" ht="25.5" x14ac:dyDescent="0.25">
      <c r="A105" s="78"/>
      <c r="B105" s="80"/>
      <c r="C105" s="23" t="s">
        <v>15</v>
      </c>
    </row>
    <row r="106" spans="1:3" x14ac:dyDescent="0.25">
      <c r="A106" s="78"/>
      <c r="B106" s="80"/>
      <c r="C106" s="23" t="s">
        <v>10</v>
      </c>
    </row>
    <row r="107" spans="1:3" ht="25.5" x14ac:dyDescent="0.25">
      <c r="A107" s="78"/>
      <c r="B107" s="80"/>
      <c r="C107" s="23" t="s">
        <v>25</v>
      </c>
    </row>
    <row r="108" spans="1:3" ht="30" customHeight="1" x14ac:dyDescent="0.25">
      <c r="A108" s="78"/>
      <c r="B108" s="81" t="s">
        <v>55</v>
      </c>
      <c r="C108" s="23" t="s">
        <v>27</v>
      </c>
    </row>
    <row r="109" spans="1:3" x14ac:dyDescent="0.25">
      <c r="A109" s="78"/>
      <c r="B109" s="82"/>
      <c r="C109" s="23" t="s">
        <v>13</v>
      </c>
    </row>
    <row r="110" spans="1:3" x14ac:dyDescent="0.25">
      <c r="A110" s="78"/>
      <c r="B110" s="83"/>
      <c r="C110" s="23" t="s">
        <v>6</v>
      </c>
    </row>
    <row r="121" spans="5:7" ht="15.75" x14ac:dyDescent="0.25">
      <c r="E121" s="55" t="s">
        <v>84</v>
      </c>
      <c r="G121" s="49" t="e">
        <f>G21+G29+#REF!+G54+G64+G74+#REF!</f>
        <v>#REF!</v>
      </c>
    </row>
  </sheetData>
  <mergeCells count="83">
    <mergeCell ref="E48:F48"/>
    <mergeCell ref="E51:F51"/>
    <mergeCell ref="E52:F52"/>
    <mergeCell ref="E69:F69"/>
    <mergeCell ref="A56:O56"/>
    <mergeCell ref="A57:A58"/>
    <mergeCell ref="B57:B58"/>
    <mergeCell ref="C57:C58"/>
    <mergeCell ref="L57:M57"/>
    <mergeCell ref="G57:I57"/>
    <mergeCell ref="J57:J58"/>
    <mergeCell ref="K57:K58"/>
    <mergeCell ref="F57:F58"/>
    <mergeCell ref="A67:A68"/>
    <mergeCell ref="E37:F37"/>
    <mergeCell ref="E39:F39"/>
    <mergeCell ref="E40:F40"/>
    <mergeCell ref="E46:F46"/>
    <mergeCell ref="E47:F47"/>
    <mergeCell ref="A91:A110"/>
    <mergeCell ref="B91:B97"/>
    <mergeCell ref="B98:B107"/>
    <mergeCell ref="B108:B110"/>
    <mergeCell ref="A78:A80"/>
    <mergeCell ref="A82:A89"/>
    <mergeCell ref="E70:F70"/>
    <mergeCell ref="E71:F71"/>
    <mergeCell ref="B67:B68"/>
    <mergeCell ref="D57:D58"/>
    <mergeCell ref="E57:E58"/>
    <mergeCell ref="E72:F72"/>
    <mergeCell ref="N32:N33"/>
    <mergeCell ref="O32:O33"/>
    <mergeCell ref="C67:C68"/>
    <mergeCell ref="D67:D68"/>
    <mergeCell ref="E67:F67"/>
    <mergeCell ref="O67:O68"/>
    <mergeCell ref="E68:F68"/>
    <mergeCell ref="N57:N58"/>
    <mergeCell ref="O57:O58"/>
    <mergeCell ref="G67:I67"/>
    <mergeCell ref="J67:J68"/>
    <mergeCell ref="K67:K68"/>
    <mergeCell ref="L67:M67"/>
    <mergeCell ref="N67:N68"/>
    <mergeCell ref="A66:O66"/>
    <mergeCell ref="J32:J33"/>
    <mergeCell ref="G32:I32"/>
    <mergeCell ref="E33:F33"/>
    <mergeCell ref="K32:K33"/>
    <mergeCell ref="L32:M32"/>
    <mergeCell ref="F24:F25"/>
    <mergeCell ref="B32:B33"/>
    <mergeCell ref="C32:C33"/>
    <mergeCell ref="D32:D33"/>
    <mergeCell ref="E32:F32"/>
    <mergeCell ref="A24:A25"/>
    <mergeCell ref="B24:B25"/>
    <mergeCell ref="C24:C25"/>
    <mergeCell ref="D24:D25"/>
    <mergeCell ref="E24:E25"/>
    <mergeCell ref="O24:O25"/>
    <mergeCell ref="G24:I24"/>
    <mergeCell ref="J24:J25"/>
    <mergeCell ref="K24:K25"/>
    <mergeCell ref="L24:M24"/>
    <mergeCell ref="N24:N25"/>
    <mergeCell ref="A32:A33"/>
    <mergeCell ref="A23:O23"/>
    <mergeCell ref="A10:O10"/>
    <mergeCell ref="A11:A12"/>
    <mergeCell ref="B11:B12"/>
    <mergeCell ref="C11:C12"/>
    <mergeCell ref="D11:D12"/>
    <mergeCell ref="E11:E12"/>
    <mergeCell ref="F11:F12"/>
    <mergeCell ref="G11:I11"/>
    <mergeCell ref="J11:J12"/>
    <mergeCell ref="K11:K12"/>
    <mergeCell ref="L11:M11"/>
    <mergeCell ref="N11:N12"/>
    <mergeCell ref="O11:O12"/>
    <mergeCell ref="A31:O31"/>
  </mergeCells>
  <dataValidations count="8">
    <dataValidation type="list" allowBlank="1" showInputMessage="1" showErrorMessage="1" sqref="O69:O72 O59:O63 O13:O20 O26:O28 O34:O53">
      <formula1>$B$82:$B$89</formula1>
    </dataValidation>
    <dataValidation type="list" allowBlank="1" showInputMessage="1" showErrorMessage="1" sqref="D26:D28 D13 D15:D16 D19:D20">
      <formula1>$C$98:$C$107</formula1>
    </dataValidation>
    <dataValidation type="list" allowBlank="1" showInputMessage="1" showErrorMessage="1" sqref="D69:D72 D42:D53 D34:D40">
      <formula1>$C$91:$C$97</formula1>
    </dataValidation>
    <dataValidation type="list" allowBlank="1" showInputMessage="1" showErrorMessage="1" sqref="K69:K72 K13:K20 K59:K63 K26:K28 K34:K53">
      <formula1>$B$78:$B$80</formula1>
    </dataValidation>
    <dataValidation type="list" allowBlank="1" showInputMessage="1" showErrorMessage="1" sqref="K73:K74 D73">
      <formula1>#REF!</formula1>
    </dataValidation>
    <dataValidation type="list" allowBlank="1" showInputMessage="1" showErrorMessage="1" sqref="D63">
      <formula1>$C$108:$C$110</formula1>
    </dataValidation>
    <dataValidation type="list" allowBlank="1" showInputMessage="1" showErrorMessage="1" sqref="D14 D17:D18">
      <formula1>$C$79:$C$88</formula1>
    </dataValidation>
    <dataValidation type="list" allowBlank="1" showInputMessage="1" showErrorMessage="1" sqref="D41">
      <formula1>$C$116:$C$122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54" fitToHeight="5" orientation="landscape" horizontalDpi="4294967293" verticalDpi="4294967293" r:id="rId1"/>
  <rowBreaks count="2" manualBreakCount="2">
    <brk id="29" max="14" man="1"/>
    <brk id="64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40712402</IDBDocs_x0020_Number>
    <TaxCatchAll xmlns="9c571b2f-e523-4ab2-ba2e-09e151a03ef4">
      <Value>20</Value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2984/OC-BR</Approval_x0020_Number>
    <Document_x0020_Author xmlns="9c571b2f-e523-4ab2-ba2e-09e151a03ef4">Bettini Vicente, Juliana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Plan&lt;/USER_STAGE&gt;&lt;PD_OBJ_TYPE&gt;0&lt;/PD_OBJ_TYPE&gt;&lt;MAKERECORD&gt;N&lt;/MAKERECORD&gt;&lt;PD_FILEPT_NO&gt;PO-BR-L1256-GS&lt;/PD_FILEPT_NO&gt;&lt;/Data&gt;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Publishing_x0020_House xmlns="9c571b2f-e523-4ab2-ba2e-09e151a03ef4" xsi:nil="true"/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4C0A6038A29514091A6F1DC5AE0D2CE" ma:contentTypeVersion="0" ma:contentTypeDescription="A content type to manage public (operations) IDB documents" ma:contentTypeScope="" ma:versionID="aeb57ed66ecaa353dbf731c11db53b0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876792-4DBD-4AE4-A8DE-83997D8BABCA}"/>
</file>

<file path=customXml/itemProps2.xml><?xml version="1.0" encoding="utf-8"?>
<ds:datastoreItem xmlns:ds="http://schemas.openxmlformats.org/officeDocument/2006/customXml" ds:itemID="{A28AFAB8-8D7E-4942-9031-C0611D3BC5F8}"/>
</file>

<file path=customXml/itemProps3.xml><?xml version="1.0" encoding="utf-8"?>
<ds:datastoreItem xmlns:ds="http://schemas.openxmlformats.org/officeDocument/2006/customXml" ds:itemID="{3EE82914-09E7-475D-91D1-2D6C36F36715}"/>
</file>

<file path=customXml/itemProps4.xml><?xml version="1.0" encoding="utf-8"?>
<ds:datastoreItem xmlns:ds="http://schemas.openxmlformats.org/officeDocument/2006/customXml" ds:itemID="{F14729C7-A67F-4B1E-86AB-9A14FC83FE70}"/>
</file>

<file path=customXml/itemProps5.xml><?xml version="1.0" encoding="utf-8"?>
<ds:datastoreItem xmlns:ds="http://schemas.openxmlformats.org/officeDocument/2006/customXml" ds:itemID="{40F9C138-447F-4C84-AE58-A70C44F3DD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Detalle Plan Acquisiciones</vt:lpstr>
      <vt:lpstr>'Detalle Plan Acquisiciones'!Print_Area</vt:lpstr>
      <vt:lpstr>'Detalle Plan Acquisiciones'!Print_Titles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Aquisicoes PRODETUR-SERGIPE outubro 2016</dc:title>
  <dc:subject>Plano de Aquisicoes</dc:subject>
  <dc:creator>Eduardo Paiva</dc:creator>
  <cp:keywords>COBRAPE</cp:keywords>
  <cp:lastModifiedBy>IADB</cp:lastModifiedBy>
  <cp:lastPrinted>2016-09-12T17:58:46Z</cp:lastPrinted>
  <dcterms:created xsi:type="dcterms:W3CDTF">2011-03-30T14:45:37Z</dcterms:created>
  <dcterms:modified xsi:type="dcterms:W3CDTF">2016-10-18T19:00:54Z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0x01010046CF21643EE8D14686A648AA6DAD089200D4C0A6038A29514091A6F1DC5AE0D2CE</vt:lpwstr>
  </property>
  <property fmtid="{D5CDD505-2E9C-101B-9397-08002B2CF9AE}" pid="3" name="TaxKeyword">
    <vt:lpwstr>20;#COBRAPE|8d427c16-937c-4829-96b9-1189bfc4d545</vt:lpwstr>
  </property>
  <property fmtid="{D5CDD505-2E9C-101B-9397-08002B2CF9AE}" pid="4" name="TaxKeywordTaxHTField">
    <vt:lpwstr>COBRAPE|8d427c16-937c-4829-96b9-1189bfc4d545</vt:lpwstr>
  </property>
  <property fmtid="{D5CDD505-2E9C-101B-9397-08002B2CF9AE}" pid="5" name="Function Operations IDB">
    <vt:lpwstr>8;#Goods and Services|5bfebf1b-9f1f-4411-b1dd-4c19b807b799</vt:lpwstr>
  </property>
  <property fmtid="{D5CDD505-2E9C-101B-9397-08002B2CF9AE}" pid="6" name="Sub_x002d_Sector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From:">
    <vt:lpwstr/>
  </property>
  <property fmtid="{D5CDD505-2E9C-101B-9397-08002B2CF9AE}" pid="13" name="To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