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35" windowHeight="8445"/>
  </bookViews>
  <sheets>
    <sheet name="Costos" sheetId="1" r:id="rId1"/>
    <sheet name="Desembolsos " sheetId="2" r:id="rId2"/>
    <sheet name="Desglose por componentes" sheetId="3" r:id="rId3"/>
  </sheets>
  <definedNames>
    <definedName name="_xlnm._FilterDatabase" localSheetId="0" hidden="1">Costos!$A$3:$S$82</definedName>
    <definedName name="_xlnm._FilterDatabase" localSheetId="2" hidden="1">'Desglose por componentes'!$C$5:$Q$21</definedName>
  </definedNames>
  <calcPr calcId="152511"/>
</workbook>
</file>

<file path=xl/calcChain.xml><?xml version="1.0" encoding="utf-8"?>
<calcChain xmlns="http://schemas.openxmlformats.org/spreadsheetml/2006/main">
  <c r="Q18" i="1" l="1"/>
  <c r="R18" i="1"/>
  <c r="P18" i="1"/>
  <c r="S18" i="1" s="1"/>
  <c r="K18" i="1"/>
  <c r="L18" i="1"/>
  <c r="M18" i="1"/>
  <c r="H18" i="1"/>
  <c r="J18" i="1"/>
  <c r="G18" i="1"/>
  <c r="F18" i="1"/>
  <c r="E18" i="1"/>
  <c r="L34" i="1"/>
  <c r="K30" i="1"/>
  <c r="F30" i="1"/>
  <c r="E30" i="1"/>
  <c r="H30" i="1"/>
  <c r="L20" i="1"/>
  <c r="I30" i="1"/>
  <c r="F31" i="1"/>
  <c r="F32" i="1"/>
  <c r="F33" i="1"/>
  <c r="H68" i="1" l="1"/>
  <c r="K68" i="1"/>
  <c r="E68" i="1"/>
  <c r="P68" i="1" l="1"/>
  <c r="M68" i="1"/>
  <c r="J68" i="1"/>
  <c r="C8" i="2"/>
  <c r="Q81" i="1"/>
  <c r="Q79" i="1"/>
  <c r="R77" i="1"/>
  <c r="R75" i="1"/>
  <c r="R73" i="1"/>
  <c r="Q73" i="1"/>
  <c r="R72" i="1"/>
  <c r="Q72" i="1"/>
  <c r="R71" i="1"/>
  <c r="Q71" i="1"/>
  <c r="Q70" i="1"/>
  <c r="R67" i="1"/>
  <c r="Q67" i="1"/>
  <c r="R66" i="1"/>
  <c r="Q66" i="1"/>
  <c r="Q65" i="1"/>
  <c r="R63" i="1"/>
  <c r="Q63" i="1"/>
  <c r="R62" i="1"/>
  <c r="Q62" i="1"/>
  <c r="Q61" i="1"/>
  <c r="Q60" i="1"/>
  <c r="R59" i="1"/>
  <c r="Q59" i="1"/>
  <c r="Q58" i="1"/>
  <c r="Q57" i="1"/>
  <c r="R54" i="1"/>
  <c r="Q54" i="1"/>
  <c r="R53" i="1"/>
  <c r="Q53" i="1"/>
  <c r="Q52" i="1"/>
  <c r="R51" i="1"/>
  <c r="Q51" i="1"/>
  <c r="R50" i="1"/>
  <c r="Q50" i="1"/>
  <c r="Q49" i="1"/>
  <c r="R48" i="1"/>
  <c r="Q48" i="1"/>
  <c r="R47" i="1"/>
  <c r="Q47" i="1"/>
  <c r="Q46" i="1"/>
  <c r="Q44" i="1"/>
  <c r="R43" i="1"/>
  <c r="Q43" i="1"/>
  <c r="R42" i="1"/>
  <c r="Q42" i="1"/>
  <c r="Q41" i="1"/>
  <c r="Q40" i="1"/>
  <c r="Q39" i="1"/>
  <c r="Q38" i="1"/>
  <c r="R35" i="1"/>
  <c r="Q35" i="1"/>
  <c r="Q34" i="1"/>
  <c r="Q33" i="1"/>
  <c r="Q31" i="1"/>
  <c r="R29" i="1"/>
  <c r="R28" i="1"/>
  <c r="Q28" i="1"/>
  <c r="R27" i="1"/>
  <c r="Q27" i="1"/>
  <c r="R26" i="1"/>
  <c r="Q26" i="1"/>
  <c r="R25" i="1"/>
  <c r="Q25" i="1"/>
  <c r="Q24" i="1"/>
  <c r="R23" i="1"/>
  <c r="Q23" i="1"/>
  <c r="R22" i="1"/>
  <c r="Q22" i="1"/>
  <c r="Q9" i="1"/>
  <c r="R9" i="1"/>
  <c r="Q10" i="1"/>
  <c r="R10" i="1"/>
  <c r="Q11" i="1"/>
  <c r="Q12" i="1"/>
  <c r="R12" i="1"/>
  <c r="Q13" i="1"/>
  <c r="R13" i="1"/>
  <c r="Q14" i="1"/>
  <c r="Q15" i="1"/>
  <c r="R15" i="1"/>
  <c r="Q16" i="1"/>
  <c r="R16" i="1"/>
  <c r="Q17" i="1"/>
  <c r="R17" i="1"/>
  <c r="Q20" i="1"/>
  <c r="Q8" i="1"/>
  <c r="G68" i="1" l="1"/>
  <c r="S68" i="1" s="1"/>
  <c r="R68" i="1"/>
  <c r="Q68" i="1"/>
  <c r="N75" i="1"/>
  <c r="R19" i="1"/>
  <c r="O52" i="1"/>
  <c r="L52" i="1"/>
  <c r="Q19" i="1"/>
  <c r="L76" i="1"/>
  <c r="K76" i="1"/>
  <c r="N76" i="1"/>
  <c r="O76" i="1"/>
  <c r="E29" i="1"/>
  <c r="E75" i="1"/>
  <c r="H76" i="1"/>
  <c r="E76" i="1"/>
  <c r="Q76" i="1" l="1"/>
  <c r="P76" i="1"/>
  <c r="R76" i="1"/>
  <c r="J76" i="1"/>
  <c r="I70" i="1"/>
  <c r="J70" i="1" s="1"/>
  <c r="L65" i="1"/>
  <c r="M65" i="1" s="1"/>
  <c r="M76" i="1"/>
  <c r="G76" i="1"/>
  <c r="G63" i="1"/>
  <c r="O60" i="1"/>
  <c r="P60" i="1" s="1"/>
  <c r="L60" i="1"/>
  <c r="M60" i="1" s="1"/>
  <c r="P52" i="1"/>
  <c r="L41" i="1"/>
  <c r="M41" i="1" s="1"/>
  <c r="L39" i="1"/>
  <c r="L40" i="1"/>
  <c r="K29" i="1"/>
  <c r="H29" i="1"/>
  <c r="I14" i="1"/>
  <c r="J14" i="1" s="1"/>
  <c r="F14" i="1"/>
  <c r="K75" i="1"/>
  <c r="H75" i="1"/>
  <c r="Q75" i="1" s="1"/>
  <c r="P63" i="1"/>
  <c r="M63" i="1"/>
  <c r="G14" i="1" l="1"/>
  <c r="R14" i="1"/>
  <c r="S76" i="1"/>
  <c r="M39" i="1"/>
  <c r="R39" i="1"/>
  <c r="M40" i="1"/>
  <c r="R40" i="1"/>
  <c r="Q30" i="1"/>
  <c r="N29" i="1"/>
  <c r="Q29" i="1" s="1"/>
  <c r="E7" i="1" l="1"/>
  <c r="H7" i="1"/>
  <c r="K7" i="1"/>
  <c r="N7" i="1"/>
  <c r="O7" i="1"/>
  <c r="P20" i="1"/>
  <c r="J20" i="1"/>
  <c r="P19" i="1"/>
  <c r="M19" i="1"/>
  <c r="J19" i="1"/>
  <c r="G19" i="1"/>
  <c r="S19" i="1" l="1"/>
  <c r="G20" i="1"/>
  <c r="R20" i="1"/>
  <c r="O44" i="1"/>
  <c r="P44" i="1" s="1"/>
  <c r="L44" i="1"/>
  <c r="M44" i="1" s="1"/>
  <c r="I44" i="1"/>
  <c r="J44" i="1" s="1"/>
  <c r="F44" i="1"/>
  <c r="L38" i="1"/>
  <c r="M38" i="1" s="1"/>
  <c r="Q32" i="1"/>
  <c r="F74" i="1"/>
  <c r="I74" i="1"/>
  <c r="L74" i="1"/>
  <c r="O74" i="1"/>
  <c r="N64" i="1"/>
  <c r="O64" i="1"/>
  <c r="E56" i="1"/>
  <c r="H56" i="1"/>
  <c r="K56" i="1"/>
  <c r="L56" i="1"/>
  <c r="N56" i="1"/>
  <c r="O56" i="1"/>
  <c r="E45" i="1"/>
  <c r="H45" i="1"/>
  <c r="K45" i="1"/>
  <c r="N45" i="1"/>
  <c r="E37" i="1"/>
  <c r="H37" i="1"/>
  <c r="K37" i="1"/>
  <c r="N37" i="1"/>
  <c r="O81" i="1"/>
  <c r="I81" i="1"/>
  <c r="N80" i="1"/>
  <c r="O80" i="1" s="1"/>
  <c r="K80" i="1"/>
  <c r="K78" i="1" s="1"/>
  <c r="H80" i="1"/>
  <c r="I80" i="1" s="1"/>
  <c r="J80" i="1" s="1"/>
  <c r="E80" i="1"/>
  <c r="P67" i="1"/>
  <c r="M67" i="1"/>
  <c r="J67" i="1"/>
  <c r="G67" i="1"/>
  <c r="P66" i="1"/>
  <c r="M66" i="1"/>
  <c r="J66" i="1"/>
  <c r="G66" i="1"/>
  <c r="P65" i="1"/>
  <c r="J65" i="1"/>
  <c r="F65" i="1"/>
  <c r="R65" i="1" s="1"/>
  <c r="F79" i="1"/>
  <c r="I79" i="1"/>
  <c r="M79" i="1"/>
  <c r="P79" i="1"/>
  <c r="G81" i="1"/>
  <c r="M81" i="1"/>
  <c r="J63" i="1"/>
  <c r="I57" i="1"/>
  <c r="J57" i="1" s="1"/>
  <c r="F57" i="1"/>
  <c r="P51" i="1"/>
  <c r="M51" i="1"/>
  <c r="J51" i="1"/>
  <c r="G51" i="1"/>
  <c r="P50" i="1"/>
  <c r="M50" i="1"/>
  <c r="J50" i="1"/>
  <c r="G50" i="1"/>
  <c r="P49" i="1"/>
  <c r="M49" i="1"/>
  <c r="J49" i="1"/>
  <c r="F49" i="1"/>
  <c r="R49" i="1" s="1"/>
  <c r="P26" i="1"/>
  <c r="M26" i="1"/>
  <c r="J26" i="1"/>
  <c r="G26" i="1"/>
  <c r="P25" i="1"/>
  <c r="M25" i="1"/>
  <c r="J25" i="1"/>
  <c r="G25" i="1"/>
  <c r="P24" i="1"/>
  <c r="M24" i="1"/>
  <c r="J24" i="1"/>
  <c r="F24" i="1"/>
  <c r="G23" i="1"/>
  <c r="J23" i="1"/>
  <c r="M23" i="1"/>
  <c r="P23" i="1"/>
  <c r="S63" i="1" l="1"/>
  <c r="R57" i="1"/>
  <c r="E21" i="1"/>
  <c r="E6" i="1" s="1"/>
  <c r="R69" i="1"/>
  <c r="Q69" i="1"/>
  <c r="G24" i="1"/>
  <c r="S24" i="1" s="1"/>
  <c r="R24" i="1"/>
  <c r="R79" i="1"/>
  <c r="F80" i="1"/>
  <c r="F78" i="1" s="1"/>
  <c r="Q80" i="1"/>
  <c r="Q78" i="1" s="1"/>
  <c r="J81" i="1"/>
  <c r="R81" i="1"/>
  <c r="G44" i="1"/>
  <c r="S44" i="1" s="1"/>
  <c r="R44" i="1"/>
  <c r="S23" i="1"/>
  <c r="R33" i="1"/>
  <c r="S25" i="1"/>
  <c r="S26" i="1"/>
  <c r="S50" i="1"/>
  <c r="S51" i="1"/>
  <c r="S66" i="1"/>
  <c r="S67" i="1"/>
  <c r="R32" i="1"/>
  <c r="L7" i="1"/>
  <c r="M20" i="1"/>
  <c r="S20" i="1" s="1"/>
  <c r="K36" i="1"/>
  <c r="N36" i="1"/>
  <c r="K21" i="1"/>
  <c r="K6" i="1" s="1"/>
  <c r="H21" i="1"/>
  <c r="H6" i="1" s="1"/>
  <c r="O21" i="1"/>
  <c r="O6" i="1" s="1"/>
  <c r="O55" i="1"/>
  <c r="N78" i="1"/>
  <c r="L21" i="1"/>
  <c r="P81" i="1"/>
  <c r="P80" i="1"/>
  <c r="O78" i="1"/>
  <c r="G57" i="1"/>
  <c r="J79" i="1"/>
  <c r="I78" i="1"/>
  <c r="G65" i="1"/>
  <c r="S65" i="1" s="1"/>
  <c r="H78" i="1"/>
  <c r="L80" i="1"/>
  <c r="M80" i="1" s="1"/>
  <c r="H36" i="1"/>
  <c r="N21" i="1"/>
  <c r="N6" i="1" s="1"/>
  <c r="E36" i="1"/>
  <c r="E78" i="1"/>
  <c r="G79" i="1"/>
  <c r="G49" i="1"/>
  <c r="S49" i="1" s="1"/>
  <c r="I52" i="1"/>
  <c r="J52" i="1" s="1"/>
  <c r="M33" i="1"/>
  <c r="I11" i="1"/>
  <c r="J11" i="1" s="1"/>
  <c r="F11" i="1"/>
  <c r="I58" i="1"/>
  <c r="J58" i="1" s="1"/>
  <c r="J41" i="1"/>
  <c r="I34" i="1"/>
  <c r="J17" i="1"/>
  <c r="I8" i="1"/>
  <c r="S81" i="1" l="1"/>
  <c r="J78" i="1"/>
  <c r="S79" i="1"/>
  <c r="G80" i="1"/>
  <c r="S80" i="1" s="1"/>
  <c r="R80" i="1"/>
  <c r="R78" i="1" s="1"/>
  <c r="G11" i="1"/>
  <c r="R11" i="1"/>
  <c r="L6" i="1"/>
  <c r="I7" i="1"/>
  <c r="P78" i="1"/>
  <c r="M78" i="1"/>
  <c r="M52" i="1"/>
  <c r="L45" i="1"/>
  <c r="J8" i="1"/>
  <c r="L78" i="1"/>
  <c r="I21" i="1"/>
  <c r="J34" i="1"/>
  <c r="M32" i="1"/>
  <c r="H64" i="1"/>
  <c r="P33" i="1"/>
  <c r="P32" i="1"/>
  <c r="P72" i="1"/>
  <c r="M72" i="1"/>
  <c r="P71" i="1"/>
  <c r="M71" i="1"/>
  <c r="J72" i="1"/>
  <c r="J71" i="1"/>
  <c r="G72" i="1"/>
  <c r="G71" i="1"/>
  <c r="P28" i="1"/>
  <c r="M28" i="1"/>
  <c r="J28" i="1"/>
  <c r="P27" i="1"/>
  <c r="M27" i="1"/>
  <c r="J27" i="1"/>
  <c r="F60" i="1"/>
  <c r="I60" i="1"/>
  <c r="J60" i="1" s="1"/>
  <c r="P59" i="1"/>
  <c r="M59" i="1"/>
  <c r="J59" i="1"/>
  <c r="P62" i="1"/>
  <c r="M62" i="1"/>
  <c r="J62" i="1"/>
  <c r="P61" i="1"/>
  <c r="M61" i="1"/>
  <c r="J61" i="1"/>
  <c r="F61" i="1"/>
  <c r="P57" i="1"/>
  <c r="P54" i="1"/>
  <c r="P48" i="1"/>
  <c r="P47" i="1"/>
  <c r="P46" i="1"/>
  <c r="P41" i="1"/>
  <c r="P38" i="1"/>
  <c r="I38" i="1"/>
  <c r="P43" i="1"/>
  <c r="M43" i="1"/>
  <c r="J43" i="1"/>
  <c r="P42" i="1"/>
  <c r="M42" i="1"/>
  <c r="J42" i="1"/>
  <c r="P40" i="1"/>
  <c r="J40" i="1"/>
  <c r="P39" i="1"/>
  <c r="J39" i="1"/>
  <c r="P31" i="1"/>
  <c r="P30" i="1"/>
  <c r="J33" i="1"/>
  <c r="J32" i="1"/>
  <c r="M31" i="1"/>
  <c r="J31" i="1"/>
  <c r="M30" i="1"/>
  <c r="J30" i="1"/>
  <c r="P22" i="1"/>
  <c r="M22" i="1"/>
  <c r="J22" i="1"/>
  <c r="P34" i="1"/>
  <c r="M34" i="1"/>
  <c r="P35" i="1"/>
  <c r="M35" i="1"/>
  <c r="J35" i="1"/>
  <c r="P17" i="1"/>
  <c r="M17" i="1"/>
  <c r="P16" i="1"/>
  <c r="M16" i="1"/>
  <c r="J16" i="1"/>
  <c r="P15" i="1"/>
  <c r="M15" i="1"/>
  <c r="J15" i="1"/>
  <c r="P14" i="1"/>
  <c r="M14" i="1"/>
  <c r="P13" i="1"/>
  <c r="M13" i="1"/>
  <c r="P12" i="1"/>
  <c r="M12" i="1"/>
  <c r="J13" i="1"/>
  <c r="J12" i="1"/>
  <c r="P11" i="1"/>
  <c r="M11" i="1"/>
  <c r="P8" i="1"/>
  <c r="M8" i="1"/>
  <c r="P10" i="1"/>
  <c r="M10" i="1"/>
  <c r="J10" i="1"/>
  <c r="P9" i="1"/>
  <c r="M9" i="1"/>
  <c r="J9" i="1"/>
  <c r="F70" i="1"/>
  <c r="J75" i="1"/>
  <c r="H77" i="1" s="1"/>
  <c r="P75" i="1"/>
  <c r="N77" i="1" s="1"/>
  <c r="P77" i="1" s="1"/>
  <c r="P70" i="1"/>
  <c r="M75" i="1"/>
  <c r="K77" i="1" s="1"/>
  <c r="M77" i="1" s="1"/>
  <c r="M70" i="1"/>
  <c r="R74" i="1"/>
  <c r="P69" i="1"/>
  <c r="G28" i="1"/>
  <c r="G27" i="1"/>
  <c r="P73" i="1"/>
  <c r="M73" i="1"/>
  <c r="J73" i="1"/>
  <c r="P58" i="1"/>
  <c r="M58" i="1"/>
  <c r="M57" i="1"/>
  <c r="G59" i="1"/>
  <c r="F58" i="1"/>
  <c r="R58" i="1" s="1"/>
  <c r="G62" i="1"/>
  <c r="P53" i="1"/>
  <c r="M53" i="1"/>
  <c r="J53" i="1"/>
  <c r="F52" i="1"/>
  <c r="R52" i="1" s="1"/>
  <c r="M46" i="1"/>
  <c r="M47" i="1"/>
  <c r="M48" i="1"/>
  <c r="M54" i="1"/>
  <c r="J54" i="1"/>
  <c r="J48" i="1"/>
  <c r="J47" i="1"/>
  <c r="I45" i="1"/>
  <c r="G48" i="1"/>
  <c r="G47" i="1"/>
  <c r="F46" i="1"/>
  <c r="R46" i="1" s="1"/>
  <c r="G43" i="1"/>
  <c r="G42" i="1"/>
  <c r="F41" i="1"/>
  <c r="G40" i="1"/>
  <c r="G39" i="1"/>
  <c r="F38" i="1"/>
  <c r="R38" i="1" s="1"/>
  <c r="G73" i="1"/>
  <c r="G53" i="1"/>
  <c r="G54" i="1"/>
  <c r="R30" i="1"/>
  <c r="G33" i="1"/>
  <c r="S33" i="1" s="1"/>
  <c r="R31" i="1"/>
  <c r="S42" i="1" l="1"/>
  <c r="S57" i="1"/>
  <c r="S43" i="1"/>
  <c r="S39" i="1"/>
  <c r="S53" i="1"/>
  <c r="S71" i="1"/>
  <c r="G61" i="1"/>
  <c r="S61" i="1" s="1"/>
  <c r="R61" i="1"/>
  <c r="S54" i="1"/>
  <c r="S62" i="1"/>
  <c r="G41" i="1"/>
  <c r="S41" i="1" s="1"/>
  <c r="R41" i="1"/>
  <c r="S47" i="1"/>
  <c r="S59" i="1"/>
  <c r="G70" i="1"/>
  <c r="S70" i="1" s="1"/>
  <c r="R70" i="1"/>
  <c r="G60" i="1"/>
  <c r="S60" i="1" s="1"/>
  <c r="R60" i="1"/>
  <c r="S72" i="1"/>
  <c r="G78" i="1"/>
  <c r="S40" i="1"/>
  <c r="S27" i="1"/>
  <c r="S73" i="1"/>
  <c r="S28" i="1"/>
  <c r="S48" i="1"/>
  <c r="S11" i="1"/>
  <c r="S14" i="1"/>
  <c r="I6" i="1"/>
  <c r="Q7" i="1"/>
  <c r="P7" i="1"/>
  <c r="J7" i="1"/>
  <c r="M7" i="1"/>
  <c r="J77" i="1"/>
  <c r="J74" i="1" s="1"/>
  <c r="M74" i="1"/>
  <c r="K74" i="1"/>
  <c r="P74" i="1"/>
  <c r="M45" i="1"/>
  <c r="Q37" i="1"/>
  <c r="N74" i="1"/>
  <c r="N55" i="1" s="1"/>
  <c r="N82" i="1" s="1"/>
  <c r="I56" i="1"/>
  <c r="Q56" i="1"/>
  <c r="F64" i="1"/>
  <c r="E64" i="1"/>
  <c r="P56" i="1"/>
  <c r="G75" i="1"/>
  <c r="S78" i="1"/>
  <c r="G46" i="1"/>
  <c r="F45" i="1"/>
  <c r="M37" i="1"/>
  <c r="L37" i="1"/>
  <c r="L36" i="1" s="1"/>
  <c r="G58" i="1"/>
  <c r="F56" i="1"/>
  <c r="M56" i="1"/>
  <c r="P64" i="1"/>
  <c r="P37" i="1"/>
  <c r="O37" i="1"/>
  <c r="Q45" i="1"/>
  <c r="P45" i="1"/>
  <c r="O45" i="1"/>
  <c r="J56" i="1"/>
  <c r="L64" i="1"/>
  <c r="L55" i="1" s="1"/>
  <c r="K64" i="1"/>
  <c r="J38" i="1"/>
  <c r="J37" i="1" s="1"/>
  <c r="I37" i="1"/>
  <c r="I36" i="1" s="1"/>
  <c r="G38" i="1"/>
  <c r="F37" i="1"/>
  <c r="Q21" i="1"/>
  <c r="G29" i="1"/>
  <c r="I64" i="1"/>
  <c r="P29" i="1"/>
  <c r="P21" i="1" s="1"/>
  <c r="J29" i="1"/>
  <c r="J21" i="1" s="1"/>
  <c r="M29" i="1"/>
  <c r="M21" i="1" s="1"/>
  <c r="G52" i="1"/>
  <c r="S52" i="1" s="1"/>
  <c r="J46" i="1"/>
  <c r="J45" i="1" s="1"/>
  <c r="S38" i="1" l="1"/>
  <c r="E77" i="1"/>
  <c r="Q77" i="1" s="1"/>
  <c r="S75" i="1"/>
  <c r="S29" i="1"/>
  <c r="S46" i="1"/>
  <c r="G56" i="1"/>
  <c r="S58" i="1"/>
  <c r="H74" i="1"/>
  <c r="H55" i="1" s="1"/>
  <c r="H82" i="1" s="1"/>
  <c r="E6" i="2" s="1"/>
  <c r="K55" i="1"/>
  <c r="K82" i="1" s="1"/>
  <c r="F6" i="2" s="1"/>
  <c r="E74" i="1"/>
  <c r="E55" i="1" s="1"/>
  <c r="E82" i="1" s="1"/>
  <c r="F36" i="1"/>
  <c r="M36" i="1"/>
  <c r="F55" i="1"/>
  <c r="Q36" i="1"/>
  <c r="M6" i="1"/>
  <c r="M69" i="1"/>
  <c r="M64" i="1" s="1"/>
  <c r="M55" i="1" s="1"/>
  <c r="P6" i="1"/>
  <c r="O36" i="1"/>
  <c r="O82" i="1" s="1"/>
  <c r="G7" i="2" s="1"/>
  <c r="S56" i="1"/>
  <c r="R64" i="1"/>
  <c r="I55" i="1"/>
  <c r="I82" i="1" s="1"/>
  <c r="E7" i="2" s="1"/>
  <c r="P36" i="1"/>
  <c r="P55" i="1"/>
  <c r="R56" i="1"/>
  <c r="R45" i="1"/>
  <c r="J69" i="1"/>
  <c r="J64" i="1" s="1"/>
  <c r="J55" i="1" s="1"/>
  <c r="G37" i="1"/>
  <c r="Q6" i="1"/>
  <c r="J36" i="1"/>
  <c r="L82" i="1"/>
  <c r="F7" i="2" s="1"/>
  <c r="G45" i="1"/>
  <c r="R37" i="1"/>
  <c r="J6" i="1"/>
  <c r="G6" i="2"/>
  <c r="G35" i="1"/>
  <c r="S35" i="1" s="1"/>
  <c r="F34" i="1"/>
  <c r="G32" i="1"/>
  <c r="S32" i="1" s="1"/>
  <c r="G31" i="1"/>
  <c r="S31" i="1" s="1"/>
  <c r="G30" i="1"/>
  <c r="S30" i="1" s="1"/>
  <c r="G22" i="1"/>
  <c r="S22" i="1" s="1"/>
  <c r="G17" i="1"/>
  <c r="S17" i="1" s="1"/>
  <c r="G16" i="1"/>
  <c r="S16" i="1" s="1"/>
  <c r="G15" i="1"/>
  <c r="S15" i="1" s="1"/>
  <c r="G13" i="1"/>
  <c r="S13" i="1" s="1"/>
  <c r="G12" i="1"/>
  <c r="S12" i="1" s="1"/>
  <c r="F8" i="1"/>
  <c r="R8" i="1" s="1"/>
  <c r="G9" i="1"/>
  <c r="S9" i="1" s="1"/>
  <c r="G10" i="1"/>
  <c r="S10" i="1" s="1"/>
  <c r="F21" i="1" l="1"/>
  <c r="R34" i="1"/>
  <c r="M82" i="1"/>
  <c r="M84" i="1" s="1"/>
  <c r="S45" i="1"/>
  <c r="F7" i="1"/>
  <c r="Q74" i="1"/>
  <c r="G77" i="1"/>
  <c r="P82" i="1"/>
  <c r="P84" i="1" s="1"/>
  <c r="S37" i="1"/>
  <c r="R55" i="1"/>
  <c r="G36" i="1"/>
  <c r="J82" i="1"/>
  <c r="J84" i="1" s="1"/>
  <c r="R36" i="1"/>
  <c r="G8" i="1"/>
  <c r="G8" i="2"/>
  <c r="R21" i="1"/>
  <c r="G34" i="1"/>
  <c r="E8" i="2"/>
  <c r="F8" i="2"/>
  <c r="F6" i="1" l="1"/>
  <c r="F82" i="1" s="1"/>
  <c r="D7" i="2" s="1"/>
  <c r="H7" i="2" s="1"/>
  <c r="S77" i="1"/>
  <c r="S74" i="1" s="1"/>
  <c r="G7" i="1"/>
  <c r="S8" i="1"/>
  <c r="S7" i="1" s="1"/>
  <c r="G21" i="1"/>
  <c r="S34" i="1"/>
  <c r="S21" i="1" s="1"/>
  <c r="S36" i="1"/>
  <c r="R7" i="1"/>
  <c r="R6" i="1" s="1"/>
  <c r="R82" i="1" s="1"/>
  <c r="G74" i="1"/>
  <c r="G6" i="1" l="1"/>
  <c r="S6" i="1"/>
  <c r="Q64" i="1"/>
  <c r="Q55" i="1" s="1"/>
  <c r="Q82" i="1" s="1"/>
  <c r="G69" i="1"/>
  <c r="S69" i="1" s="1"/>
  <c r="S64" i="1" l="1"/>
  <c r="S55" i="1" s="1"/>
  <c r="S82" i="1" s="1"/>
  <c r="T63" i="1" s="1"/>
  <c r="G64" i="1"/>
  <c r="G55" i="1" s="1"/>
  <c r="G82" i="1" s="1"/>
  <c r="D6" i="2"/>
  <c r="D8" i="2" l="1"/>
  <c r="H6" i="2"/>
  <c r="H8" i="2" l="1"/>
</calcChain>
</file>

<file path=xl/sharedStrings.xml><?xml version="1.0" encoding="utf-8"?>
<sst xmlns="http://schemas.openxmlformats.org/spreadsheetml/2006/main" count="266" uniqueCount="127">
  <si>
    <t xml:space="preserve">BID </t>
  </si>
  <si>
    <t>Local</t>
  </si>
  <si>
    <t>Unidad de medida</t>
  </si>
  <si>
    <t xml:space="preserve">TOTAL </t>
  </si>
  <si>
    <t xml:space="preserve">Subtotal </t>
  </si>
  <si>
    <t xml:space="preserve">Programación de desemboslos detallada </t>
  </si>
  <si>
    <t xml:space="preserve">Local </t>
  </si>
  <si>
    <t>LOCAL</t>
  </si>
  <si>
    <t>TOTAL</t>
  </si>
  <si>
    <t>Bienes</t>
  </si>
  <si>
    <t>Obras</t>
  </si>
  <si>
    <t>COMPONENTE 3: Aumento de la inversión en capital humano</t>
  </si>
  <si>
    <t>Subcomponente 2. Mejoramiento de la gestión regional y local del MIDES</t>
  </si>
  <si>
    <t>Servicios para realizar rehabilitaciones y adecuaciones físicas en las 14 áreas regionales.</t>
  </si>
  <si>
    <t>Subcomponente 1. Focalización de beneficiarios</t>
  </si>
  <si>
    <t xml:space="preserve">Subcomponente 1. Verificación de corresponsabilidades </t>
  </si>
  <si>
    <t>Adquisición de mobiliario de oficina</t>
  </si>
  <si>
    <t>Adquisición de vehículos de transporte</t>
  </si>
  <si>
    <t>Adquisición de sistemas tecnológicos (hardware y software).</t>
  </si>
  <si>
    <t>Servicios de alojamiento para la creación y puesta en funcionamiento del RUB y SIG.</t>
  </si>
  <si>
    <t>Servicios distintos de Consultoría</t>
  </si>
  <si>
    <t xml:space="preserve">Servicios de Consultoría </t>
  </si>
  <si>
    <t>Giras de observación del funcionamiento de las direcciones regionales del MIDES</t>
  </si>
  <si>
    <t>Costos Operativos</t>
  </si>
  <si>
    <t>Pago TMC</t>
  </si>
  <si>
    <t>Pago por resultados</t>
  </si>
  <si>
    <t xml:space="preserve">Programa de Inclusión y Desarrollo Social (PN-L1105) </t>
  </si>
  <si>
    <t>Tabla de costos estimada (versión preliminar)</t>
  </si>
  <si>
    <t>(US$)</t>
  </si>
  <si>
    <t>COMPONENTE 1: Fortalecimiento del MIDES a nivel central y territorial</t>
  </si>
  <si>
    <t>Subcomponente 1. Fortalecimiento institucional a nivel central</t>
  </si>
  <si>
    <t>Talleres de para el diseño y monitoreo de políticas y programas sociales por parte de las direcciones técnicas del MIDES</t>
  </si>
  <si>
    <t>Reproducción de materiales para el  diseño y monitoreo de políticas y programas sociales por parte de las direcciones técnicas del MIDES</t>
  </si>
  <si>
    <t>Asistencia técnica para la creación de la Dirección de Programas para la administración, supervisión y monitoreo de los PTMC</t>
  </si>
  <si>
    <t>Talleres para la creación de la Dirección de Programas para la administración, supervisión y monitoreo de los PTMC</t>
  </si>
  <si>
    <t>Reproducción de materiales para la creación de la Dirección de Programas para la administración, supervisión y monitoreo de los PTMC</t>
  </si>
  <si>
    <t>Talleres para el fortalecimiento de la STGS en su rol como facilitador de los acuerdos inter-institucionales que favorecen la oferta de servicios y el cumplimiento de las corresponsabilidades de salud y educación de los PTMC</t>
  </si>
  <si>
    <t>Reproducción de materiales para el fortalecimiento de la STGS en su rol como facilitador de los acuerdos inter-institucionales que favorecen la oferta de servicios y el cumplimiento de las corresponsabilidades de salud y educación de los PTMC</t>
  </si>
  <si>
    <t>Capacitación para afianzar el conocimiento del recurso humano regional en la gestión de los PTMC</t>
  </si>
  <si>
    <t>Asistencia técnica para el diseño del esquema del promotor único del MIDES</t>
  </si>
  <si>
    <t>Talleres para el diseño del esquema del promotor único del MIDES</t>
  </si>
  <si>
    <t>Reproducción de materiales para el diseño del esquema del promotor único del MIDES</t>
  </si>
  <si>
    <t>Talleres capacitación para fortalecer la capacidad del promotor único del MIDES para dar acompañamiento a las familias beneficiarias de PTMC</t>
  </si>
  <si>
    <t>Pago a promotores único MIDES</t>
  </si>
  <si>
    <t>Reproducción de materiales para los promotores único MIDES</t>
  </si>
  <si>
    <t>Talleres para diseñar e implementar un sistema de interconexión de las DRM con la sede central.</t>
  </si>
  <si>
    <t>COMPONENTE 2: Gestión eficiente de los PTMC</t>
  </si>
  <si>
    <t>Asistencia técnica para la revisión de los criterios e instrumentos de elegibilidad, focalización, priorización y recertificación de beneficiarios de los PTMC utilizando como base una única definición de pobreza</t>
  </si>
  <si>
    <t>Talleres para la revisión de los criterios e instrumentos de elegibilidad, focalización, priorización y recertificación de beneficiarios de los PTMC utilizando como base una única definición de pobreza</t>
  </si>
  <si>
    <t>Reproducción de materiales para la revisión de los criterios e instrumentos de elegibilidad, focalización, priorización y recertificación de beneficiarios de los PTMC utilizando como base una única definición de pobreza</t>
  </si>
  <si>
    <t>Talleres  para la implementación del  Formulario Único de Protección Social a ser aplicado por los diferentes PTMC</t>
  </si>
  <si>
    <t>Reproducción de materiales  para la implementación del  Formulario Único de Protección Social a ser aplicado por los diferentes PTMC</t>
  </si>
  <si>
    <t>Servicios para operativizar la focalización y recertificación de los beneficiarios</t>
  </si>
  <si>
    <t>Subcomponente 2. Manejo dinámico del padrón de beneficiarios</t>
  </si>
  <si>
    <t>Asistencia técnica para la reestructuración del Sistema de Información Gerencial (SIG) para los PTMC</t>
  </si>
  <si>
    <t>Talleres para la reestructuración del Sistema de Información Gerencial (SIG) para los PTMC</t>
  </si>
  <si>
    <t>Reproducción de materiales para la reestructuración del Sistema de Información Gerencial (SIG) para los PTMC</t>
  </si>
  <si>
    <t>Asistencia técnica para el diseño y desarrollo de un RUB y de la plataforma única de pagos</t>
  </si>
  <si>
    <t>Talleres para el diseño y desarrollo de un RUB y de la plataforma única de pagos</t>
  </si>
  <si>
    <t>Reproducción de materiales para el diseño y desarrollo de un RUB y de la plataforma única de pagos</t>
  </si>
  <si>
    <t>Adquisición de hardware y software para la creación y puesta en funcionamiento del RUB, SIG y PP.</t>
  </si>
  <si>
    <t>Capacitación para formar al personal del MIDES en el manejo del SIG y RUB.</t>
  </si>
  <si>
    <t>Asistencia técnica para la actualización de acuerdos con MINSA, y MEDUCA, en relación a verificación de las corresponsabilidades</t>
  </si>
  <si>
    <t>Reproducción de materiales para el fortalecimiento del proceso de verificación de corresponsabilidades de los PTMC</t>
  </si>
  <si>
    <t>Talleres para el proceso de verificación de corresponsabilidades de los PTMC</t>
  </si>
  <si>
    <t>Pago de transferencias con base en la implementación y verificación gradual de las corresponsabilidades en salud y educación en áreas en condiciones de extrema pobreza</t>
  </si>
  <si>
    <t>Subcomponente 2. Aumento de la cobertura y calidad de servicios integrales a la primera infancia</t>
  </si>
  <si>
    <t>Asistencia técnica para el desarrollo de guías pedagógicas del currículo de 0 a 3 años y aplicación de  estándares de calidad  en COIF</t>
  </si>
  <si>
    <t>Talleres para el desarrollo de guías pedagógicas del currículo de 0 a 3 años y aplicación de  estándares de calidad  en COIF</t>
  </si>
  <si>
    <t>Reproducción de materiales para el desarrollo de guías pedagógicas del currículo de 0 a 3 años y aplicación de  estándares de calidad  en COIF</t>
  </si>
  <si>
    <t>Asistencia técnica para el diseño de una modalidad comunitaria de atención integral a la primera infancia para comarcas indígenas y áreas rurales dispersas</t>
  </si>
  <si>
    <t>Talleres  para el diseño de una modalidad comunitaria de atención integral a la primera infancia para comarcas indígenas y áreas rurales dispersas</t>
  </si>
  <si>
    <t>Reproducción de materiales para el diseño de una modalidad comunitaria de atención integral a la primera infancia para comarcas indígenas y áreas rurales dispersas</t>
  </si>
  <si>
    <t>Subcomponente 3. Institucionalización de pago por resultados</t>
  </si>
  <si>
    <t>Administración del pago de la cápita en base a resultados  para proveedores públicos y privados de la Cartera Integral de Servicios (CIS)  en COIF y en la modalidad comunitaria en el marco de la RAIPI</t>
  </si>
  <si>
    <t>Auditoria, Supervisión y Evaluación</t>
  </si>
  <si>
    <t>Supervisión del Programa</t>
  </si>
  <si>
    <t>Auditoria Operativa y Financiera del Programa</t>
  </si>
  <si>
    <t>Monitoreo y Evaluación del Programa</t>
  </si>
  <si>
    <t>Producto Asociado</t>
  </si>
  <si>
    <t>1.1 Funcionarios de las Direcciones Técnicas del MIDES formados</t>
  </si>
  <si>
    <t>1.2 Dirección de Programas para la administración, supervisión y monitoreo de los PTMC confirmada</t>
  </si>
  <si>
    <t>1.3 Personal de la STGS capacitado</t>
  </si>
  <si>
    <t>1.4 Unidad Coordinadora de Primera Infancia en el MIDES institucionalizada</t>
  </si>
  <si>
    <t>1.5 Direcciones del MIDES Central equipadas con mobiliario y equipo tecnológico</t>
  </si>
  <si>
    <t>1.5 Funcionarios de las Direcciones de Programas capacitados en gestión de los PTMC</t>
  </si>
  <si>
    <t>1.7 Esquema de promotor único del MIDES diseñado</t>
  </si>
  <si>
    <t>1.8 Promotores MIDES pagados y capacitados en protocolos de servicios</t>
  </si>
  <si>
    <t>1.9 Direcciones Regionales acondicionadas</t>
  </si>
  <si>
    <t>1.10 Sistema de interconexión de las Direcciones Regionales con la sede central en funcionamiento</t>
  </si>
  <si>
    <t>2.1 Criterios e instrumentos por cada PTMC aprobados</t>
  </si>
  <si>
    <t>2.2 Formulario único de protección social adoptado por los PTMC</t>
  </si>
  <si>
    <t>2.3 Protocolo de recertificación de beneficiarios operativizado</t>
  </si>
  <si>
    <t>2.4 SIG para los PTMC reestructurados</t>
  </si>
  <si>
    <t>2.5 RUB y plataforma única de pagos finalizada</t>
  </si>
  <si>
    <t>2.6 SIG, RUB y plataforma única d pagos equipados y con servicio de alojamiento</t>
  </si>
  <si>
    <t>2.7 Funcionarios capacitados en el manejo del SIG, RUB y plataforma de pagos.</t>
  </si>
  <si>
    <t>3.1 Acuerdos interinstitucionales con MINSA y MEDUCA para la verificación de corresponsabilidades actualizados.</t>
  </si>
  <si>
    <t>3.2 Instrumentos de recopilación de información para verificación de corresponsabilidades creados</t>
  </si>
  <si>
    <t>3.3 Beneficiarios que reciben la transferencias monetarias en áreas prioritarias</t>
  </si>
  <si>
    <t>3.4 Estándares de calidad para la aplicación de COIF y guías pedagógicas del currículo de 0 a 3 años desarrollados</t>
  </si>
  <si>
    <t>3.7 Modelo comunitario de atención integral a la primera infancia para comarcas indígenas y áreas rurales disperas diseñadas</t>
  </si>
  <si>
    <t>3.8 Menores de 5 años que cuentan con la libreta del niño</t>
  </si>
  <si>
    <t>3.9 Modelo de pago per cápita y en base a resultados de modalidad institucional y comunitaria diseñados</t>
  </si>
  <si>
    <t>3.10 COIF con modelo de pago de cápita implementado.</t>
  </si>
  <si>
    <t>Servicio para capacitar a la STGS en su rol como facilitador de los acuerdos inter-institucionales que favorecen la oferta de servicios y el cumplimiento de las corresponsabilidades de salud y educación de los PTMC</t>
  </si>
  <si>
    <t>Servicio de interconexión de las DRM con la sede central.</t>
  </si>
  <si>
    <t>Servicio de implementación del  Formulario Único de Protección Social a ser aplicado por los diferentes PTMC</t>
  </si>
  <si>
    <t>Servicios para la  recopilación de información nominalizada de verificación de corresponsabilidades.</t>
  </si>
  <si>
    <t>Asistencia técnica para diseñar y monitorear políticas y programas sociales por parte de las direcciones técnicas del MIDES</t>
  </si>
  <si>
    <t xml:space="preserve">Institucionalización de la Unidad Coordinadora de  Primera Infancia en el MIDES </t>
  </si>
  <si>
    <t xml:space="preserve">Servicios para crear los protocolos de recopilación y verificación de corresponsabilidades </t>
  </si>
  <si>
    <t>Servicios  para la verificación de las corresponsabilidades de los PTMC</t>
  </si>
  <si>
    <t>Servicios para la implementación de la libreta del niño y la niña como instrumento de verificación de la RAIPI.</t>
  </si>
  <si>
    <t>Provisión de la Cartera Integral de Servicios (CIS)  en base a resultados en COIF públicos y privados en el marco de la RAIPI</t>
  </si>
  <si>
    <t>Provisión de la Cartera Integral de Servicios (CIS)  en base a resultados enla modalidad comunitaria en el marco de la RAIPI</t>
  </si>
  <si>
    <t>Diseño, construcción y habilitación de cinco Centros de Orientación Infantil y Familiar (COIF) aplicando los estándares de calidad</t>
  </si>
  <si>
    <t>Rehabilitación de los COIF bajo administración del MIDES aplicando los estándares de calidad</t>
  </si>
  <si>
    <t xml:space="preserve">3.5 Número de COIF construidos </t>
  </si>
  <si>
    <t>3.6 número de COIF rehabilitados</t>
  </si>
  <si>
    <t>mobiliario</t>
  </si>
  <si>
    <t>vehiculos</t>
  </si>
  <si>
    <t>licencia</t>
  </si>
  <si>
    <t>viaticos</t>
  </si>
  <si>
    <t>agente fiduciaroo</t>
  </si>
  <si>
    <t>Servicios para realizar adecuaciones físicas en las Direcciones del MIDES Central</t>
  </si>
  <si>
    <t>1.5 Direcciones del MIDES Central acondicionadas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</si>
</sst>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64">
    <xf numFmtId="0" fontId="0" fillId="0" borderId="0" xfId="0"/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1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3" fontId="1" fillId="4" borderId="1" xfId="0" applyNumberFormat="1" applyFont="1" applyFill="1" applyBorder="1" applyAlignment="1">
      <alignment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1" fillId="2" borderId="0" xfId="0" applyFont="1" applyFill="1"/>
    <xf numFmtId="3" fontId="1" fillId="2" borderId="1" xfId="0" applyNumberFormat="1" applyFont="1" applyFill="1" applyBorder="1" applyAlignment="1">
      <alignment vertical="top"/>
    </xf>
    <xf numFmtId="3" fontId="1" fillId="4" borderId="1" xfId="0" applyNumberFormat="1" applyFont="1" applyFill="1" applyBorder="1" applyAlignment="1">
      <alignment wrapText="1"/>
    </xf>
    <xf numFmtId="164" fontId="2" fillId="2" borderId="0" xfId="0" applyNumberFormat="1" applyFont="1" applyFill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1" fontId="2" fillId="2" borderId="0" xfId="0" applyNumberFormat="1" applyFont="1" applyFill="1" applyAlignment="1">
      <alignment horizontal="center" vertical="center" wrapText="1"/>
    </xf>
    <xf numFmtId="3" fontId="2" fillId="2" borderId="0" xfId="0" applyNumberFormat="1" applyFont="1" applyFill="1"/>
    <xf numFmtId="164" fontId="1" fillId="3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1" fillId="4" borderId="1" xfId="0" applyNumberFormat="1" applyFont="1" applyFill="1" applyBorder="1" applyAlignment="1">
      <alignment vertical="center" wrapText="1"/>
    </xf>
    <xf numFmtId="1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3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 inden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9" fontId="2" fillId="0" borderId="0" xfId="1" applyFont="1" applyFill="1" applyAlignment="1">
      <alignment vertical="center" wrapText="1"/>
    </xf>
    <xf numFmtId="9" fontId="2" fillId="2" borderId="0" xfId="1" applyFont="1" applyFill="1" applyBorder="1" applyAlignment="1">
      <alignment vertical="center" wrapText="1"/>
    </xf>
    <xf numFmtId="3" fontId="2" fillId="5" borderId="1" xfId="0" applyNumberFormat="1" applyFont="1" applyFill="1" applyBorder="1" applyAlignment="1">
      <alignment vertical="center" wrapText="1"/>
    </xf>
    <xf numFmtId="164" fontId="2" fillId="5" borderId="1" xfId="0" applyNumberFormat="1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left" vertical="center" wrapText="1" indent="2"/>
    </xf>
    <xf numFmtId="0" fontId="2" fillId="5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Nivel</a:t>
            </a:r>
            <a:r>
              <a:rPr lang="en-US" baseline="0"/>
              <a:t> de Desembolsos programado por año de ejecución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BID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'Desembolsos '!$C$4:$G$4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'Desembolsos '!$C$6:$G$6</c:f>
              <c:numCache>
                <c:formatCode>#,##0</c:formatCode>
                <c:ptCount val="5"/>
                <c:pt idx="0">
                  <c:v>0</c:v>
                </c:pt>
                <c:pt idx="1">
                  <c:v>10999999.68</c:v>
                </c:pt>
                <c:pt idx="2">
                  <c:v>17500000.259999998</c:v>
                </c:pt>
                <c:pt idx="3">
                  <c:v>15500000.02</c:v>
                </c:pt>
                <c:pt idx="4">
                  <c:v>5999999.5800000001</c:v>
                </c:pt>
              </c:numCache>
            </c:numRef>
          </c:val>
          <c:smooth val="0"/>
        </c:ser>
        <c:ser>
          <c:idx val="1"/>
          <c:order val="1"/>
          <c:tx>
            <c:v>Local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'Desembolsos '!$C$4:$G$4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'Desembolsos '!$C$7:$G$7</c:f>
              <c:numCache>
                <c:formatCode>#,##0</c:formatCode>
                <c:ptCount val="5"/>
                <c:pt idx="0">
                  <c:v>0</c:v>
                </c:pt>
                <c:pt idx="1">
                  <c:v>1000000</c:v>
                </c:pt>
                <c:pt idx="2">
                  <c:v>3000000</c:v>
                </c:pt>
                <c:pt idx="3">
                  <c:v>3000000</c:v>
                </c:pt>
                <c:pt idx="4">
                  <c:v>3000000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592448"/>
        <c:axId val="227598336"/>
      </c:lineChart>
      <c:catAx>
        <c:axId val="227592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598336"/>
        <c:crossesAt val="0"/>
        <c:auto val="1"/>
        <c:lblAlgn val="ctr"/>
        <c:lblOffset val="100"/>
        <c:noMultiLvlLbl val="0"/>
      </c:catAx>
      <c:valAx>
        <c:axId val="22759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592448"/>
        <c:crossesAt val="1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99060</xdr:colOff>
      <xdr:row>9</xdr:row>
      <xdr:rowOff>99060</xdr:rowOff>
    </xdr:from>
    <xdr:to>
      <xdr:col>7</xdr:col>
      <xdr:colOff>579120</xdr:colOff>
      <xdr:row>28</xdr:row>
      <xdr:rowOff>129540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16"/>
  <sheetViews>
    <sheetView tabSelected="1" zoomScale="81" zoomScaleNormal="81" workbookViewId="0">
      <pane xSplit="3" ySplit="6" topLeftCell="P22" activePane="bottomRight" state="frozen"/>
      <selection pane="topRight" activeCell="D1" sqref="D1"/>
      <selection pane="bottomLeft" activeCell="A7" sqref="A7"/>
      <selection pane="bottomRight" activeCell="U30" sqref="U30"/>
    </sheetView>
  </sheetViews>
  <sheetFormatPr defaultColWidth="9.140625" defaultRowHeight="12" x14ac:dyDescent="0.25"/>
  <cols>
    <col min="1" max="1" width="3" style="6" customWidth="1"/>
    <col min="2" max="2" width="51.7109375" style="6" customWidth="1"/>
    <col min="3" max="3" width="18" style="6" customWidth="1"/>
    <col min="4" max="4" width="23.5703125" style="28" customWidth="1"/>
    <col min="5" max="8" width="12.85546875" style="6" customWidth="1"/>
    <col min="9" max="9" width="13.7109375" style="6" customWidth="1"/>
    <col min="10" max="10" width="12.42578125" style="6" customWidth="1"/>
    <col min="11" max="11" width="14.42578125" style="6" customWidth="1"/>
    <col min="12" max="12" width="18.7109375" style="6" customWidth="1"/>
    <col min="13" max="13" width="14.42578125" style="6" customWidth="1"/>
    <col min="14" max="14" width="11.5703125" style="6" customWidth="1"/>
    <col min="15" max="15" width="13.7109375" style="6" customWidth="1"/>
    <col min="16" max="16" width="11.28515625" style="6" customWidth="1"/>
    <col min="17" max="17" width="12.42578125" style="6" bestFit="1" customWidth="1"/>
    <col min="18" max="18" width="12.140625" style="6" bestFit="1" customWidth="1"/>
    <col min="19" max="19" width="14.7109375" style="6" bestFit="1" customWidth="1"/>
    <col min="20" max="20" width="12.5703125" style="6" bestFit="1" customWidth="1"/>
    <col min="21" max="16384" width="9.140625" style="6"/>
  </cols>
  <sheetData>
    <row r="1" spans="2:20" ht="14.25" customHeight="1" x14ac:dyDescent="0.25">
      <c r="B1" s="5" t="s">
        <v>26</v>
      </c>
      <c r="I1" s="6" t="s">
        <v>120</v>
      </c>
      <c r="J1" s="6" t="s">
        <v>121</v>
      </c>
      <c r="K1" s="6" t="s">
        <v>122</v>
      </c>
      <c r="L1" s="6" t="s">
        <v>123</v>
      </c>
      <c r="M1" s="6" t="s">
        <v>124</v>
      </c>
    </row>
    <row r="2" spans="2:20" ht="10.5" customHeight="1" x14ac:dyDescent="0.25">
      <c r="B2" s="5" t="s">
        <v>27</v>
      </c>
      <c r="C2" s="61" t="s">
        <v>28</v>
      </c>
      <c r="D2" s="61"/>
      <c r="E2" s="61"/>
      <c r="F2" s="5"/>
      <c r="G2" s="5"/>
      <c r="H2" s="5"/>
      <c r="I2" s="5"/>
      <c r="J2" s="5"/>
      <c r="K2" s="25"/>
      <c r="L2" s="25"/>
      <c r="M2" s="25"/>
      <c r="N2" s="5"/>
    </row>
    <row r="3" spans="2:20" x14ac:dyDescent="0.3">
      <c r="C3" s="5"/>
      <c r="D3" s="29"/>
      <c r="E3" s="5"/>
      <c r="F3" s="5"/>
      <c r="G3" s="5"/>
      <c r="H3" s="5"/>
      <c r="I3" s="5"/>
      <c r="J3" s="5"/>
      <c r="K3" s="25"/>
      <c r="L3" s="25"/>
      <c r="M3" s="25"/>
      <c r="N3" s="5"/>
    </row>
    <row r="4" spans="2:20" x14ac:dyDescent="0.3">
      <c r="C4" s="7" t="s">
        <v>2</v>
      </c>
      <c r="D4" s="27" t="s">
        <v>79</v>
      </c>
      <c r="E4" s="62">
        <v>2016</v>
      </c>
      <c r="F4" s="62"/>
      <c r="G4" s="62"/>
      <c r="H4" s="62">
        <v>2017</v>
      </c>
      <c r="I4" s="62"/>
      <c r="J4" s="62"/>
      <c r="K4" s="62">
        <v>2018</v>
      </c>
      <c r="L4" s="62"/>
      <c r="M4" s="62"/>
      <c r="N4" s="62">
        <v>2019</v>
      </c>
      <c r="O4" s="62"/>
      <c r="P4" s="62"/>
      <c r="Q4" s="62" t="s">
        <v>3</v>
      </c>
      <c r="R4" s="62"/>
      <c r="S4" s="62"/>
    </row>
    <row r="5" spans="2:20" ht="15.75" customHeight="1" x14ac:dyDescent="0.3">
      <c r="B5" s="8"/>
      <c r="C5" s="8"/>
      <c r="D5" s="31"/>
      <c r="E5" s="8" t="s">
        <v>0</v>
      </c>
      <c r="F5" s="8" t="s">
        <v>1</v>
      </c>
      <c r="G5" s="8" t="s">
        <v>4</v>
      </c>
      <c r="H5" s="8" t="s">
        <v>0</v>
      </c>
      <c r="I5" s="8" t="s">
        <v>1</v>
      </c>
      <c r="J5" s="8" t="s">
        <v>4</v>
      </c>
      <c r="K5" s="8" t="s">
        <v>0</v>
      </c>
      <c r="L5" s="8" t="s">
        <v>1</v>
      </c>
      <c r="M5" s="8" t="s">
        <v>4</v>
      </c>
      <c r="N5" s="8" t="s">
        <v>0</v>
      </c>
      <c r="O5" s="8" t="s">
        <v>1</v>
      </c>
      <c r="P5" s="8" t="s">
        <v>4</v>
      </c>
      <c r="Q5" s="8" t="s">
        <v>0</v>
      </c>
      <c r="R5" s="8" t="s">
        <v>7</v>
      </c>
      <c r="S5" s="8" t="s">
        <v>8</v>
      </c>
    </row>
    <row r="6" spans="2:20" ht="22.9" x14ac:dyDescent="0.3">
      <c r="B6" s="9" t="s">
        <v>29</v>
      </c>
      <c r="C6" s="10"/>
      <c r="D6" s="32"/>
      <c r="E6" s="11">
        <f t="shared" ref="E6:S6" si="0">E7+E21</f>
        <v>3809186</v>
      </c>
      <c r="F6" s="11">
        <f t="shared" si="0"/>
        <v>430099.9</v>
      </c>
      <c r="G6" s="11">
        <f t="shared" si="0"/>
        <v>4239285.9000000004</v>
      </c>
      <c r="H6" s="11">
        <f t="shared" si="0"/>
        <v>4060968.5</v>
      </c>
      <c r="I6" s="11">
        <f t="shared" si="0"/>
        <v>892661</v>
      </c>
      <c r="J6" s="11">
        <f t="shared" si="0"/>
        <v>4953629.5</v>
      </c>
      <c r="K6" s="36">
        <f t="shared" si="0"/>
        <v>2708542</v>
      </c>
      <c r="L6" s="36">
        <f t="shared" si="0"/>
        <v>872398</v>
      </c>
      <c r="M6" s="36">
        <f t="shared" si="0"/>
        <v>3580940</v>
      </c>
      <c r="N6" s="11">
        <f t="shared" si="0"/>
        <v>351176</v>
      </c>
      <c r="O6" s="11">
        <f t="shared" si="0"/>
        <v>1063621</v>
      </c>
      <c r="P6" s="11">
        <f t="shared" si="0"/>
        <v>1414797</v>
      </c>
      <c r="Q6" s="11">
        <f t="shared" si="0"/>
        <v>10929872.5</v>
      </c>
      <c r="R6" s="11">
        <f t="shared" si="0"/>
        <v>3258779.9</v>
      </c>
      <c r="S6" s="11">
        <f t="shared" si="0"/>
        <v>14188652.4</v>
      </c>
      <c r="T6" s="24"/>
    </row>
    <row r="7" spans="2:20" s="49" customFormat="1" ht="24" customHeight="1" x14ac:dyDescent="0.3">
      <c r="B7" s="45" t="s">
        <v>30</v>
      </c>
      <c r="C7" s="46"/>
      <c r="D7" s="46"/>
      <c r="E7" s="44">
        <f t="shared" ref="E7:S7" si="1">SUM(E8:E20)</f>
        <v>315016</v>
      </c>
      <c r="F7" s="44">
        <f t="shared" si="1"/>
        <v>196908</v>
      </c>
      <c r="G7" s="44">
        <f t="shared" si="1"/>
        <v>511924</v>
      </c>
      <c r="H7" s="44">
        <f t="shared" si="1"/>
        <v>453022</v>
      </c>
      <c r="I7" s="44">
        <f t="shared" si="1"/>
        <v>43900</v>
      </c>
      <c r="J7" s="44">
        <f t="shared" si="1"/>
        <v>496922</v>
      </c>
      <c r="K7" s="47">
        <f t="shared" si="1"/>
        <v>341002</v>
      </c>
      <c r="L7" s="47">
        <f t="shared" si="1"/>
        <v>36870</v>
      </c>
      <c r="M7" s="47">
        <f t="shared" si="1"/>
        <v>377872</v>
      </c>
      <c r="N7" s="44">
        <f t="shared" si="1"/>
        <v>21176</v>
      </c>
      <c r="O7" s="44">
        <f t="shared" si="1"/>
        <v>34576</v>
      </c>
      <c r="P7" s="44">
        <f t="shared" si="1"/>
        <v>55752</v>
      </c>
      <c r="Q7" s="44">
        <f t="shared" si="1"/>
        <v>1130216</v>
      </c>
      <c r="R7" s="44">
        <f t="shared" si="1"/>
        <v>312254</v>
      </c>
      <c r="S7" s="44">
        <f t="shared" si="1"/>
        <v>1442470</v>
      </c>
      <c r="T7" s="48"/>
    </row>
    <row r="8" spans="2:20" s="53" customFormat="1" ht="36" x14ac:dyDescent="0.25">
      <c r="B8" s="43" t="s">
        <v>109</v>
      </c>
      <c r="C8" s="50" t="s">
        <v>21</v>
      </c>
      <c r="D8" s="50" t="s">
        <v>80</v>
      </c>
      <c r="E8" s="51">
        <v>20000</v>
      </c>
      <c r="F8" s="51">
        <f>E8*0.07</f>
        <v>1400.0000000000002</v>
      </c>
      <c r="G8" s="51">
        <f>SUM(E8:F8)</f>
        <v>21400</v>
      </c>
      <c r="H8" s="51">
        <v>20000</v>
      </c>
      <c r="I8" s="51">
        <f>H8*0.07</f>
        <v>1400.0000000000002</v>
      </c>
      <c r="J8" s="51">
        <f>SUM(H8:I8)</f>
        <v>21400</v>
      </c>
      <c r="K8" s="52">
        <v>0</v>
      </c>
      <c r="L8" s="52">
        <v>0</v>
      </c>
      <c r="M8" s="52">
        <f t="shared" ref="M8" si="2">SUM(K8:L8)</f>
        <v>0</v>
      </c>
      <c r="N8" s="51">
        <v>0</v>
      </c>
      <c r="O8" s="51">
        <v>0</v>
      </c>
      <c r="P8" s="51">
        <f t="shared" ref="P8" si="3">SUM(N8:O8)</f>
        <v>0</v>
      </c>
      <c r="Q8" s="51">
        <f>E8+H8+K8+N8</f>
        <v>40000</v>
      </c>
      <c r="R8" s="51">
        <f>F8+I8+L8+O8</f>
        <v>2800.0000000000005</v>
      </c>
      <c r="S8" s="51">
        <f>G8+J8+M8+P8</f>
        <v>42800</v>
      </c>
      <c r="T8" s="48"/>
    </row>
    <row r="9" spans="2:20" s="53" customFormat="1" ht="36" x14ac:dyDescent="0.25">
      <c r="B9" s="43" t="s">
        <v>31</v>
      </c>
      <c r="C9" s="50" t="s">
        <v>20</v>
      </c>
      <c r="D9" s="50" t="s">
        <v>80</v>
      </c>
      <c r="E9" s="51">
        <v>0</v>
      </c>
      <c r="F9" s="51">
        <v>10000</v>
      </c>
      <c r="G9" s="51">
        <f t="shared" ref="G9:G10" si="4">SUM(E9:F9)</f>
        <v>10000</v>
      </c>
      <c r="H9" s="51">
        <v>0</v>
      </c>
      <c r="I9" s="51">
        <v>10000</v>
      </c>
      <c r="J9" s="51">
        <f t="shared" ref="J9:J10" si="5">SUM(H9:I9)</f>
        <v>10000</v>
      </c>
      <c r="K9" s="52">
        <v>0</v>
      </c>
      <c r="L9" s="52">
        <v>10000</v>
      </c>
      <c r="M9" s="52">
        <f t="shared" ref="M9:M13" si="6">SUM(K9:L9)</f>
        <v>10000</v>
      </c>
      <c r="N9" s="51">
        <v>0</v>
      </c>
      <c r="O9" s="51">
        <v>10000</v>
      </c>
      <c r="P9" s="51">
        <f t="shared" ref="P9:P13" si="7">SUM(N9:O9)</f>
        <v>10000</v>
      </c>
      <c r="Q9" s="51">
        <f t="shared" ref="Q9:Q20" si="8">E9+H9+K9+N9</f>
        <v>0</v>
      </c>
      <c r="R9" s="51">
        <f t="shared" ref="R9:R20" si="9">F9+I9+L9+O9</f>
        <v>40000</v>
      </c>
      <c r="S9" s="51">
        <f t="shared" ref="S9:S20" si="10">G9+J9+M9+P9</f>
        <v>40000</v>
      </c>
      <c r="T9" s="48"/>
    </row>
    <row r="10" spans="2:20" s="53" customFormat="1" ht="39.6" customHeight="1" x14ac:dyDescent="0.25">
      <c r="B10" s="43" t="s">
        <v>32</v>
      </c>
      <c r="C10" s="50" t="s">
        <v>20</v>
      </c>
      <c r="D10" s="50" t="s">
        <v>80</v>
      </c>
      <c r="E10" s="51">
        <v>0</v>
      </c>
      <c r="F10" s="51">
        <v>3000</v>
      </c>
      <c r="G10" s="51">
        <f t="shared" si="4"/>
        <v>3000</v>
      </c>
      <c r="H10" s="51">
        <v>0</v>
      </c>
      <c r="I10" s="51">
        <v>3000</v>
      </c>
      <c r="J10" s="51">
        <f t="shared" si="5"/>
        <v>3000</v>
      </c>
      <c r="K10" s="52">
        <v>0</v>
      </c>
      <c r="L10" s="52">
        <v>3000</v>
      </c>
      <c r="M10" s="52">
        <f t="shared" si="6"/>
        <v>3000</v>
      </c>
      <c r="N10" s="51">
        <v>0</v>
      </c>
      <c r="O10" s="51">
        <v>3000</v>
      </c>
      <c r="P10" s="51">
        <f t="shared" si="7"/>
        <v>3000</v>
      </c>
      <c r="Q10" s="51">
        <f t="shared" si="8"/>
        <v>0</v>
      </c>
      <c r="R10" s="51">
        <f t="shared" si="9"/>
        <v>12000</v>
      </c>
      <c r="S10" s="51">
        <f t="shared" si="10"/>
        <v>12000</v>
      </c>
      <c r="T10" s="48"/>
    </row>
    <row r="11" spans="2:20" s="53" customFormat="1" ht="48" x14ac:dyDescent="0.25">
      <c r="B11" s="43" t="s">
        <v>33</v>
      </c>
      <c r="C11" s="50" t="s">
        <v>21</v>
      </c>
      <c r="D11" s="50" t="s">
        <v>81</v>
      </c>
      <c r="E11" s="51">
        <v>25000</v>
      </c>
      <c r="F11" s="51">
        <f>E11*0.07</f>
        <v>1750.0000000000002</v>
      </c>
      <c r="G11" s="51">
        <f>SUM(E11:F11)</f>
        <v>26750</v>
      </c>
      <c r="H11" s="51">
        <v>25000</v>
      </c>
      <c r="I11" s="51">
        <f>H11*0.07</f>
        <v>1750.0000000000002</v>
      </c>
      <c r="J11" s="51">
        <f>SUM(H11:I11)</f>
        <v>26750</v>
      </c>
      <c r="K11" s="52">
        <v>0</v>
      </c>
      <c r="L11" s="52">
        <v>0</v>
      </c>
      <c r="M11" s="52">
        <f t="shared" si="6"/>
        <v>0</v>
      </c>
      <c r="N11" s="51">
        <v>0</v>
      </c>
      <c r="O11" s="51">
        <v>0</v>
      </c>
      <c r="P11" s="51">
        <f t="shared" si="7"/>
        <v>0</v>
      </c>
      <c r="Q11" s="51">
        <f t="shared" si="8"/>
        <v>50000</v>
      </c>
      <c r="R11" s="51">
        <f t="shared" si="9"/>
        <v>3500.0000000000005</v>
      </c>
      <c r="S11" s="51">
        <f t="shared" si="10"/>
        <v>53500</v>
      </c>
      <c r="T11" s="48"/>
    </row>
    <row r="12" spans="2:20" s="53" customFormat="1" ht="48" x14ac:dyDescent="0.25">
      <c r="B12" s="43" t="s">
        <v>34</v>
      </c>
      <c r="C12" s="50" t="s">
        <v>20</v>
      </c>
      <c r="D12" s="50" t="s">
        <v>81</v>
      </c>
      <c r="E12" s="51">
        <v>0</v>
      </c>
      <c r="F12" s="51">
        <v>10000</v>
      </c>
      <c r="G12" s="51">
        <f t="shared" ref="G12:G13" si="11">SUM(E12:F12)</f>
        <v>10000</v>
      </c>
      <c r="H12" s="51">
        <v>0</v>
      </c>
      <c r="I12" s="51">
        <v>10000</v>
      </c>
      <c r="J12" s="51">
        <f t="shared" ref="J12:J13" si="12">SUM(H12:I12)</f>
        <v>10000</v>
      </c>
      <c r="K12" s="52">
        <v>0</v>
      </c>
      <c r="L12" s="52">
        <v>0</v>
      </c>
      <c r="M12" s="52">
        <f t="shared" si="6"/>
        <v>0</v>
      </c>
      <c r="N12" s="51">
        <v>0</v>
      </c>
      <c r="O12" s="51">
        <v>0</v>
      </c>
      <c r="P12" s="51">
        <f t="shared" si="7"/>
        <v>0</v>
      </c>
      <c r="Q12" s="51">
        <f t="shared" si="8"/>
        <v>0</v>
      </c>
      <c r="R12" s="51">
        <f t="shared" si="9"/>
        <v>20000</v>
      </c>
      <c r="S12" s="51">
        <f t="shared" si="10"/>
        <v>20000</v>
      </c>
      <c r="T12" s="48"/>
    </row>
    <row r="13" spans="2:20" s="53" customFormat="1" ht="40.9" customHeight="1" x14ac:dyDescent="0.25">
      <c r="B13" s="43" t="s">
        <v>35</v>
      </c>
      <c r="C13" s="50" t="s">
        <v>20</v>
      </c>
      <c r="D13" s="50" t="s">
        <v>81</v>
      </c>
      <c r="E13" s="51">
        <v>0</v>
      </c>
      <c r="F13" s="51">
        <v>3000</v>
      </c>
      <c r="G13" s="51">
        <f t="shared" si="11"/>
        <v>3000</v>
      </c>
      <c r="H13" s="51">
        <v>0</v>
      </c>
      <c r="I13" s="51">
        <v>3000</v>
      </c>
      <c r="J13" s="51">
        <f t="shared" si="12"/>
        <v>3000</v>
      </c>
      <c r="K13" s="52">
        <v>0</v>
      </c>
      <c r="L13" s="52">
        <v>0</v>
      </c>
      <c r="M13" s="52">
        <f t="shared" si="6"/>
        <v>0</v>
      </c>
      <c r="N13" s="51">
        <v>0</v>
      </c>
      <c r="O13" s="51">
        <v>0</v>
      </c>
      <c r="P13" s="51">
        <f t="shared" si="7"/>
        <v>0</v>
      </c>
      <c r="Q13" s="51">
        <f t="shared" si="8"/>
        <v>0</v>
      </c>
      <c r="R13" s="51">
        <f t="shared" si="9"/>
        <v>6000</v>
      </c>
      <c r="S13" s="51">
        <f t="shared" si="10"/>
        <v>6000</v>
      </c>
      <c r="T13" s="48"/>
    </row>
    <row r="14" spans="2:20" s="53" customFormat="1" ht="48" customHeight="1" x14ac:dyDescent="0.25">
      <c r="B14" s="43" t="s">
        <v>105</v>
      </c>
      <c r="C14" s="50" t="s">
        <v>20</v>
      </c>
      <c r="D14" s="50" t="s">
        <v>82</v>
      </c>
      <c r="E14" s="51">
        <v>20000</v>
      </c>
      <c r="F14" s="51">
        <f>E14*0.07</f>
        <v>1400.0000000000002</v>
      </c>
      <c r="G14" s="51">
        <f>SUM(E14:F14)</f>
        <v>21400</v>
      </c>
      <c r="H14" s="51">
        <v>0</v>
      </c>
      <c r="I14" s="51">
        <f>H14*0.07</f>
        <v>0</v>
      </c>
      <c r="J14" s="51">
        <f>SUM(H14:I14)</f>
        <v>0</v>
      </c>
      <c r="K14" s="52">
        <v>0</v>
      </c>
      <c r="L14" s="52">
        <v>0</v>
      </c>
      <c r="M14" s="52">
        <f t="shared" ref="M14:M16" si="13">SUM(K14:L14)</f>
        <v>0</v>
      </c>
      <c r="N14" s="51">
        <v>0</v>
      </c>
      <c r="O14" s="51">
        <v>0</v>
      </c>
      <c r="P14" s="51">
        <f t="shared" ref="P14:P16" si="14">SUM(N14:O14)</f>
        <v>0</v>
      </c>
      <c r="Q14" s="51">
        <f t="shared" si="8"/>
        <v>20000</v>
      </c>
      <c r="R14" s="51">
        <f t="shared" si="9"/>
        <v>1400.0000000000002</v>
      </c>
      <c r="S14" s="51">
        <f t="shared" si="10"/>
        <v>21400</v>
      </c>
      <c r="T14" s="48"/>
    </row>
    <row r="15" spans="2:20" s="53" customFormat="1" ht="48" x14ac:dyDescent="0.25">
      <c r="B15" s="43" t="s">
        <v>36</v>
      </c>
      <c r="C15" s="50" t="s">
        <v>20</v>
      </c>
      <c r="D15" s="50" t="s">
        <v>82</v>
      </c>
      <c r="E15" s="51">
        <v>0</v>
      </c>
      <c r="F15" s="51">
        <v>10000</v>
      </c>
      <c r="G15" s="51">
        <f t="shared" ref="G15:G16" si="15">SUM(E15:F15)</f>
        <v>10000</v>
      </c>
      <c r="H15" s="51">
        <v>0</v>
      </c>
      <c r="I15" s="51">
        <v>0</v>
      </c>
      <c r="J15" s="51">
        <f t="shared" ref="J15:J16" si="16">SUM(H15:I15)</f>
        <v>0</v>
      </c>
      <c r="K15" s="52">
        <v>0</v>
      </c>
      <c r="L15" s="52">
        <v>0</v>
      </c>
      <c r="M15" s="52">
        <f t="shared" si="13"/>
        <v>0</v>
      </c>
      <c r="N15" s="51">
        <v>0</v>
      </c>
      <c r="O15" s="51">
        <v>0</v>
      </c>
      <c r="P15" s="51">
        <f t="shared" si="14"/>
        <v>0</v>
      </c>
      <c r="Q15" s="51">
        <f t="shared" si="8"/>
        <v>0</v>
      </c>
      <c r="R15" s="51">
        <f t="shared" si="9"/>
        <v>10000</v>
      </c>
      <c r="S15" s="51">
        <f t="shared" si="10"/>
        <v>10000</v>
      </c>
      <c r="T15" s="48"/>
    </row>
    <row r="16" spans="2:20" s="53" customFormat="1" ht="48" x14ac:dyDescent="0.25">
      <c r="B16" s="43" t="s">
        <v>37</v>
      </c>
      <c r="C16" s="50" t="s">
        <v>20</v>
      </c>
      <c r="D16" s="50" t="s">
        <v>82</v>
      </c>
      <c r="E16" s="51">
        <v>0</v>
      </c>
      <c r="F16" s="51">
        <v>3000</v>
      </c>
      <c r="G16" s="51">
        <f t="shared" si="15"/>
        <v>3000</v>
      </c>
      <c r="H16" s="51">
        <v>0</v>
      </c>
      <c r="I16" s="51">
        <v>0</v>
      </c>
      <c r="J16" s="51">
        <f t="shared" si="16"/>
        <v>0</v>
      </c>
      <c r="K16" s="52">
        <v>0</v>
      </c>
      <c r="L16" s="52">
        <v>0</v>
      </c>
      <c r="M16" s="52">
        <f t="shared" si="13"/>
        <v>0</v>
      </c>
      <c r="N16" s="51">
        <v>0</v>
      </c>
      <c r="O16" s="51">
        <v>0</v>
      </c>
      <c r="P16" s="51">
        <f t="shared" si="14"/>
        <v>0</v>
      </c>
      <c r="Q16" s="51">
        <f t="shared" si="8"/>
        <v>0</v>
      </c>
      <c r="R16" s="51">
        <f t="shared" si="9"/>
        <v>3000</v>
      </c>
      <c r="S16" s="51">
        <f t="shared" si="10"/>
        <v>3000</v>
      </c>
      <c r="T16" s="48"/>
    </row>
    <row r="17" spans="2:21" s="53" customFormat="1" ht="36" x14ac:dyDescent="0.25">
      <c r="B17" s="43" t="s">
        <v>110</v>
      </c>
      <c r="C17" s="50" t="s">
        <v>21</v>
      </c>
      <c r="D17" s="50" t="s">
        <v>83</v>
      </c>
      <c r="E17" s="51">
        <v>25000</v>
      </c>
      <c r="F17" s="51">
        <v>14750</v>
      </c>
      <c r="G17" s="51">
        <f>SUM(E17:F17)</f>
        <v>39750</v>
      </c>
      <c r="H17" s="51">
        <v>25000</v>
      </c>
      <c r="I17" s="51">
        <v>14750</v>
      </c>
      <c r="J17" s="51">
        <f>SUM(H17:I17)</f>
        <v>39750</v>
      </c>
      <c r="K17" s="52">
        <v>0</v>
      </c>
      <c r="L17" s="52">
        <v>0</v>
      </c>
      <c r="M17" s="52">
        <f t="shared" ref="M17:M18" si="17">SUM(K17:L17)</f>
        <v>0</v>
      </c>
      <c r="N17" s="51">
        <v>0</v>
      </c>
      <c r="O17" s="51">
        <v>0</v>
      </c>
      <c r="P17" s="51">
        <f t="shared" ref="P17:P18" si="18">SUM(N17:O17)</f>
        <v>0</v>
      </c>
      <c r="Q17" s="51">
        <f t="shared" si="8"/>
        <v>50000</v>
      </c>
      <c r="R17" s="51">
        <f t="shared" si="9"/>
        <v>29500</v>
      </c>
      <c r="S17" s="51">
        <f t="shared" si="10"/>
        <v>79500</v>
      </c>
      <c r="T17" s="48"/>
    </row>
    <row r="18" spans="2:21" s="53" customFormat="1" ht="24" x14ac:dyDescent="0.25">
      <c r="B18" s="59" t="s">
        <v>125</v>
      </c>
      <c r="C18" s="60" t="s">
        <v>10</v>
      </c>
      <c r="D18" s="60" t="s">
        <v>126</v>
      </c>
      <c r="E18" s="57">
        <f>145016+80000</f>
        <v>225016</v>
      </c>
      <c r="F18" s="57">
        <f>47408+91200</f>
        <v>138608</v>
      </c>
      <c r="G18" s="57">
        <f>SUM(E18:F18)</f>
        <v>363624</v>
      </c>
      <c r="H18" s="57">
        <f>211822+171200</f>
        <v>383022</v>
      </c>
      <c r="I18" s="57">
        <v>0</v>
      </c>
      <c r="J18" s="57">
        <f>SUM(H18:I18)</f>
        <v>383022</v>
      </c>
      <c r="K18" s="58">
        <f>181002+160000</f>
        <v>341002</v>
      </c>
      <c r="L18" s="58">
        <f>12670+11200</f>
        <v>23870</v>
      </c>
      <c r="M18" s="58">
        <f t="shared" si="17"/>
        <v>364872</v>
      </c>
      <c r="N18" s="57">
        <v>21176</v>
      </c>
      <c r="O18" s="57">
        <v>21576</v>
      </c>
      <c r="P18" s="57">
        <f t="shared" si="18"/>
        <v>42752</v>
      </c>
      <c r="Q18" s="57">
        <f t="shared" ref="Q18" si="19">E18+H18+K18+N18</f>
        <v>970216</v>
      </c>
      <c r="R18" s="57">
        <f t="shared" ref="R18" si="20">F18+I18+L18+O18</f>
        <v>184054</v>
      </c>
      <c r="S18" s="57">
        <f t="shared" si="10"/>
        <v>1154270</v>
      </c>
      <c r="T18" s="48"/>
      <c r="U18" s="55"/>
    </row>
    <row r="19" spans="2:21" s="53" customFormat="1" ht="36" hidden="1" x14ac:dyDescent="0.3">
      <c r="B19" s="59" t="s">
        <v>16</v>
      </c>
      <c r="C19" s="50" t="s">
        <v>9</v>
      </c>
      <c r="D19" s="50" t="s">
        <v>84</v>
      </c>
      <c r="E19" s="51">
        <v>0</v>
      </c>
      <c r="F19" s="51">
        <v>0</v>
      </c>
      <c r="G19" s="51">
        <f t="shared" ref="G19:G20" si="21">SUM(E19:F19)</f>
        <v>0</v>
      </c>
      <c r="H19" s="51">
        <v>0</v>
      </c>
      <c r="I19" s="51">
        <v>0</v>
      </c>
      <c r="J19" s="51">
        <f t="shared" ref="J19:J20" si="22">SUM(H19:I19)</f>
        <v>0</v>
      </c>
      <c r="K19" s="52">
        <v>0</v>
      </c>
      <c r="L19" s="52">
        <v>0</v>
      </c>
      <c r="M19" s="52">
        <f t="shared" ref="M19:M20" si="23">SUM(K19:L19)</f>
        <v>0</v>
      </c>
      <c r="N19" s="51">
        <v>0</v>
      </c>
      <c r="O19" s="51">
        <v>0</v>
      </c>
      <c r="P19" s="51">
        <f t="shared" ref="P19:P20" si="24">SUM(N19:O19)</f>
        <v>0</v>
      </c>
      <c r="Q19" s="51">
        <f t="shared" si="8"/>
        <v>0</v>
      </c>
      <c r="R19" s="51">
        <f t="shared" si="9"/>
        <v>0</v>
      </c>
      <c r="S19" s="51">
        <f t="shared" si="10"/>
        <v>0</v>
      </c>
      <c r="T19" s="48"/>
    </row>
    <row r="20" spans="2:21" s="53" customFormat="1" ht="36" hidden="1" x14ac:dyDescent="0.3">
      <c r="B20" s="59" t="s">
        <v>18</v>
      </c>
      <c r="C20" s="50" t="s">
        <v>9</v>
      </c>
      <c r="D20" s="50" t="s">
        <v>84</v>
      </c>
      <c r="E20" s="51">
        <v>0</v>
      </c>
      <c r="F20" s="51">
        <v>0</v>
      </c>
      <c r="G20" s="51">
        <f t="shared" si="21"/>
        <v>0</v>
      </c>
      <c r="H20" s="51">
        <v>0</v>
      </c>
      <c r="I20" s="51">
        <v>0</v>
      </c>
      <c r="J20" s="51">
        <f t="shared" si="22"/>
        <v>0</v>
      </c>
      <c r="K20" s="52">
        <v>0</v>
      </c>
      <c r="L20" s="52">
        <f t="shared" ref="L20" si="25">K20*0.07</f>
        <v>0</v>
      </c>
      <c r="M20" s="52">
        <f t="shared" si="23"/>
        <v>0</v>
      </c>
      <c r="N20" s="51">
        <v>0</v>
      </c>
      <c r="O20" s="51">
        <v>0</v>
      </c>
      <c r="P20" s="51">
        <f t="shared" si="24"/>
        <v>0</v>
      </c>
      <c r="Q20" s="51">
        <f t="shared" si="8"/>
        <v>0</v>
      </c>
      <c r="R20" s="51">
        <f t="shared" si="9"/>
        <v>0</v>
      </c>
      <c r="S20" s="51">
        <f t="shared" si="10"/>
        <v>0</v>
      </c>
      <c r="T20" s="48"/>
    </row>
    <row r="21" spans="2:21" s="53" customFormat="1" ht="24" x14ac:dyDescent="0.25">
      <c r="B21" s="45" t="s">
        <v>12</v>
      </c>
      <c r="C21" s="50"/>
      <c r="D21" s="50"/>
      <c r="E21" s="44">
        <f t="shared" ref="E21:R21" si="26">SUM(E22:E35)</f>
        <v>3494170</v>
      </c>
      <c r="F21" s="44">
        <f t="shared" si="26"/>
        <v>233191.90000000002</v>
      </c>
      <c r="G21" s="44">
        <f t="shared" si="26"/>
        <v>3727361.9</v>
      </c>
      <c r="H21" s="44">
        <f t="shared" si="26"/>
        <v>3607946.5</v>
      </c>
      <c r="I21" s="44">
        <f t="shared" si="26"/>
        <v>848761</v>
      </c>
      <c r="J21" s="44">
        <f t="shared" si="26"/>
        <v>4456707.5</v>
      </c>
      <c r="K21" s="47">
        <f t="shared" si="26"/>
        <v>2367540</v>
      </c>
      <c r="L21" s="47">
        <f t="shared" si="26"/>
        <v>835528</v>
      </c>
      <c r="M21" s="47">
        <f t="shared" si="26"/>
        <v>3203068</v>
      </c>
      <c r="N21" s="44">
        <f t="shared" si="26"/>
        <v>330000</v>
      </c>
      <c r="O21" s="44">
        <f t="shared" si="26"/>
        <v>1029045</v>
      </c>
      <c r="P21" s="44">
        <f t="shared" si="26"/>
        <v>1359045</v>
      </c>
      <c r="Q21" s="44">
        <f t="shared" si="26"/>
        <v>9799656.5</v>
      </c>
      <c r="R21" s="44">
        <f t="shared" si="26"/>
        <v>2946525.9</v>
      </c>
      <c r="S21" s="44">
        <f>SUM(S22:S35)</f>
        <v>12746182.4</v>
      </c>
      <c r="T21" s="48"/>
    </row>
    <row r="22" spans="2:21" s="53" customFormat="1" ht="48" x14ac:dyDescent="0.25">
      <c r="B22" s="43" t="s">
        <v>38</v>
      </c>
      <c r="C22" s="50" t="s">
        <v>20</v>
      </c>
      <c r="D22" s="50" t="s">
        <v>85</v>
      </c>
      <c r="E22" s="51">
        <v>0</v>
      </c>
      <c r="F22" s="51">
        <v>30000</v>
      </c>
      <c r="G22" s="51">
        <f>SUM(E22:F22)</f>
        <v>30000</v>
      </c>
      <c r="H22" s="51">
        <v>0</v>
      </c>
      <c r="I22" s="51">
        <v>30000</v>
      </c>
      <c r="J22" s="51">
        <f>SUM(H22:I22)</f>
        <v>30000</v>
      </c>
      <c r="K22" s="52">
        <v>0</v>
      </c>
      <c r="L22" s="52">
        <v>0</v>
      </c>
      <c r="M22" s="52">
        <f>SUM(K22:L22)</f>
        <v>0</v>
      </c>
      <c r="N22" s="51">
        <v>0</v>
      </c>
      <c r="O22" s="51">
        <v>0</v>
      </c>
      <c r="P22" s="51">
        <f>SUM(N22:O22)</f>
        <v>0</v>
      </c>
      <c r="Q22" s="51">
        <f t="shared" ref="Q22:Q35" si="27">E22+H22+K22+N22</f>
        <v>0</v>
      </c>
      <c r="R22" s="51">
        <f t="shared" ref="R22:R35" si="28">F22+I22+L22+O22</f>
        <v>60000</v>
      </c>
      <c r="S22" s="51">
        <f t="shared" ref="S22:S35" si="29">G22+J22+M22+P22</f>
        <v>60000</v>
      </c>
      <c r="T22" s="48"/>
    </row>
    <row r="23" spans="2:21" s="53" customFormat="1" ht="48" x14ac:dyDescent="0.25">
      <c r="B23" s="43" t="s">
        <v>22</v>
      </c>
      <c r="C23" s="50" t="s">
        <v>23</v>
      </c>
      <c r="D23" s="50" t="s">
        <v>85</v>
      </c>
      <c r="E23" s="51">
        <v>0</v>
      </c>
      <c r="F23" s="51">
        <v>5000</v>
      </c>
      <c r="G23" s="51">
        <f>SUM(E23:F23)</f>
        <v>5000</v>
      </c>
      <c r="H23" s="51">
        <v>0</v>
      </c>
      <c r="I23" s="51">
        <v>5000</v>
      </c>
      <c r="J23" s="51">
        <f>SUM(H23:I23)</f>
        <v>5000</v>
      </c>
      <c r="K23" s="52">
        <v>0</v>
      </c>
      <c r="L23" s="52">
        <v>0</v>
      </c>
      <c r="M23" s="52">
        <f>SUM(K23:L23)</f>
        <v>0</v>
      </c>
      <c r="N23" s="51">
        <v>0</v>
      </c>
      <c r="O23" s="51">
        <v>0</v>
      </c>
      <c r="P23" s="51">
        <f>SUM(N23:O23)</f>
        <v>0</v>
      </c>
      <c r="Q23" s="51">
        <f t="shared" si="27"/>
        <v>0</v>
      </c>
      <c r="R23" s="51">
        <f t="shared" si="28"/>
        <v>10000</v>
      </c>
      <c r="S23" s="51">
        <f t="shared" si="29"/>
        <v>10000</v>
      </c>
      <c r="T23" s="48"/>
    </row>
    <row r="24" spans="2:21" s="53" customFormat="1" ht="24" x14ac:dyDescent="0.25">
      <c r="B24" s="43" t="s">
        <v>39</v>
      </c>
      <c r="C24" s="50" t="s">
        <v>21</v>
      </c>
      <c r="D24" s="50" t="s">
        <v>86</v>
      </c>
      <c r="E24" s="51">
        <v>50000</v>
      </c>
      <c r="F24" s="51">
        <f>E24*0.07</f>
        <v>3500.0000000000005</v>
      </c>
      <c r="G24" s="51">
        <f>SUM(E24:F24)</f>
        <v>53500</v>
      </c>
      <c r="H24" s="51">
        <v>53446.5</v>
      </c>
      <c r="I24" s="51">
        <v>0</v>
      </c>
      <c r="J24" s="51">
        <f>SUM(H24:I24)</f>
        <v>53446.5</v>
      </c>
      <c r="K24" s="52">
        <v>0</v>
      </c>
      <c r="L24" s="52">
        <v>0</v>
      </c>
      <c r="M24" s="52">
        <f t="shared" ref="M24:M26" si="30">SUM(K24:L24)</f>
        <v>0</v>
      </c>
      <c r="N24" s="51">
        <v>0</v>
      </c>
      <c r="O24" s="51">
        <v>0</v>
      </c>
      <c r="P24" s="51">
        <f t="shared" ref="P24:P26" si="31">SUM(N24:O24)</f>
        <v>0</v>
      </c>
      <c r="Q24" s="51">
        <f t="shared" si="27"/>
        <v>103446.5</v>
      </c>
      <c r="R24" s="51">
        <f t="shared" si="28"/>
        <v>3500.0000000000005</v>
      </c>
      <c r="S24" s="51">
        <f t="shared" si="29"/>
        <v>106946.5</v>
      </c>
      <c r="T24" s="48"/>
    </row>
    <row r="25" spans="2:21" s="53" customFormat="1" ht="24" x14ac:dyDescent="0.25">
      <c r="B25" s="43" t="s">
        <v>40</v>
      </c>
      <c r="C25" s="50" t="s">
        <v>20</v>
      </c>
      <c r="D25" s="50" t="s">
        <v>86</v>
      </c>
      <c r="E25" s="51">
        <v>0</v>
      </c>
      <c r="F25" s="51">
        <v>10000</v>
      </c>
      <c r="G25" s="51">
        <f t="shared" ref="G25:G26" si="32">SUM(E25:F25)</f>
        <v>10000</v>
      </c>
      <c r="H25" s="51">
        <v>0</v>
      </c>
      <c r="I25" s="51">
        <v>10000</v>
      </c>
      <c r="J25" s="51">
        <f t="shared" ref="J25:J26" si="33">SUM(H25:I25)</f>
        <v>10000</v>
      </c>
      <c r="K25" s="52">
        <v>0</v>
      </c>
      <c r="L25" s="52">
        <v>10000</v>
      </c>
      <c r="M25" s="52">
        <f t="shared" si="30"/>
        <v>10000</v>
      </c>
      <c r="N25" s="51">
        <v>0</v>
      </c>
      <c r="O25" s="51">
        <v>10000</v>
      </c>
      <c r="P25" s="51">
        <f t="shared" si="31"/>
        <v>10000</v>
      </c>
      <c r="Q25" s="51">
        <f t="shared" si="27"/>
        <v>0</v>
      </c>
      <c r="R25" s="51">
        <f t="shared" si="28"/>
        <v>40000</v>
      </c>
      <c r="S25" s="51">
        <f t="shared" si="29"/>
        <v>40000</v>
      </c>
      <c r="T25" s="48"/>
    </row>
    <row r="26" spans="2:21" s="53" customFormat="1" ht="24" x14ac:dyDescent="0.25">
      <c r="B26" s="43" t="s">
        <v>41</v>
      </c>
      <c r="C26" s="50" t="s">
        <v>20</v>
      </c>
      <c r="D26" s="50" t="s">
        <v>86</v>
      </c>
      <c r="E26" s="51">
        <v>0</v>
      </c>
      <c r="F26" s="51">
        <v>3000</v>
      </c>
      <c r="G26" s="51">
        <f t="shared" si="32"/>
        <v>3000</v>
      </c>
      <c r="H26" s="51">
        <v>0</v>
      </c>
      <c r="I26" s="51">
        <v>3000</v>
      </c>
      <c r="J26" s="51">
        <f t="shared" si="33"/>
        <v>3000</v>
      </c>
      <c r="K26" s="52">
        <v>0</v>
      </c>
      <c r="L26" s="52">
        <v>3000</v>
      </c>
      <c r="M26" s="52">
        <f t="shared" si="30"/>
        <v>3000</v>
      </c>
      <c r="N26" s="51">
        <v>0</v>
      </c>
      <c r="O26" s="51">
        <v>3814</v>
      </c>
      <c r="P26" s="51">
        <f t="shared" si="31"/>
        <v>3814</v>
      </c>
      <c r="Q26" s="51">
        <f t="shared" si="27"/>
        <v>0</v>
      </c>
      <c r="R26" s="51">
        <f t="shared" si="28"/>
        <v>12814</v>
      </c>
      <c r="S26" s="51">
        <f t="shared" si="29"/>
        <v>12814</v>
      </c>
      <c r="T26" s="48"/>
    </row>
    <row r="27" spans="2:21" s="49" customFormat="1" ht="36" x14ac:dyDescent="0.25">
      <c r="B27" s="43" t="s">
        <v>42</v>
      </c>
      <c r="C27" s="50" t="s">
        <v>20</v>
      </c>
      <c r="D27" s="50" t="s">
        <v>87</v>
      </c>
      <c r="E27" s="51">
        <v>0</v>
      </c>
      <c r="F27" s="51">
        <v>30000</v>
      </c>
      <c r="G27" s="51">
        <f t="shared" ref="G27:G28" si="34">SUM(E27:F27)</f>
        <v>30000</v>
      </c>
      <c r="H27" s="51">
        <v>0</v>
      </c>
      <c r="I27" s="51">
        <v>30000</v>
      </c>
      <c r="J27" s="51">
        <f t="shared" ref="J27:J28" si="35">SUM(H27:I27)</f>
        <v>30000</v>
      </c>
      <c r="K27" s="52">
        <v>0</v>
      </c>
      <c r="L27" s="52">
        <v>30000</v>
      </c>
      <c r="M27" s="52">
        <f t="shared" ref="M27:M28" si="36">SUM(K27:L27)</f>
        <v>30000</v>
      </c>
      <c r="N27" s="51">
        <v>0</v>
      </c>
      <c r="O27" s="51">
        <v>22231</v>
      </c>
      <c r="P27" s="51">
        <f t="shared" ref="P27:P28" si="37">SUM(N27:O27)</f>
        <v>22231</v>
      </c>
      <c r="Q27" s="51">
        <f t="shared" si="27"/>
        <v>0</v>
      </c>
      <c r="R27" s="51">
        <f t="shared" si="28"/>
        <v>112231</v>
      </c>
      <c r="S27" s="51">
        <f t="shared" si="29"/>
        <v>112231</v>
      </c>
      <c r="T27" s="48"/>
    </row>
    <row r="28" spans="2:21" s="49" customFormat="1" ht="36" x14ac:dyDescent="0.25">
      <c r="B28" s="43" t="s">
        <v>44</v>
      </c>
      <c r="C28" s="50" t="s">
        <v>20</v>
      </c>
      <c r="D28" s="50" t="s">
        <v>87</v>
      </c>
      <c r="E28" s="51">
        <v>0</v>
      </c>
      <c r="F28" s="51">
        <v>3000</v>
      </c>
      <c r="G28" s="51">
        <f t="shared" si="34"/>
        <v>3000</v>
      </c>
      <c r="H28" s="51">
        <v>0</v>
      </c>
      <c r="I28" s="51">
        <v>3000</v>
      </c>
      <c r="J28" s="51">
        <f t="shared" si="35"/>
        <v>3000</v>
      </c>
      <c r="K28" s="52">
        <v>0</v>
      </c>
      <c r="L28" s="52">
        <v>3000</v>
      </c>
      <c r="M28" s="52">
        <f t="shared" si="36"/>
        <v>3000</v>
      </c>
      <c r="N28" s="51">
        <v>0</v>
      </c>
      <c r="O28" s="51">
        <v>3000</v>
      </c>
      <c r="P28" s="51">
        <f t="shared" si="37"/>
        <v>3000</v>
      </c>
      <c r="Q28" s="51">
        <f t="shared" si="27"/>
        <v>0</v>
      </c>
      <c r="R28" s="51">
        <f t="shared" si="28"/>
        <v>12000</v>
      </c>
      <c r="S28" s="51">
        <f t="shared" si="29"/>
        <v>12000</v>
      </c>
      <c r="T28" s="48"/>
    </row>
    <row r="29" spans="2:21" s="49" customFormat="1" ht="36" x14ac:dyDescent="0.25">
      <c r="B29" s="43" t="s">
        <v>43</v>
      </c>
      <c r="C29" s="50" t="s">
        <v>23</v>
      </c>
      <c r="D29" s="50" t="s">
        <v>87</v>
      </c>
      <c r="E29" s="51">
        <f>(550*12*200)</f>
        <v>1320000</v>
      </c>
      <c r="F29" s="51">
        <v>0</v>
      </c>
      <c r="G29" s="51">
        <f t="shared" ref="G29" si="38">SUM(E29:F29)</f>
        <v>1320000</v>
      </c>
      <c r="H29" s="51">
        <f>550*12*150</f>
        <v>990000</v>
      </c>
      <c r="I29" s="51">
        <v>330000</v>
      </c>
      <c r="J29" s="51">
        <f t="shared" ref="J29" si="39">SUM(H29:I29)</f>
        <v>1320000</v>
      </c>
      <c r="K29" s="52">
        <f>550*12*100</f>
        <v>660000</v>
      </c>
      <c r="L29" s="52">
        <v>660000</v>
      </c>
      <c r="M29" s="52">
        <f t="shared" ref="M29" si="40">SUM(K29:L29)</f>
        <v>1320000</v>
      </c>
      <c r="N29" s="51">
        <f>550*12*50</f>
        <v>330000</v>
      </c>
      <c r="O29" s="51">
        <v>990000</v>
      </c>
      <c r="P29" s="51">
        <f>SUM(N29:O29)</f>
        <v>1320000</v>
      </c>
      <c r="Q29" s="51">
        <f t="shared" si="27"/>
        <v>3300000</v>
      </c>
      <c r="R29" s="51">
        <f t="shared" si="28"/>
        <v>1980000</v>
      </c>
      <c r="S29" s="51">
        <f t="shared" si="29"/>
        <v>5280000</v>
      </c>
      <c r="T29" s="48"/>
    </row>
    <row r="30" spans="2:21" s="53" customFormat="1" ht="24" x14ac:dyDescent="0.25">
      <c r="B30" s="43" t="s">
        <v>13</v>
      </c>
      <c r="C30" s="50" t="s">
        <v>10</v>
      </c>
      <c r="D30" s="50" t="s">
        <v>88</v>
      </c>
      <c r="E30" s="57">
        <f>2000000-384255-700000-11575+400000+420000+400000</f>
        <v>2124170</v>
      </c>
      <c r="F30" s="57">
        <f>E30*0.07</f>
        <v>148691.90000000002</v>
      </c>
      <c r="G30" s="57">
        <f t="shared" ref="G30:G32" si="41">SUM(E30:F30)</f>
        <v>2272861.9</v>
      </c>
      <c r="H30" s="57">
        <f>1209100+428000+449400+428000</f>
        <v>2514500</v>
      </c>
      <c r="I30" s="57">
        <f>+(424261)</f>
        <v>424261</v>
      </c>
      <c r="J30" s="57">
        <f t="shared" ref="J30:J33" si="42">SUM(H30:I30)</f>
        <v>2938761</v>
      </c>
      <c r="K30" s="58">
        <f>400000-33730+71270+400000+420000+400000</f>
        <v>1657540</v>
      </c>
      <c r="L30" s="58">
        <v>116028</v>
      </c>
      <c r="M30" s="58">
        <f t="shared" ref="M30:M33" si="43">SUM(K30:L30)</f>
        <v>1773568</v>
      </c>
      <c r="N30" s="57">
        <v>0</v>
      </c>
      <c r="O30" s="57">
        <v>0</v>
      </c>
      <c r="P30" s="57">
        <f t="shared" ref="P30:P33" si="44">SUM(N30:O30)</f>
        <v>0</v>
      </c>
      <c r="Q30" s="57">
        <f t="shared" si="27"/>
        <v>6296210</v>
      </c>
      <c r="R30" s="57">
        <f t="shared" si="28"/>
        <v>688980.9</v>
      </c>
      <c r="S30" s="57">
        <f t="shared" si="29"/>
        <v>6985190.9000000004</v>
      </c>
      <c r="T30" s="48"/>
      <c r="U30" s="55"/>
    </row>
    <row r="31" spans="2:21" s="53" customFormat="1" ht="24" hidden="1" x14ac:dyDescent="0.3">
      <c r="B31" s="59" t="s">
        <v>16</v>
      </c>
      <c r="C31" s="50" t="s">
        <v>9</v>
      </c>
      <c r="D31" s="50" t="s">
        <v>88</v>
      </c>
      <c r="E31" s="51">
        <v>0</v>
      </c>
      <c r="F31" s="51">
        <f>E31*0.07</f>
        <v>0</v>
      </c>
      <c r="G31" s="51">
        <f t="shared" si="41"/>
        <v>0</v>
      </c>
      <c r="H31" s="51">
        <v>0</v>
      </c>
      <c r="I31" s="51">
        <v>0</v>
      </c>
      <c r="J31" s="51">
        <f t="shared" si="42"/>
        <v>0</v>
      </c>
      <c r="K31" s="52">
        <v>0</v>
      </c>
      <c r="L31" s="52">
        <v>0</v>
      </c>
      <c r="M31" s="52">
        <f t="shared" si="43"/>
        <v>0</v>
      </c>
      <c r="N31" s="51">
        <v>0</v>
      </c>
      <c r="O31" s="51">
        <v>0</v>
      </c>
      <c r="P31" s="51">
        <f t="shared" si="44"/>
        <v>0</v>
      </c>
      <c r="Q31" s="51">
        <f t="shared" si="27"/>
        <v>0</v>
      </c>
      <c r="R31" s="51">
        <f t="shared" si="28"/>
        <v>0</v>
      </c>
      <c r="S31" s="51">
        <f t="shared" si="29"/>
        <v>0</v>
      </c>
      <c r="T31" s="48"/>
    </row>
    <row r="32" spans="2:21" s="53" customFormat="1" ht="24" hidden="1" x14ac:dyDescent="0.3">
      <c r="B32" s="59" t="s">
        <v>17</v>
      </c>
      <c r="C32" s="50" t="s">
        <v>9</v>
      </c>
      <c r="D32" s="50" t="s">
        <v>88</v>
      </c>
      <c r="E32" s="51">
        <v>0</v>
      </c>
      <c r="F32" s="51">
        <f t="shared" ref="F32:F33" si="45">E32*0.07</f>
        <v>0</v>
      </c>
      <c r="G32" s="51">
        <f t="shared" si="41"/>
        <v>0</v>
      </c>
      <c r="H32" s="51">
        <v>0</v>
      </c>
      <c r="I32" s="51">
        <v>0</v>
      </c>
      <c r="J32" s="51">
        <f t="shared" si="42"/>
        <v>0</v>
      </c>
      <c r="K32" s="52">
        <v>0</v>
      </c>
      <c r="L32" s="52">
        <v>0</v>
      </c>
      <c r="M32" s="52">
        <f t="shared" si="43"/>
        <v>0</v>
      </c>
      <c r="N32" s="51">
        <v>0</v>
      </c>
      <c r="O32" s="51">
        <v>0</v>
      </c>
      <c r="P32" s="51">
        <f t="shared" si="44"/>
        <v>0</v>
      </c>
      <c r="Q32" s="51">
        <f t="shared" si="27"/>
        <v>0</v>
      </c>
      <c r="R32" s="51">
        <f t="shared" si="28"/>
        <v>0</v>
      </c>
      <c r="S32" s="51">
        <f t="shared" si="29"/>
        <v>0</v>
      </c>
      <c r="T32" s="48"/>
    </row>
    <row r="33" spans="2:20" s="53" customFormat="1" ht="24" hidden="1" x14ac:dyDescent="0.3">
      <c r="B33" s="59" t="s">
        <v>18</v>
      </c>
      <c r="C33" s="50" t="s">
        <v>9</v>
      </c>
      <c r="D33" s="50" t="s">
        <v>88</v>
      </c>
      <c r="E33" s="51">
        <v>0</v>
      </c>
      <c r="F33" s="51">
        <f t="shared" si="45"/>
        <v>0</v>
      </c>
      <c r="G33" s="51">
        <f t="shared" ref="G33" si="46">SUM(E33:F33)</f>
        <v>0</v>
      </c>
      <c r="H33" s="51">
        <v>0</v>
      </c>
      <c r="I33" s="51">
        <v>0</v>
      </c>
      <c r="J33" s="51">
        <f t="shared" si="42"/>
        <v>0</v>
      </c>
      <c r="K33" s="52">
        <v>0</v>
      </c>
      <c r="L33" s="52">
        <v>0</v>
      </c>
      <c r="M33" s="52">
        <f t="shared" si="43"/>
        <v>0</v>
      </c>
      <c r="N33" s="51">
        <v>0</v>
      </c>
      <c r="O33" s="51">
        <v>0</v>
      </c>
      <c r="P33" s="51">
        <f t="shared" si="44"/>
        <v>0</v>
      </c>
      <c r="Q33" s="51">
        <f t="shared" si="27"/>
        <v>0</v>
      </c>
      <c r="R33" s="51">
        <f t="shared" si="28"/>
        <v>0</v>
      </c>
      <c r="S33" s="51">
        <f t="shared" si="29"/>
        <v>0</v>
      </c>
      <c r="T33" s="48"/>
    </row>
    <row r="34" spans="2:20" s="53" customFormat="1" ht="48" x14ac:dyDescent="0.25">
      <c r="B34" s="43" t="s">
        <v>106</v>
      </c>
      <c r="C34" s="50" t="s">
        <v>20</v>
      </c>
      <c r="D34" s="50" t="s">
        <v>89</v>
      </c>
      <c r="E34" s="51">
        <v>0</v>
      </c>
      <c r="F34" s="51">
        <f>E34*0.07</f>
        <v>0</v>
      </c>
      <c r="G34" s="51">
        <f>SUM(E34:F34)</f>
        <v>0</v>
      </c>
      <c r="H34" s="51">
        <v>50000</v>
      </c>
      <c r="I34" s="51">
        <f>H34*0.07</f>
        <v>3500.0000000000005</v>
      </c>
      <c r="J34" s="51">
        <f>SUM(H34:I34)</f>
        <v>53500</v>
      </c>
      <c r="K34" s="52">
        <v>50000</v>
      </c>
      <c r="L34" s="52">
        <f>K34*0.07</f>
        <v>3500.0000000000005</v>
      </c>
      <c r="M34" s="52">
        <f t="shared" ref="M34" si="47">SUM(K34:L34)</f>
        <v>53500</v>
      </c>
      <c r="N34" s="51">
        <v>0</v>
      </c>
      <c r="O34" s="51">
        <v>0</v>
      </c>
      <c r="P34" s="51">
        <f t="shared" ref="P34" si="48">SUM(N34:O34)</f>
        <v>0</v>
      </c>
      <c r="Q34" s="51">
        <f t="shared" si="27"/>
        <v>100000</v>
      </c>
      <c r="R34" s="51">
        <f t="shared" si="28"/>
        <v>7000.0000000000009</v>
      </c>
      <c r="S34" s="51">
        <f t="shared" si="29"/>
        <v>107000</v>
      </c>
      <c r="T34" s="48"/>
    </row>
    <row r="35" spans="2:20" s="53" customFormat="1" ht="48" x14ac:dyDescent="0.25">
      <c r="B35" s="43" t="s">
        <v>45</v>
      </c>
      <c r="C35" s="50" t="s">
        <v>20</v>
      </c>
      <c r="D35" s="50" t="s">
        <v>89</v>
      </c>
      <c r="E35" s="51">
        <v>0</v>
      </c>
      <c r="F35" s="51">
        <v>0</v>
      </c>
      <c r="G35" s="51">
        <f t="shared" ref="G35" si="49">SUM(E35:F35)</f>
        <v>0</v>
      </c>
      <c r="H35" s="51">
        <v>0</v>
      </c>
      <c r="I35" s="51">
        <v>10000</v>
      </c>
      <c r="J35" s="51">
        <f t="shared" ref="J35" si="50">SUM(H35:I35)</f>
        <v>10000</v>
      </c>
      <c r="K35" s="52">
        <v>0</v>
      </c>
      <c r="L35" s="52">
        <v>10000</v>
      </c>
      <c r="M35" s="52">
        <f t="shared" ref="M35" si="51">SUM(K35:L35)</f>
        <v>10000</v>
      </c>
      <c r="N35" s="51">
        <v>0</v>
      </c>
      <c r="O35" s="51">
        <v>0</v>
      </c>
      <c r="P35" s="51">
        <f t="shared" ref="P35" si="52">SUM(N35:O35)</f>
        <v>0</v>
      </c>
      <c r="Q35" s="51">
        <f t="shared" si="27"/>
        <v>0</v>
      </c>
      <c r="R35" s="51">
        <f t="shared" si="28"/>
        <v>20000</v>
      </c>
      <c r="S35" s="51">
        <f t="shared" si="29"/>
        <v>20000</v>
      </c>
      <c r="T35" s="48"/>
    </row>
    <row r="36" spans="2:20" ht="39" customHeight="1" x14ac:dyDescent="0.25">
      <c r="B36" s="9" t="s">
        <v>46</v>
      </c>
      <c r="C36" s="9"/>
      <c r="D36" s="30"/>
      <c r="E36" s="11">
        <f t="shared" ref="E36:S36" si="53">E37+E45</f>
        <v>2450000</v>
      </c>
      <c r="F36" s="11">
        <f t="shared" si="53"/>
        <v>230500.00000000003</v>
      </c>
      <c r="G36" s="11">
        <f t="shared" si="53"/>
        <v>2680500</v>
      </c>
      <c r="H36" s="11">
        <f t="shared" si="53"/>
        <v>5184250</v>
      </c>
      <c r="I36" s="11">
        <f t="shared" si="53"/>
        <v>396500</v>
      </c>
      <c r="J36" s="11">
        <f t="shared" si="53"/>
        <v>5580750</v>
      </c>
      <c r="K36" s="36">
        <f t="shared" si="53"/>
        <v>4375000</v>
      </c>
      <c r="L36" s="36">
        <f t="shared" si="53"/>
        <v>247652</v>
      </c>
      <c r="M36" s="36">
        <f t="shared" si="53"/>
        <v>4622652</v>
      </c>
      <c r="N36" s="11">
        <f t="shared" si="53"/>
        <v>250000</v>
      </c>
      <c r="O36" s="11">
        <f t="shared" si="53"/>
        <v>63098</v>
      </c>
      <c r="P36" s="11">
        <f t="shared" si="53"/>
        <v>313098</v>
      </c>
      <c r="Q36" s="11">
        <f t="shared" si="53"/>
        <v>12259250</v>
      </c>
      <c r="R36" s="11">
        <f t="shared" si="53"/>
        <v>937750</v>
      </c>
      <c r="S36" s="11">
        <f t="shared" si="53"/>
        <v>13197000</v>
      </c>
      <c r="T36" s="24"/>
    </row>
    <row r="37" spans="2:20" ht="15" customHeight="1" x14ac:dyDescent="0.25">
      <c r="B37" s="17" t="s">
        <v>14</v>
      </c>
      <c r="C37" s="12"/>
      <c r="D37" s="15"/>
      <c r="E37" s="13">
        <f t="shared" ref="E37:S37" si="54">SUM(E38:E44)</f>
        <v>700000</v>
      </c>
      <c r="F37" s="13">
        <f t="shared" si="54"/>
        <v>82000</v>
      </c>
      <c r="G37" s="13">
        <f t="shared" si="54"/>
        <v>782000</v>
      </c>
      <c r="H37" s="13">
        <f t="shared" si="54"/>
        <v>2080250</v>
      </c>
      <c r="I37" s="13">
        <f t="shared" si="54"/>
        <v>153000</v>
      </c>
      <c r="J37" s="13">
        <f t="shared" si="54"/>
        <v>2233250</v>
      </c>
      <c r="K37" s="37">
        <f t="shared" si="54"/>
        <v>2075000</v>
      </c>
      <c r="L37" s="37">
        <f t="shared" si="54"/>
        <v>158250</v>
      </c>
      <c r="M37" s="37">
        <f t="shared" si="54"/>
        <v>2233250</v>
      </c>
      <c r="N37" s="13">
        <f t="shared" si="54"/>
        <v>0</v>
      </c>
      <c r="O37" s="13">
        <f t="shared" si="54"/>
        <v>0</v>
      </c>
      <c r="P37" s="13">
        <f t="shared" si="54"/>
        <v>0</v>
      </c>
      <c r="Q37" s="13">
        <f t="shared" si="54"/>
        <v>4855250</v>
      </c>
      <c r="R37" s="13">
        <f t="shared" si="54"/>
        <v>393250</v>
      </c>
      <c r="S37" s="13">
        <f t="shared" si="54"/>
        <v>5248500</v>
      </c>
      <c r="T37" s="24"/>
    </row>
    <row r="38" spans="2:20" s="53" customFormat="1" ht="48" x14ac:dyDescent="0.25">
      <c r="B38" s="43" t="s">
        <v>47</v>
      </c>
      <c r="C38" s="50" t="s">
        <v>21</v>
      </c>
      <c r="D38" s="50" t="s">
        <v>90</v>
      </c>
      <c r="E38" s="51">
        <v>200000</v>
      </c>
      <c r="F38" s="51">
        <f>E38*0.07</f>
        <v>14000.000000000002</v>
      </c>
      <c r="G38" s="51">
        <f>SUM(E38:F38)</f>
        <v>214000</v>
      </c>
      <c r="H38" s="51">
        <v>0</v>
      </c>
      <c r="I38" s="51">
        <f>H38*0.07</f>
        <v>0</v>
      </c>
      <c r="J38" s="51">
        <f>SUM(H38:I38)</f>
        <v>0</v>
      </c>
      <c r="K38" s="52">
        <v>0</v>
      </c>
      <c r="L38" s="52">
        <f>K38*0.07</f>
        <v>0</v>
      </c>
      <c r="M38" s="52">
        <f>SUM(K38:L38)</f>
        <v>0</v>
      </c>
      <c r="N38" s="51">
        <v>0</v>
      </c>
      <c r="O38" s="51">
        <v>0</v>
      </c>
      <c r="P38" s="51">
        <f>SUM(N38:O38)</f>
        <v>0</v>
      </c>
      <c r="Q38" s="51">
        <f t="shared" ref="Q38:Q44" si="55">E38+H38+K38+N38</f>
        <v>200000</v>
      </c>
      <c r="R38" s="51">
        <f t="shared" ref="R38:R44" si="56">F38+I38+L38+O38</f>
        <v>14000.000000000002</v>
      </c>
      <c r="S38" s="51">
        <f t="shared" ref="S38:S44" si="57">G38+J38+M38+P38</f>
        <v>214000</v>
      </c>
      <c r="T38" s="48"/>
    </row>
    <row r="39" spans="2:20" s="53" customFormat="1" ht="48" x14ac:dyDescent="0.25">
      <c r="B39" s="43" t="s">
        <v>48</v>
      </c>
      <c r="C39" s="50" t="s">
        <v>20</v>
      </c>
      <c r="D39" s="50" t="s">
        <v>90</v>
      </c>
      <c r="E39" s="51">
        <v>0</v>
      </c>
      <c r="F39" s="51">
        <v>30000</v>
      </c>
      <c r="G39" s="51">
        <f t="shared" ref="G39:G40" si="58">SUM(E39:F39)</f>
        <v>30000</v>
      </c>
      <c r="H39" s="51">
        <v>0</v>
      </c>
      <c r="I39" s="51">
        <v>0</v>
      </c>
      <c r="J39" s="51">
        <f t="shared" ref="J39:J40" si="59">SUM(H39:I39)</f>
        <v>0</v>
      </c>
      <c r="K39" s="52">
        <v>0</v>
      </c>
      <c r="L39" s="52">
        <f t="shared" ref="L39:L40" si="60">K39*0.07</f>
        <v>0</v>
      </c>
      <c r="M39" s="52">
        <f t="shared" ref="M39:M40" si="61">SUM(K39:L39)</f>
        <v>0</v>
      </c>
      <c r="N39" s="51">
        <v>0</v>
      </c>
      <c r="O39" s="51">
        <v>0</v>
      </c>
      <c r="P39" s="51">
        <f t="shared" ref="P39:P40" si="62">SUM(N39:O39)</f>
        <v>0</v>
      </c>
      <c r="Q39" s="51">
        <f t="shared" si="55"/>
        <v>0</v>
      </c>
      <c r="R39" s="51">
        <f t="shared" si="56"/>
        <v>30000</v>
      </c>
      <c r="S39" s="51">
        <f t="shared" si="57"/>
        <v>30000</v>
      </c>
      <c r="T39" s="48"/>
    </row>
    <row r="40" spans="2:20" s="53" customFormat="1" ht="48" x14ac:dyDescent="0.25">
      <c r="B40" s="43" t="s">
        <v>49</v>
      </c>
      <c r="C40" s="50" t="s">
        <v>20</v>
      </c>
      <c r="D40" s="50" t="s">
        <v>90</v>
      </c>
      <c r="E40" s="51">
        <v>0</v>
      </c>
      <c r="F40" s="51">
        <v>3000</v>
      </c>
      <c r="G40" s="51">
        <f t="shared" si="58"/>
        <v>3000</v>
      </c>
      <c r="H40" s="51">
        <v>0</v>
      </c>
      <c r="I40" s="51">
        <v>0</v>
      </c>
      <c r="J40" s="51">
        <f t="shared" si="59"/>
        <v>0</v>
      </c>
      <c r="K40" s="52">
        <v>0</v>
      </c>
      <c r="L40" s="52">
        <f t="shared" si="60"/>
        <v>0</v>
      </c>
      <c r="M40" s="52">
        <f t="shared" si="61"/>
        <v>0</v>
      </c>
      <c r="N40" s="51">
        <v>0</v>
      </c>
      <c r="O40" s="51">
        <v>0</v>
      </c>
      <c r="P40" s="51">
        <f t="shared" si="62"/>
        <v>0</v>
      </c>
      <c r="Q40" s="51">
        <f t="shared" si="55"/>
        <v>0</v>
      </c>
      <c r="R40" s="51">
        <f t="shared" si="56"/>
        <v>3000</v>
      </c>
      <c r="S40" s="51">
        <f t="shared" si="57"/>
        <v>3000</v>
      </c>
      <c r="T40" s="48"/>
    </row>
    <row r="41" spans="2:20" s="53" customFormat="1" ht="42.6" customHeight="1" x14ac:dyDescent="0.25">
      <c r="B41" s="43" t="s">
        <v>107</v>
      </c>
      <c r="C41" s="50" t="s">
        <v>20</v>
      </c>
      <c r="D41" s="50" t="s">
        <v>91</v>
      </c>
      <c r="E41" s="51">
        <v>0</v>
      </c>
      <c r="F41" s="51">
        <f>E41*0.07</f>
        <v>0</v>
      </c>
      <c r="G41" s="51">
        <f>SUM(E41:F41)</f>
        <v>0</v>
      </c>
      <c r="H41" s="51">
        <v>80250</v>
      </c>
      <c r="I41" s="51">
        <v>0</v>
      </c>
      <c r="J41" s="51">
        <f>SUM(H41:I41)</f>
        <v>80250</v>
      </c>
      <c r="K41" s="52">
        <v>75000</v>
      </c>
      <c r="L41" s="52">
        <f>K41*0.07</f>
        <v>5250.0000000000009</v>
      </c>
      <c r="M41" s="52">
        <f>SUM(K41:L41)</f>
        <v>80250</v>
      </c>
      <c r="N41" s="51">
        <v>0</v>
      </c>
      <c r="O41" s="51">
        <v>0</v>
      </c>
      <c r="P41" s="51">
        <f>SUM(N41:O41)</f>
        <v>0</v>
      </c>
      <c r="Q41" s="51">
        <f t="shared" si="55"/>
        <v>155250</v>
      </c>
      <c r="R41" s="51">
        <f t="shared" si="56"/>
        <v>5250.0000000000009</v>
      </c>
      <c r="S41" s="51">
        <f t="shared" si="57"/>
        <v>160500</v>
      </c>
      <c r="T41" s="48"/>
    </row>
    <row r="42" spans="2:20" s="53" customFormat="1" ht="42.6" customHeight="1" x14ac:dyDescent="0.25">
      <c r="B42" s="43" t="s">
        <v>50</v>
      </c>
      <c r="C42" s="50" t="s">
        <v>20</v>
      </c>
      <c r="D42" s="50" t="s">
        <v>91</v>
      </c>
      <c r="E42" s="51">
        <v>0</v>
      </c>
      <c r="F42" s="51">
        <v>0</v>
      </c>
      <c r="G42" s="51">
        <f t="shared" ref="G42:G43" si="63">SUM(E42:F42)</f>
        <v>0</v>
      </c>
      <c r="H42" s="51">
        <v>0</v>
      </c>
      <c r="I42" s="51">
        <v>10000</v>
      </c>
      <c r="J42" s="51">
        <f t="shared" ref="J42:J43" si="64">SUM(H42:I42)</f>
        <v>10000</v>
      </c>
      <c r="K42" s="52">
        <v>0</v>
      </c>
      <c r="L42" s="52">
        <v>10000</v>
      </c>
      <c r="M42" s="52">
        <f t="shared" ref="M42:M43" si="65">SUM(K42:L42)</f>
        <v>10000</v>
      </c>
      <c r="N42" s="51">
        <v>0</v>
      </c>
      <c r="O42" s="51">
        <v>0</v>
      </c>
      <c r="P42" s="51">
        <f t="shared" ref="P42:P43" si="66">SUM(N42:O42)</f>
        <v>0</v>
      </c>
      <c r="Q42" s="51">
        <f t="shared" si="55"/>
        <v>0</v>
      </c>
      <c r="R42" s="51">
        <f t="shared" si="56"/>
        <v>20000</v>
      </c>
      <c r="S42" s="51">
        <f t="shared" si="57"/>
        <v>20000</v>
      </c>
      <c r="T42" s="48"/>
    </row>
    <row r="43" spans="2:20" s="53" customFormat="1" ht="42.6" customHeight="1" x14ac:dyDescent="0.25">
      <c r="B43" s="43" t="s">
        <v>51</v>
      </c>
      <c r="C43" s="50" t="s">
        <v>20</v>
      </c>
      <c r="D43" s="50" t="s">
        <v>91</v>
      </c>
      <c r="E43" s="51">
        <v>0</v>
      </c>
      <c r="F43" s="51">
        <v>0</v>
      </c>
      <c r="G43" s="51">
        <f t="shared" si="63"/>
        <v>0</v>
      </c>
      <c r="H43" s="51">
        <v>0</v>
      </c>
      <c r="I43" s="51">
        <v>3000</v>
      </c>
      <c r="J43" s="51">
        <f t="shared" si="64"/>
        <v>3000</v>
      </c>
      <c r="K43" s="52">
        <v>0</v>
      </c>
      <c r="L43" s="52">
        <v>3000</v>
      </c>
      <c r="M43" s="52">
        <f t="shared" si="65"/>
        <v>3000</v>
      </c>
      <c r="N43" s="51">
        <v>0</v>
      </c>
      <c r="O43" s="51">
        <v>0</v>
      </c>
      <c r="P43" s="51">
        <f t="shared" si="66"/>
        <v>0</v>
      </c>
      <c r="Q43" s="51">
        <f t="shared" si="55"/>
        <v>0</v>
      </c>
      <c r="R43" s="51">
        <f t="shared" si="56"/>
        <v>6000</v>
      </c>
      <c r="S43" s="51">
        <f t="shared" si="57"/>
        <v>6000</v>
      </c>
      <c r="T43" s="48"/>
    </row>
    <row r="44" spans="2:20" s="49" customFormat="1" ht="24" x14ac:dyDescent="0.25">
      <c r="B44" s="43" t="s">
        <v>52</v>
      </c>
      <c r="C44" s="50" t="s">
        <v>20</v>
      </c>
      <c r="D44" s="50" t="s">
        <v>92</v>
      </c>
      <c r="E44" s="51">
        <v>500000</v>
      </c>
      <c r="F44" s="51">
        <f>E44*0.07</f>
        <v>35000</v>
      </c>
      <c r="G44" s="51">
        <f>SUM(E44:F44)</f>
        <v>535000</v>
      </c>
      <c r="H44" s="51">
        <v>2000000</v>
      </c>
      <c r="I44" s="51">
        <f>H44*0.07</f>
        <v>140000</v>
      </c>
      <c r="J44" s="51">
        <f>SUM(H44:I44)</f>
        <v>2140000</v>
      </c>
      <c r="K44" s="52">
        <v>2000000</v>
      </c>
      <c r="L44" s="52">
        <f>K44*0.07</f>
        <v>140000</v>
      </c>
      <c r="M44" s="52">
        <f>SUM(K44:L44)</f>
        <v>2140000</v>
      </c>
      <c r="N44" s="51">
        <v>0</v>
      </c>
      <c r="O44" s="51">
        <f>N44*0.07</f>
        <v>0</v>
      </c>
      <c r="P44" s="51">
        <f>SUM(N44:O44)</f>
        <v>0</v>
      </c>
      <c r="Q44" s="51">
        <f t="shared" si="55"/>
        <v>4500000</v>
      </c>
      <c r="R44" s="51">
        <f t="shared" si="56"/>
        <v>315000</v>
      </c>
      <c r="S44" s="51">
        <f t="shared" si="57"/>
        <v>4815000</v>
      </c>
      <c r="T44" s="48"/>
    </row>
    <row r="45" spans="2:20" s="49" customFormat="1" x14ac:dyDescent="0.25">
      <c r="B45" s="45" t="s">
        <v>53</v>
      </c>
      <c r="C45" s="46"/>
      <c r="D45" s="46"/>
      <c r="E45" s="44">
        <f t="shared" ref="E45:R45" si="67">SUM(E46:E54)</f>
        <v>1750000</v>
      </c>
      <c r="F45" s="44">
        <f t="shared" si="67"/>
        <v>148500.00000000003</v>
      </c>
      <c r="G45" s="44">
        <f t="shared" si="67"/>
        <v>1898500</v>
      </c>
      <c r="H45" s="44">
        <f t="shared" si="67"/>
        <v>3104000</v>
      </c>
      <c r="I45" s="44">
        <f t="shared" si="67"/>
        <v>243500</v>
      </c>
      <c r="J45" s="44">
        <f t="shared" si="67"/>
        <v>3347500</v>
      </c>
      <c r="K45" s="47">
        <f t="shared" si="67"/>
        <v>2300000</v>
      </c>
      <c r="L45" s="47">
        <f t="shared" si="67"/>
        <v>89402</v>
      </c>
      <c r="M45" s="47">
        <f t="shared" si="67"/>
        <v>2389402</v>
      </c>
      <c r="N45" s="44">
        <f t="shared" si="67"/>
        <v>250000</v>
      </c>
      <c r="O45" s="44">
        <f t="shared" si="67"/>
        <v>63098</v>
      </c>
      <c r="P45" s="44">
        <f t="shared" si="67"/>
        <v>313098</v>
      </c>
      <c r="Q45" s="44">
        <f t="shared" si="67"/>
        <v>7404000</v>
      </c>
      <c r="R45" s="44">
        <f t="shared" si="67"/>
        <v>544500</v>
      </c>
      <c r="S45" s="44">
        <f>SUM(S46:S54)</f>
        <v>7948500</v>
      </c>
      <c r="T45" s="48"/>
    </row>
    <row r="46" spans="2:20" s="49" customFormat="1" ht="24" x14ac:dyDescent="0.25">
      <c r="B46" s="43" t="s">
        <v>54</v>
      </c>
      <c r="C46" s="50" t="s">
        <v>21</v>
      </c>
      <c r="D46" s="50" t="s">
        <v>93</v>
      </c>
      <c r="E46" s="51">
        <v>550000</v>
      </c>
      <c r="F46" s="51">
        <f>E46*0.07</f>
        <v>38500.000000000007</v>
      </c>
      <c r="G46" s="51">
        <f>SUM(E46:F46)</f>
        <v>588500</v>
      </c>
      <c r="H46" s="51">
        <v>749000</v>
      </c>
      <c r="I46" s="51">
        <v>0</v>
      </c>
      <c r="J46" s="51">
        <f>SUM(H46:I46)</f>
        <v>749000</v>
      </c>
      <c r="K46" s="52">
        <v>0</v>
      </c>
      <c r="L46" s="52">
        <v>0</v>
      </c>
      <c r="M46" s="52">
        <f t="shared" ref="M46:M48" si="68">SUM(K46:L46)</f>
        <v>0</v>
      </c>
      <c r="N46" s="51">
        <v>0</v>
      </c>
      <c r="O46" s="51">
        <v>0</v>
      </c>
      <c r="P46" s="51">
        <f t="shared" ref="P46:P48" si="69">SUM(N46:O46)</f>
        <v>0</v>
      </c>
      <c r="Q46" s="51">
        <f t="shared" ref="Q46:Q54" si="70">E46+H46+K46+N46</f>
        <v>1299000</v>
      </c>
      <c r="R46" s="51">
        <f t="shared" ref="R46:R54" si="71">F46+I46+L46+O46</f>
        <v>38500.000000000007</v>
      </c>
      <c r="S46" s="51">
        <f t="shared" ref="S46:S54" si="72">G46+J46+M46+P46</f>
        <v>1337500</v>
      </c>
      <c r="T46" s="48"/>
    </row>
    <row r="47" spans="2:20" s="49" customFormat="1" ht="24" x14ac:dyDescent="0.25">
      <c r="B47" s="43" t="s">
        <v>55</v>
      </c>
      <c r="C47" s="50" t="s">
        <v>20</v>
      </c>
      <c r="D47" s="50" t="s">
        <v>93</v>
      </c>
      <c r="E47" s="51">
        <v>0</v>
      </c>
      <c r="F47" s="51">
        <v>10000</v>
      </c>
      <c r="G47" s="51">
        <f t="shared" ref="G47:G48" si="73">SUM(E47:F47)</f>
        <v>10000</v>
      </c>
      <c r="H47" s="51">
        <v>0</v>
      </c>
      <c r="I47" s="51">
        <v>15000</v>
      </c>
      <c r="J47" s="51">
        <f t="shared" ref="J47:J48" si="74">SUM(H47:I47)</f>
        <v>15000</v>
      </c>
      <c r="K47" s="52">
        <v>0</v>
      </c>
      <c r="L47" s="52">
        <v>0</v>
      </c>
      <c r="M47" s="52">
        <f t="shared" si="68"/>
        <v>0</v>
      </c>
      <c r="N47" s="51">
        <v>0</v>
      </c>
      <c r="O47" s="51">
        <v>0</v>
      </c>
      <c r="P47" s="51">
        <f t="shared" si="69"/>
        <v>0</v>
      </c>
      <c r="Q47" s="51">
        <f t="shared" si="70"/>
        <v>0</v>
      </c>
      <c r="R47" s="51">
        <f t="shared" si="71"/>
        <v>25000</v>
      </c>
      <c r="S47" s="51">
        <f t="shared" si="72"/>
        <v>25000</v>
      </c>
      <c r="T47" s="48"/>
    </row>
    <row r="48" spans="2:20" s="49" customFormat="1" ht="24" x14ac:dyDescent="0.25">
      <c r="B48" s="43" t="s">
        <v>56</v>
      </c>
      <c r="C48" s="50" t="s">
        <v>20</v>
      </c>
      <c r="D48" s="50" t="s">
        <v>93</v>
      </c>
      <c r="E48" s="51">
        <v>0</v>
      </c>
      <c r="F48" s="51">
        <v>3000</v>
      </c>
      <c r="G48" s="51">
        <f t="shared" si="73"/>
        <v>3000</v>
      </c>
      <c r="H48" s="51">
        <v>0</v>
      </c>
      <c r="I48" s="51">
        <v>5000</v>
      </c>
      <c r="J48" s="51">
        <f t="shared" si="74"/>
        <v>5000</v>
      </c>
      <c r="K48" s="52">
        <v>0</v>
      </c>
      <c r="L48" s="52">
        <v>0</v>
      </c>
      <c r="M48" s="52">
        <f t="shared" si="68"/>
        <v>0</v>
      </c>
      <c r="N48" s="51">
        <v>0</v>
      </c>
      <c r="O48" s="51">
        <v>0</v>
      </c>
      <c r="P48" s="51">
        <f t="shared" si="69"/>
        <v>0</v>
      </c>
      <c r="Q48" s="51">
        <f t="shared" si="70"/>
        <v>0</v>
      </c>
      <c r="R48" s="51">
        <f t="shared" si="71"/>
        <v>8000</v>
      </c>
      <c r="S48" s="51">
        <f t="shared" si="72"/>
        <v>8000</v>
      </c>
      <c r="T48" s="48"/>
    </row>
    <row r="49" spans="2:20" s="49" customFormat="1" ht="24" x14ac:dyDescent="0.25">
      <c r="B49" s="43" t="s">
        <v>57</v>
      </c>
      <c r="C49" s="50" t="s">
        <v>21</v>
      </c>
      <c r="D49" s="50" t="s">
        <v>94</v>
      </c>
      <c r="E49" s="51">
        <v>1200000</v>
      </c>
      <c r="F49" s="51">
        <f>E49*0.07</f>
        <v>84000.000000000015</v>
      </c>
      <c r="G49" s="51">
        <f>SUM(E49:F49)</f>
        <v>1284000</v>
      </c>
      <c r="H49" s="51">
        <v>1605000</v>
      </c>
      <c r="I49" s="51">
        <v>126000</v>
      </c>
      <c r="J49" s="51">
        <f>SUM(H49:I49)</f>
        <v>1731000</v>
      </c>
      <c r="K49" s="52">
        <v>1800000</v>
      </c>
      <c r="L49" s="52">
        <v>0</v>
      </c>
      <c r="M49" s="52">
        <f t="shared" ref="M49:M51" si="75">SUM(K49:L49)</f>
        <v>1800000</v>
      </c>
      <c r="N49" s="51">
        <v>0</v>
      </c>
      <c r="O49" s="51">
        <v>0</v>
      </c>
      <c r="P49" s="51">
        <f t="shared" ref="P49:P51" si="76">SUM(N49:O49)</f>
        <v>0</v>
      </c>
      <c r="Q49" s="51">
        <f t="shared" si="70"/>
        <v>4605000</v>
      </c>
      <c r="R49" s="51">
        <f t="shared" si="71"/>
        <v>210000</v>
      </c>
      <c r="S49" s="51">
        <f t="shared" si="72"/>
        <v>4815000</v>
      </c>
      <c r="T49" s="48"/>
    </row>
    <row r="50" spans="2:20" s="49" customFormat="1" ht="24" x14ac:dyDescent="0.25">
      <c r="B50" s="43" t="s">
        <v>58</v>
      </c>
      <c r="C50" s="50" t="s">
        <v>20</v>
      </c>
      <c r="D50" s="50" t="s">
        <v>94</v>
      </c>
      <c r="E50" s="51">
        <v>0</v>
      </c>
      <c r="F50" s="51">
        <v>10000</v>
      </c>
      <c r="G50" s="51">
        <f t="shared" ref="G50:G51" si="77">SUM(E50:F50)</f>
        <v>10000</v>
      </c>
      <c r="H50" s="51">
        <v>0</v>
      </c>
      <c r="I50" s="51">
        <v>15000</v>
      </c>
      <c r="J50" s="51">
        <f t="shared" ref="J50:J51" si="78">SUM(H50:I50)</f>
        <v>15000</v>
      </c>
      <c r="K50" s="52">
        <v>0</v>
      </c>
      <c r="L50" s="52">
        <v>0</v>
      </c>
      <c r="M50" s="52">
        <f t="shared" si="75"/>
        <v>0</v>
      </c>
      <c r="N50" s="51">
        <v>0</v>
      </c>
      <c r="O50" s="51">
        <v>0</v>
      </c>
      <c r="P50" s="51">
        <f t="shared" si="76"/>
        <v>0</v>
      </c>
      <c r="Q50" s="51">
        <f t="shared" si="70"/>
        <v>0</v>
      </c>
      <c r="R50" s="51">
        <f t="shared" si="71"/>
        <v>25000</v>
      </c>
      <c r="S50" s="51">
        <f t="shared" si="72"/>
        <v>25000</v>
      </c>
      <c r="T50" s="48"/>
    </row>
    <row r="51" spans="2:20" s="49" customFormat="1" ht="24" x14ac:dyDescent="0.25">
      <c r="B51" s="43" t="s">
        <v>59</v>
      </c>
      <c r="C51" s="50" t="s">
        <v>20</v>
      </c>
      <c r="D51" s="50" t="s">
        <v>94</v>
      </c>
      <c r="E51" s="51">
        <v>0</v>
      </c>
      <c r="F51" s="51">
        <v>3000</v>
      </c>
      <c r="G51" s="51">
        <f t="shared" si="77"/>
        <v>3000</v>
      </c>
      <c r="H51" s="51">
        <v>0</v>
      </c>
      <c r="I51" s="51">
        <v>5000</v>
      </c>
      <c r="J51" s="51">
        <f t="shared" si="78"/>
        <v>5000</v>
      </c>
      <c r="K51" s="52">
        <v>0</v>
      </c>
      <c r="L51" s="52">
        <v>0</v>
      </c>
      <c r="M51" s="52">
        <f t="shared" si="75"/>
        <v>0</v>
      </c>
      <c r="N51" s="51">
        <v>0</v>
      </c>
      <c r="O51" s="51">
        <v>0</v>
      </c>
      <c r="P51" s="51">
        <f t="shared" si="76"/>
        <v>0</v>
      </c>
      <c r="Q51" s="51">
        <f t="shared" si="70"/>
        <v>0</v>
      </c>
      <c r="R51" s="51">
        <f t="shared" si="71"/>
        <v>8000</v>
      </c>
      <c r="S51" s="51">
        <f t="shared" si="72"/>
        <v>8000</v>
      </c>
      <c r="T51" s="48"/>
    </row>
    <row r="52" spans="2:20" s="49" customFormat="1" ht="36" x14ac:dyDescent="0.25">
      <c r="B52" s="43" t="s">
        <v>60</v>
      </c>
      <c r="C52" s="50" t="s">
        <v>9</v>
      </c>
      <c r="D52" s="50" t="s">
        <v>95</v>
      </c>
      <c r="E52" s="51">
        <v>0</v>
      </c>
      <c r="F52" s="51">
        <f>E52*0.07</f>
        <v>0</v>
      </c>
      <c r="G52" s="51">
        <f t="shared" ref="G52:G53" si="79">SUM(E52:F52)</f>
        <v>0</v>
      </c>
      <c r="H52" s="51">
        <v>750000</v>
      </c>
      <c r="I52" s="51">
        <f t="shared" ref="I52" si="80">H52*0.07</f>
        <v>52500.000000000007</v>
      </c>
      <c r="J52" s="51">
        <f t="shared" ref="J52" si="81">SUM(H52:I52)</f>
        <v>802500</v>
      </c>
      <c r="K52" s="52">
        <v>500000</v>
      </c>
      <c r="L52" s="52">
        <f>K52*0.07-20598</f>
        <v>14402</v>
      </c>
      <c r="M52" s="52">
        <f t="shared" ref="M52" si="82">SUM(K52:L52)</f>
        <v>514402</v>
      </c>
      <c r="N52" s="51">
        <v>250000</v>
      </c>
      <c r="O52" s="51">
        <f>N52*0.07+20598</f>
        <v>38098</v>
      </c>
      <c r="P52" s="51">
        <f t="shared" ref="P52" si="83">SUM(N52:O52)</f>
        <v>288098</v>
      </c>
      <c r="Q52" s="51">
        <f t="shared" si="70"/>
        <v>1500000</v>
      </c>
      <c r="R52" s="51">
        <f t="shared" si="71"/>
        <v>105000</v>
      </c>
      <c r="S52" s="51">
        <f t="shared" si="72"/>
        <v>1605000</v>
      </c>
      <c r="T52" s="48"/>
    </row>
    <row r="53" spans="2:20" s="49" customFormat="1" ht="36" x14ac:dyDescent="0.25">
      <c r="B53" s="43" t="s">
        <v>19</v>
      </c>
      <c r="C53" s="50" t="s">
        <v>20</v>
      </c>
      <c r="D53" s="50" t="s">
        <v>95</v>
      </c>
      <c r="E53" s="51">
        <v>0</v>
      </c>
      <c r="F53" s="51">
        <v>0</v>
      </c>
      <c r="G53" s="51">
        <f t="shared" si="79"/>
        <v>0</v>
      </c>
      <c r="H53" s="51">
        <v>0</v>
      </c>
      <c r="I53" s="51">
        <v>25000</v>
      </c>
      <c r="J53" s="51">
        <f t="shared" ref="J53" si="84">SUM(H53:I53)</f>
        <v>25000</v>
      </c>
      <c r="K53" s="52">
        <v>0</v>
      </c>
      <c r="L53" s="52">
        <v>25000</v>
      </c>
      <c r="M53" s="52">
        <f t="shared" ref="M53" si="85">SUM(K53:L53)</f>
        <v>25000</v>
      </c>
      <c r="N53" s="51">
        <v>0</v>
      </c>
      <c r="O53" s="51">
        <v>25000</v>
      </c>
      <c r="P53" s="51">
        <f t="shared" ref="P53" si="86">SUM(N53:O53)</f>
        <v>25000</v>
      </c>
      <c r="Q53" s="51">
        <f t="shared" si="70"/>
        <v>0</v>
      </c>
      <c r="R53" s="51">
        <f t="shared" si="71"/>
        <v>75000</v>
      </c>
      <c r="S53" s="51">
        <f t="shared" si="72"/>
        <v>75000</v>
      </c>
      <c r="T53" s="48"/>
    </row>
    <row r="54" spans="2:20" s="49" customFormat="1" ht="36" x14ac:dyDescent="0.25">
      <c r="B54" s="43" t="s">
        <v>61</v>
      </c>
      <c r="C54" s="50" t="s">
        <v>20</v>
      </c>
      <c r="D54" s="50" t="s">
        <v>96</v>
      </c>
      <c r="E54" s="51">
        <v>0</v>
      </c>
      <c r="F54" s="51">
        <v>0</v>
      </c>
      <c r="G54" s="51">
        <f>SUM(E54:F54)</f>
        <v>0</v>
      </c>
      <c r="H54" s="51">
        <v>0</v>
      </c>
      <c r="I54" s="51">
        <v>0</v>
      </c>
      <c r="J54" s="51">
        <f t="shared" ref="J54" si="87">SUM(H54:I54)</f>
        <v>0</v>
      </c>
      <c r="K54" s="52">
        <v>0</v>
      </c>
      <c r="L54" s="52">
        <v>50000</v>
      </c>
      <c r="M54" s="52">
        <f>SUM(K54:L54)</f>
        <v>50000</v>
      </c>
      <c r="N54" s="51">
        <v>0</v>
      </c>
      <c r="O54" s="51">
        <v>0</v>
      </c>
      <c r="P54" s="51">
        <f>SUM(N54:O54)</f>
        <v>0</v>
      </c>
      <c r="Q54" s="51">
        <f t="shared" si="70"/>
        <v>0</v>
      </c>
      <c r="R54" s="51">
        <f t="shared" si="71"/>
        <v>50000</v>
      </c>
      <c r="S54" s="51">
        <f t="shared" si="72"/>
        <v>50000</v>
      </c>
      <c r="T54" s="48"/>
    </row>
    <row r="55" spans="2:20" s="14" customFormat="1" x14ac:dyDescent="0.25">
      <c r="B55" s="9" t="s">
        <v>11</v>
      </c>
      <c r="C55" s="9"/>
      <c r="D55" s="30"/>
      <c r="E55" s="11">
        <f t="shared" ref="E55:S55" si="88">E56+E74+E64</f>
        <v>4365813.68</v>
      </c>
      <c r="F55" s="11">
        <f t="shared" si="88"/>
        <v>313150.09999999998</v>
      </c>
      <c r="G55" s="11">
        <f t="shared" si="88"/>
        <v>4678963.78</v>
      </c>
      <c r="H55" s="11">
        <f t="shared" si="88"/>
        <v>7654781.7599999998</v>
      </c>
      <c r="I55" s="11">
        <f t="shared" si="88"/>
        <v>1668839</v>
      </c>
      <c r="J55" s="11">
        <f t="shared" si="88"/>
        <v>9323620.7599999998</v>
      </c>
      <c r="K55" s="36">
        <f t="shared" si="88"/>
        <v>8291458.0199999996</v>
      </c>
      <c r="L55" s="36">
        <f t="shared" si="88"/>
        <v>1871200</v>
      </c>
      <c r="M55" s="36">
        <f t="shared" si="88"/>
        <v>10162658.02</v>
      </c>
      <c r="N55" s="11">
        <f t="shared" si="88"/>
        <v>4898823.58</v>
      </c>
      <c r="O55" s="11">
        <f t="shared" si="88"/>
        <v>1838281</v>
      </c>
      <c r="P55" s="11">
        <f t="shared" si="88"/>
        <v>6737104.5800000001</v>
      </c>
      <c r="Q55" s="11">
        <f t="shared" si="88"/>
        <v>25210877.039999999</v>
      </c>
      <c r="R55" s="11">
        <f t="shared" si="88"/>
        <v>5691470.0999999996</v>
      </c>
      <c r="S55" s="11">
        <f t="shared" si="88"/>
        <v>30902347.140000001</v>
      </c>
      <c r="T55" s="24"/>
    </row>
    <row r="56" spans="2:20" s="49" customFormat="1" ht="15" customHeight="1" x14ac:dyDescent="0.25">
      <c r="B56" s="45" t="s">
        <v>15</v>
      </c>
      <c r="C56" s="54"/>
      <c r="D56" s="46"/>
      <c r="E56" s="44">
        <f t="shared" ref="E56:S56" si="89">SUM(E57:E63)</f>
        <v>320000</v>
      </c>
      <c r="F56" s="44">
        <f t="shared" si="89"/>
        <v>35400</v>
      </c>
      <c r="G56" s="44">
        <f t="shared" si="89"/>
        <v>355400</v>
      </c>
      <c r="H56" s="44">
        <f t="shared" si="89"/>
        <v>1779900</v>
      </c>
      <c r="I56" s="44">
        <f t="shared" si="89"/>
        <v>1365300</v>
      </c>
      <c r="J56" s="44">
        <f t="shared" si="89"/>
        <v>3145200</v>
      </c>
      <c r="K56" s="47">
        <f t="shared" si="89"/>
        <v>1438900</v>
      </c>
      <c r="L56" s="47">
        <f t="shared" si="89"/>
        <v>1355900</v>
      </c>
      <c r="M56" s="47">
        <f t="shared" si="89"/>
        <v>2794800</v>
      </c>
      <c r="N56" s="44">
        <f t="shared" si="89"/>
        <v>1463900</v>
      </c>
      <c r="O56" s="44">
        <f t="shared" si="89"/>
        <v>1357650</v>
      </c>
      <c r="P56" s="44">
        <f t="shared" si="89"/>
        <v>2821550</v>
      </c>
      <c r="Q56" s="44">
        <f t="shared" si="89"/>
        <v>5002700</v>
      </c>
      <c r="R56" s="44">
        <f t="shared" si="89"/>
        <v>4114250</v>
      </c>
      <c r="S56" s="44">
        <f t="shared" si="89"/>
        <v>9116950</v>
      </c>
      <c r="T56" s="48"/>
    </row>
    <row r="57" spans="2:20" s="49" customFormat="1" ht="60.6" customHeight="1" x14ac:dyDescent="0.25">
      <c r="B57" s="43" t="s">
        <v>62</v>
      </c>
      <c r="C57" s="50" t="s">
        <v>21</v>
      </c>
      <c r="D57" s="50" t="s">
        <v>97</v>
      </c>
      <c r="E57" s="51">
        <v>20000</v>
      </c>
      <c r="F57" s="51">
        <f>E57*0.07</f>
        <v>1400.0000000000002</v>
      </c>
      <c r="G57" s="51">
        <f>SUM(E57:F57)</f>
        <v>21400</v>
      </c>
      <c r="H57" s="51">
        <v>20000</v>
      </c>
      <c r="I57" s="51">
        <f>H57*0.07</f>
        <v>1400.0000000000002</v>
      </c>
      <c r="J57" s="51">
        <f>SUM(H57:I57)</f>
        <v>21400</v>
      </c>
      <c r="K57" s="52">
        <v>0</v>
      </c>
      <c r="L57" s="52">
        <v>0</v>
      </c>
      <c r="M57" s="52">
        <f t="shared" ref="M57" si="90">SUM(K57:L57)</f>
        <v>0</v>
      </c>
      <c r="N57" s="51">
        <v>0</v>
      </c>
      <c r="O57" s="51">
        <v>0</v>
      </c>
      <c r="P57" s="51">
        <f t="shared" ref="P57" si="91">SUM(N57:O57)</f>
        <v>0</v>
      </c>
      <c r="Q57" s="51">
        <f t="shared" ref="Q57:Q63" si="92">E57+H57+K57+N57</f>
        <v>40000</v>
      </c>
      <c r="R57" s="51">
        <f t="shared" ref="R57:R63" si="93">F57+I57+L57+O57</f>
        <v>2800.0000000000005</v>
      </c>
      <c r="S57" s="51">
        <f t="shared" ref="S57:S63" si="94">G57+J57+M57+P57</f>
        <v>42800</v>
      </c>
      <c r="T57" s="48"/>
    </row>
    <row r="58" spans="2:20" s="49" customFormat="1" ht="48" x14ac:dyDescent="0.25">
      <c r="B58" s="43" t="s">
        <v>111</v>
      </c>
      <c r="C58" s="50" t="s">
        <v>20</v>
      </c>
      <c r="D58" s="50" t="s">
        <v>98</v>
      </c>
      <c r="E58" s="51">
        <v>50000</v>
      </c>
      <c r="F58" s="51">
        <f>E58*0.07</f>
        <v>3500.0000000000005</v>
      </c>
      <c r="G58" s="51">
        <f>SUM(E58:F58)</f>
        <v>53500</v>
      </c>
      <c r="H58" s="51">
        <v>0</v>
      </c>
      <c r="I58" s="51">
        <f>H58*0.07</f>
        <v>0</v>
      </c>
      <c r="J58" s="51">
        <f>SUM(H58:I58)</f>
        <v>0</v>
      </c>
      <c r="K58" s="52">
        <v>0</v>
      </c>
      <c r="L58" s="52">
        <v>0</v>
      </c>
      <c r="M58" s="52">
        <f>SUM(K58:L58)</f>
        <v>0</v>
      </c>
      <c r="N58" s="51">
        <v>0</v>
      </c>
      <c r="O58" s="51">
        <v>0</v>
      </c>
      <c r="P58" s="51">
        <f>SUM(N58:O58)</f>
        <v>0</v>
      </c>
      <c r="Q58" s="51">
        <f t="shared" si="92"/>
        <v>50000</v>
      </c>
      <c r="R58" s="51">
        <f t="shared" si="93"/>
        <v>3500.0000000000005</v>
      </c>
      <c r="S58" s="51">
        <f t="shared" si="94"/>
        <v>53500</v>
      </c>
      <c r="T58" s="48"/>
    </row>
    <row r="59" spans="2:20" s="49" customFormat="1" ht="48" x14ac:dyDescent="0.25">
      <c r="B59" s="43" t="s">
        <v>63</v>
      </c>
      <c r="C59" s="50" t="s">
        <v>20</v>
      </c>
      <c r="D59" s="50" t="s">
        <v>98</v>
      </c>
      <c r="E59" s="51">
        <v>0</v>
      </c>
      <c r="F59" s="51">
        <v>3000</v>
      </c>
      <c r="G59" s="51">
        <f t="shared" ref="G59" si="95">SUM(E59:F59)</f>
        <v>3000</v>
      </c>
      <c r="H59" s="51">
        <v>0</v>
      </c>
      <c r="I59" s="51">
        <v>3000</v>
      </c>
      <c r="J59" s="51">
        <f t="shared" ref="J59" si="96">SUM(H59:I59)</f>
        <v>3000</v>
      </c>
      <c r="K59" s="52">
        <v>0</v>
      </c>
      <c r="L59" s="52">
        <v>0</v>
      </c>
      <c r="M59" s="52">
        <f t="shared" ref="M59" si="97">SUM(K59:L59)</f>
        <v>0</v>
      </c>
      <c r="N59" s="51">
        <v>0</v>
      </c>
      <c r="O59" s="51">
        <v>0</v>
      </c>
      <c r="P59" s="51">
        <f t="shared" ref="P59" si="98">SUM(N59:O59)</f>
        <v>0</v>
      </c>
      <c r="Q59" s="51">
        <f t="shared" si="92"/>
        <v>0</v>
      </c>
      <c r="R59" s="51">
        <f t="shared" si="93"/>
        <v>6000</v>
      </c>
      <c r="S59" s="51">
        <f t="shared" si="94"/>
        <v>6000</v>
      </c>
      <c r="T59" s="48"/>
    </row>
    <row r="60" spans="2:20" s="53" customFormat="1" ht="48" x14ac:dyDescent="0.25">
      <c r="B60" s="43" t="s">
        <v>108</v>
      </c>
      <c r="C60" s="50" t="s">
        <v>20</v>
      </c>
      <c r="D60" s="50" t="s">
        <v>98</v>
      </c>
      <c r="E60" s="51">
        <v>50000</v>
      </c>
      <c r="F60" s="51">
        <f>E60*0.07</f>
        <v>3500.0000000000005</v>
      </c>
      <c r="G60" s="51">
        <f>SUM(E60:F60)</f>
        <v>53500</v>
      </c>
      <c r="H60" s="51">
        <v>100000</v>
      </c>
      <c r="I60" s="51">
        <f>H60*0.07</f>
        <v>7000.0000000000009</v>
      </c>
      <c r="J60" s="51">
        <f>SUM(H60:I60)</f>
        <v>107000</v>
      </c>
      <c r="K60" s="52">
        <v>100000</v>
      </c>
      <c r="L60" s="52">
        <f>K60*0.07</f>
        <v>7000.0000000000009</v>
      </c>
      <c r="M60" s="52">
        <f>SUM(K60:L60)</f>
        <v>107000</v>
      </c>
      <c r="N60" s="51">
        <v>125000</v>
      </c>
      <c r="O60" s="51">
        <f>N60*0.07</f>
        <v>8750</v>
      </c>
      <c r="P60" s="51">
        <f>SUM(N60:O60)</f>
        <v>133750</v>
      </c>
      <c r="Q60" s="51">
        <f t="shared" si="92"/>
        <v>375000</v>
      </c>
      <c r="R60" s="51">
        <f t="shared" si="93"/>
        <v>26250.000000000004</v>
      </c>
      <c r="S60" s="51">
        <f t="shared" si="94"/>
        <v>401250</v>
      </c>
      <c r="T60" s="48"/>
    </row>
    <row r="61" spans="2:20" s="53" customFormat="1" ht="48" x14ac:dyDescent="0.25">
      <c r="B61" s="43" t="s">
        <v>112</v>
      </c>
      <c r="C61" s="50" t="s">
        <v>20</v>
      </c>
      <c r="D61" s="50" t="s">
        <v>98</v>
      </c>
      <c r="E61" s="51">
        <v>200000</v>
      </c>
      <c r="F61" s="51">
        <f>E61*0.07</f>
        <v>14000.000000000002</v>
      </c>
      <c r="G61" s="51">
        <f>SUM(E61:F61)</f>
        <v>214000</v>
      </c>
      <c r="H61" s="51">
        <v>321000</v>
      </c>
      <c r="I61" s="51">
        <v>0</v>
      </c>
      <c r="J61" s="51">
        <f>SUM(H61:I61)</f>
        <v>321000</v>
      </c>
      <c r="K61" s="52">
        <v>0</v>
      </c>
      <c r="L61" s="52">
        <v>0</v>
      </c>
      <c r="M61" s="52">
        <f t="shared" ref="M61" si="99">SUM(K61:L61)</f>
        <v>0</v>
      </c>
      <c r="N61" s="51">
        <v>0</v>
      </c>
      <c r="O61" s="51">
        <v>0</v>
      </c>
      <c r="P61" s="51">
        <f t="shared" ref="P61" si="100">SUM(N61:O61)</f>
        <v>0</v>
      </c>
      <c r="Q61" s="51">
        <f t="shared" si="92"/>
        <v>521000</v>
      </c>
      <c r="R61" s="51">
        <f t="shared" si="93"/>
        <v>14000.000000000002</v>
      </c>
      <c r="S61" s="51">
        <f t="shared" si="94"/>
        <v>535000</v>
      </c>
      <c r="T61" s="48"/>
    </row>
    <row r="62" spans="2:20" s="53" customFormat="1" ht="48" x14ac:dyDescent="0.25">
      <c r="B62" s="43" t="s">
        <v>64</v>
      </c>
      <c r="C62" s="50" t="s">
        <v>20</v>
      </c>
      <c r="D62" s="50" t="s">
        <v>98</v>
      </c>
      <c r="E62" s="51">
        <v>0</v>
      </c>
      <c r="F62" s="51">
        <v>10000</v>
      </c>
      <c r="G62" s="51">
        <f t="shared" ref="G62:G63" si="101">SUM(E62:F62)</f>
        <v>10000</v>
      </c>
      <c r="H62" s="51">
        <v>0</v>
      </c>
      <c r="I62" s="51">
        <v>15000</v>
      </c>
      <c r="J62" s="51">
        <f t="shared" ref="J62" si="102">SUM(H62:I62)</f>
        <v>15000</v>
      </c>
      <c r="K62" s="52">
        <v>0</v>
      </c>
      <c r="L62" s="52">
        <v>10000</v>
      </c>
      <c r="M62" s="52">
        <f t="shared" ref="M62:M63" si="103">SUM(K62:L62)</f>
        <v>10000</v>
      </c>
      <c r="N62" s="51">
        <v>0</v>
      </c>
      <c r="O62" s="51">
        <v>10000</v>
      </c>
      <c r="P62" s="51">
        <f t="shared" ref="P62:P63" si="104">SUM(N62:O62)</f>
        <v>10000</v>
      </c>
      <c r="Q62" s="51">
        <f t="shared" si="92"/>
        <v>0</v>
      </c>
      <c r="R62" s="51">
        <f t="shared" si="93"/>
        <v>45000</v>
      </c>
      <c r="S62" s="51">
        <f t="shared" si="94"/>
        <v>45000</v>
      </c>
      <c r="T62" s="48"/>
    </row>
    <row r="63" spans="2:20" s="49" customFormat="1" ht="36" x14ac:dyDescent="0.25">
      <c r="B63" s="43" t="s">
        <v>65</v>
      </c>
      <c r="C63" s="50" t="s">
        <v>24</v>
      </c>
      <c r="D63" s="50" t="s">
        <v>99</v>
      </c>
      <c r="E63" s="51">
        <v>0</v>
      </c>
      <c r="F63" s="51">
        <v>0</v>
      </c>
      <c r="G63" s="51">
        <f t="shared" si="101"/>
        <v>0</v>
      </c>
      <c r="H63" s="51">
        <v>1338900</v>
      </c>
      <c r="I63" s="51">
        <v>1338900</v>
      </c>
      <c r="J63" s="51">
        <f t="shared" ref="J63" si="105">SUM(H63:I63)</f>
        <v>2677800</v>
      </c>
      <c r="K63" s="52">
        <v>1338900</v>
      </c>
      <c r="L63" s="52">
        <v>1338900</v>
      </c>
      <c r="M63" s="52">
        <f t="shared" si="103"/>
        <v>2677800</v>
      </c>
      <c r="N63" s="51">
        <v>1338900</v>
      </c>
      <c r="O63" s="51">
        <v>1338900</v>
      </c>
      <c r="P63" s="51">
        <f t="shared" si="104"/>
        <v>2677800</v>
      </c>
      <c r="Q63" s="51">
        <f t="shared" si="92"/>
        <v>4016700</v>
      </c>
      <c r="R63" s="51">
        <f t="shared" si="93"/>
        <v>4016700</v>
      </c>
      <c r="S63" s="51">
        <f t="shared" si="94"/>
        <v>8033400</v>
      </c>
      <c r="T63" s="55">
        <f>S63/S82</f>
        <v>0.13389000102649001</v>
      </c>
    </row>
    <row r="64" spans="2:20" s="49" customFormat="1" ht="30.6" customHeight="1" x14ac:dyDescent="0.25">
      <c r="B64" s="45" t="s">
        <v>66</v>
      </c>
      <c r="C64" s="54"/>
      <c r="D64" s="46"/>
      <c r="E64" s="44">
        <f t="shared" ref="E64:S64" si="106">SUM(E65:E73)</f>
        <v>3104130</v>
      </c>
      <c r="F64" s="44">
        <f t="shared" si="106"/>
        <v>277750.09999999998</v>
      </c>
      <c r="G64" s="44">
        <f t="shared" si="106"/>
        <v>3381880.1</v>
      </c>
      <c r="H64" s="44">
        <f t="shared" si="106"/>
        <v>4059000</v>
      </c>
      <c r="I64" s="44">
        <f t="shared" si="106"/>
        <v>303539</v>
      </c>
      <c r="J64" s="44">
        <f t="shared" si="106"/>
        <v>4362539</v>
      </c>
      <c r="K64" s="47">
        <f t="shared" si="106"/>
        <v>4050000</v>
      </c>
      <c r="L64" s="47">
        <f t="shared" si="106"/>
        <v>36500</v>
      </c>
      <c r="M64" s="47">
        <f t="shared" si="106"/>
        <v>4086500</v>
      </c>
      <c r="N64" s="44">
        <f t="shared" si="106"/>
        <v>73511</v>
      </c>
      <c r="O64" s="44">
        <f t="shared" si="106"/>
        <v>27031</v>
      </c>
      <c r="P64" s="44">
        <f t="shared" si="106"/>
        <v>100542</v>
      </c>
      <c r="Q64" s="44">
        <f t="shared" si="106"/>
        <v>11286641</v>
      </c>
      <c r="R64" s="44">
        <f t="shared" si="106"/>
        <v>644820.1</v>
      </c>
      <c r="S64" s="44">
        <f t="shared" si="106"/>
        <v>11931461.1</v>
      </c>
      <c r="T64" s="48"/>
    </row>
    <row r="65" spans="2:20" s="49" customFormat="1" ht="48" x14ac:dyDescent="0.25">
      <c r="B65" s="43" t="s">
        <v>67</v>
      </c>
      <c r="C65" s="50" t="s">
        <v>21</v>
      </c>
      <c r="D65" s="50" t="s">
        <v>100</v>
      </c>
      <c r="E65" s="51">
        <v>50000</v>
      </c>
      <c r="F65" s="51">
        <f t="shared" ref="F65" si="107">E65*0.07</f>
        <v>3500.0000000000005</v>
      </c>
      <c r="G65" s="51">
        <f>SUM(E65:F65)</f>
        <v>53500</v>
      </c>
      <c r="H65" s="51">
        <v>214000</v>
      </c>
      <c r="I65" s="51">
        <v>0</v>
      </c>
      <c r="J65" s="51">
        <f>SUM(H65:I65)</f>
        <v>214000</v>
      </c>
      <c r="K65" s="52">
        <v>50000</v>
      </c>
      <c r="L65" s="52">
        <f t="shared" ref="L65" si="108">K65*0.07</f>
        <v>3500.0000000000005</v>
      </c>
      <c r="M65" s="52">
        <f>SUM(K65:L65)</f>
        <v>53500</v>
      </c>
      <c r="N65" s="51">
        <v>0</v>
      </c>
      <c r="O65" s="51">
        <v>0</v>
      </c>
      <c r="P65" s="51">
        <f t="shared" ref="P65" si="109">SUM(N65:O65)</f>
        <v>0</v>
      </c>
      <c r="Q65" s="51">
        <f t="shared" ref="Q65:Q73" si="110">E65+H65+K65+N65</f>
        <v>314000</v>
      </c>
      <c r="R65" s="51">
        <f t="shared" ref="R65:R73" si="111">F65+I65+L65+O65</f>
        <v>7000.0000000000009</v>
      </c>
      <c r="S65" s="51">
        <f t="shared" ref="S65:S73" si="112">G65+J65+M65+P65</f>
        <v>321000</v>
      </c>
      <c r="T65" s="48"/>
    </row>
    <row r="66" spans="2:20" s="49" customFormat="1" ht="48" x14ac:dyDescent="0.25">
      <c r="B66" s="43" t="s">
        <v>68</v>
      </c>
      <c r="C66" s="50" t="s">
        <v>20</v>
      </c>
      <c r="D66" s="50" t="s">
        <v>100</v>
      </c>
      <c r="E66" s="51">
        <v>0</v>
      </c>
      <c r="F66" s="51">
        <v>10000</v>
      </c>
      <c r="G66" s="51">
        <f t="shared" ref="G66:G67" si="113">SUM(E66:F66)</f>
        <v>10000</v>
      </c>
      <c r="H66" s="51">
        <v>0</v>
      </c>
      <c r="I66" s="51">
        <v>10000</v>
      </c>
      <c r="J66" s="51">
        <f t="shared" ref="J66:J67" si="114">SUM(H66:I66)</f>
        <v>10000</v>
      </c>
      <c r="K66" s="52">
        <v>0</v>
      </c>
      <c r="L66" s="52">
        <v>10000</v>
      </c>
      <c r="M66" s="52">
        <f t="shared" ref="M66:M67" si="115">SUM(K66:L66)</f>
        <v>10000</v>
      </c>
      <c r="N66" s="51">
        <v>0</v>
      </c>
      <c r="O66" s="51">
        <v>0</v>
      </c>
      <c r="P66" s="51">
        <f t="shared" ref="P66:P67" si="116">SUM(N66:O66)</f>
        <v>0</v>
      </c>
      <c r="Q66" s="51">
        <f t="shared" si="110"/>
        <v>0</v>
      </c>
      <c r="R66" s="51">
        <f t="shared" si="111"/>
        <v>30000</v>
      </c>
      <c r="S66" s="51">
        <f t="shared" si="112"/>
        <v>30000</v>
      </c>
      <c r="T66" s="48"/>
    </row>
    <row r="67" spans="2:20" s="49" customFormat="1" ht="48" x14ac:dyDescent="0.25">
      <c r="B67" s="43" t="s">
        <v>69</v>
      </c>
      <c r="C67" s="50" t="s">
        <v>20</v>
      </c>
      <c r="D67" s="50" t="s">
        <v>100</v>
      </c>
      <c r="E67" s="51">
        <v>0</v>
      </c>
      <c r="F67" s="51">
        <v>3000</v>
      </c>
      <c r="G67" s="51">
        <f t="shared" si="113"/>
        <v>3000</v>
      </c>
      <c r="H67" s="51">
        <v>0</v>
      </c>
      <c r="I67" s="51">
        <v>3000</v>
      </c>
      <c r="J67" s="51">
        <f t="shared" si="114"/>
        <v>3000</v>
      </c>
      <c r="K67" s="52">
        <v>0</v>
      </c>
      <c r="L67" s="52">
        <v>3000</v>
      </c>
      <c r="M67" s="52">
        <f t="shared" si="115"/>
        <v>3000</v>
      </c>
      <c r="N67" s="51">
        <v>0</v>
      </c>
      <c r="O67" s="51">
        <v>0</v>
      </c>
      <c r="P67" s="51">
        <f t="shared" si="116"/>
        <v>0</v>
      </c>
      <c r="Q67" s="51">
        <f t="shared" si="110"/>
        <v>0</v>
      </c>
      <c r="R67" s="51">
        <f t="shared" si="111"/>
        <v>9000</v>
      </c>
      <c r="S67" s="51">
        <f t="shared" si="112"/>
        <v>9000</v>
      </c>
      <c r="T67" s="48"/>
    </row>
    <row r="68" spans="2:20" s="49" customFormat="1" ht="24" x14ac:dyDescent="0.25">
      <c r="B68" s="43" t="s">
        <v>116</v>
      </c>
      <c r="C68" s="50" t="s">
        <v>10</v>
      </c>
      <c r="D68" s="50" t="s">
        <v>118</v>
      </c>
      <c r="E68" s="51">
        <f>(590826*5)*0.3</f>
        <v>886239</v>
      </c>
      <c r="F68" s="51">
        <v>0</v>
      </c>
      <c r="G68" s="51">
        <f t="shared" ref="G68" si="117">SUM(E68:F68)</f>
        <v>886239</v>
      </c>
      <c r="H68" s="51">
        <f>(590826*5)*0.4</f>
        <v>1181652</v>
      </c>
      <c r="I68" s="51"/>
      <c r="J68" s="51">
        <f t="shared" ref="J68" si="118">SUM(H68:I68)</f>
        <v>1181652</v>
      </c>
      <c r="K68" s="51">
        <f>(590826*5)*0.3</f>
        <v>886239</v>
      </c>
      <c r="L68" s="52"/>
      <c r="M68" s="52">
        <f t="shared" ref="M68" si="119">SUM(K68:L68)</f>
        <v>886239</v>
      </c>
      <c r="N68" s="51"/>
      <c r="O68" s="51"/>
      <c r="P68" s="51">
        <f t="shared" ref="P68" si="120">SUM(N68:O68)</f>
        <v>0</v>
      </c>
      <c r="Q68" s="51">
        <f t="shared" ref="Q68" si="121">E68+H68+K68+N68</f>
        <v>2954130</v>
      </c>
      <c r="R68" s="51">
        <f t="shared" ref="R68" si="122">F68+I68+L68+O68</f>
        <v>0</v>
      </c>
      <c r="S68" s="51">
        <f t="shared" ref="S68" si="123">G68+J68+M68+P68</f>
        <v>2954130</v>
      </c>
      <c r="T68" s="48"/>
    </row>
    <row r="69" spans="2:20" s="49" customFormat="1" ht="24" x14ac:dyDescent="0.25">
      <c r="B69" s="43" t="s">
        <v>117</v>
      </c>
      <c r="C69" s="50" t="s">
        <v>10</v>
      </c>
      <c r="D69" s="50" t="s">
        <v>119</v>
      </c>
      <c r="E69" s="51">
        <v>2067891</v>
      </c>
      <c r="F69" s="51">
        <v>231250.1</v>
      </c>
      <c r="G69" s="51">
        <f t="shared" ref="G69:G73" si="124">SUM(E69:F69)</f>
        <v>2299141.1</v>
      </c>
      <c r="H69" s="51">
        <v>2563348</v>
      </c>
      <c r="I69" s="51">
        <v>255539</v>
      </c>
      <c r="J69" s="51">
        <f t="shared" ref="J69:J73" si="125">SUM(H69:I69)</f>
        <v>2818887</v>
      </c>
      <c r="K69" s="52">
        <v>3113761</v>
      </c>
      <c r="L69" s="52">
        <v>0</v>
      </c>
      <c r="M69" s="52">
        <f t="shared" ref="M69:M73" si="126">SUM(K69:L69)</f>
        <v>3113761</v>
      </c>
      <c r="N69" s="51">
        <v>73511</v>
      </c>
      <c r="O69" s="51">
        <v>7031</v>
      </c>
      <c r="P69" s="51">
        <f t="shared" ref="P69:P73" si="127">SUM(N69:O69)</f>
        <v>80542</v>
      </c>
      <c r="Q69" s="51">
        <f t="shared" si="110"/>
        <v>7818511</v>
      </c>
      <c r="R69" s="51">
        <f t="shared" si="111"/>
        <v>493820.1</v>
      </c>
      <c r="S69" s="51">
        <f t="shared" si="112"/>
        <v>8312331.0999999996</v>
      </c>
      <c r="T69" s="48"/>
    </row>
    <row r="70" spans="2:20" s="49" customFormat="1" ht="60" x14ac:dyDescent="0.25">
      <c r="B70" s="43" t="s">
        <v>70</v>
      </c>
      <c r="C70" s="50" t="s">
        <v>21</v>
      </c>
      <c r="D70" s="50" t="s">
        <v>101</v>
      </c>
      <c r="E70" s="51">
        <v>100000</v>
      </c>
      <c r="F70" s="51">
        <f t="shared" ref="F70" si="128">E70*0.07</f>
        <v>7000.0000000000009</v>
      </c>
      <c r="G70" s="51">
        <f>SUM(E70:F70)</f>
        <v>107000</v>
      </c>
      <c r="H70" s="51">
        <v>100000</v>
      </c>
      <c r="I70" s="51">
        <f t="shared" ref="I70" si="129">H70*0.07</f>
        <v>7000.0000000000009</v>
      </c>
      <c r="J70" s="51">
        <f>SUM(H70:I70)</f>
        <v>107000</v>
      </c>
      <c r="K70" s="52">
        <v>0</v>
      </c>
      <c r="L70" s="52">
        <v>0</v>
      </c>
      <c r="M70" s="52">
        <f t="shared" si="126"/>
        <v>0</v>
      </c>
      <c r="N70" s="51">
        <v>0</v>
      </c>
      <c r="O70" s="51">
        <v>0</v>
      </c>
      <c r="P70" s="51">
        <f t="shared" si="127"/>
        <v>0</v>
      </c>
      <c r="Q70" s="51">
        <f t="shared" si="110"/>
        <v>200000</v>
      </c>
      <c r="R70" s="51">
        <f t="shared" si="111"/>
        <v>14000.000000000002</v>
      </c>
      <c r="S70" s="51">
        <f t="shared" si="112"/>
        <v>214000</v>
      </c>
      <c r="T70" s="48"/>
    </row>
    <row r="71" spans="2:20" s="49" customFormat="1" ht="60" x14ac:dyDescent="0.25">
      <c r="B71" s="43" t="s">
        <v>71</v>
      </c>
      <c r="C71" s="50" t="s">
        <v>20</v>
      </c>
      <c r="D71" s="50" t="s">
        <v>101</v>
      </c>
      <c r="E71" s="51">
        <v>0</v>
      </c>
      <c r="F71" s="51">
        <v>2000</v>
      </c>
      <c r="G71" s="51">
        <f t="shared" ref="G71:G72" si="130">SUM(E71:F71)</f>
        <v>2000</v>
      </c>
      <c r="H71" s="51">
        <v>0</v>
      </c>
      <c r="I71" s="51">
        <v>5000</v>
      </c>
      <c r="J71" s="51">
        <f t="shared" ref="J71:J72" si="131">SUM(H71:I71)</f>
        <v>5000</v>
      </c>
      <c r="K71" s="52">
        <v>0</v>
      </c>
      <c r="L71" s="52">
        <v>0</v>
      </c>
      <c r="M71" s="52">
        <f t="shared" ref="M71:M72" si="132">SUM(K71:L71)</f>
        <v>0</v>
      </c>
      <c r="N71" s="51">
        <v>0</v>
      </c>
      <c r="O71" s="51">
        <v>0</v>
      </c>
      <c r="P71" s="51">
        <f t="shared" ref="P71:P72" si="133">SUM(N71:O71)</f>
        <v>0</v>
      </c>
      <c r="Q71" s="51">
        <f t="shared" si="110"/>
        <v>0</v>
      </c>
      <c r="R71" s="51">
        <f t="shared" si="111"/>
        <v>7000</v>
      </c>
      <c r="S71" s="51">
        <f t="shared" si="112"/>
        <v>7000</v>
      </c>
      <c r="T71" s="48"/>
    </row>
    <row r="72" spans="2:20" s="49" customFormat="1" ht="60" x14ac:dyDescent="0.25">
      <c r="B72" s="43" t="s">
        <v>72</v>
      </c>
      <c r="C72" s="50" t="s">
        <v>20</v>
      </c>
      <c r="D72" s="50" t="s">
        <v>101</v>
      </c>
      <c r="E72" s="51">
        <v>0</v>
      </c>
      <c r="F72" s="51">
        <v>1000</v>
      </c>
      <c r="G72" s="51">
        <f t="shared" si="130"/>
        <v>1000</v>
      </c>
      <c r="H72" s="51">
        <v>0</v>
      </c>
      <c r="I72" s="51">
        <v>3000</v>
      </c>
      <c r="J72" s="51">
        <f t="shared" si="131"/>
        <v>3000</v>
      </c>
      <c r="K72" s="52">
        <v>0</v>
      </c>
      <c r="L72" s="52">
        <v>0</v>
      </c>
      <c r="M72" s="52">
        <f t="shared" si="132"/>
        <v>0</v>
      </c>
      <c r="N72" s="51">
        <v>0</v>
      </c>
      <c r="O72" s="51">
        <v>0</v>
      </c>
      <c r="P72" s="51">
        <f t="shared" si="133"/>
        <v>0</v>
      </c>
      <c r="Q72" s="51">
        <f t="shared" si="110"/>
        <v>0</v>
      </c>
      <c r="R72" s="51">
        <f t="shared" si="111"/>
        <v>4000</v>
      </c>
      <c r="S72" s="51">
        <f t="shared" si="112"/>
        <v>4000</v>
      </c>
      <c r="T72" s="48"/>
    </row>
    <row r="73" spans="2:20" s="49" customFormat="1" ht="24" x14ac:dyDescent="0.25">
      <c r="B73" s="43" t="s">
        <v>113</v>
      </c>
      <c r="C73" s="50" t="s">
        <v>20</v>
      </c>
      <c r="D73" s="50" t="s">
        <v>102</v>
      </c>
      <c r="E73" s="51">
        <v>0</v>
      </c>
      <c r="F73" s="51">
        <v>20000</v>
      </c>
      <c r="G73" s="51">
        <f t="shared" si="124"/>
        <v>20000</v>
      </c>
      <c r="H73" s="51">
        <v>0</v>
      </c>
      <c r="I73" s="51">
        <v>20000</v>
      </c>
      <c r="J73" s="51">
        <f t="shared" si="125"/>
        <v>20000</v>
      </c>
      <c r="K73" s="52">
        <v>0</v>
      </c>
      <c r="L73" s="52">
        <v>20000</v>
      </c>
      <c r="M73" s="52">
        <f t="shared" si="126"/>
        <v>20000</v>
      </c>
      <c r="N73" s="51">
        <v>0</v>
      </c>
      <c r="O73" s="51">
        <v>20000</v>
      </c>
      <c r="P73" s="51">
        <f t="shared" si="127"/>
        <v>20000</v>
      </c>
      <c r="Q73" s="51">
        <f t="shared" si="110"/>
        <v>0</v>
      </c>
      <c r="R73" s="51">
        <f t="shared" si="111"/>
        <v>80000</v>
      </c>
      <c r="S73" s="51">
        <f t="shared" si="112"/>
        <v>80000</v>
      </c>
      <c r="T73" s="48"/>
    </row>
    <row r="74" spans="2:20" s="49" customFormat="1" x14ac:dyDescent="0.25">
      <c r="B74" s="45" t="s">
        <v>73</v>
      </c>
      <c r="C74" s="54"/>
      <c r="D74" s="46"/>
      <c r="E74" s="44">
        <f t="shared" ref="E74:S74" si="134">SUM(E75:E77)</f>
        <v>941683.68</v>
      </c>
      <c r="F74" s="44">
        <f t="shared" si="134"/>
        <v>0</v>
      </c>
      <c r="G74" s="44">
        <f t="shared" si="134"/>
        <v>941683.68</v>
      </c>
      <c r="H74" s="44">
        <f t="shared" si="134"/>
        <v>1815881.76</v>
      </c>
      <c r="I74" s="44">
        <f t="shared" si="134"/>
        <v>0</v>
      </c>
      <c r="J74" s="44">
        <f t="shared" si="134"/>
        <v>1815881.76</v>
      </c>
      <c r="K74" s="47">
        <f t="shared" si="134"/>
        <v>2802558.02</v>
      </c>
      <c r="L74" s="47">
        <f t="shared" si="134"/>
        <v>478800</v>
      </c>
      <c r="M74" s="47">
        <f t="shared" si="134"/>
        <v>3281358.02</v>
      </c>
      <c r="N74" s="44">
        <f t="shared" si="134"/>
        <v>3361412.58</v>
      </c>
      <c r="O74" s="44">
        <f t="shared" si="134"/>
        <v>453600</v>
      </c>
      <c r="P74" s="44">
        <f t="shared" si="134"/>
        <v>3815012.58</v>
      </c>
      <c r="Q74" s="44">
        <f t="shared" si="134"/>
        <v>8921536.0399999991</v>
      </c>
      <c r="R74" s="44">
        <f t="shared" si="134"/>
        <v>932400</v>
      </c>
      <c r="S74" s="44">
        <f t="shared" si="134"/>
        <v>9853936.0399999991</v>
      </c>
      <c r="T74" s="48"/>
    </row>
    <row r="75" spans="2:20" s="49" customFormat="1" ht="48" x14ac:dyDescent="0.25">
      <c r="B75" s="43" t="s">
        <v>114</v>
      </c>
      <c r="C75" s="50" t="s">
        <v>25</v>
      </c>
      <c r="D75" s="50" t="s">
        <v>103</v>
      </c>
      <c r="E75" s="51">
        <f>(42*12*314)</f>
        <v>158256</v>
      </c>
      <c r="F75" s="51">
        <v>0</v>
      </c>
      <c r="G75" s="51">
        <f>SUM(E75:F75)</f>
        <v>158256</v>
      </c>
      <c r="H75" s="51">
        <f>(42*12*1098)</f>
        <v>553392</v>
      </c>
      <c r="I75" s="51">
        <v>0</v>
      </c>
      <c r="J75" s="51">
        <f>SUM(H75:I75)</f>
        <v>553392</v>
      </c>
      <c r="K75" s="52">
        <f>(42*12*(2196+225))</f>
        <v>1220184</v>
      </c>
      <c r="L75" s="52">
        <v>0</v>
      </c>
      <c r="M75" s="52">
        <f>SUM(K75:L75)</f>
        <v>1220184</v>
      </c>
      <c r="N75" s="51">
        <f>(42*12*(3074+375))</f>
        <v>1738296</v>
      </c>
      <c r="O75" s="51">
        <v>0</v>
      </c>
      <c r="P75" s="51">
        <f>SUM(N75:O75)</f>
        <v>1738296</v>
      </c>
      <c r="Q75" s="51">
        <f t="shared" ref="Q75:Q77" si="135">E75+H75+K75+N75</f>
        <v>3670128</v>
      </c>
      <c r="R75" s="51">
        <f t="shared" ref="R75:R77" si="136">F75+I75+L75+O75</f>
        <v>0</v>
      </c>
      <c r="S75" s="51">
        <f t="shared" ref="S75:S77" si="137">G75+J75+M75+P75</f>
        <v>3670128</v>
      </c>
      <c r="T75" s="48"/>
    </row>
    <row r="76" spans="2:20" s="49" customFormat="1" ht="48" x14ac:dyDescent="0.25">
      <c r="B76" s="43" t="s">
        <v>115</v>
      </c>
      <c r="C76" s="50" t="s">
        <v>25</v>
      </c>
      <c r="D76" s="50" t="s">
        <v>103</v>
      </c>
      <c r="E76" s="51">
        <f>(42*12*1500)</f>
        <v>756000</v>
      </c>
      <c r="F76" s="51">
        <v>0</v>
      </c>
      <c r="G76" s="51">
        <f>SUM(E76:F76)</f>
        <v>756000</v>
      </c>
      <c r="H76" s="51">
        <f>42*12*2400</f>
        <v>1209600</v>
      </c>
      <c r="I76" s="51">
        <v>0</v>
      </c>
      <c r="J76" s="51">
        <f>SUM(H76:I76)</f>
        <v>1209600</v>
      </c>
      <c r="K76" s="52">
        <f>42*12*2950</f>
        <v>1486800</v>
      </c>
      <c r="L76" s="52">
        <f>42*12*950</f>
        <v>478800</v>
      </c>
      <c r="M76" s="52">
        <f>SUM(K76:L76)</f>
        <v>1965600</v>
      </c>
      <c r="N76" s="51">
        <f>42*12*3000</f>
        <v>1512000</v>
      </c>
      <c r="O76" s="51">
        <f>42*12*900</f>
        <v>453600</v>
      </c>
      <c r="P76" s="51">
        <f>SUM(N76:O76)</f>
        <v>1965600</v>
      </c>
      <c r="Q76" s="51">
        <f t="shared" si="135"/>
        <v>4964400</v>
      </c>
      <c r="R76" s="51">
        <f t="shared" si="136"/>
        <v>932400</v>
      </c>
      <c r="S76" s="51">
        <f t="shared" si="137"/>
        <v>5896800</v>
      </c>
      <c r="T76" s="55"/>
    </row>
    <row r="77" spans="2:20" s="49" customFormat="1" ht="44.45" customHeight="1" x14ac:dyDescent="0.25">
      <c r="B77" s="43" t="s">
        <v>74</v>
      </c>
      <c r="C77" s="50" t="s">
        <v>20</v>
      </c>
      <c r="D77" s="50" t="s">
        <v>104</v>
      </c>
      <c r="E77" s="51">
        <f>(G75+G76)*0.03</f>
        <v>27427.68</v>
      </c>
      <c r="F77" s="51">
        <v>0</v>
      </c>
      <c r="G77" s="51">
        <f>SUM(E77:F77)</f>
        <v>27427.68</v>
      </c>
      <c r="H77" s="51">
        <f>(J75+J76)*0.03</f>
        <v>52889.759999999995</v>
      </c>
      <c r="I77" s="51">
        <v>0</v>
      </c>
      <c r="J77" s="51">
        <f>SUM(H77:I77)</f>
        <v>52889.759999999995</v>
      </c>
      <c r="K77" s="52">
        <f>(M75+M76)*0.03+0.5</f>
        <v>95574.01999999999</v>
      </c>
      <c r="L77" s="52">
        <v>0</v>
      </c>
      <c r="M77" s="52">
        <f>SUM(K77:L77)</f>
        <v>95574.01999999999</v>
      </c>
      <c r="N77" s="51">
        <f>(P75+P76)*0.03-0.3</f>
        <v>111116.57999999999</v>
      </c>
      <c r="O77" s="51">
        <v>0</v>
      </c>
      <c r="P77" s="51">
        <f>SUM(N77:O77)</f>
        <v>111116.57999999999</v>
      </c>
      <c r="Q77" s="51">
        <f t="shared" si="135"/>
        <v>287008.03999999998</v>
      </c>
      <c r="R77" s="51">
        <f t="shared" si="136"/>
        <v>0</v>
      </c>
      <c r="S77" s="51">
        <f t="shared" si="137"/>
        <v>287008.03999999998</v>
      </c>
      <c r="T77" s="48"/>
    </row>
    <row r="78" spans="2:20" s="14" customFormat="1" x14ac:dyDescent="0.25">
      <c r="B78" s="9" t="s">
        <v>75</v>
      </c>
      <c r="C78" s="9"/>
      <c r="D78" s="30"/>
      <c r="E78" s="11">
        <f t="shared" ref="E78:S78" si="138">SUM(E79:E81)</f>
        <v>375000</v>
      </c>
      <c r="F78" s="11">
        <f t="shared" si="138"/>
        <v>26250</v>
      </c>
      <c r="G78" s="11">
        <f t="shared" si="138"/>
        <v>401250</v>
      </c>
      <c r="H78" s="11">
        <f t="shared" si="138"/>
        <v>600000</v>
      </c>
      <c r="I78" s="11">
        <f t="shared" si="138"/>
        <v>42000</v>
      </c>
      <c r="J78" s="11">
        <f t="shared" si="138"/>
        <v>642000</v>
      </c>
      <c r="K78" s="36">
        <f t="shared" si="138"/>
        <v>125000</v>
      </c>
      <c r="L78" s="36">
        <f t="shared" si="138"/>
        <v>8750</v>
      </c>
      <c r="M78" s="36">
        <f t="shared" si="138"/>
        <v>133750</v>
      </c>
      <c r="N78" s="11">
        <f t="shared" si="138"/>
        <v>500000</v>
      </c>
      <c r="O78" s="11">
        <f t="shared" si="138"/>
        <v>35000</v>
      </c>
      <c r="P78" s="11">
        <f t="shared" si="138"/>
        <v>535000</v>
      </c>
      <c r="Q78" s="11">
        <f t="shared" si="138"/>
        <v>1600000</v>
      </c>
      <c r="R78" s="11">
        <f t="shared" si="138"/>
        <v>112000</v>
      </c>
      <c r="S78" s="11">
        <f t="shared" si="138"/>
        <v>1712000</v>
      </c>
      <c r="T78" s="24"/>
    </row>
    <row r="79" spans="2:20" s="49" customFormat="1" ht="24" x14ac:dyDescent="0.25">
      <c r="B79" s="43" t="s">
        <v>77</v>
      </c>
      <c r="C79" s="50" t="s">
        <v>20</v>
      </c>
      <c r="D79" s="50"/>
      <c r="E79" s="51">
        <v>250000</v>
      </c>
      <c r="F79" s="51">
        <f>E79*0.07</f>
        <v>17500</v>
      </c>
      <c r="G79" s="51">
        <f>SUM(E79:F79)</f>
        <v>267500</v>
      </c>
      <c r="H79" s="51">
        <v>100000</v>
      </c>
      <c r="I79" s="51">
        <f>H79*0.07</f>
        <v>7000.0000000000009</v>
      </c>
      <c r="J79" s="51">
        <f>SUM(H79:I79)</f>
        <v>107000</v>
      </c>
      <c r="K79" s="52">
        <v>0</v>
      </c>
      <c r="L79" s="52">
        <v>0</v>
      </c>
      <c r="M79" s="52">
        <f t="shared" ref="M79:M81" si="139">SUM(K79:L79)</f>
        <v>0</v>
      </c>
      <c r="N79" s="51">
        <v>0</v>
      </c>
      <c r="O79" s="51">
        <v>0</v>
      </c>
      <c r="P79" s="51">
        <f t="shared" ref="P79" si="140">SUM(N79:O79)</f>
        <v>0</v>
      </c>
      <c r="Q79" s="51">
        <f t="shared" ref="Q79:Q81" si="141">E79+H79+K79+N79</f>
        <v>350000</v>
      </c>
      <c r="R79" s="51">
        <f t="shared" ref="R79:R81" si="142">F79+I79+L79+O79</f>
        <v>24500</v>
      </c>
      <c r="S79" s="51">
        <f t="shared" ref="S79:S81" si="143">G79+J79+M79+P79</f>
        <v>374500</v>
      </c>
      <c r="T79" s="48"/>
    </row>
    <row r="80" spans="2:20" s="49" customFormat="1" x14ac:dyDescent="0.25">
      <c r="B80" s="43" t="s">
        <v>76</v>
      </c>
      <c r="C80" s="50" t="s">
        <v>21</v>
      </c>
      <c r="D80" s="50"/>
      <c r="E80" s="51">
        <f>25000*5</f>
        <v>125000</v>
      </c>
      <c r="F80" s="51">
        <f>E80*0.07</f>
        <v>8750</v>
      </c>
      <c r="G80" s="51">
        <f t="shared" ref="G80:G81" si="144">SUM(E80:F80)</f>
        <v>133750</v>
      </c>
      <c r="H80" s="51">
        <f>25000*5</f>
        <v>125000</v>
      </c>
      <c r="I80" s="51">
        <f>H80*0.07</f>
        <v>8750</v>
      </c>
      <c r="J80" s="51">
        <f t="shared" ref="J80:J81" si="145">SUM(H80:I80)</f>
        <v>133750</v>
      </c>
      <c r="K80" s="52">
        <f>25000*5</f>
        <v>125000</v>
      </c>
      <c r="L80" s="52">
        <f>K80*0.07</f>
        <v>8750</v>
      </c>
      <c r="M80" s="52">
        <f t="shared" si="139"/>
        <v>133750</v>
      </c>
      <c r="N80" s="51">
        <f>25000*5</f>
        <v>125000</v>
      </c>
      <c r="O80" s="51">
        <f>N80*0.07</f>
        <v>8750</v>
      </c>
      <c r="P80" s="51">
        <f t="shared" ref="P80:P81" si="146">SUM(N80:O80)</f>
        <v>133750</v>
      </c>
      <c r="Q80" s="51">
        <f t="shared" si="141"/>
        <v>500000</v>
      </c>
      <c r="R80" s="51">
        <f t="shared" si="142"/>
        <v>35000</v>
      </c>
      <c r="S80" s="51">
        <f t="shared" si="143"/>
        <v>535000</v>
      </c>
      <c r="T80" s="48"/>
    </row>
    <row r="81" spans="2:20" s="49" customFormat="1" x14ac:dyDescent="0.25">
      <c r="B81" s="43" t="s">
        <v>78</v>
      </c>
      <c r="C81" s="50" t="s">
        <v>21</v>
      </c>
      <c r="D81" s="50"/>
      <c r="E81" s="51">
        <v>0</v>
      </c>
      <c r="F81" s="51">
        <v>0</v>
      </c>
      <c r="G81" s="51">
        <f t="shared" si="144"/>
        <v>0</v>
      </c>
      <c r="H81" s="51">
        <v>375000</v>
      </c>
      <c r="I81" s="51">
        <f>H81*0.07</f>
        <v>26250.000000000004</v>
      </c>
      <c r="J81" s="51">
        <f t="shared" si="145"/>
        <v>401250</v>
      </c>
      <c r="K81" s="52">
        <v>0</v>
      </c>
      <c r="L81" s="52">
        <v>0</v>
      </c>
      <c r="M81" s="52">
        <f t="shared" si="139"/>
        <v>0</v>
      </c>
      <c r="N81" s="51">
        <v>375000</v>
      </c>
      <c r="O81" s="51">
        <f>N81*0.07</f>
        <v>26250.000000000004</v>
      </c>
      <c r="P81" s="51">
        <f t="shared" si="146"/>
        <v>401250</v>
      </c>
      <c r="Q81" s="51">
        <f t="shared" si="141"/>
        <v>750000</v>
      </c>
      <c r="R81" s="51">
        <f t="shared" si="142"/>
        <v>52500.000000000007</v>
      </c>
      <c r="S81" s="51">
        <f t="shared" si="143"/>
        <v>802500</v>
      </c>
      <c r="T81" s="48"/>
    </row>
    <row r="82" spans="2:20" s="14" customFormat="1" x14ac:dyDescent="0.25">
      <c r="B82" s="16" t="s">
        <v>3</v>
      </c>
      <c r="C82" s="16"/>
      <c r="D82" s="31"/>
      <c r="E82" s="18">
        <f t="shared" ref="E82:S82" si="147">E6+E36+E55+E78</f>
        <v>10999999.68</v>
      </c>
      <c r="F82" s="18">
        <f t="shared" si="147"/>
        <v>1000000</v>
      </c>
      <c r="G82" s="18">
        <f t="shared" si="147"/>
        <v>11999999.68</v>
      </c>
      <c r="H82" s="18">
        <f t="shared" si="147"/>
        <v>17500000.259999998</v>
      </c>
      <c r="I82" s="18">
        <f t="shared" si="147"/>
        <v>3000000</v>
      </c>
      <c r="J82" s="18">
        <f t="shared" si="147"/>
        <v>20500000.259999998</v>
      </c>
      <c r="K82" s="38">
        <f t="shared" si="147"/>
        <v>15500000.02</v>
      </c>
      <c r="L82" s="38">
        <f t="shared" si="147"/>
        <v>3000000</v>
      </c>
      <c r="M82" s="38">
        <f t="shared" si="147"/>
        <v>18500000.02</v>
      </c>
      <c r="N82" s="18">
        <f t="shared" si="147"/>
        <v>5999999.5800000001</v>
      </c>
      <c r="O82" s="18">
        <f t="shared" si="147"/>
        <v>3000000</v>
      </c>
      <c r="P82" s="18">
        <f t="shared" si="147"/>
        <v>8999999.5800000001</v>
      </c>
      <c r="Q82" s="18">
        <f t="shared" si="147"/>
        <v>49999999.539999999</v>
      </c>
      <c r="R82" s="18">
        <f t="shared" si="147"/>
        <v>10000000</v>
      </c>
      <c r="S82" s="18">
        <f t="shared" si="147"/>
        <v>59999999.539999999</v>
      </c>
      <c r="T82" s="24"/>
    </row>
    <row r="83" spans="2:20" x14ac:dyDescent="0.25">
      <c r="E83" s="34"/>
      <c r="F83" s="34"/>
      <c r="G83" s="34"/>
      <c r="H83" s="34"/>
    </row>
    <row r="84" spans="2:20" x14ac:dyDescent="0.25">
      <c r="E84" s="39"/>
      <c r="F84" s="39"/>
      <c r="G84" s="39"/>
      <c r="H84" s="39"/>
      <c r="I84" s="40"/>
      <c r="J84" s="56">
        <f>J63/J82</f>
        <v>0.13062438858720288</v>
      </c>
      <c r="K84" s="40"/>
      <c r="L84" s="40"/>
      <c r="M84" s="56">
        <f>M63/M82</f>
        <v>0.14474594578946384</v>
      </c>
      <c r="N84" s="40"/>
      <c r="O84" s="40"/>
      <c r="P84" s="56">
        <f>P63/P82</f>
        <v>0.29753334721822289</v>
      </c>
    </row>
    <row r="85" spans="2:20" x14ac:dyDescent="0.25">
      <c r="E85" s="39"/>
      <c r="F85" s="39"/>
      <c r="G85" s="39"/>
      <c r="H85" s="39"/>
      <c r="I85" s="40"/>
      <c r="J85" s="40"/>
      <c r="K85" s="40"/>
      <c r="L85" s="40"/>
      <c r="M85" s="40"/>
      <c r="N85" s="40"/>
      <c r="O85" s="40"/>
    </row>
    <row r="86" spans="2:20" x14ac:dyDescent="0.25">
      <c r="E86" s="39"/>
      <c r="F86" s="39"/>
      <c r="G86" s="39"/>
      <c r="H86" s="39"/>
      <c r="I86" s="40"/>
      <c r="J86" s="40"/>
      <c r="K86" s="40"/>
      <c r="L86" s="40"/>
      <c r="M86" s="40"/>
      <c r="N86" s="40"/>
      <c r="O86" s="40"/>
    </row>
    <row r="87" spans="2:20" x14ac:dyDescent="0.25">
      <c r="E87" s="39"/>
      <c r="F87" s="39"/>
      <c r="G87" s="39"/>
      <c r="H87" s="39"/>
      <c r="I87" s="40"/>
      <c r="J87" s="40"/>
      <c r="K87" s="40"/>
      <c r="L87" s="40"/>
      <c r="M87" s="40"/>
      <c r="N87" s="40"/>
      <c r="O87" s="40"/>
    </row>
    <row r="88" spans="2:20" x14ac:dyDescent="0.25">
      <c r="E88" s="39"/>
      <c r="F88" s="39"/>
      <c r="G88" s="39"/>
      <c r="H88" s="39"/>
      <c r="I88" s="40"/>
      <c r="J88" s="40"/>
      <c r="K88" s="41"/>
      <c r="L88" s="41"/>
      <c r="M88" s="41"/>
      <c r="N88" s="41"/>
      <c r="O88" s="40"/>
    </row>
    <row r="89" spans="2:20" x14ac:dyDescent="0.25">
      <c r="E89" s="39"/>
      <c r="F89" s="39"/>
      <c r="G89" s="39"/>
      <c r="H89" s="39"/>
      <c r="I89" s="40"/>
      <c r="J89" s="40"/>
      <c r="K89" s="42"/>
      <c r="L89" s="42"/>
      <c r="M89" s="42"/>
      <c r="N89" s="42"/>
      <c r="O89" s="40"/>
    </row>
    <row r="90" spans="2:20" x14ac:dyDescent="0.25">
      <c r="E90" s="39"/>
      <c r="F90" s="39"/>
      <c r="G90" s="39"/>
      <c r="H90" s="39"/>
      <c r="I90" s="40"/>
      <c r="J90" s="40"/>
      <c r="K90" s="40"/>
      <c r="L90" s="40"/>
      <c r="M90" s="40"/>
      <c r="N90" s="40"/>
      <c r="O90" s="40"/>
    </row>
    <row r="91" spans="2:20" x14ac:dyDescent="0.25">
      <c r="E91" s="39"/>
      <c r="F91" s="39"/>
      <c r="G91" s="39"/>
      <c r="H91" s="39"/>
      <c r="I91" s="40"/>
      <c r="J91" s="40"/>
      <c r="K91" s="40"/>
      <c r="L91" s="40"/>
      <c r="M91" s="40"/>
      <c r="N91" s="40"/>
      <c r="O91" s="40"/>
    </row>
    <row r="92" spans="2:20" x14ac:dyDescent="0.25">
      <c r="E92" s="39"/>
      <c r="F92" s="39"/>
      <c r="G92" s="39"/>
      <c r="H92" s="39"/>
      <c r="I92" s="40"/>
      <c r="J92" s="40"/>
      <c r="K92" s="40"/>
      <c r="L92" s="40"/>
      <c r="M92" s="40"/>
      <c r="N92" s="40"/>
      <c r="O92" s="40"/>
    </row>
    <row r="93" spans="2:20" x14ac:dyDescent="0.25">
      <c r="E93" s="39"/>
      <c r="F93" s="39"/>
      <c r="G93" s="39"/>
      <c r="H93" s="39"/>
      <c r="I93" s="40"/>
      <c r="J93" s="40"/>
      <c r="K93" s="41"/>
      <c r="L93" s="41"/>
      <c r="M93" s="41"/>
      <c r="N93" s="41"/>
      <c r="O93" s="40"/>
    </row>
    <row r="94" spans="2:20" x14ac:dyDescent="0.25">
      <c r="E94" s="39"/>
      <c r="F94" s="39"/>
      <c r="G94" s="39"/>
      <c r="H94" s="39"/>
      <c r="I94" s="40"/>
      <c r="J94" s="40"/>
      <c r="K94" s="42"/>
      <c r="L94" s="42"/>
      <c r="M94" s="42"/>
      <c r="N94" s="42"/>
      <c r="O94" s="40"/>
    </row>
    <row r="95" spans="2:20" x14ac:dyDescent="0.25">
      <c r="E95" s="39"/>
      <c r="F95" s="39"/>
      <c r="G95" s="39"/>
      <c r="H95" s="39"/>
      <c r="I95" s="40"/>
      <c r="J95" s="40"/>
      <c r="K95" s="40"/>
      <c r="L95" s="40"/>
      <c r="M95" s="40"/>
      <c r="N95" s="40"/>
      <c r="O95" s="40"/>
    </row>
    <row r="96" spans="2:20" x14ac:dyDescent="0.25">
      <c r="E96" s="39"/>
      <c r="F96" s="39"/>
      <c r="G96" s="39"/>
      <c r="H96" s="39"/>
      <c r="I96" s="40"/>
      <c r="J96" s="40"/>
      <c r="K96" s="40"/>
      <c r="L96" s="40"/>
      <c r="M96" s="40"/>
      <c r="N96" s="40"/>
      <c r="O96" s="40"/>
    </row>
    <row r="97" spans="5:15" x14ac:dyDescent="0.25">
      <c r="E97" s="39"/>
      <c r="F97" s="39"/>
      <c r="G97" s="39"/>
      <c r="H97" s="39"/>
      <c r="I97" s="40"/>
      <c r="J97" s="40"/>
      <c r="K97" s="40"/>
      <c r="L97" s="40"/>
      <c r="M97" s="40"/>
      <c r="N97" s="40"/>
      <c r="O97" s="40"/>
    </row>
    <row r="98" spans="5:15" x14ac:dyDescent="0.25">
      <c r="E98" s="39"/>
      <c r="F98" s="39"/>
      <c r="G98" s="39"/>
      <c r="H98" s="39"/>
      <c r="I98" s="40"/>
      <c r="J98" s="40"/>
      <c r="K98" s="40"/>
      <c r="L98" s="40"/>
      <c r="M98" s="40"/>
      <c r="N98" s="40"/>
      <c r="O98" s="40"/>
    </row>
    <row r="99" spans="5:15" x14ac:dyDescent="0.25">
      <c r="E99" s="39"/>
      <c r="F99" s="39"/>
      <c r="G99" s="39"/>
      <c r="H99" s="39"/>
      <c r="I99" s="40"/>
      <c r="J99" s="40"/>
      <c r="K99" s="40"/>
      <c r="L99" s="40"/>
      <c r="M99" s="40"/>
      <c r="N99" s="40"/>
      <c r="O99" s="40"/>
    </row>
    <row r="100" spans="5:15" x14ac:dyDescent="0.25">
      <c r="E100" s="39"/>
      <c r="F100" s="39"/>
      <c r="G100" s="39"/>
      <c r="H100" s="39"/>
      <c r="I100" s="40"/>
      <c r="J100" s="40"/>
      <c r="K100" s="40"/>
      <c r="L100" s="40"/>
      <c r="M100" s="40"/>
      <c r="N100" s="40"/>
      <c r="O100" s="40"/>
    </row>
    <row r="101" spans="5:15" x14ac:dyDescent="0.25">
      <c r="E101" s="39"/>
      <c r="F101" s="39"/>
      <c r="G101" s="39"/>
      <c r="H101" s="39"/>
      <c r="I101" s="40"/>
      <c r="J101" s="40"/>
      <c r="K101" s="40"/>
      <c r="L101" s="40"/>
      <c r="M101" s="40"/>
      <c r="N101" s="40"/>
      <c r="O101" s="40"/>
    </row>
    <row r="102" spans="5:15" x14ac:dyDescent="0.25">
      <c r="E102" s="39"/>
      <c r="F102" s="39"/>
      <c r="G102" s="39"/>
      <c r="H102" s="39"/>
      <c r="I102" s="40"/>
      <c r="J102" s="40"/>
      <c r="K102" s="40"/>
      <c r="L102" s="40"/>
      <c r="M102" s="40"/>
      <c r="N102" s="40"/>
      <c r="O102" s="40"/>
    </row>
    <row r="103" spans="5:15" x14ac:dyDescent="0.25">
      <c r="E103" s="39"/>
      <c r="F103" s="39"/>
      <c r="G103" s="39"/>
      <c r="H103" s="39"/>
      <c r="I103" s="40"/>
      <c r="J103" s="40"/>
      <c r="K103" s="40"/>
      <c r="L103" s="40"/>
      <c r="M103" s="40"/>
      <c r="N103" s="40"/>
      <c r="O103" s="40"/>
    </row>
    <row r="104" spans="5:15" x14ac:dyDescent="0.25">
      <c r="E104" s="39"/>
      <c r="F104" s="39"/>
      <c r="G104" s="39"/>
      <c r="H104" s="39"/>
      <c r="I104" s="40"/>
      <c r="J104" s="40"/>
      <c r="K104" s="40"/>
      <c r="L104" s="40"/>
      <c r="M104" s="40"/>
      <c r="N104" s="40"/>
      <c r="O104" s="40"/>
    </row>
    <row r="105" spans="5:15" x14ac:dyDescent="0.25">
      <c r="E105" s="39"/>
      <c r="F105" s="39"/>
      <c r="G105" s="39"/>
      <c r="H105" s="39"/>
      <c r="I105" s="40"/>
      <c r="J105" s="40"/>
      <c r="K105" s="40"/>
      <c r="L105" s="40"/>
      <c r="M105" s="40"/>
      <c r="N105" s="40"/>
      <c r="O105" s="40"/>
    </row>
    <row r="106" spans="5:15" x14ac:dyDescent="0.25">
      <c r="E106" s="39"/>
      <c r="F106" s="39"/>
      <c r="G106" s="39"/>
      <c r="H106" s="39"/>
      <c r="I106" s="40"/>
      <c r="J106" s="40"/>
      <c r="K106" s="40"/>
      <c r="L106" s="40"/>
      <c r="M106" s="40"/>
      <c r="N106" s="40"/>
      <c r="O106" s="40"/>
    </row>
    <row r="107" spans="5:15" x14ac:dyDescent="0.25">
      <c r="E107" s="39"/>
      <c r="F107" s="39"/>
      <c r="G107" s="39"/>
      <c r="H107" s="39"/>
      <c r="I107" s="40"/>
      <c r="J107" s="40"/>
      <c r="K107" s="40"/>
      <c r="L107" s="40"/>
      <c r="M107" s="40"/>
      <c r="N107" s="40"/>
      <c r="O107" s="40"/>
    </row>
    <row r="108" spans="5:15" x14ac:dyDescent="0.25">
      <c r="E108" s="39"/>
      <c r="F108" s="39"/>
      <c r="G108" s="39"/>
      <c r="H108" s="39"/>
      <c r="I108" s="40"/>
      <c r="J108" s="40"/>
      <c r="K108" s="40"/>
      <c r="L108" s="40"/>
      <c r="M108" s="40"/>
      <c r="N108" s="40"/>
      <c r="O108" s="40"/>
    </row>
    <row r="109" spans="5:15" x14ac:dyDescent="0.25">
      <c r="E109" s="39"/>
      <c r="F109" s="39"/>
      <c r="G109" s="39"/>
      <c r="H109" s="39"/>
      <c r="I109" s="40"/>
      <c r="J109" s="40"/>
      <c r="K109" s="40"/>
      <c r="L109" s="40"/>
      <c r="M109" s="40"/>
      <c r="N109" s="40"/>
      <c r="O109" s="40"/>
    </row>
    <row r="110" spans="5:15" x14ac:dyDescent="0.25">
      <c r="E110" s="39"/>
      <c r="F110" s="39"/>
      <c r="G110" s="39"/>
      <c r="H110" s="39"/>
      <c r="I110" s="40"/>
      <c r="J110" s="40"/>
      <c r="K110" s="40"/>
      <c r="L110" s="40"/>
      <c r="M110" s="40"/>
      <c r="N110" s="40"/>
      <c r="O110" s="40"/>
    </row>
    <row r="111" spans="5:15" x14ac:dyDescent="0.25">
      <c r="E111" s="39"/>
      <c r="F111" s="39"/>
      <c r="G111" s="39"/>
      <c r="H111" s="39"/>
      <c r="I111" s="40"/>
      <c r="J111" s="40"/>
      <c r="K111" s="40"/>
      <c r="L111" s="40"/>
      <c r="M111" s="40"/>
      <c r="N111" s="40"/>
      <c r="O111" s="40"/>
    </row>
    <row r="112" spans="5:15" x14ac:dyDescent="0.25">
      <c r="E112" s="39"/>
      <c r="F112" s="39"/>
      <c r="G112" s="39"/>
      <c r="H112" s="39"/>
      <c r="I112" s="40"/>
      <c r="J112" s="40"/>
      <c r="K112" s="40"/>
      <c r="L112" s="40"/>
      <c r="M112" s="40"/>
      <c r="N112" s="40"/>
      <c r="O112" s="40"/>
    </row>
    <row r="113" spans="5:15" x14ac:dyDescent="0.25">
      <c r="E113" s="39"/>
      <c r="F113" s="39"/>
      <c r="G113" s="39"/>
      <c r="H113" s="39"/>
      <c r="I113" s="40"/>
      <c r="J113" s="40"/>
      <c r="K113" s="40"/>
      <c r="L113" s="40"/>
      <c r="M113" s="40"/>
      <c r="N113" s="40"/>
      <c r="O113" s="40"/>
    </row>
    <row r="114" spans="5:15" x14ac:dyDescent="0.25">
      <c r="E114" s="39"/>
      <c r="F114" s="39"/>
      <c r="G114" s="39"/>
      <c r="H114" s="39"/>
      <c r="I114" s="40"/>
      <c r="J114" s="40"/>
      <c r="K114" s="40"/>
      <c r="L114" s="40"/>
      <c r="M114" s="40"/>
      <c r="N114" s="40"/>
      <c r="O114" s="40"/>
    </row>
    <row r="115" spans="5:15" x14ac:dyDescent="0.25">
      <c r="E115" s="39"/>
      <c r="F115" s="39"/>
      <c r="G115" s="39"/>
      <c r="H115" s="39"/>
      <c r="I115" s="40"/>
      <c r="J115" s="40"/>
      <c r="K115" s="40"/>
      <c r="L115" s="40"/>
      <c r="M115" s="40"/>
      <c r="N115" s="40"/>
      <c r="O115" s="40"/>
    </row>
    <row r="116" spans="5:15" x14ac:dyDescent="0.25"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</row>
  </sheetData>
  <autoFilter ref="A3:S82"/>
  <mergeCells count="6">
    <mergeCell ref="C2:E2"/>
    <mergeCell ref="N4:P4"/>
    <mergeCell ref="Q4:S4"/>
    <mergeCell ref="E4:G4"/>
    <mergeCell ref="H4:J4"/>
    <mergeCell ref="K4:M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workbookViewId="0">
      <selection activeCell="M20" sqref="M20"/>
    </sheetView>
  </sheetViews>
  <sheetFormatPr defaultColWidth="9.140625" defaultRowHeight="12" x14ac:dyDescent="0.2"/>
  <cols>
    <col min="1" max="1" width="3" style="19" customWidth="1"/>
    <col min="2" max="2" width="11.85546875" style="19" customWidth="1"/>
    <col min="3" max="8" width="9.5703125" style="19" customWidth="1"/>
    <col min="9" max="16384" width="9.140625" style="19"/>
  </cols>
  <sheetData>
    <row r="1" spans="2:8" ht="12" customHeight="1" x14ac:dyDescent="0.2">
      <c r="B1" s="63" t="s">
        <v>26</v>
      </c>
      <c r="C1" s="63"/>
      <c r="D1" s="63"/>
      <c r="E1" s="63"/>
    </row>
    <row r="2" spans="2:8" x14ac:dyDescent="0.2">
      <c r="B2" s="3" t="s">
        <v>5</v>
      </c>
      <c r="C2" s="3"/>
      <c r="D2" s="3"/>
      <c r="E2" s="3"/>
      <c r="F2" s="3"/>
      <c r="G2" s="3"/>
    </row>
    <row r="3" spans="2:8" x14ac:dyDescent="0.25">
      <c r="C3" s="3"/>
      <c r="D3" s="3"/>
      <c r="E3" s="3"/>
      <c r="F3" s="3"/>
      <c r="G3" s="3"/>
    </row>
    <row r="4" spans="2:8" x14ac:dyDescent="0.25">
      <c r="C4" s="26">
        <v>2015</v>
      </c>
      <c r="D4" s="26">
        <v>2016</v>
      </c>
      <c r="E4" s="26">
        <v>2017</v>
      </c>
      <c r="F4" s="26">
        <v>2018</v>
      </c>
      <c r="G4" s="26">
        <v>2019</v>
      </c>
      <c r="H4" s="1" t="s">
        <v>3</v>
      </c>
    </row>
    <row r="5" spans="2:8" ht="7.15" customHeight="1" x14ac:dyDescent="0.25">
      <c r="B5" s="2"/>
      <c r="C5" s="2"/>
      <c r="D5" s="2"/>
      <c r="E5" s="2"/>
      <c r="F5" s="2"/>
      <c r="G5" s="2"/>
      <c r="H5" s="2"/>
    </row>
    <row r="6" spans="2:8" ht="15" customHeight="1" x14ac:dyDescent="0.25">
      <c r="B6" s="4" t="s">
        <v>0</v>
      </c>
      <c r="C6" s="22">
        <v>0</v>
      </c>
      <c r="D6" s="22">
        <f>Costos!E82</f>
        <v>10999999.68</v>
      </c>
      <c r="E6" s="22">
        <f>Costos!H82</f>
        <v>17500000.259999998</v>
      </c>
      <c r="F6" s="22">
        <f>Costos!K82</f>
        <v>15500000.02</v>
      </c>
      <c r="G6" s="22">
        <f>Costos!N82</f>
        <v>5999999.5800000001</v>
      </c>
      <c r="H6" s="22">
        <f>SUM(C6:G6)</f>
        <v>49999999.539999992</v>
      </c>
    </row>
    <row r="7" spans="2:8" x14ac:dyDescent="0.25">
      <c r="B7" s="4" t="s">
        <v>6</v>
      </c>
      <c r="C7" s="22">
        <v>0</v>
      </c>
      <c r="D7" s="22">
        <f>Costos!F82</f>
        <v>1000000</v>
      </c>
      <c r="E7" s="22">
        <f>Costos!I82</f>
        <v>3000000</v>
      </c>
      <c r="F7" s="22">
        <f>Costos!L82</f>
        <v>3000000</v>
      </c>
      <c r="G7" s="22">
        <f>Costos!O82</f>
        <v>3000000</v>
      </c>
      <c r="H7" s="22">
        <f>SUM(C7:G7)</f>
        <v>10000000</v>
      </c>
    </row>
    <row r="8" spans="2:8" s="21" customFormat="1" ht="11.45" x14ac:dyDescent="0.2">
      <c r="B8" s="4" t="s">
        <v>3</v>
      </c>
      <c r="C8" s="23">
        <f>SUM(C6:C7)</f>
        <v>0</v>
      </c>
      <c r="D8" s="23">
        <f t="shared" ref="D8:H8" si="0">SUM(D6:D7)</f>
        <v>11999999.68</v>
      </c>
      <c r="E8" s="23">
        <f t="shared" si="0"/>
        <v>20500000.259999998</v>
      </c>
      <c r="F8" s="23">
        <f t="shared" si="0"/>
        <v>18500000.02</v>
      </c>
      <c r="G8" s="23">
        <f t="shared" si="0"/>
        <v>8999999.5800000001</v>
      </c>
      <c r="H8" s="23">
        <f t="shared" si="0"/>
        <v>59999999.539999992</v>
      </c>
    </row>
    <row r="9" spans="2:8" x14ac:dyDescent="0.25">
      <c r="C9" s="20"/>
      <c r="D9" s="20"/>
      <c r="E9" s="20"/>
      <c r="F9" s="20"/>
      <c r="G9" s="20"/>
    </row>
    <row r="10" spans="2:8" x14ac:dyDescent="0.25">
      <c r="B10" s="20"/>
    </row>
    <row r="17" spans="8:8" x14ac:dyDescent="0.25">
      <c r="H17" s="35"/>
    </row>
  </sheetData>
  <mergeCells count="1">
    <mergeCell ref="B1:E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1"/>
  <sheetViews>
    <sheetView zoomScale="65" zoomScaleNormal="65" workbookViewId="0">
      <pane xSplit="2" ySplit="6" topLeftCell="C7" activePane="bottomRight" state="frozen"/>
      <selection pane="topRight" activeCell="D1" sqref="D1"/>
      <selection pane="bottomLeft" activeCell="A7" sqref="A7"/>
      <selection pane="bottomRight" activeCell="E28" sqref="E28"/>
    </sheetView>
  </sheetViews>
  <sheetFormatPr defaultColWidth="9.140625" defaultRowHeight="12" x14ac:dyDescent="0.25"/>
  <cols>
    <col min="1" max="1" width="3" style="6" customWidth="1"/>
    <col min="2" max="2" width="51.7109375" style="6" customWidth="1"/>
    <col min="3" max="6" width="12.85546875" style="6" bestFit="1" customWidth="1"/>
    <col min="7" max="7" width="13.7109375" style="6" bestFit="1" customWidth="1"/>
    <col min="8" max="8" width="16.28515625" style="6" bestFit="1" customWidth="1"/>
    <col min="9" max="9" width="14.42578125" style="6" customWidth="1"/>
    <col min="10" max="10" width="14.28515625" style="6" customWidth="1"/>
    <col min="11" max="11" width="14.42578125" style="6" customWidth="1"/>
    <col min="12" max="12" width="11.5703125" style="6" bestFit="1" customWidth="1"/>
    <col min="13" max="13" width="13.7109375" style="6" bestFit="1" customWidth="1"/>
    <col min="14" max="14" width="11.28515625" style="6" customWidth="1"/>
    <col min="15" max="15" width="16.5703125" style="6" customWidth="1"/>
    <col min="16" max="16" width="15" style="6" bestFit="1" customWidth="1"/>
    <col min="17" max="17" width="14.7109375" style="6" bestFit="1" customWidth="1"/>
    <col min="18" max="18" width="12.5703125" style="6" bestFit="1" customWidth="1"/>
    <col min="19" max="16384" width="9.140625" style="6"/>
  </cols>
  <sheetData>
    <row r="1" spans="2:18" ht="14.25" customHeight="1" x14ac:dyDescent="0.25">
      <c r="B1" s="33" t="s">
        <v>26</v>
      </c>
    </row>
    <row r="2" spans="2:18" ht="10.5" customHeight="1" x14ac:dyDescent="0.25">
      <c r="B2" s="33" t="s">
        <v>27</v>
      </c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2:18" x14ac:dyDescent="0.3"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2:18" x14ac:dyDescent="0.3">
      <c r="C4" s="62">
        <v>2016</v>
      </c>
      <c r="D4" s="62"/>
      <c r="E4" s="62"/>
      <c r="F4" s="62">
        <v>2017</v>
      </c>
      <c r="G4" s="62"/>
      <c r="H4" s="62"/>
      <c r="I4" s="62">
        <v>2018</v>
      </c>
      <c r="J4" s="62"/>
      <c r="K4" s="62"/>
      <c r="L4" s="62">
        <v>2019</v>
      </c>
      <c r="M4" s="62"/>
      <c r="N4" s="62"/>
      <c r="O4" s="62" t="s">
        <v>3</v>
      </c>
      <c r="P4" s="62"/>
      <c r="Q4" s="62"/>
    </row>
    <row r="5" spans="2:18" ht="15.75" customHeight="1" x14ac:dyDescent="0.3">
      <c r="B5" s="8"/>
      <c r="C5" s="8" t="s">
        <v>0</v>
      </c>
      <c r="D5" s="8" t="s">
        <v>1</v>
      </c>
      <c r="E5" s="8" t="s">
        <v>4</v>
      </c>
      <c r="F5" s="8" t="s">
        <v>0</v>
      </c>
      <c r="G5" s="8" t="s">
        <v>1</v>
      </c>
      <c r="H5" s="8" t="s">
        <v>4</v>
      </c>
      <c r="I5" s="8" t="s">
        <v>0</v>
      </c>
      <c r="J5" s="8" t="s">
        <v>1</v>
      </c>
      <c r="K5" s="8" t="s">
        <v>4</v>
      </c>
      <c r="L5" s="8" t="s">
        <v>0</v>
      </c>
      <c r="M5" s="8" t="s">
        <v>1</v>
      </c>
      <c r="N5" s="8" t="s">
        <v>4</v>
      </c>
      <c r="O5" s="8" t="s">
        <v>0</v>
      </c>
      <c r="P5" s="8" t="s">
        <v>7</v>
      </c>
      <c r="Q5" s="8" t="s">
        <v>8</v>
      </c>
    </row>
    <row r="6" spans="2:18" ht="25.15" customHeight="1" x14ac:dyDescent="0.3">
      <c r="B6" s="9" t="s">
        <v>29</v>
      </c>
      <c r="C6" s="11">
        <v>3809186</v>
      </c>
      <c r="D6" s="11">
        <v>430099.9</v>
      </c>
      <c r="E6" s="11">
        <v>4239285.9000000004</v>
      </c>
      <c r="F6" s="11">
        <v>4060968.5</v>
      </c>
      <c r="G6" s="11">
        <v>892661</v>
      </c>
      <c r="H6" s="11">
        <v>4953629.5</v>
      </c>
      <c r="I6" s="36">
        <v>2708542</v>
      </c>
      <c r="J6" s="36">
        <v>872398</v>
      </c>
      <c r="K6" s="36">
        <v>3580940</v>
      </c>
      <c r="L6" s="11">
        <v>351176</v>
      </c>
      <c r="M6" s="11">
        <v>1063621</v>
      </c>
      <c r="N6" s="11">
        <v>1414797</v>
      </c>
      <c r="O6" s="11">
        <v>10929872.5</v>
      </c>
      <c r="P6" s="11">
        <v>3258779.9</v>
      </c>
      <c r="Q6" s="11">
        <v>14188652.4</v>
      </c>
      <c r="R6" s="24"/>
    </row>
    <row r="7" spans="2:18" s="14" customFormat="1" ht="34.15" customHeight="1" x14ac:dyDescent="0.3">
      <c r="B7" s="17" t="s">
        <v>30</v>
      </c>
      <c r="C7" s="13">
        <v>315016</v>
      </c>
      <c r="D7" s="13">
        <v>196908</v>
      </c>
      <c r="E7" s="13">
        <v>511924</v>
      </c>
      <c r="F7" s="13">
        <v>453022</v>
      </c>
      <c r="G7" s="13">
        <v>43900</v>
      </c>
      <c r="H7" s="13">
        <v>496922</v>
      </c>
      <c r="I7" s="37">
        <v>341002</v>
      </c>
      <c r="J7" s="37">
        <v>36870</v>
      </c>
      <c r="K7" s="37">
        <v>377872</v>
      </c>
      <c r="L7" s="13">
        <v>21176</v>
      </c>
      <c r="M7" s="13">
        <v>34576</v>
      </c>
      <c r="N7" s="13">
        <v>55752</v>
      </c>
      <c r="O7" s="13">
        <v>1130216</v>
      </c>
      <c r="P7" s="13">
        <v>312254</v>
      </c>
      <c r="Q7" s="13">
        <v>1442470</v>
      </c>
      <c r="R7" s="24"/>
    </row>
    <row r="8" spans="2:18" ht="34.15" customHeight="1" x14ac:dyDescent="0.25">
      <c r="B8" s="17" t="s">
        <v>12</v>
      </c>
      <c r="C8" s="13">
        <v>3494170</v>
      </c>
      <c r="D8" s="13">
        <v>233191.90000000002</v>
      </c>
      <c r="E8" s="13">
        <v>3727361.9</v>
      </c>
      <c r="F8" s="13">
        <v>3607946.5</v>
      </c>
      <c r="G8" s="13">
        <v>848761</v>
      </c>
      <c r="H8" s="13">
        <v>4456707.5</v>
      </c>
      <c r="I8" s="37">
        <v>2367540</v>
      </c>
      <c r="J8" s="37">
        <v>835528</v>
      </c>
      <c r="K8" s="37">
        <v>3203068</v>
      </c>
      <c r="L8" s="13">
        <v>330000</v>
      </c>
      <c r="M8" s="13">
        <v>1029045</v>
      </c>
      <c r="N8" s="13">
        <v>1359045</v>
      </c>
      <c r="O8" s="13">
        <v>9799656.5</v>
      </c>
      <c r="P8" s="13">
        <v>2946525.9</v>
      </c>
      <c r="Q8" s="13">
        <v>12746182.4</v>
      </c>
      <c r="R8" s="24"/>
    </row>
    <row r="9" spans="2:18" ht="25.15" customHeight="1" x14ac:dyDescent="0.25">
      <c r="B9" s="9" t="s">
        <v>46</v>
      </c>
      <c r="C9" s="11">
        <v>2450000</v>
      </c>
      <c r="D9" s="11">
        <v>230500.00000000003</v>
      </c>
      <c r="E9" s="11">
        <v>2680500</v>
      </c>
      <c r="F9" s="11">
        <v>5184250</v>
      </c>
      <c r="G9" s="11">
        <v>396500</v>
      </c>
      <c r="H9" s="11">
        <v>5580750</v>
      </c>
      <c r="I9" s="36">
        <v>4375000</v>
      </c>
      <c r="J9" s="36">
        <v>247652</v>
      </c>
      <c r="K9" s="36">
        <v>4622652</v>
      </c>
      <c r="L9" s="11">
        <v>250000</v>
      </c>
      <c r="M9" s="11">
        <v>63098</v>
      </c>
      <c r="N9" s="11">
        <v>313098</v>
      </c>
      <c r="O9" s="11">
        <v>12259250</v>
      </c>
      <c r="P9" s="11">
        <v>937750</v>
      </c>
      <c r="Q9" s="11">
        <v>13197000</v>
      </c>
      <c r="R9" s="24"/>
    </row>
    <row r="10" spans="2:18" ht="34.15" customHeight="1" x14ac:dyDescent="0.25">
      <c r="B10" s="17" t="s">
        <v>14</v>
      </c>
      <c r="C10" s="13">
        <v>700000</v>
      </c>
      <c r="D10" s="13">
        <v>82000</v>
      </c>
      <c r="E10" s="13">
        <v>782000</v>
      </c>
      <c r="F10" s="13">
        <v>2080250</v>
      </c>
      <c r="G10" s="13">
        <v>153000</v>
      </c>
      <c r="H10" s="13">
        <v>2233250</v>
      </c>
      <c r="I10" s="37">
        <v>2075000</v>
      </c>
      <c r="J10" s="37">
        <v>158250</v>
      </c>
      <c r="K10" s="37">
        <v>2233250</v>
      </c>
      <c r="L10" s="13">
        <v>0</v>
      </c>
      <c r="M10" s="13">
        <v>0</v>
      </c>
      <c r="N10" s="13">
        <v>0</v>
      </c>
      <c r="O10" s="13">
        <v>4855250</v>
      </c>
      <c r="P10" s="13">
        <v>393250</v>
      </c>
      <c r="Q10" s="13">
        <v>5248500</v>
      </c>
      <c r="R10" s="24"/>
    </row>
    <row r="11" spans="2:18" s="14" customFormat="1" ht="34.15" customHeight="1" x14ac:dyDescent="0.25">
      <c r="B11" s="17" t="s">
        <v>53</v>
      </c>
      <c r="C11" s="13">
        <v>1750000</v>
      </c>
      <c r="D11" s="13">
        <v>148500.00000000003</v>
      </c>
      <c r="E11" s="13">
        <v>1898500</v>
      </c>
      <c r="F11" s="13">
        <v>3104000</v>
      </c>
      <c r="G11" s="13">
        <v>243500</v>
      </c>
      <c r="H11" s="13">
        <v>3347500</v>
      </c>
      <c r="I11" s="37">
        <v>2300000</v>
      </c>
      <c r="J11" s="37">
        <v>89402</v>
      </c>
      <c r="K11" s="37">
        <v>2389402</v>
      </c>
      <c r="L11" s="13">
        <v>250000</v>
      </c>
      <c r="M11" s="13">
        <v>63098</v>
      </c>
      <c r="N11" s="13">
        <v>313098</v>
      </c>
      <c r="O11" s="13">
        <v>7404000</v>
      </c>
      <c r="P11" s="13">
        <v>544500</v>
      </c>
      <c r="Q11" s="13">
        <v>7948500</v>
      </c>
      <c r="R11" s="24"/>
    </row>
    <row r="12" spans="2:18" s="14" customFormat="1" ht="25.15" customHeight="1" x14ac:dyDescent="0.25">
      <c r="B12" s="9" t="s">
        <v>11</v>
      </c>
      <c r="C12" s="11">
        <v>4365813.68</v>
      </c>
      <c r="D12" s="11">
        <v>313150.09999999998</v>
      </c>
      <c r="E12" s="11">
        <v>4678963.78</v>
      </c>
      <c r="F12" s="11">
        <v>7654781.7599999998</v>
      </c>
      <c r="G12" s="11">
        <v>1668839</v>
      </c>
      <c r="H12" s="11">
        <v>9323620.7599999998</v>
      </c>
      <c r="I12" s="36">
        <v>8291458.0199999996</v>
      </c>
      <c r="J12" s="36">
        <v>1871200</v>
      </c>
      <c r="K12" s="36">
        <v>10162658.02</v>
      </c>
      <c r="L12" s="11">
        <v>4898823.58</v>
      </c>
      <c r="M12" s="11">
        <v>1838281</v>
      </c>
      <c r="N12" s="11">
        <v>6737104.5800000001</v>
      </c>
      <c r="O12" s="11">
        <v>25210877.039999999</v>
      </c>
      <c r="P12" s="11">
        <v>5691470.0999999996</v>
      </c>
      <c r="Q12" s="11">
        <v>30902347.140000001</v>
      </c>
      <c r="R12" s="24"/>
    </row>
    <row r="13" spans="2:18" s="14" customFormat="1" ht="34.15" customHeight="1" x14ac:dyDescent="0.25">
      <c r="B13" s="17" t="s">
        <v>15</v>
      </c>
      <c r="C13" s="44">
        <v>320000</v>
      </c>
      <c r="D13" s="44">
        <v>35400</v>
      </c>
      <c r="E13" s="44">
        <v>355400</v>
      </c>
      <c r="F13" s="44">
        <v>1779900</v>
      </c>
      <c r="G13" s="44">
        <v>1365300</v>
      </c>
      <c r="H13" s="13">
        <v>3145200</v>
      </c>
      <c r="I13" s="37">
        <v>1438900</v>
      </c>
      <c r="J13" s="37">
        <v>1355900</v>
      </c>
      <c r="K13" s="37">
        <v>2794800</v>
      </c>
      <c r="L13" s="13">
        <v>1463900</v>
      </c>
      <c r="M13" s="13">
        <v>1357650</v>
      </c>
      <c r="N13" s="13">
        <v>2821550</v>
      </c>
      <c r="O13" s="13">
        <v>5002700</v>
      </c>
      <c r="P13" s="13">
        <v>4114250</v>
      </c>
      <c r="Q13" s="13">
        <v>9116950</v>
      </c>
      <c r="R13" s="24"/>
    </row>
    <row r="14" spans="2:18" s="14" customFormat="1" ht="34.15" customHeight="1" x14ac:dyDescent="0.3">
      <c r="B14" s="17" t="s">
        <v>66</v>
      </c>
      <c r="C14" s="44">
        <v>3104130</v>
      </c>
      <c r="D14" s="44">
        <v>277750.09999999998</v>
      </c>
      <c r="E14" s="44">
        <v>3381880.1</v>
      </c>
      <c r="F14" s="44">
        <v>4059000</v>
      </c>
      <c r="G14" s="44">
        <v>303539</v>
      </c>
      <c r="H14" s="13">
        <v>4362539</v>
      </c>
      <c r="I14" s="37">
        <v>4050000</v>
      </c>
      <c r="J14" s="37">
        <v>36500</v>
      </c>
      <c r="K14" s="37">
        <v>4086500</v>
      </c>
      <c r="L14" s="13">
        <v>73511</v>
      </c>
      <c r="M14" s="13">
        <v>27031</v>
      </c>
      <c r="N14" s="13">
        <v>100542</v>
      </c>
      <c r="O14" s="13">
        <v>11286641</v>
      </c>
      <c r="P14" s="13">
        <v>644820.1</v>
      </c>
      <c r="Q14" s="13">
        <v>11931461.1</v>
      </c>
      <c r="R14" s="24"/>
    </row>
    <row r="15" spans="2:18" s="14" customFormat="1" ht="34.15" customHeight="1" x14ac:dyDescent="0.25">
      <c r="B15" s="17" t="s">
        <v>73</v>
      </c>
      <c r="C15" s="44">
        <v>941683.68</v>
      </c>
      <c r="D15" s="44">
        <v>0</v>
      </c>
      <c r="E15" s="44">
        <v>941683.68</v>
      </c>
      <c r="F15" s="44">
        <v>1815881.76</v>
      </c>
      <c r="G15" s="44">
        <v>0</v>
      </c>
      <c r="H15" s="13">
        <v>1815881.76</v>
      </c>
      <c r="I15" s="37">
        <v>2802558.02</v>
      </c>
      <c r="J15" s="37">
        <v>478800</v>
      </c>
      <c r="K15" s="37">
        <v>3281358.02</v>
      </c>
      <c r="L15" s="13">
        <v>3361412.58</v>
      </c>
      <c r="M15" s="13">
        <v>453600</v>
      </c>
      <c r="N15" s="13">
        <v>3815012.58</v>
      </c>
      <c r="O15" s="13">
        <v>8921536.0399999991</v>
      </c>
      <c r="P15" s="13">
        <v>932400</v>
      </c>
      <c r="Q15" s="13">
        <v>9853936.0399999991</v>
      </c>
      <c r="R15" s="24"/>
    </row>
    <row r="16" spans="2:18" s="14" customFormat="1" ht="25.15" customHeight="1" x14ac:dyDescent="0.25">
      <c r="B16" s="9" t="s">
        <v>75</v>
      </c>
      <c r="C16" s="11">
        <v>375000</v>
      </c>
      <c r="D16" s="11">
        <v>26250</v>
      </c>
      <c r="E16" s="11">
        <v>401250</v>
      </c>
      <c r="F16" s="11">
        <v>600000</v>
      </c>
      <c r="G16" s="11">
        <v>42000</v>
      </c>
      <c r="H16" s="11">
        <v>642000</v>
      </c>
      <c r="I16" s="36">
        <v>125000</v>
      </c>
      <c r="J16" s="36">
        <v>8750</v>
      </c>
      <c r="K16" s="36">
        <v>133750</v>
      </c>
      <c r="L16" s="11">
        <v>500000</v>
      </c>
      <c r="M16" s="11">
        <v>35000</v>
      </c>
      <c r="N16" s="11">
        <v>535000</v>
      </c>
      <c r="O16" s="11">
        <v>1600000</v>
      </c>
      <c r="P16" s="11">
        <v>112000</v>
      </c>
      <c r="Q16" s="11">
        <v>1712000</v>
      </c>
      <c r="R16" s="24"/>
    </row>
    <row r="17" spans="2:18" s="14" customFormat="1" x14ac:dyDescent="0.3">
      <c r="B17" s="16" t="s">
        <v>3</v>
      </c>
      <c r="C17" s="18">
        <v>10999999.68</v>
      </c>
      <c r="D17" s="18">
        <v>1000000</v>
      </c>
      <c r="E17" s="18">
        <v>11999999.68</v>
      </c>
      <c r="F17" s="18">
        <v>17500000.259999998</v>
      </c>
      <c r="G17" s="18">
        <v>3000000</v>
      </c>
      <c r="H17" s="18">
        <v>20500000.259999998</v>
      </c>
      <c r="I17" s="38">
        <v>15500000.02</v>
      </c>
      <c r="J17" s="38">
        <v>3000000</v>
      </c>
      <c r="K17" s="38">
        <v>18500000.02</v>
      </c>
      <c r="L17" s="18">
        <v>5999999.5800000001</v>
      </c>
      <c r="M17" s="18">
        <v>3000000</v>
      </c>
      <c r="N17" s="18">
        <v>8999999.5800000001</v>
      </c>
      <c r="O17" s="18">
        <v>49999999.539999999</v>
      </c>
      <c r="P17" s="18">
        <v>10000000</v>
      </c>
      <c r="Q17" s="18">
        <v>59999999.539999999</v>
      </c>
      <c r="R17" s="24"/>
    </row>
    <row r="18" spans="2:18" x14ac:dyDescent="0.3">
      <c r="C18" s="34"/>
      <c r="D18" s="34"/>
      <c r="E18" s="34"/>
      <c r="F18" s="34"/>
    </row>
    <row r="19" spans="2:18" x14ac:dyDescent="0.3">
      <c r="C19" s="39"/>
      <c r="D19" s="39"/>
      <c r="E19" s="39"/>
      <c r="F19" s="39"/>
      <c r="G19" s="40"/>
      <c r="H19" s="40"/>
      <c r="I19" s="40"/>
      <c r="J19" s="40"/>
      <c r="K19" s="40"/>
      <c r="L19" s="40"/>
      <c r="M19" s="40"/>
    </row>
    <row r="20" spans="2:18" x14ac:dyDescent="0.3">
      <c r="C20" s="39"/>
      <c r="D20" s="39"/>
      <c r="E20" s="39"/>
      <c r="F20" s="39"/>
      <c r="G20" s="40"/>
      <c r="H20" s="40"/>
      <c r="I20" s="40"/>
      <c r="J20" s="40"/>
      <c r="K20" s="40"/>
      <c r="L20" s="40"/>
      <c r="M20" s="40"/>
    </row>
    <row r="21" spans="2:18" x14ac:dyDescent="0.3">
      <c r="C21" s="39"/>
      <c r="D21" s="39"/>
      <c r="E21" s="39"/>
      <c r="F21" s="39"/>
      <c r="G21" s="40"/>
      <c r="H21" s="40"/>
      <c r="I21" s="40"/>
      <c r="J21" s="40"/>
      <c r="K21" s="40"/>
      <c r="L21" s="40"/>
      <c r="M21" s="40"/>
    </row>
    <row r="22" spans="2:18" x14ac:dyDescent="0.3">
      <c r="C22" s="39"/>
      <c r="D22" s="39"/>
      <c r="E22" s="39"/>
      <c r="F22" s="39"/>
      <c r="G22" s="40"/>
      <c r="H22" s="40"/>
      <c r="I22" s="40"/>
      <c r="J22" s="40"/>
      <c r="K22" s="40"/>
      <c r="L22" s="40"/>
      <c r="M22" s="40"/>
    </row>
    <row r="23" spans="2:18" x14ac:dyDescent="0.3">
      <c r="C23" s="39"/>
      <c r="D23" s="39"/>
      <c r="E23" s="39"/>
      <c r="F23" s="39"/>
      <c r="G23" s="40"/>
      <c r="H23" s="40"/>
      <c r="I23" s="41"/>
      <c r="J23" s="41"/>
      <c r="K23" s="41"/>
      <c r="L23" s="41"/>
      <c r="M23" s="40"/>
    </row>
    <row r="24" spans="2:18" x14ac:dyDescent="0.3">
      <c r="C24" s="39"/>
      <c r="D24" s="39"/>
      <c r="E24" s="39"/>
      <c r="F24" s="39"/>
      <c r="G24" s="40"/>
      <c r="H24" s="40"/>
      <c r="I24" s="42"/>
      <c r="J24" s="42"/>
      <c r="K24" s="42"/>
      <c r="L24" s="42"/>
      <c r="M24" s="40"/>
    </row>
    <row r="25" spans="2:18" x14ac:dyDescent="0.3">
      <c r="C25" s="39"/>
      <c r="D25" s="39"/>
      <c r="E25" s="39"/>
      <c r="F25" s="39"/>
      <c r="G25" s="40"/>
      <c r="H25" s="40"/>
      <c r="I25" s="40"/>
      <c r="J25" s="40"/>
      <c r="K25" s="40"/>
      <c r="L25" s="40"/>
      <c r="M25" s="40"/>
    </row>
    <row r="26" spans="2:18" x14ac:dyDescent="0.3">
      <c r="C26" s="39"/>
      <c r="D26" s="39"/>
      <c r="E26" s="39"/>
      <c r="F26" s="39"/>
      <c r="G26" s="40"/>
      <c r="H26" s="40"/>
      <c r="I26" s="40"/>
      <c r="J26" s="40"/>
      <c r="K26" s="40"/>
      <c r="L26" s="40"/>
      <c r="M26" s="40"/>
    </row>
    <row r="27" spans="2:18" x14ac:dyDescent="0.3">
      <c r="C27" s="39"/>
      <c r="D27" s="39"/>
      <c r="E27" s="39"/>
      <c r="F27" s="39"/>
      <c r="G27" s="40"/>
      <c r="H27" s="40"/>
      <c r="I27" s="40"/>
      <c r="J27" s="40"/>
      <c r="K27" s="40"/>
      <c r="L27" s="40"/>
      <c r="M27" s="40"/>
    </row>
    <row r="28" spans="2:18" x14ac:dyDescent="0.3">
      <c r="C28" s="39"/>
      <c r="D28" s="39"/>
      <c r="E28" s="39"/>
      <c r="F28" s="39"/>
      <c r="G28" s="40"/>
      <c r="H28" s="40"/>
      <c r="I28" s="41"/>
      <c r="J28" s="41"/>
      <c r="K28" s="41"/>
      <c r="L28" s="41"/>
      <c r="M28" s="40"/>
    </row>
    <row r="29" spans="2:18" x14ac:dyDescent="0.3">
      <c r="C29" s="39"/>
      <c r="D29" s="39"/>
      <c r="E29" s="39"/>
      <c r="F29" s="39"/>
      <c r="G29" s="40"/>
      <c r="H29" s="40"/>
      <c r="I29" s="42"/>
      <c r="J29" s="42"/>
      <c r="K29" s="42"/>
      <c r="L29" s="42"/>
      <c r="M29" s="40"/>
    </row>
    <row r="30" spans="2:18" x14ac:dyDescent="0.3">
      <c r="C30" s="39"/>
      <c r="D30" s="39"/>
      <c r="E30" s="39"/>
      <c r="F30" s="39"/>
      <c r="G30" s="40"/>
      <c r="H30" s="40"/>
      <c r="I30" s="40"/>
      <c r="J30" s="40"/>
      <c r="K30" s="40"/>
      <c r="L30" s="40"/>
      <c r="M30" s="40"/>
    </row>
    <row r="31" spans="2:18" x14ac:dyDescent="0.3">
      <c r="C31" s="39"/>
      <c r="D31" s="39"/>
      <c r="E31" s="39"/>
      <c r="F31" s="39"/>
      <c r="G31" s="40"/>
      <c r="H31" s="40"/>
      <c r="I31" s="40"/>
      <c r="J31" s="40"/>
      <c r="K31" s="40"/>
      <c r="L31" s="40"/>
      <c r="M31" s="40"/>
    </row>
    <row r="32" spans="2:18" x14ac:dyDescent="0.3">
      <c r="C32" s="39"/>
      <c r="D32" s="39"/>
      <c r="E32" s="39"/>
      <c r="F32" s="39"/>
      <c r="G32" s="40"/>
      <c r="H32" s="40"/>
      <c r="I32" s="40"/>
      <c r="J32" s="40"/>
      <c r="K32" s="40"/>
      <c r="L32" s="40"/>
      <c r="M32" s="40"/>
    </row>
    <row r="33" spans="3:13" x14ac:dyDescent="0.3">
      <c r="C33" s="39"/>
      <c r="D33" s="39"/>
      <c r="E33" s="39"/>
      <c r="F33" s="39"/>
      <c r="G33" s="40"/>
      <c r="H33" s="40"/>
      <c r="I33" s="40"/>
      <c r="J33" s="40"/>
      <c r="K33" s="40"/>
      <c r="L33" s="40"/>
      <c r="M33" s="40"/>
    </row>
    <row r="34" spans="3:13" x14ac:dyDescent="0.3">
      <c r="C34" s="39"/>
      <c r="D34" s="39"/>
      <c r="E34" s="39"/>
      <c r="F34" s="39"/>
      <c r="G34" s="40"/>
      <c r="H34" s="40"/>
      <c r="I34" s="40"/>
      <c r="J34" s="40"/>
      <c r="K34" s="40"/>
      <c r="L34" s="40"/>
      <c r="M34" s="40"/>
    </row>
    <row r="35" spans="3:13" x14ac:dyDescent="0.3">
      <c r="C35" s="39"/>
      <c r="D35" s="39"/>
      <c r="E35" s="39"/>
      <c r="F35" s="39"/>
      <c r="G35" s="40"/>
      <c r="H35" s="40"/>
      <c r="I35" s="40"/>
      <c r="J35" s="40"/>
      <c r="K35" s="40"/>
      <c r="L35" s="40"/>
      <c r="M35" s="40"/>
    </row>
    <row r="36" spans="3:13" x14ac:dyDescent="0.3">
      <c r="C36" s="39"/>
      <c r="D36" s="39"/>
      <c r="E36" s="39"/>
      <c r="F36" s="39"/>
      <c r="G36" s="40"/>
      <c r="H36" s="40"/>
      <c r="I36" s="40"/>
      <c r="J36" s="40"/>
      <c r="K36" s="40"/>
      <c r="L36" s="40"/>
      <c r="M36" s="40"/>
    </row>
    <row r="37" spans="3:13" x14ac:dyDescent="0.3">
      <c r="C37" s="39"/>
      <c r="D37" s="39"/>
      <c r="E37" s="39"/>
      <c r="F37" s="39"/>
      <c r="G37" s="40"/>
      <c r="H37" s="40"/>
      <c r="I37" s="40"/>
      <c r="J37" s="40"/>
      <c r="K37" s="40"/>
      <c r="L37" s="40"/>
      <c r="M37" s="40"/>
    </row>
    <row r="38" spans="3:13" x14ac:dyDescent="0.3">
      <c r="C38" s="39"/>
      <c r="D38" s="39"/>
      <c r="E38" s="39"/>
      <c r="F38" s="39"/>
      <c r="G38" s="40"/>
      <c r="H38" s="40"/>
      <c r="I38" s="40"/>
      <c r="J38" s="40"/>
      <c r="K38" s="40"/>
      <c r="L38" s="40"/>
      <c r="M38" s="40"/>
    </row>
    <row r="39" spans="3:13" x14ac:dyDescent="0.3">
      <c r="C39" s="39"/>
      <c r="D39" s="39"/>
      <c r="E39" s="39"/>
      <c r="F39" s="39"/>
      <c r="G39" s="40"/>
      <c r="H39" s="40"/>
      <c r="I39" s="40"/>
      <c r="J39" s="40"/>
      <c r="K39" s="40"/>
      <c r="L39" s="40"/>
      <c r="M39" s="40"/>
    </row>
    <row r="40" spans="3:13" x14ac:dyDescent="0.3">
      <c r="C40" s="39"/>
      <c r="D40" s="39"/>
      <c r="E40" s="39"/>
      <c r="F40" s="39"/>
      <c r="G40" s="40"/>
      <c r="H40" s="40"/>
      <c r="I40" s="40"/>
      <c r="J40" s="40"/>
      <c r="K40" s="40"/>
      <c r="L40" s="40"/>
      <c r="M40" s="40"/>
    </row>
    <row r="41" spans="3:13" x14ac:dyDescent="0.3">
      <c r="C41" s="39"/>
      <c r="D41" s="39"/>
      <c r="E41" s="39"/>
      <c r="F41" s="39"/>
      <c r="G41" s="40"/>
      <c r="H41" s="40"/>
      <c r="I41" s="40"/>
      <c r="J41" s="40"/>
      <c r="K41" s="40"/>
      <c r="L41" s="40"/>
      <c r="M41" s="40"/>
    </row>
    <row r="42" spans="3:13" x14ac:dyDescent="0.3">
      <c r="C42" s="39"/>
      <c r="D42" s="39"/>
      <c r="E42" s="39"/>
      <c r="F42" s="39"/>
      <c r="G42" s="40"/>
      <c r="H42" s="40"/>
      <c r="I42" s="40"/>
      <c r="J42" s="40"/>
      <c r="K42" s="40"/>
      <c r="L42" s="40"/>
      <c r="M42" s="40"/>
    </row>
    <row r="43" spans="3:13" x14ac:dyDescent="0.3">
      <c r="C43" s="39"/>
      <c r="D43" s="39"/>
      <c r="E43" s="39"/>
      <c r="F43" s="39"/>
      <c r="G43" s="40"/>
      <c r="H43" s="40"/>
      <c r="I43" s="40"/>
      <c r="J43" s="40"/>
      <c r="K43" s="40"/>
      <c r="L43" s="40"/>
      <c r="M43" s="40"/>
    </row>
    <row r="44" spans="3:13" x14ac:dyDescent="0.3">
      <c r="C44" s="39"/>
      <c r="D44" s="39"/>
      <c r="E44" s="39"/>
      <c r="F44" s="39"/>
      <c r="G44" s="40"/>
      <c r="H44" s="40"/>
      <c r="I44" s="40"/>
      <c r="J44" s="40"/>
      <c r="K44" s="40"/>
      <c r="L44" s="40"/>
      <c r="M44" s="40"/>
    </row>
    <row r="45" spans="3:13" x14ac:dyDescent="0.3">
      <c r="C45" s="39"/>
      <c r="D45" s="39"/>
      <c r="E45" s="39"/>
      <c r="F45" s="39"/>
      <c r="G45" s="40"/>
      <c r="H45" s="40"/>
      <c r="I45" s="40"/>
      <c r="J45" s="40"/>
      <c r="K45" s="40"/>
      <c r="L45" s="40"/>
      <c r="M45" s="40"/>
    </row>
    <row r="46" spans="3:13" x14ac:dyDescent="0.3">
      <c r="C46" s="39"/>
      <c r="D46" s="39"/>
      <c r="E46" s="39"/>
      <c r="F46" s="39"/>
      <c r="G46" s="40"/>
      <c r="H46" s="40"/>
      <c r="I46" s="40"/>
      <c r="J46" s="40"/>
      <c r="K46" s="40"/>
      <c r="L46" s="40"/>
      <c r="M46" s="40"/>
    </row>
    <row r="47" spans="3:13" x14ac:dyDescent="0.3">
      <c r="C47" s="39"/>
      <c r="D47" s="39"/>
      <c r="E47" s="39"/>
      <c r="F47" s="39"/>
      <c r="G47" s="40"/>
      <c r="H47" s="40"/>
      <c r="I47" s="40"/>
      <c r="J47" s="40"/>
      <c r="K47" s="40"/>
      <c r="L47" s="40"/>
      <c r="M47" s="40"/>
    </row>
    <row r="48" spans="3:13" x14ac:dyDescent="0.3">
      <c r="C48" s="39"/>
      <c r="D48" s="39"/>
      <c r="E48" s="39"/>
      <c r="F48" s="39"/>
      <c r="G48" s="40"/>
      <c r="H48" s="40"/>
      <c r="I48" s="40"/>
      <c r="J48" s="40"/>
      <c r="K48" s="40"/>
      <c r="L48" s="40"/>
      <c r="M48" s="40"/>
    </row>
    <row r="49" spans="3:13" x14ac:dyDescent="0.3">
      <c r="C49" s="39"/>
      <c r="D49" s="39"/>
      <c r="E49" s="39"/>
      <c r="F49" s="39"/>
      <c r="G49" s="40"/>
      <c r="H49" s="40"/>
      <c r="I49" s="40"/>
      <c r="J49" s="40"/>
      <c r="K49" s="40"/>
      <c r="L49" s="40"/>
      <c r="M49" s="40"/>
    </row>
    <row r="50" spans="3:13" x14ac:dyDescent="0.3">
      <c r="C50" s="39"/>
      <c r="D50" s="39"/>
      <c r="E50" s="39"/>
      <c r="F50" s="39"/>
      <c r="G50" s="40"/>
      <c r="H50" s="40"/>
      <c r="I50" s="40"/>
      <c r="J50" s="40"/>
      <c r="K50" s="40"/>
      <c r="L50" s="40"/>
      <c r="M50" s="40"/>
    </row>
    <row r="51" spans="3:13" x14ac:dyDescent="0.3"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</row>
  </sheetData>
  <mergeCells count="5">
    <mergeCell ref="O4:Q4"/>
    <mergeCell ref="C4:E4"/>
    <mergeCell ref="F4:H4"/>
    <mergeCell ref="I4:K4"/>
    <mergeCell ref="L4:N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8A3BCEEEA004947977A9F3B96C74157" ma:contentTypeVersion="0" ma:contentTypeDescription="A content type to manage public (operations) IDB documents" ma:contentTypeScope="" ma:versionID="130d93567d496c81f553a1c218a1540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3f0d8583df1c1fb8cde534404a50e5d2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8df97a3c-941e-4e8f-9591-165d8427765c}" ma:internalName="TaxCatchAll" ma:showField="CatchAllData" ma:web="eac4eb1d-2b05-445b-bdbc-4e6c841898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8df97a3c-941e-4e8f-9591-165d8427765c}" ma:internalName="TaxCatchAllLabel" ma:readOnly="true" ma:showField="CatchAllDataLabel" ma:web="eac4eb1d-2b05-445b-bdbc-4e6c841898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SCL/SPH</Division_x0020_or_x0020_Unit>
    <Other_x0020_Author xmlns="9c571b2f-e523-4ab2-ba2e-09e151a03ef4" xsi:nil="true"/>
    <Region xmlns="9c571b2f-e523-4ab2-ba2e-09e151a03ef4" xsi:nil="true"/>
    <IDBDocs_x0020_Number xmlns="9c571b2f-e523-4ab2-ba2e-09e151a03ef4">39634431</IDBDocs_x0020_Number>
    <Document_x0020_Author xmlns="9c571b2f-e523-4ab2-ba2e-09e151a03ef4">Pinzon Enciso, Leonardo Enrique</Document_x0020_Author>
    <Publication_x0020_Type xmlns="9c571b2f-e523-4ab2-ba2e-09e151a03ef4" xsi:nil="true"/>
    <Operation_x0020_Type xmlns="9c571b2f-e523-4ab2-ba2e-09e151a03ef4" xsi:nil="true"/>
    <TaxCatchAll xmlns="9c571b2f-e523-4ab2-ba2e-09e151a03ef4">
      <Value>8</Value>
      <Value>7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PN-L1105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IS-INS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34326261-78ED-435C-B3D0-0FE650FCE4BA}"/>
</file>

<file path=customXml/itemProps2.xml><?xml version="1.0" encoding="utf-8"?>
<ds:datastoreItem xmlns:ds="http://schemas.openxmlformats.org/officeDocument/2006/customXml" ds:itemID="{17A2866B-906A-48CB-971A-C8F9286B69D7}"/>
</file>

<file path=customXml/itemProps3.xml><?xml version="1.0" encoding="utf-8"?>
<ds:datastoreItem xmlns:ds="http://schemas.openxmlformats.org/officeDocument/2006/customXml" ds:itemID="{0F16E4E6-1C5A-49C0-8EAC-C38ED68B234E}"/>
</file>

<file path=customXml/itemProps4.xml><?xml version="1.0" encoding="utf-8"?>
<ds:datastoreItem xmlns:ds="http://schemas.openxmlformats.org/officeDocument/2006/customXml" ds:itemID="{CA3A79BA-826D-4F98-8817-9083E04FC167}"/>
</file>

<file path=customXml/itemProps5.xml><?xml version="1.0" encoding="utf-8"?>
<ds:datastoreItem xmlns:ds="http://schemas.openxmlformats.org/officeDocument/2006/customXml" ds:itemID="{AD574C77-1652-4C3B-9B7B-50CA568FD5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Costos</vt:lpstr>
      <vt:lpstr>Desembolsos </vt:lpstr>
      <vt:lpstr>Desglose por componentes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2 - Tabla de costos estimada</dc:title>
  <dc:creator>IADB</dc:creator>
  <cp:lastModifiedBy>Test</cp:lastModifiedBy>
  <dcterms:created xsi:type="dcterms:W3CDTF">2011-04-22T15:06:29Z</dcterms:created>
  <dcterms:modified xsi:type="dcterms:W3CDTF">2015-07-09T12:31:07Z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0x01010046CF21643EE8D14686A648AA6DAD08920048A3BCEEEA004947977A9F3B96C74157</vt:lpwstr>
  </property>
  <property fmtid="{D5CDD505-2E9C-101B-9397-08002B2CF9AE}" pid="5" name="TaxKeywordTaxHTField">
    <vt:lpwstr/>
  </property>
  <property fmtid="{D5CDD505-2E9C-101B-9397-08002B2CF9AE}" pid="6" name="Series Operations IDB">
    <vt:lpwstr>7;#Unclassified|a6dff32e-d477-44cd-a56b-85efe9e0a56c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7;#Unclassified|a6dff32e-d477-44cd-a56b-85efe9e0a56c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8;#IDBDocs|cca77002-e150-4b2d-ab1f-1d7a7cdcae16</vt:lpwstr>
  </property>
</Properties>
</file>