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0" windowWidth="25600" windowHeight="15520"/>
  </bookViews>
  <sheets>
    <sheet name="Plan Financiero" sheetId="1" r:id="rId1"/>
    <sheet name="Hoja1" sheetId="2" r:id="rId2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2" l="1"/>
  <c r="H28" i="2"/>
  <c r="F25" i="2"/>
  <c r="E26" i="2"/>
  <c r="F26" i="2"/>
  <c r="G26" i="2"/>
  <c r="C52" i="1"/>
  <c r="C17" i="1"/>
  <c r="H15" i="1"/>
  <c r="I15" i="1"/>
  <c r="J15" i="1"/>
  <c r="K15" i="1"/>
  <c r="L15" i="1"/>
  <c r="M15" i="1"/>
  <c r="N15" i="1"/>
  <c r="O15" i="1"/>
  <c r="P15" i="1"/>
  <c r="Q15" i="1"/>
  <c r="R15" i="1"/>
  <c r="G15" i="1"/>
  <c r="H12" i="1"/>
  <c r="H18" i="1"/>
  <c r="H6" i="1"/>
  <c r="H22" i="1"/>
  <c r="H24" i="1"/>
  <c r="H21" i="1"/>
  <c r="H34" i="1"/>
  <c r="H40" i="1"/>
  <c r="I12" i="1"/>
  <c r="I18" i="1"/>
  <c r="I6" i="1"/>
  <c r="I22" i="1"/>
  <c r="I24" i="1"/>
  <c r="I21" i="1"/>
  <c r="I34" i="1"/>
  <c r="I40" i="1"/>
  <c r="C51" i="1"/>
  <c r="C11" i="1"/>
  <c r="J11" i="1"/>
  <c r="J7" i="1"/>
  <c r="J12" i="1"/>
  <c r="J18" i="1"/>
  <c r="J6" i="1"/>
  <c r="J22" i="1"/>
  <c r="J24" i="1"/>
  <c r="J21" i="1"/>
  <c r="J34" i="1"/>
  <c r="J40" i="1"/>
  <c r="K7" i="1"/>
  <c r="K12" i="1"/>
  <c r="K18" i="1"/>
  <c r="K6" i="1"/>
  <c r="K34" i="1"/>
  <c r="K22" i="1"/>
  <c r="K24" i="1"/>
  <c r="K21" i="1"/>
  <c r="K40" i="1"/>
  <c r="L7" i="1"/>
  <c r="L12" i="1"/>
  <c r="L18" i="1"/>
  <c r="L6" i="1"/>
  <c r="L34" i="1"/>
  <c r="L22" i="1"/>
  <c r="L24" i="1"/>
  <c r="L21" i="1"/>
  <c r="L40" i="1"/>
  <c r="M7" i="1"/>
  <c r="M12" i="1"/>
  <c r="M18" i="1"/>
  <c r="M6" i="1"/>
  <c r="M22" i="1"/>
  <c r="M24" i="1"/>
  <c r="M21" i="1"/>
  <c r="M34" i="1"/>
  <c r="M40" i="1"/>
  <c r="N7" i="1"/>
  <c r="N12" i="1"/>
  <c r="N18" i="1"/>
  <c r="N6" i="1"/>
  <c r="N22" i="1"/>
  <c r="N24" i="1"/>
  <c r="N21" i="1"/>
  <c r="N34" i="1"/>
  <c r="N40" i="1"/>
  <c r="O7" i="1"/>
  <c r="O12" i="1"/>
  <c r="O18" i="1"/>
  <c r="O6" i="1"/>
  <c r="O34" i="1"/>
  <c r="O22" i="1"/>
  <c r="O24" i="1"/>
  <c r="O21" i="1"/>
  <c r="O40" i="1"/>
  <c r="P7" i="1"/>
  <c r="P12" i="1"/>
  <c r="P18" i="1"/>
  <c r="P6" i="1"/>
  <c r="P22" i="1"/>
  <c r="P24" i="1"/>
  <c r="P21" i="1"/>
  <c r="P34" i="1"/>
  <c r="P40" i="1"/>
  <c r="Q7" i="1"/>
  <c r="Q12" i="1"/>
  <c r="Q18" i="1"/>
  <c r="Q6" i="1"/>
  <c r="Q34" i="1"/>
  <c r="Q22" i="1"/>
  <c r="Q24" i="1"/>
  <c r="Q21" i="1"/>
  <c r="Q40" i="1"/>
  <c r="R7" i="1"/>
  <c r="R12" i="1"/>
  <c r="R18" i="1"/>
  <c r="R6" i="1"/>
  <c r="R34" i="1"/>
  <c r="R22" i="1"/>
  <c r="R24" i="1"/>
  <c r="R21" i="1"/>
  <c r="R40" i="1"/>
  <c r="G12" i="1"/>
  <c r="G18" i="1"/>
  <c r="G6" i="1"/>
  <c r="G22" i="1"/>
  <c r="G24" i="1"/>
  <c r="G21" i="1"/>
  <c r="G34" i="1"/>
  <c r="G40" i="1"/>
  <c r="I11" i="1"/>
  <c r="H7" i="1"/>
  <c r="I7" i="1"/>
  <c r="S38" i="1"/>
  <c r="C47" i="1"/>
  <c r="C20" i="1"/>
  <c r="C49" i="1"/>
  <c r="C9" i="1"/>
  <c r="I9" i="1"/>
  <c r="J9" i="1"/>
  <c r="C50" i="1"/>
  <c r="C14" i="1"/>
  <c r="E21" i="2"/>
  <c r="F21" i="2"/>
  <c r="G21" i="2"/>
  <c r="E22" i="2"/>
  <c r="F22" i="2"/>
  <c r="G22" i="2"/>
  <c r="E23" i="2"/>
  <c r="F23" i="2"/>
  <c r="G23" i="2"/>
  <c r="E20" i="2"/>
  <c r="F20" i="2"/>
  <c r="G20" i="2"/>
  <c r="E24" i="2"/>
  <c r="F24" i="2"/>
  <c r="G24" i="2"/>
  <c r="E27" i="2"/>
  <c r="F27" i="2"/>
  <c r="G7" i="1"/>
  <c r="S7" i="1"/>
  <c r="S12" i="1"/>
  <c r="S17" i="1"/>
  <c r="S15" i="1"/>
  <c r="S18" i="1"/>
  <c r="S35" i="1"/>
  <c r="S36" i="1"/>
  <c r="S37" i="1"/>
  <c r="S39" i="1"/>
  <c r="S34" i="1"/>
  <c r="S23" i="1"/>
  <c r="S22" i="1"/>
  <c r="S25" i="1"/>
  <c r="S24" i="1"/>
  <c r="C57" i="1"/>
  <c r="D34" i="1"/>
  <c r="C34" i="1"/>
  <c r="S33" i="1"/>
  <c r="S32" i="1"/>
  <c r="S31" i="1"/>
  <c r="S30" i="1"/>
  <c r="S29" i="1"/>
  <c r="S28" i="1"/>
  <c r="S27" i="1"/>
  <c r="F24" i="1"/>
  <c r="E24" i="1"/>
  <c r="D24" i="1"/>
  <c r="C24" i="1"/>
  <c r="F22" i="1"/>
  <c r="E22" i="1"/>
  <c r="D22" i="1"/>
  <c r="C22" i="1"/>
  <c r="F21" i="1"/>
  <c r="E21" i="1"/>
  <c r="F19" i="1"/>
  <c r="F18" i="1"/>
  <c r="E19" i="1"/>
  <c r="E18" i="1"/>
  <c r="D18" i="1"/>
  <c r="F16" i="1"/>
  <c r="E16" i="1"/>
  <c r="F15" i="1"/>
  <c r="E15" i="1"/>
  <c r="D15" i="1"/>
  <c r="F13" i="1"/>
  <c r="E13" i="1"/>
  <c r="F12" i="1"/>
  <c r="E12" i="1"/>
  <c r="D12" i="1"/>
  <c r="F10" i="1"/>
  <c r="E10" i="1"/>
  <c r="E7" i="1"/>
  <c r="E6" i="1"/>
  <c r="F8" i="1"/>
  <c r="E8" i="1"/>
  <c r="F7" i="1"/>
  <c r="F6" i="1"/>
  <c r="D7" i="1"/>
  <c r="D40" i="1"/>
  <c r="C21" i="1"/>
  <c r="D21" i="1"/>
  <c r="S21" i="1"/>
  <c r="D6" i="1"/>
  <c r="C42" i="1"/>
  <c r="C31" i="2"/>
  <c r="B35" i="2"/>
  <c r="E5" i="2"/>
  <c r="H21" i="2"/>
  <c r="C12" i="1"/>
  <c r="C53" i="1"/>
  <c r="B32" i="2"/>
  <c r="C32" i="2"/>
  <c r="D32" i="2"/>
  <c r="B34" i="2"/>
  <c r="C34" i="2"/>
  <c r="C35" i="2"/>
  <c r="C28" i="2"/>
  <c r="E28" i="2"/>
  <c r="C18" i="1"/>
  <c r="C15" i="1"/>
  <c r="S14" i="1"/>
  <c r="H51" i="1"/>
  <c r="F28" i="2"/>
  <c r="S20" i="1"/>
  <c r="S9" i="1"/>
  <c r="B33" i="2"/>
  <c r="C33" i="2"/>
  <c r="B36" i="2"/>
  <c r="C36" i="2"/>
  <c r="E36" i="2"/>
  <c r="C45" i="1"/>
  <c r="F51" i="1"/>
  <c r="I56" i="1"/>
  <c r="G56" i="1"/>
  <c r="G51" i="1"/>
  <c r="C7" i="1"/>
  <c r="C6" i="1"/>
  <c r="C40" i="1"/>
  <c r="E6" i="2"/>
  <c r="S11" i="1"/>
  <c r="C4" i="2"/>
  <c r="J56" i="1"/>
  <c r="E10" i="2"/>
  <c r="C10" i="2"/>
  <c r="S40" i="1"/>
  <c r="S6" i="1"/>
  <c r="E8" i="2"/>
  <c r="F8" i="2"/>
  <c r="G8" i="2"/>
  <c r="H56" i="1"/>
  <c r="C8" i="2"/>
  <c r="G10" i="2"/>
  <c r="F46" i="1"/>
  <c r="F47" i="1"/>
  <c r="F52" i="1"/>
  <c r="G52" i="1"/>
  <c r="E4" i="2"/>
  <c r="E9" i="2"/>
  <c r="F9" i="2"/>
  <c r="G9" i="2"/>
  <c r="F5" i="2"/>
  <c r="G5" i="2"/>
  <c r="F6" i="2"/>
  <c r="G6" i="2"/>
  <c r="E7" i="2"/>
  <c r="J4" i="2"/>
  <c r="J45" i="1"/>
  <c r="K45" i="1"/>
  <c r="L45" i="1"/>
  <c r="F4" i="2"/>
  <c r="G4" i="2"/>
  <c r="F7" i="2"/>
  <c r="G7" i="2"/>
  <c r="I51" i="1"/>
  <c r="C54" i="1"/>
  <c r="C58" i="1"/>
  <c r="J51" i="1"/>
  <c r="J52" i="1"/>
  <c r="G28" i="2"/>
  <c r="G31" i="2"/>
  <c r="H31" i="2"/>
</calcChain>
</file>

<file path=xl/sharedStrings.xml><?xml version="1.0" encoding="utf-8"?>
<sst xmlns="http://schemas.openxmlformats.org/spreadsheetml/2006/main" count="166" uniqueCount="148">
  <si>
    <t>WBS</t>
  </si>
  <si>
    <t>Task Name</t>
  </si>
  <si>
    <t xml:space="preserve">       Condiciones Previas</t>
  </si>
  <si>
    <t>2019-Q I</t>
  </si>
  <si>
    <t>2019-Q II</t>
  </si>
  <si>
    <t>2019-Q III</t>
  </si>
  <si>
    <t>2020-Q I</t>
  </si>
  <si>
    <t>2019-Q IV</t>
  </si>
  <si>
    <t>TOTAL</t>
  </si>
  <si>
    <t>Subtotal</t>
  </si>
  <si>
    <t>0</t>
  </si>
  <si>
    <t>1</t>
  </si>
  <si>
    <t>2</t>
  </si>
  <si>
    <t>3</t>
  </si>
  <si>
    <t>Acuerdos de cooperación técnica suscritos con el BID</t>
  </si>
  <si>
    <t>Cumplimiento de condiciones de viabilidad de las EEE.</t>
  </si>
  <si>
    <t xml:space="preserve">Inicia </t>
  </si>
  <si>
    <t>Termina</t>
  </si>
  <si>
    <t>valor total</t>
  </si>
  <si>
    <t>valor mes</t>
  </si>
  <si>
    <t>valor por proyecto</t>
  </si>
  <si>
    <t>meses</t>
  </si>
  <si>
    <t>Dolares</t>
  </si>
  <si>
    <t>Cosultores/ unidad</t>
  </si>
  <si>
    <t>dolares</t>
  </si>
  <si>
    <t>Medio término</t>
  </si>
  <si>
    <t>Final</t>
  </si>
  <si>
    <t xml:space="preserve">       Primer Desembolso</t>
  </si>
  <si>
    <t xml:space="preserve">       Segundo Desembolso</t>
  </si>
  <si>
    <t>Auditoría 2019</t>
  </si>
  <si>
    <t>Evaluacion y auditoria</t>
  </si>
  <si>
    <t>evaluacion y auditorias</t>
  </si>
  <si>
    <t>Coordinación operativa 10 proyectos</t>
  </si>
  <si>
    <t>10 capacitadores expertos en producción sostenible por 3 meses</t>
  </si>
  <si>
    <t xml:space="preserve">10 asesores comercialización por 2 mes cada uno </t>
  </si>
  <si>
    <t>Inversiones complementarias en al menos 50 hectáreas</t>
  </si>
  <si>
    <t>PESOS</t>
  </si>
  <si>
    <t>2020-Q II</t>
  </si>
  <si>
    <t>oct - dic</t>
  </si>
  <si>
    <t>Proceso de evaluación, priorización y aprobación de 10 proyectos a financiar (Incorporación de actividades complementarias o faltantes) con cargo a presupuesto UTC</t>
  </si>
  <si>
    <t>20 asistentes tecnicos y sociales por 12 meses cada uno .</t>
  </si>
  <si>
    <t>Inversiones productivas en 500 productores</t>
  </si>
  <si>
    <t>contrapartida mano de obra</t>
  </si>
  <si>
    <t xml:space="preserve"> contrapartida inversiones otros</t>
  </si>
  <si>
    <t>Inversión por productor</t>
  </si>
  <si>
    <t>total inversión por productor</t>
  </si>
  <si>
    <t>productor</t>
  </si>
  <si>
    <t>MO mes Pesos</t>
  </si>
  <si>
    <t xml:space="preserve">
 jornales</t>
  </si>
  <si>
    <t>acompañamientos por productor</t>
  </si>
  <si>
    <t>Total proyecto por productor (pesos)</t>
  </si>
  <si>
    <t>PLAN FINANCIERO (US$)</t>
  </si>
  <si>
    <t>Aporte Facilidad es el 60% de los proyectos para Linea 13</t>
  </si>
  <si>
    <t>valor contrapartida</t>
  </si>
  <si>
    <t>1.1</t>
  </si>
  <si>
    <t>1.1.1</t>
  </si>
  <si>
    <t>2.1</t>
  </si>
  <si>
    <t>2.2</t>
  </si>
  <si>
    <t>3.1</t>
  </si>
  <si>
    <t xml:space="preserve">       Tercer Desembolso</t>
  </si>
  <si>
    <t>2.2.1.1</t>
  </si>
  <si>
    <r>
      <t>Convocatoria de proyectos  realizada en los 3 departamentos y 43 municipios y estrategia de divulgación,</t>
    </r>
    <r>
      <rPr>
        <b/>
        <sz val="11"/>
        <color rgb="FF000000"/>
        <rFont val="Calibri"/>
        <family val="2"/>
        <scheme val="minor"/>
      </rPr>
      <t xml:space="preserve"> con cargo al recursos del componente de Fortalecimiento.</t>
    </r>
  </si>
  <si>
    <t xml:space="preserve">disponible total </t>
  </si>
  <si>
    <t>Pesos</t>
  </si>
  <si>
    <t>diferencia</t>
  </si>
  <si>
    <t>por familia en pesos</t>
  </si>
  <si>
    <t>tasa de cambio</t>
  </si>
  <si>
    <t>Beneficiarios</t>
  </si>
  <si>
    <t>por proyecto</t>
  </si>
  <si>
    <t xml:space="preserve">a) valor Inversion productiva, por productor </t>
  </si>
  <si>
    <t>valor total por proyecto (Pesos)</t>
  </si>
  <si>
    <t>c) inversion recuperacion suelos….</t>
  </si>
  <si>
    <t>valor total (a + b+c)</t>
  </si>
  <si>
    <t>Contrapartida inversiones por productor</t>
  </si>
  <si>
    <t>FCS</t>
  </si>
  <si>
    <t>proyectos</t>
  </si>
  <si>
    <t>Coordinación operativa 6 proyectos, por 2,5 años</t>
  </si>
  <si>
    <t>Inversiones productivas en 600 productores</t>
  </si>
  <si>
    <t>Inversiones complementarias en al menos 60 hectáreas</t>
  </si>
  <si>
    <t>valor mes Pesos</t>
  </si>
  <si>
    <t>valor por proyecto
pesos</t>
  </si>
  <si>
    <t>valor total
pesos</t>
  </si>
  <si>
    <t xml:space="preserve">Asesores comercialización: 1 por proyecto, por 2 mes cada uno </t>
  </si>
  <si>
    <t>Asistentes tecnicos (6) y sociales (6) por 2 años.</t>
  </si>
  <si>
    <t xml:space="preserve">Total costo para 6 proyectos con contrapartida </t>
  </si>
  <si>
    <t xml:space="preserve">6 Asistentes tecnicos, 6 tecnólogos y 12 sociales, por 2 años </t>
  </si>
  <si>
    <t xml:space="preserve">6  asesores comercialización por 2 mes cada uno </t>
  </si>
  <si>
    <t>Inversiones productivas para 600 productores</t>
  </si>
  <si>
    <t>Inversiones complementarias en 60 hectáreas</t>
  </si>
  <si>
    <t>tecnólogo agropecuario (6), por 2 años</t>
  </si>
  <si>
    <t>Asistente Social (6) menor experiencia), por 2 años</t>
  </si>
  <si>
    <t>b) valor AT,  Social y EEE, por productor</t>
  </si>
  <si>
    <t>disponible para proyectos</t>
  </si>
  <si>
    <t>familias</t>
  </si>
  <si>
    <t>con aporte otros</t>
  </si>
  <si>
    <t>Coordinación operativa 6 proyectos, por 24 meses</t>
  </si>
  <si>
    <t>Componente 1. Proyectos Productivos Sostenibles</t>
  </si>
  <si>
    <t>Subcomponente 1.1 Mejoramiento de la producción y la calidad de los productos agropecuarios.</t>
  </si>
  <si>
    <t xml:space="preserve">Resultado 1. Productores reciben asistencia técnica y paquetes tecnológicos para implementar cadenas comerciales para la producción sostenible </t>
  </si>
  <si>
    <t>1.1.1.1</t>
  </si>
  <si>
    <t xml:space="preserve">      Producto 1. Asistencia técnica para al menos 600 productores</t>
  </si>
  <si>
    <t>1.1.2</t>
  </si>
  <si>
    <t>Resultado 2. Productores (m / f) que están implementando métodos de agricultura sostenible</t>
  </si>
  <si>
    <t>1.1.2.1</t>
  </si>
  <si>
    <t xml:space="preserve">      Producto 2. Inversiones productivas sostenibles para al menos 600 productores, de acuerdo a su POAI</t>
  </si>
  <si>
    <t>1.2</t>
  </si>
  <si>
    <t xml:space="preserve">Subcomponente 1.2 Vinculación comercial formal </t>
  </si>
  <si>
    <t>1.2.1</t>
  </si>
  <si>
    <t>Resultado 3. Acuerdos de comercialización firmados con cada una de las asociaciones.</t>
  </si>
  <si>
    <t>1.2.1.1</t>
  </si>
  <si>
    <t xml:space="preserve">      Producto 3. Gestión comercial para firma de  6 acuerdos (1 con cada asociación)</t>
  </si>
  <si>
    <t>1.3</t>
  </si>
  <si>
    <t>Subomponente 1.3 Aportes adicionales para mejorar las condiciones ambientales de las zonas intervenidas.</t>
  </si>
  <si>
    <t>1.3.1</t>
  </si>
  <si>
    <t>Resultado 4. Se implementan acciones de recuperación, manejo y conservación de vegetación, suelos y aguas, en las áreas de influencia de las UPA intervenidas.</t>
  </si>
  <si>
    <t>1.3.1.1</t>
  </si>
  <si>
    <t xml:space="preserve">    Producto 4. Inversiones en acciones ambientales complementarias para al menos 60 hectáreas</t>
  </si>
  <si>
    <t>Subcomponente 1.4 Coordinación operativa 10 proyectos</t>
  </si>
  <si>
    <t>1.4.1</t>
  </si>
  <si>
    <t>Resultado 5. Acompañamientos a la ejecución</t>
  </si>
  <si>
    <t>1.4.1.1</t>
  </si>
  <si>
    <t xml:space="preserve">   Producto 5.  Seis (6) proyectos gestionados y ejecutados.</t>
  </si>
  <si>
    <t>Componente 2. Monitoreo, seguimiento y comunicaciones</t>
  </si>
  <si>
    <t>Subcomponente 2.1 Monitoreo y seguimiento</t>
  </si>
  <si>
    <t>2.1.1.1</t>
  </si>
  <si>
    <t>Producto 6. Plataforma de seguimiento del portafolio de proyectos implementado</t>
  </si>
  <si>
    <t>Subcomponente 2.2 Comunicaciones y divulgación</t>
  </si>
  <si>
    <t>Producto 7. Estrategia de comunicaciones y divulgación implementada</t>
  </si>
  <si>
    <t>Evaluaciones y Auditorias</t>
  </si>
  <si>
    <t>3.2</t>
  </si>
  <si>
    <t>3.4</t>
  </si>
  <si>
    <t>3.3</t>
  </si>
  <si>
    <t>Contrapartida es el 40% (aproximadamente)</t>
  </si>
  <si>
    <t>Monitoreo y comunicaciones</t>
  </si>
  <si>
    <t>TOTAL FINANCIAMIENTO</t>
  </si>
  <si>
    <t>Porción de M&amp;C a evaluaciones y auditorías</t>
  </si>
  <si>
    <t>PROMOCIÓN DE ESTRATEGIAS INNOVADORAS PARA EL DESARROLLO RURAL SOSTENIBLE Y LA PRESERVACIÓN AMBIENTAL</t>
  </si>
  <si>
    <t>2020-Q III</t>
  </si>
  <si>
    <t>2020-Q IV</t>
  </si>
  <si>
    <t>ene-mar</t>
  </si>
  <si>
    <t>abr-jun</t>
  </si>
  <si>
    <t>jul-sep</t>
  </si>
  <si>
    <t>2021-Q I</t>
  </si>
  <si>
    <t>2021-Q II</t>
  </si>
  <si>
    <t>2021-Q III</t>
  </si>
  <si>
    <t>2021-Q IV</t>
  </si>
  <si>
    <t>Auditoría 2020</t>
  </si>
  <si>
    <t>Auditoría 2021 (final)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</si>
</sst>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4" formatCode="_-&quot;$&quot;* #,##0.00_-;\-&quot;$&quot;* #,##0.00_-;_-&quot;$&quot;* &quot;-&quot;??_-;_-@_-"/>
    <numFmt numFmtId="164" formatCode="_-&quot;$&quot;\ * #,##0_-;\-&quot;$&quot;\ * #,##0_-;_-&quot;$&quot;\ * &quot;-&quot;_-;_-@_-"/>
    <numFmt numFmtId="165" formatCode="&quot;$&quot;#,##0_);[Red]\(&quot;$&quot;#,##0\)"/>
    <numFmt numFmtId="166" formatCode="&quot;$&quot;#,##0.00_);[Red]\(&quot;$&quot;#,##0.00\)"/>
    <numFmt numFmtId="167" formatCode="_-* #,##0.00_-;\-* #,##0.00_-;_-* &quot;-&quot;_-;_-@_-"/>
    <numFmt numFmtId="168" formatCode="_-&quot;$&quot;* #,##0_-;\-&quot;$&quot;* #,##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6363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1BBCC"/>
      </left>
      <right/>
      <top style="thin">
        <color rgb="FFB1BBCC"/>
      </top>
      <bottom style="thin">
        <color rgb="FFB1BBCC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7">
    <xf numFmtId="0" fontId="0" fillId="0" borderId="0"/>
    <xf numFmtId="164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78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0" fillId="0" borderId="0" xfId="0" applyAlignment="1"/>
    <xf numFmtId="0" fontId="0" fillId="0" borderId="0" xfId="0" applyFill="1"/>
    <xf numFmtId="0" fontId="2" fillId="0" borderId="0" xfId="0" applyFont="1" applyFill="1"/>
    <xf numFmtId="49" fontId="4" fillId="5" borderId="1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0" fillId="0" borderId="0" xfId="0" applyNumberFormat="1"/>
    <xf numFmtId="165" fontId="1" fillId="4" borderId="1" xfId="0" applyNumberFormat="1" applyFont="1" applyFill="1" applyBorder="1" applyAlignment="1">
      <alignment horizontal="right" vertical="center" wrapText="1"/>
    </xf>
    <xf numFmtId="0" fontId="0" fillId="6" borderId="0" xfId="0" applyFill="1"/>
    <xf numFmtId="0" fontId="2" fillId="6" borderId="0" xfId="0" applyFont="1" applyFill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vertical="center" wrapText="1"/>
    </xf>
    <xf numFmtId="0" fontId="0" fillId="0" borderId="3" xfId="0" applyBorder="1"/>
    <xf numFmtId="164" fontId="0" fillId="0" borderId="3" xfId="1" applyFont="1" applyBorder="1"/>
    <xf numFmtId="0" fontId="0" fillId="0" borderId="4" xfId="0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9" fontId="0" fillId="0" borderId="0" xfId="0" applyNumberFormat="1"/>
    <xf numFmtId="164" fontId="5" fillId="6" borderId="1" xfId="0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 wrapText="1"/>
    </xf>
    <xf numFmtId="165" fontId="5" fillId="6" borderId="1" xfId="0" applyNumberFormat="1" applyFont="1" applyFill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9" fillId="4" borderId="1" xfId="0" applyNumberFormat="1" applyFont="1" applyFill="1" applyBorder="1" applyAlignment="1">
      <alignment horizontal="center" vertical="center" wrapText="1"/>
    </xf>
    <xf numFmtId="0" fontId="0" fillId="9" borderId="4" xfId="0" applyFill="1" applyBorder="1" applyAlignment="1">
      <alignment wrapText="1"/>
    </xf>
    <xf numFmtId="164" fontId="0" fillId="9" borderId="3" xfId="1" applyFont="1" applyFill="1" applyBorder="1"/>
    <xf numFmtId="0" fontId="0" fillId="9" borderId="3" xfId="0" applyFill="1" applyBorder="1"/>
    <xf numFmtId="0" fontId="0" fillId="9" borderId="0" xfId="0" applyFill="1"/>
    <xf numFmtId="164" fontId="7" fillId="0" borderId="3" xfId="1" applyFont="1" applyBorder="1" applyAlignment="1">
      <alignment wrapText="1"/>
    </xf>
    <xf numFmtId="164" fontId="7" fillId="6" borderId="3" xfId="1" applyFont="1" applyFill="1" applyBorder="1"/>
    <xf numFmtId="164" fontId="0" fillId="0" borderId="0" xfId="1" applyFont="1" applyAlignment="1"/>
    <xf numFmtId="164" fontId="0" fillId="0" borderId="0" xfId="1" applyFont="1"/>
    <xf numFmtId="49" fontId="4" fillId="6" borderId="0" xfId="0" applyNumberFormat="1" applyFont="1" applyFill="1" applyBorder="1" applyAlignment="1">
      <alignment horizontal="right" vertical="center" wrapText="1"/>
    </xf>
    <xf numFmtId="164" fontId="0" fillId="6" borderId="0" xfId="1" applyFont="1" applyFill="1"/>
    <xf numFmtId="0" fontId="0" fillId="10" borderId="3" xfId="0" applyFill="1" applyBorder="1" applyAlignment="1">
      <alignment wrapText="1"/>
    </xf>
    <xf numFmtId="0" fontId="0" fillId="10" borderId="3" xfId="0" applyFont="1" applyFill="1" applyBorder="1" applyAlignment="1">
      <alignment wrapText="1"/>
    </xf>
    <xf numFmtId="164" fontId="0" fillId="13" borderId="3" xfId="1" applyFont="1" applyFill="1" applyBorder="1"/>
    <xf numFmtId="164" fontId="0" fillId="13" borderId="0" xfId="1" applyFont="1" applyFill="1"/>
    <xf numFmtId="0" fontId="0" fillId="0" borderId="0" xfId="0" applyAlignment="1">
      <alignment horizontal="center"/>
    </xf>
    <xf numFmtId="0" fontId="0" fillId="14" borderId="6" xfId="0" applyFill="1" applyBorder="1" applyAlignment="1">
      <alignment horizontal="left" wrapText="1"/>
    </xf>
    <xf numFmtId="164" fontId="0" fillId="14" borderId="7" xfId="1" applyFont="1" applyFill="1" applyBorder="1"/>
    <xf numFmtId="0" fontId="0" fillId="14" borderId="8" xfId="0" applyFill="1" applyBorder="1"/>
    <xf numFmtId="164" fontId="0" fillId="14" borderId="9" xfId="1" applyFont="1" applyFill="1" applyBorder="1"/>
    <xf numFmtId="0" fontId="0" fillId="10" borderId="10" xfId="0" applyFill="1" applyBorder="1" applyAlignment="1">
      <alignment wrapText="1"/>
    </xf>
    <xf numFmtId="164" fontId="10" fillId="10" borderId="11" xfId="1" applyFont="1" applyFill="1" applyBorder="1"/>
    <xf numFmtId="164" fontId="0" fillId="0" borderId="0" xfId="0" applyNumberFormat="1"/>
    <xf numFmtId="164" fontId="0" fillId="13" borderId="6" xfId="1" applyFont="1" applyFill="1" applyBorder="1" applyAlignment="1"/>
    <xf numFmtId="0" fontId="0" fillId="13" borderId="12" xfId="0" applyFill="1" applyBorder="1" applyAlignment="1"/>
    <xf numFmtId="0" fontId="0" fillId="13" borderId="12" xfId="0" applyFill="1" applyBorder="1"/>
    <xf numFmtId="0" fontId="0" fillId="13" borderId="7" xfId="0" applyFill="1" applyBorder="1" applyAlignment="1"/>
    <xf numFmtId="164" fontId="0" fillId="10" borderId="8" xfId="1" applyFont="1" applyFill="1" applyBorder="1" applyAlignment="1"/>
    <xf numFmtId="0" fontId="0" fillId="10" borderId="0" xfId="0" applyFill="1" applyBorder="1" applyAlignment="1"/>
    <xf numFmtId="164" fontId="0" fillId="10" borderId="0" xfId="1" applyFont="1" applyFill="1" applyBorder="1"/>
    <xf numFmtId="164" fontId="0" fillId="10" borderId="9" xfId="1" applyFont="1" applyFill="1" applyBorder="1" applyAlignment="1"/>
    <xf numFmtId="164" fontId="0" fillId="10" borderId="10" xfId="1" applyFont="1" applyFill="1" applyBorder="1" applyAlignment="1"/>
    <xf numFmtId="0" fontId="0" fillId="10" borderId="13" xfId="0" applyFill="1" applyBorder="1" applyAlignment="1"/>
    <xf numFmtId="0" fontId="0" fillId="10" borderId="13" xfId="0" applyFill="1" applyBorder="1"/>
    <xf numFmtId="0" fontId="0" fillId="10" borderId="11" xfId="0" applyFill="1" applyBorder="1" applyAlignment="1"/>
    <xf numFmtId="0" fontId="0" fillId="13" borderId="0" xfId="0" applyFill="1" applyAlignment="1">
      <alignment horizontal="center"/>
    </xf>
    <xf numFmtId="0" fontId="0" fillId="13" borderId="0" xfId="0" applyFill="1" applyAlignment="1">
      <alignment horizontal="center" wrapText="1"/>
    </xf>
    <xf numFmtId="164" fontId="0" fillId="13" borderId="0" xfId="1" applyFont="1" applyFill="1" applyAlignment="1">
      <alignment horizontal="center"/>
    </xf>
    <xf numFmtId="1" fontId="0" fillId="13" borderId="0" xfId="0" applyNumberFormat="1" applyFill="1" applyAlignment="1">
      <alignment horizontal="center"/>
    </xf>
    <xf numFmtId="164" fontId="0" fillId="12" borderId="7" xfId="1" applyFont="1" applyFill="1" applyBorder="1"/>
    <xf numFmtId="0" fontId="0" fillId="11" borderId="8" xfId="0" applyFill="1" applyBorder="1"/>
    <xf numFmtId="164" fontId="0" fillId="11" borderId="9" xfId="1" applyFont="1" applyFill="1" applyBorder="1"/>
    <xf numFmtId="0" fontId="0" fillId="11" borderId="8" xfId="0" applyFill="1" applyBorder="1" applyAlignment="1">
      <alignment wrapText="1"/>
    </xf>
    <xf numFmtId="164" fontId="0" fillId="12" borderId="9" xfId="1" applyFont="1" applyFill="1" applyBorder="1"/>
    <xf numFmtId="0" fontId="0" fillId="0" borderId="10" xfId="0" applyBorder="1"/>
    <xf numFmtId="164" fontId="2" fillId="7" borderId="11" xfId="0" applyNumberFormat="1" applyFont="1" applyFill="1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164" fontId="0" fillId="0" borderId="19" xfId="0" applyNumberFormat="1" applyBorder="1"/>
    <xf numFmtId="0" fontId="0" fillId="0" borderId="16" xfId="0" applyBorder="1" applyAlignment="1">
      <alignment horizontal="center" vertical="center"/>
    </xf>
    <xf numFmtId="164" fontId="0" fillId="0" borderId="18" xfId="0" applyNumberFormat="1" applyBorder="1"/>
    <xf numFmtId="0" fontId="0" fillId="12" borderId="6" xfId="0" applyFill="1" applyBorder="1"/>
    <xf numFmtId="0" fontId="0" fillId="12" borderId="8" xfId="0" applyFill="1" applyBorder="1" applyAlignment="1">
      <alignment wrapText="1"/>
    </xf>
    <xf numFmtId="49" fontId="4" fillId="8" borderId="20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vertical="center" wrapText="1"/>
    </xf>
    <xf numFmtId="164" fontId="5" fillId="6" borderId="5" xfId="0" applyNumberFormat="1" applyFont="1" applyFill="1" applyBorder="1" applyAlignment="1">
      <alignment vertical="center" wrapText="1"/>
    </xf>
    <xf numFmtId="14" fontId="5" fillId="3" borderId="5" xfId="0" applyNumberFormat="1" applyFont="1" applyFill="1" applyBorder="1" applyAlignment="1">
      <alignment vertical="center" wrapText="1"/>
    </xf>
    <xf numFmtId="165" fontId="5" fillId="6" borderId="5" xfId="0" applyNumberFormat="1" applyFont="1" applyFill="1" applyBorder="1" applyAlignment="1">
      <alignment vertical="center" wrapText="1"/>
    </xf>
    <xf numFmtId="166" fontId="4" fillId="8" borderId="3" xfId="0" applyNumberFormat="1" applyFont="1" applyFill="1" applyBorder="1" applyAlignment="1">
      <alignment horizontal="right" vertical="center" wrapText="1"/>
    </xf>
    <xf numFmtId="165" fontId="4" fillId="8" borderId="3" xfId="0" applyNumberFormat="1" applyFont="1" applyFill="1" applyBorder="1" applyAlignment="1">
      <alignment horizontal="right" vertical="center" wrapText="1"/>
    </xf>
    <xf numFmtId="167" fontId="0" fillId="0" borderId="0" xfId="2" applyNumberFormat="1" applyFont="1"/>
    <xf numFmtId="165" fontId="4" fillId="15" borderId="3" xfId="0" applyNumberFormat="1" applyFont="1" applyFill="1" applyBorder="1" applyAlignment="1">
      <alignment horizontal="right" vertical="center" wrapText="1"/>
    </xf>
    <xf numFmtId="165" fontId="4" fillId="15" borderId="3" xfId="0" applyNumberFormat="1" applyFont="1" applyFill="1" applyBorder="1" applyAlignment="1">
      <alignment horizontal="center" vertical="center" wrapText="1"/>
    </xf>
    <xf numFmtId="0" fontId="0" fillId="6" borderId="21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6" borderId="3" xfId="0" applyFill="1" applyBorder="1" applyAlignment="1">
      <alignment wrapText="1"/>
    </xf>
    <xf numFmtId="164" fontId="0" fillId="0" borderId="0" xfId="1" applyFont="1" applyAlignment="1">
      <alignment wrapText="1"/>
    </xf>
    <xf numFmtId="0" fontId="2" fillId="0" borderId="3" xfId="0" applyFont="1" applyBorder="1" applyAlignment="1">
      <alignment wrapText="1"/>
    </xf>
    <xf numFmtId="164" fontId="2" fillId="0" borderId="3" xfId="1" applyFont="1" applyBorder="1" applyAlignment="1">
      <alignment wrapText="1"/>
    </xf>
    <xf numFmtId="0" fontId="2" fillId="0" borderId="3" xfId="0" applyFont="1" applyBorder="1"/>
    <xf numFmtId="164" fontId="0" fillId="7" borderId="3" xfId="1" applyFont="1" applyFill="1" applyBorder="1" applyAlignment="1">
      <alignment wrapText="1"/>
    </xf>
    <xf numFmtId="164" fontId="0" fillId="13" borderId="3" xfId="0" applyNumberFormat="1" applyFill="1" applyBorder="1"/>
    <xf numFmtId="164" fontId="0" fillId="13" borderId="3" xfId="1" applyFont="1" applyFill="1" applyBorder="1" applyAlignment="1">
      <alignment wrapText="1"/>
    </xf>
    <xf numFmtId="0" fontId="0" fillId="0" borderId="22" xfId="0" applyBorder="1" applyAlignment="1">
      <alignment wrapText="1"/>
    </xf>
    <xf numFmtId="164" fontId="0" fillId="6" borderId="22" xfId="1" applyFont="1" applyFill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164" fontId="0" fillId="13" borderId="3" xfId="0" applyNumberFormat="1" applyFill="1" applyBorder="1" applyAlignment="1">
      <alignment wrapText="1"/>
    </xf>
    <xf numFmtId="164" fontId="0" fillId="6" borderId="3" xfId="1" applyFont="1" applyFill="1" applyBorder="1" applyAlignment="1">
      <alignment wrapText="1"/>
    </xf>
    <xf numFmtId="164" fontId="0" fillId="16" borderId="3" xfId="1" applyFont="1" applyFill="1" applyBorder="1"/>
    <xf numFmtId="164" fontId="0" fillId="16" borderId="3" xfId="0" applyNumberFormat="1" applyFill="1" applyBorder="1"/>
    <xf numFmtId="0" fontId="0" fillId="0" borderId="0" xfId="0" applyBorder="1"/>
    <xf numFmtId="0" fontId="0" fillId="17" borderId="3" xfId="0" applyFill="1" applyBorder="1" applyAlignment="1">
      <alignment wrapText="1"/>
    </xf>
    <xf numFmtId="164" fontId="0" fillId="17" borderId="3" xfId="1" applyFont="1" applyFill="1" applyBorder="1"/>
    <xf numFmtId="0" fontId="0" fillId="17" borderId="3" xfId="0" applyFill="1" applyBorder="1"/>
    <xf numFmtId="0" fontId="0" fillId="0" borderId="0" xfId="0" applyAlignment="1">
      <alignment horizontal="right"/>
    </xf>
    <xf numFmtId="0" fontId="0" fillId="4" borderId="0" xfId="0" applyFill="1" applyAlignment="1">
      <alignment wrapText="1"/>
    </xf>
    <xf numFmtId="0" fontId="0" fillId="4" borderId="0" xfId="0" applyFill="1"/>
    <xf numFmtId="1" fontId="0" fillId="6" borderId="0" xfId="0" applyNumberFormat="1" applyFill="1"/>
    <xf numFmtId="0" fontId="12" fillId="13" borderId="0" xfId="0" applyFont="1" applyFill="1" applyAlignment="1">
      <alignment horizontal="right" wrapText="1"/>
    </xf>
    <xf numFmtId="41" fontId="12" fillId="13" borderId="0" xfId="2" applyFont="1" applyFill="1"/>
    <xf numFmtId="164" fontId="0" fillId="18" borderId="17" xfId="1" applyFont="1" applyFill="1" applyBorder="1"/>
    <xf numFmtId="164" fontId="0" fillId="18" borderId="18" xfId="1" applyFont="1" applyFill="1" applyBorder="1"/>
    <xf numFmtId="41" fontId="12" fillId="13" borderId="0" xfId="2" applyFont="1" applyFill="1" applyAlignment="1">
      <alignment horizontal="right"/>
    </xf>
    <xf numFmtId="164" fontId="0" fillId="8" borderId="0" xfId="1" applyFont="1" applyFill="1"/>
    <xf numFmtId="9" fontId="0" fillId="0" borderId="0" xfId="3" applyFont="1"/>
    <xf numFmtId="41" fontId="0" fillId="0" borderId="0" xfId="2" applyFont="1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6" borderId="3" xfId="0" applyFill="1" applyBorder="1" applyAlignment="1">
      <alignment vertical="center" wrapText="1"/>
    </xf>
    <xf numFmtId="164" fontId="0" fillId="11" borderId="3" xfId="1" applyFont="1" applyFill="1" applyBorder="1" applyAlignment="1">
      <alignment horizontal="center" vertical="center"/>
    </xf>
    <xf numFmtId="164" fontId="0" fillId="6" borderId="3" xfId="1" applyFont="1" applyFill="1" applyBorder="1" applyAlignment="1">
      <alignment horizontal="center" vertical="center"/>
    </xf>
    <xf numFmtId="164" fontId="0" fillId="11" borderId="3" xfId="0" applyNumberFormat="1" applyFill="1" applyBorder="1" applyAlignment="1">
      <alignment vertical="center"/>
    </xf>
    <xf numFmtId="164" fontId="0" fillId="0" borderId="3" xfId="1" applyFont="1" applyBorder="1" applyAlignment="1">
      <alignment horizontal="center" vertical="center"/>
    </xf>
    <xf numFmtId="164" fontId="0" fillId="7" borderId="3" xfId="0" applyNumberFormat="1" applyFill="1" applyBorder="1" applyAlignment="1">
      <alignment vertical="center"/>
    </xf>
    <xf numFmtId="164" fontId="0" fillId="19" borderId="3" xfId="0" applyNumberFormat="1" applyFill="1" applyBorder="1"/>
    <xf numFmtId="164" fontId="0" fillId="19" borderId="3" xfId="1" applyFont="1" applyFill="1" applyBorder="1"/>
    <xf numFmtId="164" fontId="0" fillId="7" borderId="3" xfId="0" applyNumberFormat="1" applyFill="1" applyBorder="1" applyAlignment="1"/>
    <xf numFmtId="164" fontId="0" fillId="16" borderId="3" xfId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vertical="center" wrapText="1"/>
    </xf>
    <xf numFmtId="49" fontId="4" fillId="20" borderId="1" xfId="0" applyNumberFormat="1" applyFont="1" applyFill="1" applyBorder="1" applyAlignment="1">
      <alignment vertical="center" wrapText="1"/>
    </xf>
    <xf numFmtId="0" fontId="4" fillId="20" borderId="1" xfId="0" applyFont="1" applyFill="1" applyBorder="1" applyAlignment="1">
      <alignment vertical="center" wrapText="1"/>
    </xf>
    <xf numFmtId="164" fontId="4" fillId="20" borderId="1" xfId="0" applyNumberFormat="1" applyFont="1" applyFill="1" applyBorder="1" applyAlignment="1">
      <alignment vertical="center"/>
    </xf>
    <xf numFmtId="14" fontId="4" fillId="20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 wrapText="1" indent="1"/>
    </xf>
    <xf numFmtId="49" fontId="8" fillId="6" borderId="1" xfId="0" applyNumberFormat="1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left" vertical="center" wrapText="1" indent="2"/>
    </xf>
    <xf numFmtId="164" fontId="8" fillId="6" borderId="1" xfId="0" applyNumberFormat="1" applyFont="1" applyFill="1" applyBorder="1" applyAlignment="1">
      <alignment vertical="center" wrapText="1"/>
    </xf>
    <xf numFmtId="14" fontId="8" fillId="6" borderId="1" xfId="0" applyNumberFormat="1" applyFont="1" applyFill="1" applyBorder="1" applyAlignment="1">
      <alignment vertical="center" wrapText="1"/>
    </xf>
    <xf numFmtId="165" fontId="8" fillId="6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vertical="center" wrapText="1"/>
    </xf>
    <xf numFmtId="0" fontId="11" fillId="0" borderId="0" xfId="0" applyFont="1" applyFill="1"/>
    <xf numFmtId="14" fontId="4" fillId="20" borderId="1" xfId="0" applyNumberFormat="1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left" vertical="center" wrapText="1" indent="3"/>
    </xf>
    <xf numFmtId="49" fontId="5" fillId="21" borderId="1" xfId="0" applyNumberFormat="1" applyFont="1" applyFill="1" applyBorder="1" applyAlignment="1">
      <alignment vertical="center" wrapText="1"/>
    </xf>
    <xf numFmtId="0" fontId="4" fillId="21" borderId="1" xfId="0" applyFont="1" applyFill="1" applyBorder="1" applyAlignment="1">
      <alignment vertical="center" wrapText="1"/>
    </xf>
    <xf numFmtId="164" fontId="5" fillId="21" borderId="1" xfId="0" applyNumberFormat="1" applyFont="1" applyFill="1" applyBorder="1" applyAlignment="1">
      <alignment vertical="center" wrapText="1"/>
    </xf>
    <xf numFmtId="14" fontId="5" fillId="21" borderId="1" xfId="0" applyNumberFormat="1" applyFont="1" applyFill="1" applyBorder="1" applyAlignment="1">
      <alignment vertical="center" wrapText="1"/>
    </xf>
    <xf numFmtId="165" fontId="5" fillId="21" borderId="1" xfId="0" applyNumberFormat="1" applyFont="1" applyFill="1" applyBorder="1" applyAlignment="1">
      <alignment horizontal="right" vertical="center" wrapText="1"/>
    </xf>
    <xf numFmtId="0" fontId="0" fillId="0" borderId="8" xfId="0" applyBorder="1"/>
    <xf numFmtId="168" fontId="0" fillId="0" borderId="9" xfId="4" applyNumberFormat="1" applyFont="1" applyBorder="1"/>
    <xf numFmtId="0" fontId="0" fillId="0" borderId="10" xfId="0" applyBorder="1" applyAlignment="1">
      <alignment wrapText="1"/>
    </xf>
    <xf numFmtId="168" fontId="2" fillId="7" borderId="11" xfId="4" applyNumberFormat="1" applyFont="1" applyFill="1" applyBorder="1"/>
    <xf numFmtId="0" fontId="10" fillId="0" borderId="23" xfId="0" applyFont="1" applyBorder="1" applyAlignment="1">
      <alignment horizontal="center" wrapText="1"/>
    </xf>
    <xf numFmtId="164" fontId="10" fillId="20" borderId="24" xfId="0" applyNumberFormat="1" applyFont="1" applyFill="1" applyBorder="1"/>
    <xf numFmtId="0" fontId="0" fillId="22" borderId="6" xfId="0" applyFill="1" applyBorder="1"/>
    <xf numFmtId="168" fontId="0" fillId="22" borderId="7" xfId="4" applyNumberFormat="1" applyFont="1" applyFill="1" applyBorder="1"/>
    <xf numFmtId="0" fontId="0" fillId="0" borderId="0" xfId="0" applyBorder="1" applyAlignment="1">
      <alignment horizontal="center" vertical="center"/>
    </xf>
    <xf numFmtId="164" fontId="0" fillId="0" borderId="0" xfId="0" applyNumberFormat="1" applyBorder="1"/>
    <xf numFmtId="49" fontId="5" fillId="23" borderId="1" xfId="0" applyNumberFormat="1" applyFont="1" applyFill="1" applyBorder="1" applyAlignment="1">
      <alignment vertical="center" wrapText="1"/>
    </xf>
    <xf numFmtId="0" fontId="5" fillId="23" borderId="1" xfId="0" applyFont="1" applyFill="1" applyBorder="1" applyAlignment="1">
      <alignment horizontal="left" vertical="center" wrapText="1" indent="2"/>
    </xf>
    <xf numFmtId="164" fontId="5" fillId="23" borderId="1" xfId="0" applyNumberFormat="1" applyFont="1" applyFill="1" applyBorder="1" applyAlignment="1">
      <alignment vertical="center" wrapText="1"/>
    </xf>
    <xf numFmtId="14" fontId="5" fillId="23" borderId="1" xfId="0" applyNumberFormat="1" applyFont="1" applyFill="1" applyBorder="1" applyAlignment="1">
      <alignment vertical="center" wrapText="1"/>
    </xf>
    <xf numFmtId="165" fontId="5" fillId="23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/>
    </xf>
  </cellXfs>
  <cellStyles count="37"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Millares [0]" xfId="2" builtinId="6"/>
    <cellStyle name="Moneda" xfId="4" builtinId="4"/>
    <cellStyle name="Moneda [0]" xfId="1" builtinId="7"/>
    <cellStyle name="Normal" xfId="0" builtinId="0"/>
    <cellStyle name="Porcentual" xfId="3" builtinId="5"/>
  </cellStyles>
  <dxfs count="0"/>
  <tableStyles count="0" defaultTableStyle="TableStyleMedium2" defaultPivotStyle="PivotStyleLight16"/>
  <colors>
    <mruColors>
      <color rgb="FFCCECFF"/>
      <color rgb="FF00CC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abSelected="1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D50" sqref="D50"/>
    </sheetView>
  </sheetViews>
  <sheetFormatPr baseColWidth="10" defaultColWidth="9.1640625" defaultRowHeight="14" outlineLevelRow="2" outlineLevelCol="1" x14ac:dyDescent="0"/>
  <cols>
    <col min="1" max="1" width="8.33203125" style="11" customWidth="1"/>
    <col min="2" max="2" width="57.5" style="15" customWidth="1"/>
    <col min="3" max="3" width="13.83203125" customWidth="1"/>
    <col min="4" max="4" width="16.33203125" customWidth="1"/>
    <col min="5" max="5" width="13.33203125" bestFit="1" customWidth="1"/>
    <col min="6" max="6" width="16.5" customWidth="1"/>
    <col min="7" max="7" width="13.6640625" customWidth="1" outlineLevel="1"/>
    <col min="8" max="8" width="13.5" customWidth="1" outlineLevel="1"/>
    <col min="9" max="9" width="17.5" style="4" customWidth="1" outlineLevel="1"/>
    <col min="10" max="14" width="14.33203125" style="4" customWidth="1" outlineLevel="1"/>
    <col min="15" max="17" width="14.6640625" customWidth="1" outlineLevel="1"/>
    <col min="18" max="18" width="13" customWidth="1" outlineLevel="1"/>
    <col min="19" max="19" width="12.83203125" customWidth="1"/>
    <col min="20" max="21" width="13.33203125" customWidth="1"/>
    <col min="22" max="22" width="11.1640625" customWidth="1"/>
    <col min="23" max="23" width="18.5" customWidth="1"/>
    <col min="24" max="16384" width="9.1640625" style="5"/>
  </cols>
  <sheetData>
    <row r="1" spans="1:23" ht="18">
      <c r="A1" s="177" t="s">
        <v>136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5"/>
      <c r="U1" s="5"/>
      <c r="V1" s="5"/>
      <c r="W1" s="5"/>
    </row>
    <row r="2" spans="1:23" ht="18">
      <c r="A2" s="177" t="s">
        <v>51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5"/>
      <c r="U2" s="5"/>
      <c r="V2" s="5"/>
      <c r="W2" s="5"/>
    </row>
    <row r="3" spans="1:23">
      <c r="T3" s="5"/>
      <c r="U3" s="5"/>
      <c r="V3" s="5"/>
      <c r="W3" s="5"/>
    </row>
    <row r="4" spans="1:23">
      <c r="A4" s="10" t="s">
        <v>0</v>
      </c>
      <c r="B4" s="1" t="s">
        <v>1</v>
      </c>
      <c r="C4" s="16" t="s">
        <v>18</v>
      </c>
      <c r="D4" s="16" t="s">
        <v>53</v>
      </c>
      <c r="E4" s="16" t="s">
        <v>16</v>
      </c>
      <c r="F4" s="16" t="s">
        <v>17</v>
      </c>
      <c r="G4" s="31" t="s">
        <v>3</v>
      </c>
      <c r="H4" s="31" t="s">
        <v>4</v>
      </c>
      <c r="I4" s="31" t="s">
        <v>5</v>
      </c>
      <c r="J4" s="31" t="s">
        <v>7</v>
      </c>
      <c r="K4" s="31" t="s">
        <v>6</v>
      </c>
      <c r="L4" s="31" t="s">
        <v>37</v>
      </c>
      <c r="M4" s="31" t="s">
        <v>137</v>
      </c>
      <c r="N4" s="31" t="s">
        <v>138</v>
      </c>
      <c r="O4" s="31" t="s">
        <v>142</v>
      </c>
      <c r="P4" s="31" t="s">
        <v>143</v>
      </c>
      <c r="Q4" s="31" t="s">
        <v>144</v>
      </c>
      <c r="R4" s="31" t="s">
        <v>145</v>
      </c>
      <c r="S4" s="31" t="s">
        <v>9</v>
      </c>
      <c r="T4" s="5"/>
      <c r="U4" s="5"/>
      <c r="V4" s="5"/>
      <c r="W4" s="5"/>
    </row>
    <row r="5" spans="1:23" s="6" customFormat="1" ht="15" customHeight="1">
      <c r="A5" s="8" t="s">
        <v>10</v>
      </c>
      <c r="B5" s="29"/>
      <c r="C5" s="29"/>
      <c r="D5" s="29"/>
      <c r="E5" s="29"/>
      <c r="F5" s="29"/>
      <c r="G5" s="32" t="s">
        <v>139</v>
      </c>
      <c r="H5" s="32" t="s">
        <v>140</v>
      </c>
      <c r="I5" s="32" t="s">
        <v>141</v>
      </c>
      <c r="J5" s="32" t="s">
        <v>38</v>
      </c>
      <c r="K5" s="32" t="s">
        <v>139</v>
      </c>
      <c r="L5" s="32" t="s">
        <v>140</v>
      </c>
      <c r="M5" s="32" t="s">
        <v>141</v>
      </c>
      <c r="N5" s="32" t="s">
        <v>38</v>
      </c>
      <c r="O5" s="32" t="s">
        <v>139</v>
      </c>
      <c r="P5" s="32" t="s">
        <v>140</v>
      </c>
      <c r="Q5" s="32" t="s">
        <v>141</v>
      </c>
      <c r="R5" s="32" t="s">
        <v>38</v>
      </c>
      <c r="S5" s="12"/>
    </row>
    <row r="6" spans="1:23" s="6" customFormat="1">
      <c r="A6" s="143" t="s">
        <v>11</v>
      </c>
      <c r="B6" s="144" t="s">
        <v>96</v>
      </c>
      <c r="C6" s="145">
        <f>+C7+C12+C15+C18</f>
        <v>1944000</v>
      </c>
      <c r="D6" s="145">
        <f t="shared" ref="D6:S6" si="0">+D7+D12+D15+D18</f>
        <v>1300000</v>
      </c>
      <c r="E6" s="146">
        <f>+E7</f>
        <v>43563</v>
      </c>
      <c r="F6" s="146">
        <f>+F7</f>
        <v>44316</v>
      </c>
      <c r="G6" s="145">
        <f t="shared" si="0"/>
        <v>0</v>
      </c>
      <c r="H6" s="145">
        <f t="shared" si="0"/>
        <v>157200</v>
      </c>
      <c r="I6" s="145">
        <f t="shared" si="0"/>
        <v>200400</v>
      </c>
      <c r="J6" s="145">
        <f t="shared" si="0"/>
        <v>328400</v>
      </c>
      <c r="K6" s="145">
        <f t="shared" ref="K6:R6" si="1">+K7+K12+K15+K18</f>
        <v>336400</v>
      </c>
      <c r="L6" s="145">
        <f t="shared" si="1"/>
        <v>477600</v>
      </c>
      <c r="M6" s="145">
        <f t="shared" si="1"/>
        <v>133200</v>
      </c>
      <c r="N6" s="145">
        <f t="shared" si="1"/>
        <v>133200</v>
      </c>
      <c r="O6" s="145">
        <f t="shared" si="1"/>
        <v>118800</v>
      </c>
      <c r="P6" s="145">
        <f t="shared" si="1"/>
        <v>58800</v>
      </c>
      <c r="Q6" s="145">
        <f t="shared" si="1"/>
        <v>0</v>
      </c>
      <c r="R6" s="145">
        <f t="shared" si="1"/>
        <v>0</v>
      </c>
      <c r="S6" s="145">
        <f t="shared" si="0"/>
        <v>1944000</v>
      </c>
    </row>
    <row r="7" spans="1:23" s="6" customFormat="1" ht="28" outlineLevel="1">
      <c r="A7" s="7" t="s">
        <v>54</v>
      </c>
      <c r="B7" s="147" t="s">
        <v>97</v>
      </c>
      <c r="C7" s="25">
        <f>SUM(C8:C11)</f>
        <v>1548000</v>
      </c>
      <c r="D7" s="25">
        <f>SUM(D8:D11)</f>
        <v>1105000</v>
      </c>
      <c r="E7" s="28">
        <f>+E10</f>
        <v>43563</v>
      </c>
      <c r="F7" s="28">
        <f>+F9</f>
        <v>44316</v>
      </c>
      <c r="G7" s="25">
        <f t="shared" ref="G7:R7" si="2">SUM(G8:G11)</f>
        <v>0</v>
      </c>
      <c r="H7" s="25">
        <f t="shared" si="2"/>
        <v>142800</v>
      </c>
      <c r="I7" s="25">
        <f t="shared" si="2"/>
        <v>172800</v>
      </c>
      <c r="J7" s="25">
        <f t="shared" si="2"/>
        <v>255600</v>
      </c>
      <c r="K7" s="25">
        <f t="shared" si="2"/>
        <v>255600</v>
      </c>
      <c r="L7" s="25">
        <f t="shared" si="2"/>
        <v>421200</v>
      </c>
      <c r="M7" s="25">
        <f t="shared" si="2"/>
        <v>90000</v>
      </c>
      <c r="N7" s="25">
        <f t="shared" si="2"/>
        <v>90000</v>
      </c>
      <c r="O7" s="25">
        <f t="shared" si="2"/>
        <v>90000</v>
      </c>
      <c r="P7" s="25">
        <f t="shared" si="2"/>
        <v>30000</v>
      </c>
      <c r="Q7" s="25">
        <f t="shared" si="2"/>
        <v>0</v>
      </c>
      <c r="R7" s="25">
        <f t="shared" si="2"/>
        <v>0</v>
      </c>
      <c r="S7" s="26">
        <f t="shared" ref="S7:S30" si="3">SUM(G7:R7)</f>
        <v>1548000</v>
      </c>
    </row>
    <row r="8" spans="1:23" ht="42" outlineLevel="2">
      <c r="A8" s="172" t="s">
        <v>55</v>
      </c>
      <c r="B8" s="173" t="s">
        <v>98</v>
      </c>
      <c r="C8" s="174"/>
      <c r="D8" s="174"/>
      <c r="E8" s="175">
        <f>+E9</f>
        <v>43587</v>
      </c>
      <c r="F8" s="175">
        <f>+F9</f>
        <v>44316</v>
      </c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6"/>
      <c r="T8" s="5"/>
      <c r="U8" s="5"/>
      <c r="V8" s="5"/>
      <c r="W8" s="5"/>
    </row>
    <row r="9" spans="1:23" s="154" customFormat="1" ht="33.75" customHeight="1" outlineLevel="2">
      <c r="A9" s="148" t="s">
        <v>99</v>
      </c>
      <c r="B9" s="149" t="s">
        <v>100</v>
      </c>
      <c r="C9" s="150">
        <f>+C49</f>
        <v>720000</v>
      </c>
      <c r="D9" s="150">
        <v>0</v>
      </c>
      <c r="E9" s="151">
        <v>43587</v>
      </c>
      <c r="F9" s="151">
        <v>44316</v>
      </c>
      <c r="G9" s="150">
        <v>0</v>
      </c>
      <c r="H9" s="152">
        <v>60000</v>
      </c>
      <c r="I9" s="152">
        <f t="shared" ref="I9:O9" si="4">+$C$9/8</f>
        <v>90000</v>
      </c>
      <c r="J9" s="152">
        <f t="shared" si="4"/>
        <v>90000</v>
      </c>
      <c r="K9" s="152">
        <v>90000</v>
      </c>
      <c r="L9" s="152">
        <v>90000</v>
      </c>
      <c r="M9" s="152">
        <v>90000</v>
      </c>
      <c r="N9" s="152">
        <v>90000</v>
      </c>
      <c r="O9" s="152">
        <v>90000</v>
      </c>
      <c r="P9" s="152">
        <v>30000</v>
      </c>
      <c r="Q9" s="150">
        <v>0</v>
      </c>
      <c r="R9" s="150">
        <v>0</v>
      </c>
      <c r="S9" s="153">
        <f t="shared" si="3"/>
        <v>720000</v>
      </c>
    </row>
    <row r="10" spans="1:23" ht="28" outlineLevel="2">
      <c r="A10" s="172" t="s">
        <v>101</v>
      </c>
      <c r="B10" s="173" t="s">
        <v>102</v>
      </c>
      <c r="C10" s="174"/>
      <c r="D10" s="174"/>
      <c r="E10" s="175">
        <f>+E11</f>
        <v>43563</v>
      </c>
      <c r="F10" s="175">
        <f>+F11</f>
        <v>43987</v>
      </c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6"/>
      <c r="T10" s="5"/>
      <c r="U10" s="5"/>
      <c r="V10" s="5"/>
      <c r="W10" s="5"/>
    </row>
    <row r="11" spans="1:23" s="154" customFormat="1" ht="33.75" customHeight="1" outlineLevel="2">
      <c r="A11" s="148" t="s">
        <v>103</v>
      </c>
      <c r="B11" s="149" t="s">
        <v>104</v>
      </c>
      <c r="C11" s="150">
        <f>+C51</f>
        <v>828000</v>
      </c>
      <c r="D11" s="150">
        <v>1105000</v>
      </c>
      <c r="E11" s="151">
        <v>43563</v>
      </c>
      <c r="F11" s="151">
        <v>43987</v>
      </c>
      <c r="G11" s="150">
        <v>0</v>
      </c>
      <c r="H11" s="150">
        <v>82800</v>
      </c>
      <c r="I11" s="150">
        <f>+H11</f>
        <v>82800</v>
      </c>
      <c r="J11" s="150">
        <f>+C11*0.2</f>
        <v>165600</v>
      </c>
      <c r="K11" s="150">
        <v>165600</v>
      </c>
      <c r="L11" s="150">
        <v>331200</v>
      </c>
      <c r="M11" s="150">
        <v>0</v>
      </c>
      <c r="N11" s="150">
        <v>0</v>
      </c>
      <c r="O11" s="150">
        <v>0</v>
      </c>
      <c r="P11" s="150">
        <v>0</v>
      </c>
      <c r="Q11" s="150">
        <v>0</v>
      </c>
      <c r="R11" s="150">
        <v>0</v>
      </c>
      <c r="S11" s="153">
        <f t="shared" si="3"/>
        <v>828000</v>
      </c>
    </row>
    <row r="12" spans="1:23" s="6" customFormat="1" outlineLevel="1">
      <c r="A12" s="7" t="s">
        <v>105</v>
      </c>
      <c r="B12" s="147" t="s">
        <v>106</v>
      </c>
      <c r="C12" s="25">
        <f>SUM(C13:C14)</f>
        <v>20000</v>
      </c>
      <c r="D12" s="25">
        <f>SUM(D13:D14)</f>
        <v>0</v>
      </c>
      <c r="E12" s="28">
        <f>+E13</f>
        <v>43739</v>
      </c>
      <c r="F12" s="28">
        <f>+F13</f>
        <v>43885</v>
      </c>
      <c r="G12" s="25">
        <f t="shared" ref="G12:Q12" si="5">SUM(G13:G14)</f>
        <v>0</v>
      </c>
      <c r="H12" s="25">
        <f t="shared" si="5"/>
        <v>0</v>
      </c>
      <c r="I12" s="25">
        <f t="shared" si="5"/>
        <v>0</v>
      </c>
      <c r="J12" s="25">
        <f t="shared" si="5"/>
        <v>0</v>
      </c>
      <c r="K12" s="25">
        <f t="shared" si="5"/>
        <v>20000</v>
      </c>
      <c r="L12" s="25">
        <f t="shared" si="5"/>
        <v>0</v>
      </c>
      <c r="M12" s="25">
        <f t="shared" si="5"/>
        <v>0</v>
      </c>
      <c r="N12" s="25">
        <f t="shared" si="5"/>
        <v>0</v>
      </c>
      <c r="O12" s="25">
        <f t="shared" si="5"/>
        <v>0</v>
      </c>
      <c r="P12" s="25">
        <f t="shared" si="5"/>
        <v>0</v>
      </c>
      <c r="Q12" s="25">
        <f t="shared" si="5"/>
        <v>0</v>
      </c>
      <c r="R12" s="25">
        <f>SUM(R13:R14)</f>
        <v>0</v>
      </c>
      <c r="S12" s="26">
        <f t="shared" si="3"/>
        <v>20000</v>
      </c>
    </row>
    <row r="13" spans="1:23" ht="28" outlineLevel="2">
      <c r="A13" s="172" t="s">
        <v>107</v>
      </c>
      <c r="B13" s="173" t="s">
        <v>108</v>
      </c>
      <c r="C13" s="174"/>
      <c r="D13" s="174"/>
      <c r="E13" s="175">
        <f>+E14</f>
        <v>43739</v>
      </c>
      <c r="F13" s="175">
        <f>+F14</f>
        <v>43885</v>
      </c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6"/>
      <c r="T13" s="5"/>
      <c r="U13" s="5"/>
      <c r="V13" s="5"/>
      <c r="W13" s="5"/>
    </row>
    <row r="14" spans="1:23" s="154" customFormat="1" ht="33.75" customHeight="1" outlineLevel="2">
      <c r="A14" s="148" t="s">
        <v>109</v>
      </c>
      <c r="B14" s="149" t="s">
        <v>110</v>
      </c>
      <c r="C14" s="150">
        <f>+C50</f>
        <v>20000</v>
      </c>
      <c r="D14" s="150">
        <v>0</v>
      </c>
      <c r="E14" s="151">
        <v>43739</v>
      </c>
      <c r="F14" s="151">
        <v>43885</v>
      </c>
      <c r="G14" s="150">
        <v>0</v>
      </c>
      <c r="H14" s="150">
        <v>0</v>
      </c>
      <c r="I14" s="150">
        <v>0</v>
      </c>
      <c r="J14" s="150">
        <v>0</v>
      </c>
      <c r="K14" s="152">
        <v>20000</v>
      </c>
      <c r="L14" s="150">
        <v>0</v>
      </c>
      <c r="M14" s="150">
        <v>0</v>
      </c>
      <c r="N14" s="150">
        <v>0</v>
      </c>
      <c r="O14" s="150">
        <v>0</v>
      </c>
      <c r="P14" s="150">
        <v>0</v>
      </c>
      <c r="Q14" s="150">
        <v>0</v>
      </c>
      <c r="R14" s="150">
        <v>0</v>
      </c>
      <c r="S14" s="153">
        <f t="shared" si="3"/>
        <v>20000</v>
      </c>
    </row>
    <row r="15" spans="1:23" s="6" customFormat="1" ht="28" outlineLevel="1">
      <c r="A15" s="7" t="s">
        <v>111</v>
      </c>
      <c r="B15" s="147" t="s">
        <v>112</v>
      </c>
      <c r="C15" s="25">
        <f>SUM(C16:C17)</f>
        <v>88000</v>
      </c>
      <c r="D15" s="25">
        <f>SUM(D16:D17)</f>
        <v>195000</v>
      </c>
      <c r="E15" s="28">
        <f>+E16</f>
        <v>43587</v>
      </c>
      <c r="F15" s="28">
        <f>+F16</f>
        <v>43958</v>
      </c>
      <c r="G15" s="25">
        <f>SUM(G16:G17)</f>
        <v>0</v>
      </c>
      <c r="H15" s="25">
        <f t="shared" ref="H15:R15" si="6">SUM(H16:H17)</f>
        <v>0</v>
      </c>
      <c r="I15" s="25">
        <f t="shared" si="6"/>
        <v>13200</v>
      </c>
      <c r="J15" s="25">
        <f t="shared" si="6"/>
        <v>44000</v>
      </c>
      <c r="K15" s="25">
        <f t="shared" si="6"/>
        <v>17600</v>
      </c>
      <c r="L15" s="25">
        <f t="shared" si="6"/>
        <v>13200</v>
      </c>
      <c r="M15" s="25">
        <f t="shared" si="6"/>
        <v>0</v>
      </c>
      <c r="N15" s="25">
        <f t="shared" si="6"/>
        <v>0</v>
      </c>
      <c r="O15" s="25">
        <f t="shared" si="6"/>
        <v>0</v>
      </c>
      <c r="P15" s="25">
        <f t="shared" si="6"/>
        <v>0</v>
      </c>
      <c r="Q15" s="25">
        <f t="shared" si="6"/>
        <v>0</v>
      </c>
      <c r="R15" s="25">
        <f t="shared" si="6"/>
        <v>0</v>
      </c>
      <c r="S15" s="25">
        <f t="shared" ref="S15" si="7">SUM(S16:S17)</f>
        <v>88000</v>
      </c>
    </row>
    <row r="16" spans="1:23" ht="42" outlineLevel="2">
      <c r="A16" s="172" t="s">
        <v>113</v>
      </c>
      <c r="B16" s="173" t="s">
        <v>114</v>
      </c>
      <c r="C16" s="174"/>
      <c r="D16" s="174"/>
      <c r="E16" s="175">
        <f>+E17</f>
        <v>43587</v>
      </c>
      <c r="F16" s="175">
        <f>+F17</f>
        <v>43958</v>
      </c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6"/>
      <c r="T16" s="5"/>
      <c r="U16" s="5"/>
      <c r="V16" s="5"/>
      <c r="W16" s="5"/>
    </row>
    <row r="17" spans="1:23" s="154" customFormat="1" ht="33.75" customHeight="1" outlineLevel="2">
      <c r="A17" s="148" t="s">
        <v>115</v>
      </c>
      <c r="B17" s="149" t="s">
        <v>116</v>
      </c>
      <c r="C17" s="150">
        <f>+C52</f>
        <v>88000</v>
      </c>
      <c r="D17" s="150">
        <v>195000</v>
      </c>
      <c r="E17" s="151">
        <v>43587</v>
      </c>
      <c r="F17" s="151">
        <v>43958</v>
      </c>
      <c r="G17" s="150">
        <v>0</v>
      </c>
      <c r="H17" s="150">
        <v>0</v>
      </c>
      <c r="I17" s="150">
        <v>13200</v>
      </c>
      <c r="J17" s="150">
        <v>44000</v>
      </c>
      <c r="K17" s="150">
        <v>17600</v>
      </c>
      <c r="L17" s="150">
        <v>13200</v>
      </c>
      <c r="M17" s="150">
        <v>0</v>
      </c>
      <c r="N17" s="150">
        <v>0</v>
      </c>
      <c r="O17" s="150">
        <v>0</v>
      </c>
      <c r="P17" s="150">
        <v>0</v>
      </c>
      <c r="Q17" s="150">
        <v>0</v>
      </c>
      <c r="R17" s="150">
        <v>0</v>
      </c>
      <c r="S17" s="153">
        <f t="shared" si="3"/>
        <v>88000</v>
      </c>
    </row>
    <row r="18" spans="1:23" s="6" customFormat="1" ht="27" customHeight="1" outlineLevel="1">
      <c r="A18" s="7">
        <v>1.4</v>
      </c>
      <c r="B18" s="147" t="s">
        <v>117</v>
      </c>
      <c r="C18" s="25">
        <f>+C20</f>
        <v>288000</v>
      </c>
      <c r="D18" s="25">
        <f>+D20</f>
        <v>0</v>
      </c>
      <c r="E18" s="28">
        <f>+E19</f>
        <v>43563</v>
      </c>
      <c r="F18" s="28">
        <f>+F19</f>
        <v>44377</v>
      </c>
      <c r="G18" s="25">
        <f t="shared" ref="G18:Q18" si="8">SUM(G19:G20)</f>
        <v>0</v>
      </c>
      <c r="H18" s="25">
        <f t="shared" si="8"/>
        <v>14400</v>
      </c>
      <c r="I18" s="25">
        <f t="shared" si="8"/>
        <v>14400</v>
      </c>
      <c r="J18" s="25">
        <f t="shared" si="8"/>
        <v>28800</v>
      </c>
      <c r="K18" s="25">
        <f t="shared" si="8"/>
        <v>43200</v>
      </c>
      <c r="L18" s="25">
        <f t="shared" si="8"/>
        <v>43200</v>
      </c>
      <c r="M18" s="25">
        <f t="shared" si="8"/>
        <v>43200</v>
      </c>
      <c r="N18" s="25">
        <f t="shared" si="8"/>
        <v>43200</v>
      </c>
      <c r="O18" s="25">
        <f t="shared" si="8"/>
        <v>28800</v>
      </c>
      <c r="P18" s="25">
        <f t="shared" si="8"/>
        <v>28800</v>
      </c>
      <c r="Q18" s="25">
        <f t="shared" si="8"/>
        <v>0</v>
      </c>
      <c r="R18" s="25">
        <f>SUM(R19:R20)</f>
        <v>0</v>
      </c>
      <c r="S18" s="25">
        <f t="shared" si="3"/>
        <v>288000</v>
      </c>
    </row>
    <row r="19" spans="1:23" ht="27" customHeight="1" outlineLevel="2">
      <c r="A19" s="172" t="s">
        <v>118</v>
      </c>
      <c r="B19" s="173" t="s">
        <v>119</v>
      </c>
      <c r="C19" s="174"/>
      <c r="D19" s="174"/>
      <c r="E19" s="175">
        <f>+E20</f>
        <v>43563</v>
      </c>
      <c r="F19" s="175">
        <f>+F20</f>
        <v>44377</v>
      </c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6"/>
      <c r="T19" s="5"/>
      <c r="U19" s="5"/>
      <c r="V19" s="5"/>
      <c r="W19" s="5"/>
    </row>
    <row r="20" spans="1:23" s="154" customFormat="1" ht="33.75" customHeight="1" outlineLevel="2">
      <c r="A20" s="148" t="s">
        <v>120</v>
      </c>
      <c r="B20" s="149" t="s">
        <v>121</v>
      </c>
      <c r="C20" s="150">
        <f>+C47</f>
        <v>288000</v>
      </c>
      <c r="D20" s="150">
        <v>0</v>
      </c>
      <c r="E20" s="151">
        <v>43563</v>
      </c>
      <c r="F20" s="151">
        <v>44377</v>
      </c>
      <c r="G20" s="150">
        <v>0</v>
      </c>
      <c r="H20" s="152">
        <v>14400</v>
      </c>
      <c r="I20" s="152">
        <v>14400</v>
      </c>
      <c r="J20" s="152">
        <v>28800</v>
      </c>
      <c r="K20" s="152">
        <v>43200</v>
      </c>
      <c r="L20" s="152">
        <v>43200</v>
      </c>
      <c r="M20" s="152">
        <v>43200</v>
      </c>
      <c r="N20" s="152">
        <v>43200</v>
      </c>
      <c r="O20" s="152">
        <v>28800</v>
      </c>
      <c r="P20" s="152">
        <v>28800</v>
      </c>
      <c r="Q20" s="150">
        <v>0</v>
      </c>
      <c r="R20" s="150">
        <v>0</v>
      </c>
      <c r="S20" s="153">
        <f t="shared" si="3"/>
        <v>288000</v>
      </c>
    </row>
    <row r="21" spans="1:23" s="6" customFormat="1">
      <c r="A21" s="143" t="s">
        <v>12</v>
      </c>
      <c r="B21" s="144" t="s">
        <v>122</v>
      </c>
      <c r="C21" s="145">
        <f>+C22+C24</f>
        <v>200000</v>
      </c>
      <c r="D21" s="145">
        <f>+D22+D24</f>
        <v>0</v>
      </c>
      <c r="E21" s="155">
        <f>+E23</f>
        <v>43563</v>
      </c>
      <c r="F21" s="155">
        <f>+F23</f>
        <v>44469</v>
      </c>
      <c r="G21" s="145">
        <f t="shared" ref="G21:S21" si="9">+G22+G24</f>
        <v>0</v>
      </c>
      <c r="H21" s="145">
        <f t="shared" ref="H21:R21" si="10">+H22+H24</f>
        <v>20000</v>
      </c>
      <c r="I21" s="145">
        <f t="shared" si="10"/>
        <v>76000</v>
      </c>
      <c r="J21" s="145">
        <f t="shared" si="10"/>
        <v>56000</v>
      </c>
      <c r="K21" s="145">
        <f t="shared" si="10"/>
        <v>6857.1428571428569</v>
      </c>
      <c r="L21" s="145">
        <f t="shared" si="10"/>
        <v>6857.1428571428569</v>
      </c>
      <c r="M21" s="145">
        <f t="shared" si="10"/>
        <v>6857.1428571428569</v>
      </c>
      <c r="N21" s="145">
        <f t="shared" si="10"/>
        <v>6857.1428571428569</v>
      </c>
      <c r="O21" s="145">
        <f t="shared" si="10"/>
        <v>6857.1428571428569</v>
      </c>
      <c r="P21" s="145">
        <f t="shared" si="10"/>
        <v>6857.1428571428569</v>
      </c>
      <c r="Q21" s="145">
        <f t="shared" si="10"/>
        <v>6857.1428571428569</v>
      </c>
      <c r="R21" s="145">
        <f t="shared" si="10"/>
        <v>0</v>
      </c>
      <c r="S21" s="145">
        <f t="shared" si="9"/>
        <v>200000.00000000006</v>
      </c>
    </row>
    <row r="22" spans="1:23" s="6" customFormat="1" outlineLevel="1">
      <c r="A22" s="7" t="s">
        <v>56</v>
      </c>
      <c r="B22" s="147" t="s">
        <v>123</v>
      </c>
      <c r="C22" s="25">
        <f>+C23</f>
        <v>160000</v>
      </c>
      <c r="D22" s="25">
        <f>+D23</f>
        <v>0</v>
      </c>
      <c r="E22" s="28">
        <f>+E23</f>
        <v>43563</v>
      </c>
      <c r="F22" s="28">
        <f>+F23</f>
        <v>44469</v>
      </c>
      <c r="G22" s="25">
        <f>+G23</f>
        <v>0</v>
      </c>
      <c r="H22" s="25">
        <f t="shared" ref="H22:R22" si="11">+H23</f>
        <v>0</v>
      </c>
      <c r="I22" s="25">
        <f t="shared" si="11"/>
        <v>56000</v>
      </c>
      <c r="J22" s="25">
        <f t="shared" si="11"/>
        <v>56000</v>
      </c>
      <c r="K22" s="25">
        <f t="shared" si="11"/>
        <v>6857.1428571428569</v>
      </c>
      <c r="L22" s="25">
        <f t="shared" si="11"/>
        <v>6857.1428571428569</v>
      </c>
      <c r="M22" s="25">
        <f t="shared" si="11"/>
        <v>6857.1428571428569</v>
      </c>
      <c r="N22" s="25">
        <f t="shared" si="11"/>
        <v>6857.1428571428569</v>
      </c>
      <c r="O22" s="25">
        <f t="shared" si="11"/>
        <v>6857.1428571428569</v>
      </c>
      <c r="P22" s="25">
        <f t="shared" si="11"/>
        <v>6857.1428571428569</v>
      </c>
      <c r="Q22" s="25">
        <f t="shared" si="11"/>
        <v>6857.1428571428569</v>
      </c>
      <c r="R22" s="25">
        <f t="shared" si="11"/>
        <v>0</v>
      </c>
      <c r="S22" s="25">
        <f t="shared" ref="S22" si="12">+S23</f>
        <v>160000.00000000006</v>
      </c>
    </row>
    <row r="23" spans="1:23" s="154" customFormat="1" ht="33.75" customHeight="1" outlineLevel="2">
      <c r="A23" s="148" t="s">
        <v>124</v>
      </c>
      <c r="B23" s="156" t="s">
        <v>125</v>
      </c>
      <c r="C23" s="150">
        <v>160000</v>
      </c>
      <c r="D23" s="150">
        <v>0</v>
      </c>
      <c r="E23" s="151">
        <v>43563</v>
      </c>
      <c r="F23" s="151">
        <v>44469</v>
      </c>
      <c r="G23" s="150">
        <v>0</v>
      </c>
      <c r="H23" s="152">
        <v>0</v>
      </c>
      <c r="I23" s="152">
        <v>56000</v>
      </c>
      <c r="J23" s="152">
        <v>56000</v>
      </c>
      <c r="K23" s="152">
        <v>6857.1428571428569</v>
      </c>
      <c r="L23" s="152">
        <v>6857.1428571428569</v>
      </c>
      <c r="M23" s="152">
        <v>6857.1428571428569</v>
      </c>
      <c r="N23" s="152">
        <v>6857.1428571428569</v>
      </c>
      <c r="O23" s="152">
        <v>6857.1428571428569</v>
      </c>
      <c r="P23" s="152">
        <v>6857.1428571428569</v>
      </c>
      <c r="Q23" s="152">
        <v>6857.1428571428569</v>
      </c>
      <c r="R23" s="152">
        <v>0</v>
      </c>
      <c r="S23" s="153">
        <f t="shared" si="3"/>
        <v>160000.00000000006</v>
      </c>
    </row>
    <row r="24" spans="1:23" s="6" customFormat="1" outlineLevel="1">
      <c r="A24" s="7" t="s">
        <v>57</v>
      </c>
      <c r="B24" s="147" t="s">
        <v>126</v>
      </c>
      <c r="C24" s="25">
        <f>+C25</f>
        <v>40000</v>
      </c>
      <c r="D24" s="25">
        <f>+D25</f>
        <v>0</v>
      </c>
      <c r="E24" s="28">
        <f>+E25</f>
        <v>43563</v>
      </c>
      <c r="F24" s="28">
        <f>+F25</f>
        <v>43738</v>
      </c>
      <c r="G24" s="25">
        <f>+G25</f>
        <v>0</v>
      </c>
      <c r="H24" s="25">
        <f t="shared" ref="H24:R24" si="13">+H25</f>
        <v>20000</v>
      </c>
      <c r="I24" s="25">
        <f t="shared" si="13"/>
        <v>20000</v>
      </c>
      <c r="J24" s="25">
        <f t="shared" si="13"/>
        <v>0</v>
      </c>
      <c r="K24" s="25">
        <f t="shared" si="13"/>
        <v>0</v>
      </c>
      <c r="L24" s="25">
        <f t="shared" si="13"/>
        <v>0</v>
      </c>
      <c r="M24" s="25">
        <f t="shared" si="13"/>
        <v>0</v>
      </c>
      <c r="N24" s="25">
        <f t="shared" si="13"/>
        <v>0</v>
      </c>
      <c r="O24" s="25">
        <f t="shared" si="13"/>
        <v>0</v>
      </c>
      <c r="P24" s="25">
        <f t="shared" si="13"/>
        <v>0</v>
      </c>
      <c r="Q24" s="25">
        <f t="shared" si="13"/>
        <v>0</v>
      </c>
      <c r="R24" s="25">
        <f t="shared" si="13"/>
        <v>0</v>
      </c>
      <c r="S24" s="25">
        <f t="shared" ref="S24" si="14">+S25</f>
        <v>40000</v>
      </c>
    </row>
    <row r="25" spans="1:23" s="154" customFormat="1" ht="33.75" customHeight="1" outlineLevel="2">
      <c r="A25" s="148" t="s">
        <v>60</v>
      </c>
      <c r="B25" s="156" t="s">
        <v>127</v>
      </c>
      <c r="C25" s="150">
        <v>40000</v>
      </c>
      <c r="D25" s="150">
        <v>0</v>
      </c>
      <c r="E25" s="151">
        <v>43563</v>
      </c>
      <c r="F25" s="151">
        <v>43738</v>
      </c>
      <c r="G25" s="150">
        <v>0</v>
      </c>
      <c r="H25" s="152">
        <v>20000</v>
      </c>
      <c r="I25" s="152">
        <v>20000</v>
      </c>
      <c r="J25" s="150">
        <v>0</v>
      </c>
      <c r="K25" s="150">
        <v>0</v>
      </c>
      <c r="L25" s="150">
        <v>0</v>
      </c>
      <c r="M25" s="150">
        <v>0</v>
      </c>
      <c r="N25" s="150">
        <v>0</v>
      </c>
      <c r="O25" s="150">
        <v>0</v>
      </c>
      <c r="P25" s="150">
        <v>0</v>
      </c>
      <c r="Q25" s="150">
        <v>0</v>
      </c>
      <c r="R25" s="150">
        <v>0</v>
      </c>
      <c r="S25" s="153">
        <f t="shared" si="3"/>
        <v>40000</v>
      </c>
    </row>
    <row r="26" spans="1:23" s="6" customFormat="1">
      <c r="A26" s="157"/>
      <c r="B26" s="158" t="s">
        <v>2</v>
      </c>
      <c r="C26" s="159"/>
      <c r="D26" s="159"/>
      <c r="E26" s="160"/>
      <c r="F26" s="160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</row>
    <row r="27" spans="1:23" ht="42" outlineLevel="1">
      <c r="A27" s="3"/>
      <c r="B27" s="2" t="s">
        <v>61</v>
      </c>
      <c r="C27" s="24"/>
      <c r="D27" s="24"/>
      <c r="E27" s="17">
        <v>43466</v>
      </c>
      <c r="F27" s="17">
        <v>43524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7">
        <f t="shared" si="3"/>
        <v>0</v>
      </c>
      <c r="T27" s="5"/>
      <c r="U27" s="5"/>
      <c r="V27" s="5"/>
      <c r="W27" s="5"/>
    </row>
    <row r="28" spans="1:23" ht="42" outlineLevel="1">
      <c r="A28" s="3"/>
      <c r="B28" s="2" t="s">
        <v>39</v>
      </c>
      <c r="C28" s="24"/>
      <c r="D28" s="24"/>
      <c r="E28" s="17">
        <v>43160</v>
      </c>
      <c r="F28" s="17">
        <v>43544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7">
        <f t="shared" si="3"/>
        <v>0</v>
      </c>
      <c r="T28" s="5"/>
      <c r="U28" s="5"/>
      <c r="V28" s="5"/>
      <c r="W28" s="5"/>
    </row>
    <row r="29" spans="1:23" outlineLevel="1">
      <c r="A29" s="3"/>
      <c r="B29" s="2" t="s">
        <v>15</v>
      </c>
      <c r="C29" s="24"/>
      <c r="D29" s="24"/>
      <c r="E29" s="17">
        <v>43544</v>
      </c>
      <c r="F29" s="17">
        <v>43554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7">
        <f t="shared" si="3"/>
        <v>0</v>
      </c>
      <c r="T29" s="5"/>
      <c r="U29" s="5"/>
      <c r="V29" s="5"/>
      <c r="W29" s="5"/>
    </row>
    <row r="30" spans="1:23" outlineLevel="1">
      <c r="A30" s="3"/>
      <c r="B30" s="2" t="s">
        <v>14</v>
      </c>
      <c r="C30" s="24"/>
      <c r="D30" s="24"/>
      <c r="E30" s="17">
        <v>43554</v>
      </c>
      <c r="F30" s="17">
        <v>43554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7">
        <f t="shared" si="3"/>
        <v>0</v>
      </c>
      <c r="T30" s="5"/>
      <c r="U30" s="5"/>
      <c r="V30" s="5"/>
      <c r="W30" s="5"/>
    </row>
    <row r="31" spans="1:23" outlineLevel="1">
      <c r="A31" s="3"/>
      <c r="B31" s="2" t="s">
        <v>27</v>
      </c>
      <c r="C31" s="24"/>
      <c r="D31" s="24"/>
      <c r="E31" s="30">
        <v>43556</v>
      </c>
      <c r="F31" s="30">
        <v>43738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9">
        <f>SUM(G31:O31)</f>
        <v>0</v>
      </c>
      <c r="T31" s="5"/>
      <c r="U31" s="5"/>
      <c r="V31" s="5"/>
      <c r="W31" s="5"/>
    </row>
    <row r="32" spans="1:23" outlineLevel="1">
      <c r="A32" s="3"/>
      <c r="B32" s="2" t="s">
        <v>28</v>
      </c>
      <c r="C32" s="24"/>
      <c r="D32" s="24"/>
      <c r="E32" s="30">
        <v>43739</v>
      </c>
      <c r="F32" s="30">
        <v>43921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9">
        <f t="shared" ref="S32:S33" si="15">SUM(G32:O32)</f>
        <v>0</v>
      </c>
      <c r="T32" s="5"/>
      <c r="U32" s="5"/>
      <c r="V32" s="5"/>
      <c r="W32" s="5"/>
    </row>
    <row r="33" spans="1:23" outlineLevel="1">
      <c r="A33" s="3"/>
      <c r="B33" s="2" t="s">
        <v>59</v>
      </c>
      <c r="C33" s="24"/>
      <c r="D33" s="24"/>
      <c r="E33" s="30">
        <v>43922</v>
      </c>
      <c r="F33" s="30">
        <v>44043</v>
      </c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9">
        <f t="shared" si="15"/>
        <v>0</v>
      </c>
      <c r="T33" s="5"/>
      <c r="U33" s="5"/>
      <c r="V33" s="5"/>
      <c r="W33" s="5"/>
    </row>
    <row r="34" spans="1:23" s="6" customFormat="1">
      <c r="A34" s="143" t="s">
        <v>13</v>
      </c>
      <c r="B34" s="144" t="s">
        <v>128</v>
      </c>
      <c r="C34" s="145">
        <f>SUM(C35:C39)</f>
        <v>72000</v>
      </c>
      <c r="D34" s="145">
        <f t="shared" ref="D34:S34" si="16">SUM(D35:D39)</f>
        <v>0</v>
      </c>
      <c r="E34" s="146">
        <v>43739</v>
      </c>
      <c r="F34" s="146">
        <v>43951</v>
      </c>
      <c r="G34" s="145">
        <f t="shared" si="16"/>
        <v>0</v>
      </c>
      <c r="H34" s="145">
        <f t="shared" si="16"/>
        <v>0</v>
      </c>
      <c r="I34" s="145">
        <f t="shared" si="16"/>
        <v>0</v>
      </c>
      <c r="J34" s="145">
        <f t="shared" si="16"/>
        <v>0</v>
      </c>
      <c r="K34" s="145">
        <f t="shared" si="16"/>
        <v>16000</v>
      </c>
      <c r="L34" s="145">
        <f t="shared" si="16"/>
        <v>12000</v>
      </c>
      <c r="M34" s="145">
        <f t="shared" si="16"/>
        <v>0</v>
      </c>
      <c r="N34" s="145">
        <f t="shared" si="16"/>
        <v>0</v>
      </c>
      <c r="O34" s="145">
        <f t="shared" si="16"/>
        <v>16000</v>
      </c>
      <c r="P34" s="145">
        <f t="shared" si="16"/>
        <v>0</v>
      </c>
      <c r="Q34" s="145">
        <f t="shared" si="16"/>
        <v>12000</v>
      </c>
      <c r="R34" s="145">
        <f t="shared" si="16"/>
        <v>16000</v>
      </c>
      <c r="S34" s="145">
        <f t="shared" si="16"/>
        <v>72000</v>
      </c>
    </row>
    <row r="35" spans="1:23" outlineLevel="1">
      <c r="A35" s="3" t="s">
        <v>58</v>
      </c>
      <c r="B35" s="2" t="s">
        <v>25</v>
      </c>
      <c r="C35" s="142">
        <v>12000</v>
      </c>
      <c r="D35" s="24">
        <v>0</v>
      </c>
      <c r="E35" s="17">
        <v>43922</v>
      </c>
      <c r="F35" s="17">
        <v>44012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12000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7">
        <f t="shared" ref="S35:S39" si="17">SUM(G35:R35)</f>
        <v>12000</v>
      </c>
      <c r="T35" s="5"/>
      <c r="U35" s="5"/>
      <c r="V35" s="5"/>
      <c r="W35" s="5"/>
    </row>
    <row r="36" spans="1:23" outlineLevel="1">
      <c r="A36" s="3" t="s">
        <v>129</v>
      </c>
      <c r="B36" s="2" t="s">
        <v>26</v>
      </c>
      <c r="C36" s="142">
        <v>12000</v>
      </c>
      <c r="D36" s="24">
        <v>0</v>
      </c>
      <c r="E36" s="17">
        <v>44378</v>
      </c>
      <c r="F36" s="17">
        <v>44469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12000</v>
      </c>
      <c r="R36" s="24">
        <v>0</v>
      </c>
      <c r="S36" s="27">
        <f t="shared" si="17"/>
        <v>12000</v>
      </c>
      <c r="T36" s="5"/>
      <c r="U36" s="5"/>
      <c r="V36" s="5"/>
      <c r="W36" s="5"/>
    </row>
    <row r="37" spans="1:23" outlineLevel="1">
      <c r="A37" s="3" t="s">
        <v>131</v>
      </c>
      <c r="B37" s="2" t="s">
        <v>29</v>
      </c>
      <c r="C37" s="142">
        <v>16000</v>
      </c>
      <c r="D37" s="24">
        <v>0</v>
      </c>
      <c r="E37" s="17">
        <v>43563</v>
      </c>
      <c r="F37" s="17">
        <v>43951</v>
      </c>
      <c r="G37" s="24">
        <v>0</v>
      </c>
      <c r="H37" s="24">
        <v>0</v>
      </c>
      <c r="I37" s="24">
        <v>0</v>
      </c>
      <c r="J37" s="24">
        <v>0</v>
      </c>
      <c r="K37" s="24">
        <v>16000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7">
        <f t="shared" si="17"/>
        <v>16000</v>
      </c>
      <c r="T37" s="5"/>
      <c r="U37" s="5"/>
      <c r="V37" s="5"/>
      <c r="W37" s="5"/>
    </row>
    <row r="38" spans="1:23" outlineLevel="1">
      <c r="A38" s="3" t="s">
        <v>130</v>
      </c>
      <c r="B38" s="2" t="s">
        <v>146</v>
      </c>
      <c r="C38" s="142">
        <v>16000</v>
      </c>
      <c r="D38" s="24">
        <v>0</v>
      </c>
      <c r="E38" s="17">
        <v>43952</v>
      </c>
      <c r="F38" s="17">
        <v>44316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16000</v>
      </c>
      <c r="P38" s="24">
        <v>0</v>
      </c>
      <c r="Q38" s="24">
        <v>0</v>
      </c>
      <c r="R38" s="24">
        <v>0</v>
      </c>
      <c r="S38" s="27">
        <f t="shared" ref="S38" si="18">SUM(G38:R38)</f>
        <v>16000</v>
      </c>
      <c r="T38" s="5"/>
      <c r="U38" s="5"/>
      <c r="V38" s="5"/>
      <c r="W38" s="5"/>
    </row>
    <row r="39" spans="1:23" outlineLevel="1">
      <c r="A39" s="3" t="s">
        <v>130</v>
      </c>
      <c r="B39" s="87" t="s">
        <v>147</v>
      </c>
      <c r="C39" s="142">
        <v>16000</v>
      </c>
      <c r="D39" s="88">
        <v>0</v>
      </c>
      <c r="E39" s="89">
        <v>44317</v>
      </c>
      <c r="F39" s="89">
        <v>44561</v>
      </c>
      <c r="G39" s="88">
        <v>0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  <c r="M39" s="88">
        <v>0</v>
      </c>
      <c r="N39" s="88">
        <v>0</v>
      </c>
      <c r="O39" s="88">
        <v>0</v>
      </c>
      <c r="P39" s="88">
        <v>0</v>
      </c>
      <c r="Q39" s="88">
        <v>0</v>
      </c>
      <c r="R39" s="88">
        <v>16000</v>
      </c>
      <c r="S39" s="90">
        <f t="shared" si="17"/>
        <v>16000</v>
      </c>
      <c r="T39" s="5"/>
      <c r="U39" s="5"/>
      <c r="V39" s="5"/>
      <c r="W39" s="5"/>
    </row>
    <row r="40" spans="1:23" s="6" customFormat="1">
      <c r="A40" s="86"/>
      <c r="B40" s="91" t="s">
        <v>8</v>
      </c>
      <c r="C40" s="92">
        <f>+C34+C21+C6</f>
        <v>2216000</v>
      </c>
      <c r="D40" s="92">
        <f>+D7+D12+D15+D18+D34</f>
        <v>1300000</v>
      </c>
      <c r="E40" s="91"/>
      <c r="F40" s="91"/>
      <c r="G40" s="92">
        <f>+G6+G21+G34</f>
        <v>0</v>
      </c>
      <c r="H40" s="92">
        <f t="shared" ref="H40:R40" si="19">+H6+H21+H34</f>
        <v>177200</v>
      </c>
      <c r="I40" s="92">
        <f t="shared" si="19"/>
        <v>276400</v>
      </c>
      <c r="J40" s="92">
        <f t="shared" si="19"/>
        <v>384400</v>
      </c>
      <c r="K40" s="92">
        <f t="shared" si="19"/>
        <v>359257.14285714284</v>
      </c>
      <c r="L40" s="92">
        <f t="shared" si="19"/>
        <v>496457.14285714284</v>
      </c>
      <c r="M40" s="92">
        <f t="shared" si="19"/>
        <v>140057.14285714287</v>
      </c>
      <c r="N40" s="92">
        <f t="shared" si="19"/>
        <v>140057.14285714287</v>
      </c>
      <c r="O40" s="92">
        <f t="shared" si="19"/>
        <v>141657.14285714284</v>
      </c>
      <c r="P40" s="92">
        <f t="shared" si="19"/>
        <v>65657.142857142855</v>
      </c>
      <c r="Q40" s="92">
        <f t="shared" si="19"/>
        <v>18857.142857142855</v>
      </c>
      <c r="R40" s="92">
        <f t="shared" si="19"/>
        <v>16000</v>
      </c>
      <c r="S40" s="92">
        <f>+S7+S12+S15+S18+S34+S22+S24</f>
        <v>2216000</v>
      </c>
    </row>
    <row r="41" spans="1:23" s="14" customFormat="1">
      <c r="A41" s="41"/>
      <c r="B41" s="126" t="s">
        <v>75</v>
      </c>
      <c r="C41" s="123">
        <v>6</v>
      </c>
      <c r="D41" s="15"/>
      <c r="E41" s="15"/>
      <c r="F41" s="15"/>
      <c r="G41" s="95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</row>
    <row r="42" spans="1:23" ht="15" thickBot="1">
      <c r="B42" s="122" t="s">
        <v>67</v>
      </c>
      <c r="C42" s="123">
        <f>+Hoja1!C17</f>
        <v>660</v>
      </c>
      <c r="G42" s="4"/>
      <c r="J42" s="47"/>
      <c r="K42" s="47"/>
      <c r="L42" s="47"/>
      <c r="M42" s="47"/>
      <c r="N42" s="47"/>
      <c r="O42" s="47"/>
      <c r="P42" s="47"/>
      <c r="Q42" s="47"/>
      <c r="R42" s="47"/>
    </row>
    <row r="43" spans="1:23">
      <c r="B43" s="48" t="s">
        <v>52</v>
      </c>
      <c r="C43" s="49">
        <v>2006000</v>
      </c>
      <c r="D43" s="15"/>
      <c r="F43" s="4"/>
      <c r="G43" s="4"/>
      <c r="J43" s="47"/>
      <c r="K43" s="47"/>
      <c r="L43" s="47"/>
      <c r="M43" s="47"/>
      <c r="N43" s="47"/>
      <c r="O43" s="47"/>
      <c r="P43" s="47"/>
      <c r="Q43" s="47"/>
      <c r="R43" s="47"/>
      <c r="S43" s="47"/>
    </row>
    <row r="44" spans="1:23" ht="16.5" customHeight="1" thickBot="1">
      <c r="B44" s="50" t="s">
        <v>132</v>
      </c>
      <c r="C44" s="51">
        <v>1300000</v>
      </c>
      <c r="F44" s="4"/>
      <c r="G44" s="4"/>
      <c r="J44" s="67" t="s">
        <v>46</v>
      </c>
      <c r="K44" s="67" t="s">
        <v>47</v>
      </c>
      <c r="L44" s="68" t="s">
        <v>48</v>
      </c>
      <c r="M44" s="47"/>
      <c r="N44" s="47"/>
      <c r="O44" s="47"/>
      <c r="P44" s="47"/>
      <c r="Q44" s="47"/>
      <c r="R44" s="47"/>
      <c r="S44" s="47"/>
    </row>
    <row r="45" spans="1:23" ht="16" thickBot="1">
      <c r="B45" s="52" t="s">
        <v>84</v>
      </c>
      <c r="C45" s="53">
        <f>SUM(C43:C44)</f>
        <v>3306000</v>
      </c>
      <c r="D45" s="15"/>
      <c r="F45" s="55">
        <v>845000</v>
      </c>
      <c r="G45" s="56" t="s">
        <v>42</v>
      </c>
      <c r="H45" s="57"/>
      <c r="I45" s="58"/>
      <c r="J45" s="69">
        <f>+F45/C42</f>
        <v>1280.3030303030303</v>
      </c>
      <c r="K45" s="69">
        <f>(+J45/12)*3000</f>
        <v>320075.75757575757</v>
      </c>
      <c r="L45" s="70">
        <f>+K45/30000</f>
        <v>10.669191919191919</v>
      </c>
      <c r="M45" s="47"/>
      <c r="N45" s="47"/>
      <c r="O45" s="47"/>
      <c r="P45" s="47"/>
      <c r="Q45" s="47"/>
      <c r="R45" s="47"/>
      <c r="S45" s="47"/>
    </row>
    <row r="46" spans="1:23">
      <c r="B46" s="84"/>
      <c r="C46" s="71"/>
      <c r="D46" s="15"/>
      <c r="F46" s="59">
        <f>+D15</f>
        <v>195000</v>
      </c>
      <c r="G46" s="60" t="s">
        <v>43</v>
      </c>
      <c r="H46" s="61"/>
      <c r="I46" s="62"/>
      <c r="M46" s="47"/>
      <c r="N46" s="47"/>
      <c r="O46" s="47"/>
      <c r="P46" s="47"/>
      <c r="Q46" s="47"/>
      <c r="R46" s="47"/>
      <c r="S46" s="47"/>
    </row>
    <row r="47" spans="1:23" ht="15" thickBot="1">
      <c r="B47" s="72" t="s">
        <v>95</v>
      </c>
      <c r="C47" s="73">
        <f>+Hoja1!G20</f>
        <v>288000</v>
      </c>
      <c r="F47" s="63">
        <f>+F46/C42</f>
        <v>295.45454545454544</v>
      </c>
      <c r="G47" s="64" t="s">
        <v>73</v>
      </c>
      <c r="H47" s="65"/>
      <c r="I47" s="66"/>
      <c r="J47" s="39"/>
      <c r="K47" s="39"/>
      <c r="L47" s="39"/>
      <c r="M47" s="47"/>
      <c r="N47" s="47"/>
      <c r="O47" s="47"/>
      <c r="P47" s="47"/>
      <c r="Q47" s="47"/>
      <c r="R47" s="47"/>
      <c r="S47" s="47"/>
    </row>
    <row r="48" spans="1:23">
      <c r="B48" s="72"/>
      <c r="C48" s="73"/>
      <c r="D48" s="15"/>
      <c r="M48" s="47"/>
      <c r="N48" s="47"/>
      <c r="O48" s="47"/>
      <c r="P48" s="47"/>
      <c r="Q48" s="47"/>
      <c r="R48" s="47"/>
      <c r="S48" s="47"/>
    </row>
    <row r="49" spans="2:18">
      <c r="B49" s="72" t="s">
        <v>85</v>
      </c>
      <c r="C49" s="73">
        <f>+Hoja1!G21+Hoja1!G22+Hoja1!G23</f>
        <v>720000</v>
      </c>
      <c r="D49" s="15"/>
      <c r="J49"/>
      <c r="K49"/>
      <c r="L49"/>
      <c r="M49"/>
      <c r="N49"/>
      <c r="R49" s="40"/>
    </row>
    <row r="50" spans="2:18" ht="42">
      <c r="B50" s="72" t="s">
        <v>86</v>
      </c>
      <c r="C50" s="73">
        <f>+Hoja1!G24</f>
        <v>20000</v>
      </c>
      <c r="F50" s="130" t="s">
        <v>44</v>
      </c>
      <c r="G50" s="131" t="s">
        <v>36</v>
      </c>
      <c r="H50" s="130" t="s">
        <v>49</v>
      </c>
      <c r="I50" s="131" t="s">
        <v>36</v>
      </c>
      <c r="J50" s="132" t="s">
        <v>45</v>
      </c>
      <c r="K50"/>
      <c r="L50"/>
      <c r="M50"/>
      <c r="N50"/>
      <c r="R50" s="40"/>
    </row>
    <row r="51" spans="2:18">
      <c r="B51" s="72" t="s">
        <v>87</v>
      </c>
      <c r="C51" s="73">
        <f>+Hoja1!G25</f>
        <v>828000</v>
      </c>
      <c r="D51" s="15"/>
      <c r="E51" s="118" t="s">
        <v>74</v>
      </c>
      <c r="F51" s="133">
        <f>(+C51+C52)/C42</f>
        <v>1387.878787878788</v>
      </c>
      <c r="G51" s="134">
        <f>+F51*3000</f>
        <v>4163636.3636363638</v>
      </c>
      <c r="H51" s="135">
        <f>(+C47+C49+C50)/C42</f>
        <v>1557.5757575757575</v>
      </c>
      <c r="I51" s="136">
        <f>+H51*3000</f>
        <v>4672727.2727272725</v>
      </c>
      <c r="J51" s="137">
        <f>+G51+I51</f>
        <v>8836363.6363636367</v>
      </c>
      <c r="K51"/>
      <c r="L51"/>
      <c r="M51"/>
      <c r="N51"/>
      <c r="R51" s="40"/>
    </row>
    <row r="52" spans="2:18">
      <c r="B52" s="74" t="s">
        <v>88</v>
      </c>
      <c r="C52" s="73">
        <f>+Hoja1!G26</f>
        <v>88000</v>
      </c>
      <c r="D52" s="15"/>
      <c r="E52" s="118" t="s">
        <v>94</v>
      </c>
      <c r="F52" s="138">
        <f>+F51+F47</f>
        <v>1683.3333333333335</v>
      </c>
      <c r="G52" s="139">
        <f>+F52*3000</f>
        <v>5050000</v>
      </c>
      <c r="H52" s="139"/>
      <c r="I52" s="139"/>
      <c r="J52" s="140">
        <f>+G52+I51</f>
        <v>9722727.2727272734</v>
      </c>
      <c r="K52" s="54"/>
      <c r="L52" s="54"/>
      <c r="M52" s="54"/>
      <c r="N52" s="54"/>
      <c r="O52" s="54"/>
      <c r="P52" s="54"/>
      <c r="Q52" s="54"/>
    </row>
    <row r="53" spans="2:18">
      <c r="B53" s="85" t="s">
        <v>31</v>
      </c>
      <c r="C53" s="75">
        <f>+Hoja1!G27</f>
        <v>62000</v>
      </c>
      <c r="K53"/>
      <c r="L53"/>
      <c r="M53"/>
      <c r="N53"/>
    </row>
    <row r="54" spans="2:18" ht="15" thickBot="1">
      <c r="B54" s="76"/>
      <c r="C54" s="77">
        <f>SUM(C47:C53)</f>
        <v>2006000</v>
      </c>
      <c r="D54" s="15"/>
      <c r="E54" s="5"/>
      <c r="I54"/>
      <c r="J54"/>
      <c r="K54"/>
      <c r="L54"/>
      <c r="M54"/>
      <c r="N54"/>
    </row>
    <row r="55" spans="2:18" ht="42">
      <c r="B55" s="168" t="s">
        <v>133</v>
      </c>
      <c r="C55" s="169">
        <v>200000</v>
      </c>
      <c r="D55" s="15"/>
      <c r="G55" s="78" t="s">
        <v>50</v>
      </c>
      <c r="H55" s="79" t="s">
        <v>24</v>
      </c>
      <c r="I55" s="80" t="s">
        <v>70</v>
      </c>
      <c r="J55" s="82" t="s">
        <v>24</v>
      </c>
      <c r="K55" s="170"/>
      <c r="L55" s="170"/>
      <c r="M55" s="170"/>
      <c r="N55" s="170"/>
    </row>
    <row r="56" spans="2:18" ht="15" thickBot="1">
      <c r="B56" s="162" t="s">
        <v>135</v>
      </c>
      <c r="C56" s="163">
        <v>10000</v>
      </c>
      <c r="G56" s="124">
        <f>+C45/C42*3000</f>
        <v>15027272.727272727</v>
      </c>
      <c r="H56" s="83">
        <f>+G56/3000</f>
        <v>5009.090909090909</v>
      </c>
      <c r="I56" s="125">
        <f>+C45/C41*3000</f>
        <v>1653000000</v>
      </c>
      <c r="J56" s="81">
        <f>+I56/3000</f>
        <v>551000</v>
      </c>
      <c r="K56" s="171"/>
      <c r="L56" s="171"/>
      <c r="M56" s="171"/>
      <c r="N56" s="171"/>
      <c r="O56" s="15"/>
      <c r="P56" s="15"/>
      <c r="Q56" s="15"/>
    </row>
    <row r="57" spans="2:18" ht="15" thickBot="1">
      <c r="B57" s="164"/>
      <c r="C57" s="165">
        <f>SUM(C55:C56)</f>
        <v>210000</v>
      </c>
      <c r="D57" s="54"/>
      <c r="I57"/>
      <c r="J57"/>
      <c r="K57"/>
      <c r="L57"/>
      <c r="M57"/>
      <c r="N57"/>
    </row>
    <row r="58" spans="2:18" ht="16" thickBot="1">
      <c r="B58" s="166" t="s">
        <v>134</v>
      </c>
      <c r="C58" s="167">
        <f>+C57+C54</f>
        <v>2216000</v>
      </c>
    </row>
    <row r="59" spans="2:18">
      <c r="F59" s="93"/>
      <c r="G59" s="93"/>
    </row>
    <row r="60" spans="2:18">
      <c r="F60" s="93"/>
      <c r="G60" s="93"/>
    </row>
    <row r="61" spans="2:18">
      <c r="F61" s="93"/>
      <c r="G61" s="93"/>
    </row>
    <row r="62" spans="2:18">
      <c r="F62" s="93"/>
      <c r="G62" s="93"/>
    </row>
    <row r="63" spans="2:18">
      <c r="F63" s="93"/>
      <c r="G63" s="93"/>
    </row>
  </sheetData>
  <mergeCells count="2">
    <mergeCell ref="A1:S1"/>
    <mergeCell ref="A2:S2"/>
  </mergeCells>
  <pageMargins left="0.7" right="0.7" top="0.75" bottom="0.75" header="0.3" footer="0.3"/>
  <pageSetup orientation="portrait"/>
  <ignoredErrors>
    <ignoredError sqref="A39 A34:A3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9"/>
  <sheetViews>
    <sheetView topLeftCell="A11" workbookViewId="0">
      <selection activeCell="G26" sqref="G26"/>
    </sheetView>
  </sheetViews>
  <sheetFormatPr baseColWidth="10" defaultRowHeight="14" x14ac:dyDescent="0"/>
  <cols>
    <col min="1" max="1" width="35.5" style="15" customWidth="1"/>
    <col min="2" max="2" width="17" style="15" customWidth="1"/>
    <col min="3" max="3" width="15.5" bestFit="1" customWidth="1"/>
    <col min="4" max="4" width="14.1640625" customWidth="1"/>
    <col min="5" max="5" width="17.5" customWidth="1"/>
    <col min="6" max="6" width="19.83203125" customWidth="1"/>
    <col min="7" max="7" width="14.83203125" customWidth="1"/>
    <col min="8" max="8" width="15.5" bestFit="1" customWidth="1"/>
    <col min="9" max="9" width="14.6640625" customWidth="1"/>
  </cols>
  <sheetData>
    <row r="3" spans="1:10">
      <c r="B3" s="21" t="s">
        <v>23</v>
      </c>
      <c r="C3" s="22" t="s">
        <v>19</v>
      </c>
      <c r="D3" s="22" t="s">
        <v>21</v>
      </c>
      <c r="E3" s="22" t="s">
        <v>20</v>
      </c>
      <c r="F3" s="22" t="s">
        <v>18</v>
      </c>
      <c r="G3" s="22" t="s">
        <v>22</v>
      </c>
    </row>
    <row r="4" spans="1:10" s="36" customFormat="1">
      <c r="A4" s="33" t="s">
        <v>32</v>
      </c>
      <c r="B4" s="43">
        <v>10</v>
      </c>
      <c r="C4" s="34">
        <f>80000000/12</f>
        <v>6666666.666666667</v>
      </c>
      <c r="D4" s="35">
        <v>12</v>
      </c>
      <c r="E4" s="34">
        <f>+D4*C4</f>
        <v>80000000</v>
      </c>
      <c r="F4" s="34">
        <f>+E4*B4</f>
        <v>800000000</v>
      </c>
      <c r="G4" s="34">
        <f>+F4/3000</f>
        <v>266666.66666666669</v>
      </c>
      <c r="J4" s="36">
        <f>80/12</f>
        <v>6.666666666666667</v>
      </c>
    </row>
    <row r="5" spans="1:10" s="36" customFormat="1" ht="28">
      <c r="A5" s="33" t="s">
        <v>33</v>
      </c>
      <c r="B5" s="43">
        <v>10</v>
      </c>
      <c r="C5" s="34">
        <v>4500000</v>
      </c>
      <c r="D5" s="35">
        <v>3</v>
      </c>
      <c r="E5" s="34">
        <f>+D5*C5</f>
        <v>13500000</v>
      </c>
      <c r="F5" s="34">
        <f t="shared" ref="F5:F9" si="0">+E5*B5</f>
        <v>135000000</v>
      </c>
      <c r="G5" s="34">
        <f t="shared" ref="G5:G9" si="1">+F5/3000</f>
        <v>45000</v>
      </c>
    </row>
    <row r="6" spans="1:10" s="36" customFormat="1" ht="28">
      <c r="A6" s="33" t="s">
        <v>40</v>
      </c>
      <c r="B6" s="43">
        <v>20</v>
      </c>
      <c r="C6" s="34">
        <v>4500000</v>
      </c>
      <c r="D6" s="35">
        <v>12</v>
      </c>
      <c r="E6" s="34">
        <f>+D6*C6</f>
        <v>54000000</v>
      </c>
      <c r="F6" s="34">
        <f t="shared" si="0"/>
        <v>1080000000</v>
      </c>
      <c r="G6" s="34">
        <f t="shared" si="1"/>
        <v>360000</v>
      </c>
    </row>
    <row r="7" spans="1:10" s="36" customFormat="1" ht="28">
      <c r="A7" s="33" t="s">
        <v>34</v>
      </c>
      <c r="B7" s="43">
        <v>10</v>
      </c>
      <c r="C7" s="34">
        <v>10000000</v>
      </c>
      <c r="D7" s="35">
        <v>2</v>
      </c>
      <c r="E7" s="34">
        <f t="shared" ref="E7:E9" si="2">+D7*C7</f>
        <v>20000000</v>
      </c>
      <c r="F7" s="34">
        <f>+E7*B7</f>
        <v>200000000</v>
      </c>
      <c r="G7" s="34">
        <f t="shared" si="1"/>
        <v>66666.666666666672</v>
      </c>
    </row>
    <row r="8" spans="1:10">
      <c r="A8" s="20" t="s">
        <v>41</v>
      </c>
      <c r="B8" s="43">
        <v>1</v>
      </c>
      <c r="C8" s="19">
        <f>+E8/12</f>
        <v>0</v>
      </c>
      <c r="D8" s="18">
        <v>1</v>
      </c>
      <c r="E8" s="45">
        <f>+C15</f>
        <v>0</v>
      </c>
      <c r="F8" s="34">
        <f>+E8*B8</f>
        <v>0</v>
      </c>
      <c r="G8" s="34">
        <f>+F8/3000</f>
        <v>0</v>
      </c>
    </row>
    <row r="9" spans="1:10" s="36" customFormat="1" ht="28">
      <c r="A9" s="33" t="s">
        <v>35</v>
      </c>
      <c r="B9" s="43">
        <v>60</v>
      </c>
      <c r="C9" s="34">
        <v>10000000</v>
      </c>
      <c r="D9" s="35">
        <v>1</v>
      </c>
      <c r="E9" s="34">
        <f t="shared" si="2"/>
        <v>10000000</v>
      </c>
      <c r="F9" s="34">
        <f t="shared" si="0"/>
        <v>600000000</v>
      </c>
      <c r="G9" s="34">
        <f t="shared" si="1"/>
        <v>200000</v>
      </c>
    </row>
    <row r="10" spans="1:10">
      <c r="A10" s="20" t="s">
        <v>30</v>
      </c>
      <c r="B10" s="44">
        <v>4</v>
      </c>
      <c r="C10" s="37">
        <f>+E10</f>
        <v>15050637</v>
      </c>
      <c r="D10" s="18">
        <v>1</v>
      </c>
      <c r="E10" s="38">
        <f>+F10/10</f>
        <v>15050637</v>
      </c>
      <c r="F10" s="38">
        <v>150506370</v>
      </c>
      <c r="G10" s="38">
        <f t="shared" ref="G10" si="3">+F10/3000</f>
        <v>50168.79</v>
      </c>
    </row>
    <row r="13" spans="1:10">
      <c r="C13" s="40"/>
      <c r="H13" s="23"/>
    </row>
    <row r="14" spans="1:10">
      <c r="B14" s="115" t="s">
        <v>66</v>
      </c>
      <c r="C14" s="116">
        <v>3000</v>
      </c>
      <c r="E14" s="121"/>
      <c r="H14" s="23"/>
    </row>
    <row r="15" spans="1:10">
      <c r="C15" s="42"/>
      <c r="H15" s="13"/>
      <c r="J15" s="13"/>
    </row>
    <row r="16" spans="1:10" s="120" customFormat="1">
      <c r="A16" s="119"/>
      <c r="B16" s="119"/>
    </row>
    <row r="17" spans="1:9">
      <c r="B17" s="115" t="s">
        <v>67</v>
      </c>
      <c r="C17" s="117">
        <v>660</v>
      </c>
    </row>
    <row r="18" spans="1:9">
      <c r="B18" s="115" t="s">
        <v>68</v>
      </c>
      <c r="C18" s="117">
        <v>110</v>
      </c>
    </row>
    <row r="19" spans="1:9" ht="28">
      <c r="A19" s="97"/>
      <c r="B19" s="21" t="s">
        <v>23</v>
      </c>
      <c r="C19" s="22" t="s">
        <v>79</v>
      </c>
      <c r="D19" s="22" t="s">
        <v>21</v>
      </c>
      <c r="E19" s="21" t="s">
        <v>80</v>
      </c>
      <c r="F19" s="21" t="s">
        <v>81</v>
      </c>
      <c r="G19" s="22" t="s">
        <v>22</v>
      </c>
    </row>
    <row r="20" spans="1:9" ht="27.75" customHeight="1">
      <c r="A20" s="98" t="s">
        <v>76</v>
      </c>
      <c r="B20" s="97">
        <v>6</v>
      </c>
      <c r="C20" s="19">
        <v>6000000</v>
      </c>
      <c r="D20" s="18">
        <v>24</v>
      </c>
      <c r="E20" s="19">
        <f>+C20*D20</f>
        <v>144000000</v>
      </c>
      <c r="F20" s="19">
        <f>+E20*B20</f>
        <v>864000000</v>
      </c>
      <c r="G20" s="19">
        <f>+F20/$C$14</f>
        <v>288000</v>
      </c>
      <c r="I20" s="54"/>
    </row>
    <row r="21" spans="1:9" ht="28">
      <c r="A21" s="98" t="s">
        <v>83</v>
      </c>
      <c r="B21" s="97">
        <v>12</v>
      </c>
      <c r="C21" s="19">
        <v>4500000</v>
      </c>
      <c r="D21" s="18">
        <v>24</v>
      </c>
      <c r="E21" s="19">
        <f t="shared" ref="E21:E27" si="4">+C21*D21</f>
        <v>108000000</v>
      </c>
      <c r="F21" s="19">
        <f t="shared" ref="F21:F27" si="5">+E21*B21</f>
        <v>1296000000</v>
      </c>
      <c r="G21" s="19">
        <f t="shared" ref="G21:G27" si="6">+F21/$C$14</f>
        <v>432000</v>
      </c>
      <c r="H21">
        <f>+G21/2</f>
        <v>216000</v>
      </c>
    </row>
    <row r="22" spans="1:9">
      <c r="A22" s="98" t="s">
        <v>89</v>
      </c>
      <c r="B22" s="97">
        <v>6</v>
      </c>
      <c r="C22" s="19">
        <v>3000000</v>
      </c>
      <c r="D22" s="18">
        <v>24</v>
      </c>
      <c r="E22" s="19">
        <f t="shared" ref="E22" si="7">+C22*D22</f>
        <v>72000000</v>
      </c>
      <c r="F22" s="19">
        <f t="shared" ref="F22" si="8">+E22*B22</f>
        <v>432000000</v>
      </c>
      <c r="G22" s="19">
        <f t="shared" ref="G22" si="9">+F22/$C$14</f>
        <v>144000</v>
      </c>
      <c r="H22">
        <v>144000</v>
      </c>
    </row>
    <row r="23" spans="1:9" ht="28">
      <c r="A23" s="98" t="s">
        <v>90</v>
      </c>
      <c r="B23" s="97">
        <v>6</v>
      </c>
      <c r="C23" s="19">
        <v>3000000</v>
      </c>
      <c r="D23" s="18">
        <v>24</v>
      </c>
      <c r="E23" s="19">
        <f t="shared" ref="E23" si="10">+C23*D23</f>
        <v>72000000</v>
      </c>
      <c r="F23" s="19">
        <f t="shared" ref="F23" si="11">+E23*B23</f>
        <v>432000000</v>
      </c>
      <c r="G23" s="19">
        <f t="shared" ref="G23" si="12">+F23/$C$14</f>
        <v>144000</v>
      </c>
    </row>
    <row r="24" spans="1:9" ht="28">
      <c r="A24" s="98" t="s">
        <v>82</v>
      </c>
      <c r="B24" s="97">
        <v>6</v>
      </c>
      <c r="C24" s="19">
        <v>5000000</v>
      </c>
      <c r="D24" s="18">
        <v>2</v>
      </c>
      <c r="E24" s="19">
        <f t="shared" si="4"/>
        <v>10000000</v>
      </c>
      <c r="F24" s="19">
        <f t="shared" si="5"/>
        <v>60000000</v>
      </c>
      <c r="G24" s="19">
        <f t="shared" si="6"/>
        <v>20000</v>
      </c>
    </row>
    <row r="25" spans="1:9">
      <c r="A25" s="98" t="s">
        <v>77</v>
      </c>
      <c r="B25" s="97"/>
      <c r="C25" s="19"/>
      <c r="D25" s="18"/>
      <c r="E25" s="19"/>
      <c r="F25" s="19">
        <f>+H28</f>
        <v>2484000000</v>
      </c>
      <c r="G25" s="19">
        <f>+F25/$C$14</f>
        <v>828000</v>
      </c>
    </row>
    <row r="26" spans="1:9" ht="28">
      <c r="A26" s="98" t="s">
        <v>78</v>
      </c>
      <c r="B26" s="97">
        <v>66</v>
      </c>
      <c r="C26" s="19">
        <v>4000000</v>
      </c>
      <c r="D26" s="18">
        <v>1</v>
      </c>
      <c r="E26" s="19">
        <f t="shared" si="4"/>
        <v>4000000</v>
      </c>
      <c r="F26" s="19">
        <f t="shared" si="5"/>
        <v>264000000</v>
      </c>
      <c r="G26" s="19">
        <f t="shared" si="6"/>
        <v>88000</v>
      </c>
    </row>
    <row r="27" spans="1:9">
      <c r="A27" s="96" t="s">
        <v>30</v>
      </c>
      <c r="B27" s="97">
        <v>1</v>
      </c>
      <c r="C27" s="19">
        <v>120000000</v>
      </c>
      <c r="D27" s="18">
        <v>1</v>
      </c>
      <c r="E27" s="19">
        <f t="shared" si="4"/>
        <v>120000000</v>
      </c>
      <c r="F27" s="19">
        <f t="shared" si="5"/>
        <v>120000000</v>
      </c>
      <c r="G27" s="19">
        <v>62000</v>
      </c>
    </row>
    <row r="28" spans="1:9">
      <c r="B28" s="100"/>
      <c r="C28" s="101">
        <f>SUM(C20:C27)</f>
        <v>145500000</v>
      </c>
      <c r="D28" s="102"/>
      <c r="E28" s="101">
        <f>SUM(E20:E27)</f>
        <v>530000000</v>
      </c>
      <c r="F28" s="101">
        <f>SUM(F20:F27)</f>
        <v>5952000000</v>
      </c>
      <c r="G28" s="101">
        <f>SUM(G20:G27)</f>
        <v>2006000</v>
      </c>
      <c r="H28" s="46">
        <f>(2006000-(+G20+G21+G22+G23+G24+G26+G27))*C14</f>
        <v>2484000000</v>
      </c>
    </row>
    <row r="29" spans="1:9">
      <c r="A29" s="99"/>
    </row>
    <row r="30" spans="1:9">
      <c r="A30" s="97"/>
      <c r="B30" s="108" t="s">
        <v>22</v>
      </c>
      <c r="C30" s="109" t="s">
        <v>63</v>
      </c>
      <c r="E30" s="18" t="s">
        <v>65</v>
      </c>
    </row>
    <row r="31" spans="1:9">
      <c r="A31" s="97" t="s">
        <v>62</v>
      </c>
      <c r="B31" s="103">
        <v>2006000</v>
      </c>
      <c r="C31" s="103">
        <f>+B31*$C$14</f>
        <v>6018000000</v>
      </c>
      <c r="E31" s="112">
        <v>9000000</v>
      </c>
      <c r="G31" s="127">
        <f>+G28-G27</f>
        <v>1944000</v>
      </c>
      <c r="H31" s="127">
        <f>+G31*3000</f>
        <v>5832000000</v>
      </c>
    </row>
    <row r="32" spans="1:9" ht="14.25" customHeight="1">
      <c r="A32" s="106" t="s">
        <v>92</v>
      </c>
      <c r="B32" s="107">
        <f>+B31-G27</f>
        <v>1944000</v>
      </c>
      <c r="C32" s="111">
        <f>+B32*C14</f>
        <v>5832000000</v>
      </c>
      <c r="D32" s="129">
        <f>+C32/9000000</f>
        <v>648</v>
      </c>
      <c r="E32" t="s">
        <v>93</v>
      </c>
    </row>
    <row r="33" spans="1:7">
      <c r="A33" s="97" t="s">
        <v>69</v>
      </c>
      <c r="B33" s="110">
        <f>+G25/C17</f>
        <v>1254.5454545454545</v>
      </c>
      <c r="C33" s="105">
        <f t="shared" ref="C33:C36" si="13">+B33*$C$14</f>
        <v>3763636.3636363633</v>
      </c>
      <c r="E33" s="114"/>
      <c r="G33" s="54"/>
    </row>
    <row r="34" spans="1:7" ht="18" customHeight="1">
      <c r="A34" s="97" t="s">
        <v>91</v>
      </c>
      <c r="B34" s="105">
        <f>+(G20+G21+G22+G23+G24)/C17</f>
        <v>1557.5757575757575</v>
      </c>
      <c r="C34" s="105">
        <f>+B34*$C$14</f>
        <v>4672727.2727272725</v>
      </c>
      <c r="E34" s="114"/>
    </row>
    <row r="35" spans="1:7">
      <c r="A35" s="97" t="s">
        <v>71</v>
      </c>
      <c r="B35" s="105">
        <f>+G26/C17</f>
        <v>133.33333333333334</v>
      </c>
      <c r="C35" s="105">
        <f>+B35*$C$14</f>
        <v>400000</v>
      </c>
      <c r="E35" s="114"/>
    </row>
    <row r="36" spans="1:7">
      <c r="A36" s="97" t="s">
        <v>72</v>
      </c>
      <c r="B36" s="104">
        <f>(+G20+G21+G22+G23+G24+G25+G26)/C17</f>
        <v>2945.4545454545455</v>
      </c>
      <c r="C36" s="141">
        <f t="shared" si="13"/>
        <v>8836363.6363636367</v>
      </c>
      <c r="D36" s="118" t="s">
        <v>64</v>
      </c>
      <c r="E36" s="113">
        <f>+E31-C36</f>
        <v>163636.3636363633</v>
      </c>
    </row>
    <row r="38" spans="1:7">
      <c r="C38" s="54"/>
    </row>
    <row r="39" spans="1:7">
      <c r="C39" s="128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257C98A9ECFDB43B53E8A671CCC79A8" ma:contentTypeVersion="67" ma:contentTypeDescription="A content type to manage public (operations) IDB documents" ma:contentTypeScope="" ma:versionID="93b3b6704479542090d5f1150cbb295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a88c0e891a53f4c4810adf2f6a2d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G10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CSD/RND</Division_x0020_or_x0020_Unit>
    <IDBDocs_x0020_Number xmlns="cdc7663a-08f0-4737-9e8c-148ce897a09c" xsi:nil="true"/>
    <Document_x0020_Author xmlns="cdc7663a-08f0-4737-9e8c-148ce897a09c">Chavez, Elizabeth</Document_x0020_Author>
    <_dlc_DocId xmlns="cdc7663a-08f0-4737-9e8c-148ce897a09c">EZSHARE-1241566791-7</_dlc_DocId>
    <Operation_x0020_Type xmlns="cdc7663a-08f0-4737-9e8c-148ce897a09c">Investment Grants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47</Value>
      <Value>46</Value>
      <Value>45</Value>
      <Value>19</Value>
      <Value>1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CO-G1011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GRT/CM-17262-CO;</Approval_x0020_Number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</TermName>
          <TermId xmlns="http://schemas.microsoft.com/office/infopath/2007/PartnerControls">93794e72-3eb9-4fff-b814-58c3aa9ddd4c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https://idbg.sharepoint.com/teams/EZ-CO-IGR/CO-G1011/_layouts/15/DocIdRedir.aspx?ID=EZSHARE-1241566791-7</Url>
      <Description>EZSHARE-1241566791-7</Description>
    </_dlc_DocIdUrl>
    <Phase xmlns="cdc7663a-08f0-4737-9e8c-148ce897a09c" xsi:nil="true"/>
    <Other_x0020_Autho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Rural Development;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2E88D03-21D5-44AD-86C7-9CA080E5230E}"/>
</file>

<file path=customXml/itemProps2.xml><?xml version="1.0" encoding="utf-8"?>
<ds:datastoreItem xmlns:ds="http://schemas.openxmlformats.org/officeDocument/2006/customXml" ds:itemID="{DC2713F9-0FCC-4E31-8E24-54C8D20CA1BD}"/>
</file>

<file path=customXml/itemProps3.xml><?xml version="1.0" encoding="utf-8"?>
<ds:datastoreItem xmlns:ds="http://schemas.openxmlformats.org/officeDocument/2006/customXml" ds:itemID="{189B3189-EE3E-48A9-81B8-3DBC537E61D3}"/>
</file>

<file path=customXml/itemProps4.xml><?xml version="1.0" encoding="utf-8"?>
<ds:datastoreItem xmlns:ds="http://schemas.openxmlformats.org/officeDocument/2006/customXml" ds:itemID="{226307EB-F07A-4EBD-92DA-927179C5E48C}"/>
</file>

<file path=customXml/itemProps5.xml><?xml version="1.0" encoding="utf-8"?>
<ds:datastoreItem xmlns:ds="http://schemas.openxmlformats.org/officeDocument/2006/customXml" ds:itemID="{2C83746D-EBA4-4F68-904A-8A7756FFBFFC}"/>
</file>

<file path=customXml/itemProps6.xml><?xml version="1.0" encoding="utf-8"?>
<ds:datastoreItem xmlns:ds="http://schemas.openxmlformats.org/officeDocument/2006/customXml" ds:itemID="{C62A7CF0-63AD-4865-94B0-A78A92AB6D15}"/>
</file>

<file path=customXml/itemProps7.xml><?xml version="1.0" encoding="utf-8"?>
<ds:datastoreItem xmlns:ds="http://schemas.openxmlformats.org/officeDocument/2006/customXml" ds:itemID="{1F79E53A-9FB6-44E0-A802-03B5A5CDE8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Financiero</vt:lpstr>
      <vt:lpstr>Hoja1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keywords/>
  <cp:lastModifiedBy>Luis Guillermo Aguirre Madrid</cp:lastModifiedBy>
  <dcterms:created xsi:type="dcterms:W3CDTF">2015-08-24T00:18:57Z</dcterms:created>
  <dcterms:modified xsi:type="dcterms:W3CDTF">2018-10-12T22:03:26Z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46;#SUSTAINABLE AGRICULTURAL DEVELOPMENT|a0954e0d-8c49-4ad8-83bf-090abb274c8a</vt:lpwstr>
  </property>
  <property fmtid="{D5CDD505-2E9C-101B-9397-08002B2CF9AE}" pid="7" name="Country">
    <vt:lpwstr>19;#Colombia|c7d386d6-75f3-4fc0-bde8-e021ccd68f5c</vt:lpwstr>
  </property>
  <property fmtid="{D5CDD505-2E9C-101B-9397-08002B2CF9AE}" pid="8" name="Fund IDB">
    <vt:lpwstr>47;#COL|93794e72-3eb9-4fff-b814-58c3aa9ddd4c</vt:lpwstr>
  </property>
  <property fmtid="{D5CDD505-2E9C-101B-9397-08002B2CF9AE}" pid="9" name="_dlc_DocIdItemGuid">
    <vt:lpwstr>d53cae54-5ca6-41a6-b6bd-465ca61f4c4f</vt:lpwstr>
  </property>
  <property fmtid="{D5CDD505-2E9C-101B-9397-08002B2CF9AE}" pid="10" name="Sector IDB">
    <vt:lpwstr>45;#AGRICULTURE AND RURAL DEVELOPMENT|d219a801-c2c3-4618-9f55-1bc987044feb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0x0101001A458A224826124E8B45B1D613300CFC007257C98A9ECFDB43B53E8A671CCC79A8</vt:lpwstr>
  </property>
</Properties>
</file>