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3.xml" ContentType="application/vnd.openxmlformats-officedocument.drawing+xml"/>
  <Override PartName="/xl/worksheets/sheet1.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worksheets/sheet12.xml" ContentType="application/vnd.openxmlformats-officedocument.spreadsheetml.worksheet+xml"/>
  <Override PartName="/xl/worksheets/sheet10.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11.xml" ContentType="application/vnd.openxmlformats-officedocument.spreadsheetml.worksheet+xml"/>
  <Override PartName="/xl/worksheets/sheet7.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comments2.xml" ContentType="application/vnd.openxmlformats-officedocument.spreadsheetml.comments+xml"/>
  <Override PartName="/xl/calcChain.xml" ContentType="application/vnd.openxmlformats-officedocument.spreadsheetml.calcChain+xml"/>
  <Override PartName="/xl/comments5.xml" ContentType="application/vnd.openxmlformats-officedocument.spreadsheetml.comments+xml"/>
  <Override PartName="/xl/comments4.xml" ContentType="application/vnd.openxmlformats-officedocument.spreadsheetml.comments+xml"/>
  <Override PartName="/xl/comments3.xml" ContentType="application/vnd.openxmlformats-officedocument.spreadsheetml.comments+xml"/>
  <Override PartName="/xl/comments6.xml" ContentType="application/vnd.openxmlformats-officedocument.spreadsheetml.comment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9105" yWindow="-15" windowWidth="10155" windowHeight="9120" tabRatio="916" firstSheet="6" activeTab="11"/>
  </bookViews>
  <sheets>
    <sheet name="1_Capa" sheetId="1" r:id="rId1"/>
    <sheet name="2_Índice" sheetId="2" r:id="rId2"/>
    <sheet name="3_Comp e Produtos" sheetId="3" r:id="rId3"/>
    <sheet name="4_Componente 1" sheetId="4" r:id="rId4"/>
    <sheet name="5_Componente 2" sheetId="5" r:id="rId5"/>
    <sheet name="6_Componente 3" sheetId="35" r:id="rId6"/>
    <sheet name="7_ADM" sheetId="16" r:id="rId7"/>
    <sheet name="8_Consolidação Tipo Recurso" sheetId="17" r:id="rId8"/>
    <sheet name="9_Cronograma Físico" sheetId="18" r:id="rId9"/>
    <sheet name="10_Distribuição por Fonte" sheetId="19" r:id="rId10"/>
    <sheet name="11_Orçamento Global" sheetId="21" r:id="rId11"/>
    <sheet name="12_POA 18 meses" sheetId="26" r:id="rId12"/>
    <sheet name="13_PA 18 meses" sheetId="37" r:id="rId13"/>
  </sheets>
  <definedNames>
    <definedName name="Cronogr_2">'2_Índice'!#REF!</definedName>
    <definedName name="_xlnm.Print_Area" localSheetId="0">'1_Capa'!$A$1:$I$50</definedName>
    <definedName name="_xlnm.Print_Area" localSheetId="2">'3_Comp e Produtos'!$A$1:$F$54</definedName>
    <definedName name="_xlnm.Print_Area" localSheetId="3">'4_Componente 1'!$A$1:$W$70</definedName>
    <definedName name="_xlnm.Print_Area" localSheetId="4">'5_Componente 2'!$A$1:$W$92</definedName>
    <definedName name="_xlnm.Print_Area" localSheetId="5">'6_Componente 3'!$A$1:$W$57</definedName>
    <definedName name="_xlnm.Print_Area" localSheetId="6">'7_ADM'!$A$1:$W$27</definedName>
    <definedName name="_xlnm.Print_Area" localSheetId="7">'8_Consolidação Tipo Recurso'!$A$1:$H$35</definedName>
    <definedName name="_xlnm.Print_Area" localSheetId="8">'9_Cronograma Físico'!$A$1:$AC$42</definedName>
    <definedName name="_xlnm.Print_Titles" localSheetId="9">'10_Distribuição por Fonte'!$A:$A,'10_Distribuição por Fonte'!$1:$3</definedName>
    <definedName name="_xlnm.Print_Titles" localSheetId="11">'12_POA 18 meses'!$1:$3</definedName>
    <definedName name="_xlnm.Print_Titles" localSheetId="2">'3_Comp e Produtos'!$1:$4</definedName>
    <definedName name="_xlnm.Print_Titles" localSheetId="3">'4_Componente 1'!$A:$B,'4_Componente 1'!$1:$4</definedName>
    <definedName name="_xlnm.Print_Titles" localSheetId="4">'5_Componente 2'!$A:$B,'5_Componente 2'!$1:$4</definedName>
    <definedName name="_xlnm.Print_Titles" localSheetId="5">'6_Componente 3'!$A:$B,'6_Componente 3'!$2:$4</definedName>
    <definedName name="_xlnm.Print_Titles" localSheetId="6">'7_ADM'!$A:$B,'7_ADM'!$1:$4</definedName>
    <definedName name="_xlnm.Print_Titles" localSheetId="8">'9_Cronograma Físico'!$A:$A,'9_Cronograma Físico'!$1:$4</definedName>
    <definedName name="Trimestres">#REF!</definedName>
  </definedNames>
  <calcPr calcId="125725" fullPrecision="0"/>
</workbook>
</file>

<file path=xl/calcChain.xml><?xml version="1.0" encoding="utf-8"?>
<calcChain xmlns="http://schemas.openxmlformats.org/spreadsheetml/2006/main">
  <c r="C57" i="37"/>
  <c r="C56"/>
  <c r="C54"/>
  <c r="C55"/>
  <c r="C59"/>
  <c r="C60"/>
  <c r="C61"/>
  <c r="C62"/>
  <c r="C63"/>
  <c r="C25"/>
  <c r="C24"/>
  <c r="C23"/>
  <c r="C22"/>
  <c r="C49"/>
  <c r="C48"/>
  <c r="C47"/>
  <c r="C46"/>
  <c r="C45"/>
  <c r="C43"/>
  <c r="C42"/>
  <c r="C39"/>
  <c r="C38"/>
  <c r="C37"/>
  <c r="C36"/>
  <c r="C30"/>
  <c r="C29"/>
  <c r="C28"/>
  <c r="C27"/>
  <c r="C20"/>
  <c r="C19"/>
  <c r="C18"/>
  <c r="C17"/>
  <c r="C16"/>
  <c r="C15"/>
  <c r="C14"/>
  <c r="H38" i="26"/>
  <c r="I31"/>
  <c r="K31"/>
  <c r="H36"/>
  <c r="H35"/>
  <c r="H34"/>
  <c r="H33"/>
  <c r="H31" s="1"/>
  <c r="G18"/>
  <c r="H18"/>
  <c r="I18"/>
  <c r="K18"/>
  <c r="J29"/>
  <c r="F27"/>
  <c r="F26"/>
  <c r="H16"/>
  <c r="G16" s="1"/>
  <c r="H15"/>
  <c r="D7"/>
  <c r="U35" i="19"/>
  <c r="A19" i="26"/>
  <c r="A18"/>
  <c r="A15"/>
  <c r="B15" s="1"/>
  <c r="J15"/>
  <c r="A16"/>
  <c r="B16" s="1"/>
  <c r="J16"/>
  <c r="A17"/>
  <c r="C17" s="1"/>
  <c r="J17"/>
  <c r="C14" i="21"/>
  <c r="B14"/>
  <c r="C9"/>
  <c r="C10"/>
  <c r="C30"/>
  <c r="C31"/>
  <c r="A10"/>
  <c r="A31" s="1"/>
  <c r="L20" i="19"/>
  <c r="U17"/>
  <c r="U18"/>
  <c r="U19"/>
  <c r="U41"/>
  <c r="U42"/>
  <c r="U22"/>
  <c r="U23"/>
  <c r="U24"/>
  <c r="U25"/>
  <c r="U26"/>
  <c r="U27"/>
  <c r="U28"/>
  <c r="U29"/>
  <c r="U30"/>
  <c r="U31"/>
  <c r="U20" s="1"/>
  <c r="U32"/>
  <c r="U21"/>
  <c r="O20"/>
  <c r="R20"/>
  <c r="C40"/>
  <c r="F40"/>
  <c r="I40"/>
  <c r="L40"/>
  <c r="O40"/>
  <c r="C33"/>
  <c r="F33"/>
  <c r="I33"/>
  <c r="L33"/>
  <c r="O33"/>
  <c r="C20"/>
  <c r="F20"/>
  <c r="I20"/>
  <c r="C6"/>
  <c r="F6"/>
  <c r="I6"/>
  <c r="L6"/>
  <c r="O6"/>
  <c r="O5" s="1"/>
  <c r="A21"/>
  <c r="G15" i="26" l="1"/>
  <c r="D17"/>
  <c r="B17"/>
  <c r="E17"/>
  <c r="E15"/>
  <c r="E16"/>
  <c r="C15"/>
  <c r="C16"/>
  <c r="D15"/>
  <c r="D16"/>
  <c r="L5" i="19"/>
  <c r="I5"/>
  <c r="F5"/>
  <c r="C5"/>
  <c r="U40"/>
  <c r="A20" l="1"/>
  <c r="A19"/>
  <c r="A18"/>
  <c r="A17"/>
  <c r="D19" i="18"/>
  <c r="D18"/>
  <c r="D17"/>
  <c r="A21" l="1"/>
  <c r="A20"/>
  <c r="A19"/>
  <c r="A18"/>
  <c r="A17"/>
  <c r="A7" i="17"/>
  <c r="A6"/>
  <c r="U61" i="4"/>
  <c r="I60"/>
  <c r="U56"/>
  <c r="I55"/>
  <c r="A65"/>
  <c r="S54" s="1"/>
  <c r="A60"/>
  <c r="A55"/>
  <c r="A50"/>
  <c r="W54"/>
  <c r="G54"/>
  <c r="K53"/>
  <c r="O52"/>
  <c r="S51"/>
  <c r="W50"/>
  <c r="G50"/>
  <c r="A5" i="5"/>
  <c r="A10" i="35"/>
  <c r="F18" i="18" l="1"/>
  <c r="AE18" s="1"/>
  <c r="H18"/>
  <c r="AG18" s="1"/>
  <c r="J18"/>
  <c r="L18"/>
  <c r="N18"/>
  <c r="P18"/>
  <c r="R18"/>
  <c r="T18"/>
  <c r="V18"/>
  <c r="X18"/>
  <c r="Z18"/>
  <c r="AB18"/>
  <c r="BF18" s="1"/>
  <c r="E18"/>
  <c r="AD18" s="1"/>
  <c r="G18"/>
  <c r="AF18" s="1"/>
  <c r="I18"/>
  <c r="AI18" s="1"/>
  <c r="K18"/>
  <c r="M18"/>
  <c r="O18"/>
  <c r="Q18"/>
  <c r="S18"/>
  <c r="U18"/>
  <c r="W18"/>
  <c r="Y18"/>
  <c r="AA18"/>
  <c r="E17"/>
  <c r="AD17" s="1"/>
  <c r="G17"/>
  <c r="AF17" s="1"/>
  <c r="I17"/>
  <c r="AI17" s="1"/>
  <c r="K17"/>
  <c r="M17"/>
  <c r="O17"/>
  <c r="Q17"/>
  <c r="U17"/>
  <c r="AA17"/>
  <c r="F17"/>
  <c r="AE17" s="1"/>
  <c r="H17"/>
  <c r="AG17" s="1"/>
  <c r="J17"/>
  <c r="L17"/>
  <c r="N17"/>
  <c r="P17"/>
  <c r="R17"/>
  <c r="T17"/>
  <c r="V17"/>
  <c r="X17"/>
  <c r="Z17"/>
  <c r="AB17"/>
  <c r="BF17" s="1"/>
  <c r="S17"/>
  <c r="W17"/>
  <c r="Y17"/>
  <c r="E19"/>
  <c r="AD19" s="1"/>
  <c r="G19"/>
  <c r="AF19" s="1"/>
  <c r="I19"/>
  <c r="K19"/>
  <c r="AK19" s="1"/>
  <c r="M19"/>
  <c r="AN19" s="1"/>
  <c r="O19"/>
  <c r="AP19" s="1"/>
  <c r="Q19"/>
  <c r="AS19" s="1"/>
  <c r="S19"/>
  <c r="AU19" s="1"/>
  <c r="U19"/>
  <c r="AX19" s="1"/>
  <c r="W19"/>
  <c r="AZ19" s="1"/>
  <c r="Y19"/>
  <c r="BC19" s="1"/>
  <c r="AA19"/>
  <c r="BE19" s="1"/>
  <c r="F19"/>
  <c r="AE19" s="1"/>
  <c r="H19"/>
  <c r="AG19" s="1"/>
  <c r="J19"/>
  <c r="L19"/>
  <c r="AL19" s="1"/>
  <c r="N19"/>
  <c r="AO19" s="1"/>
  <c r="P19"/>
  <c r="AQ19" s="1"/>
  <c r="R19"/>
  <c r="AT19" s="1"/>
  <c r="T19"/>
  <c r="AV19" s="1"/>
  <c r="V19"/>
  <c r="AY19" s="1"/>
  <c r="X19"/>
  <c r="BA19" s="1"/>
  <c r="Z19"/>
  <c r="BD19" s="1"/>
  <c r="AB19"/>
  <c r="BF19" s="1"/>
  <c r="O50" i="4"/>
  <c r="K51"/>
  <c r="G52"/>
  <c r="W52"/>
  <c r="S53"/>
  <c r="O54"/>
  <c r="K50"/>
  <c r="S50"/>
  <c r="G51"/>
  <c r="O51"/>
  <c r="W51"/>
  <c r="K52"/>
  <c r="S52"/>
  <c r="G53"/>
  <c r="O53"/>
  <c r="W53"/>
  <c r="K54"/>
  <c r="U6" i="5"/>
  <c r="A45" i="4"/>
  <c r="A32" i="35"/>
  <c r="A25"/>
  <c r="A15"/>
  <c r="A62" i="5"/>
  <c r="A45"/>
  <c r="A30"/>
  <c r="A20"/>
  <c r="A10"/>
  <c r="BG19" i="18" l="1"/>
  <c r="P19" i="19" s="1"/>
  <c r="N19" s="1"/>
  <c r="BB19" i="18"/>
  <c r="M19" i="19" s="1"/>
  <c r="K19" s="1"/>
  <c r="AW19" i="18"/>
  <c r="J19" i="19" s="1"/>
  <c r="H19" s="1"/>
  <c r="AR19" i="18"/>
  <c r="G19" i="19" s="1"/>
  <c r="E19" s="1"/>
  <c r="AH19" i="18"/>
  <c r="AH17"/>
  <c r="AH18"/>
  <c r="A54" i="4"/>
  <c r="E16" i="3" s="1"/>
  <c r="AC16" i="18" s="1"/>
  <c r="A67" i="5"/>
  <c r="A72"/>
  <c r="A77"/>
  <c r="A82"/>
  <c r="A87"/>
  <c r="G67" s="1"/>
  <c r="J36" i="26"/>
  <c r="J35"/>
  <c r="J34"/>
  <c r="G34" s="1"/>
  <c r="J33"/>
  <c r="J32"/>
  <c r="J30"/>
  <c r="J28"/>
  <c r="J26"/>
  <c r="J25"/>
  <c r="J24"/>
  <c r="J23"/>
  <c r="J22"/>
  <c r="J21"/>
  <c r="J20"/>
  <c r="J19"/>
  <c r="J18" s="1"/>
  <c r="J14"/>
  <c r="J13"/>
  <c r="J12"/>
  <c r="J11"/>
  <c r="G11" s="1"/>
  <c r="J10"/>
  <c r="J9"/>
  <c r="G9" s="1"/>
  <c r="J8"/>
  <c r="A31"/>
  <c r="A36"/>
  <c r="A35"/>
  <c r="A34"/>
  <c r="A33"/>
  <c r="A32"/>
  <c r="A37"/>
  <c r="A30"/>
  <c r="D30" s="1"/>
  <c r="A29"/>
  <c r="D29" s="1"/>
  <c r="A28"/>
  <c r="D28" s="1"/>
  <c r="A27"/>
  <c r="D27" s="1"/>
  <c r="A26"/>
  <c r="D26" s="1"/>
  <c r="A25"/>
  <c r="D25" s="1"/>
  <c r="A24"/>
  <c r="D24" s="1"/>
  <c r="A23"/>
  <c r="D23" s="1"/>
  <c r="A22"/>
  <c r="D22" s="1"/>
  <c r="A21"/>
  <c r="D21" s="1"/>
  <c r="A20"/>
  <c r="D20" s="1"/>
  <c r="D19"/>
  <c r="A11" i="21"/>
  <c r="A32" s="1"/>
  <c r="U39" i="19"/>
  <c r="U38"/>
  <c r="U37"/>
  <c r="U36"/>
  <c r="U34"/>
  <c r="U16"/>
  <c r="U15"/>
  <c r="U14"/>
  <c r="U13"/>
  <c r="U12"/>
  <c r="U11"/>
  <c r="U10"/>
  <c r="U9"/>
  <c r="U8"/>
  <c r="U6" s="1"/>
  <c r="R40"/>
  <c r="R33"/>
  <c r="R6"/>
  <c r="A39"/>
  <c r="A38"/>
  <c r="A37"/>
  <c r="A36"/>
  <c r="A35"/>
  <c r="A34"/>
  <c r="A33"/>
  <c r="A32"/>
  <c r="A31"/>
  <c r="A30"/>
  <c r="A29"/>
  <c r="A28"/>
  <c r="A27"/>
  <c r="A26"/>
  <c r="A25"/>
  <c r="A24"/>
  <c r="A23"/>
  <c r="A22"/>
  <c r="BF39" i="18"/>
  <c r="BE39"/>
  <c r="BF38"/>
  <c r="BE38"/>
  <c r="BF37"/>
  <c r="BE37"/>
  <c r="BF36"/>
  <c r="BE36"/>
  <c r="BF35"/>
  <c r="BE35"/>
  <c r="BF34"/>
  <c r="BF33" s="1"/>
  <c r="BE34"/>
  <c r="BE33" s="1"/>
  <c r="BF32"/>
  <c r="BE32"/>
  <c r="BF31"/>
  <c r="BE31"/>
  <c r="AE39"/>
  <c r="AE38"/>
  <c r="AE37"/>
  <c r="AE36"/>
  <c r="AE35"/>
  <c r="AE34"/>
  <c r="AE32"/>
  <c r="AE31"/>
  <c r="AD39"/>
  <c r="AD38"/>
  <c r="AD37"/>
  <c r="AD36"/>
  <c r="AD35"/>
  <c r="AD34"/>
  <c r="AD32"/>
  <c r="AD31"/>
  <c r="D42"/>
  <c r="D41"/>
  <c r="D39"/>
  <c r="D38"/>
  <c r="D37"/>
  <c r="E35" i="26" s="1"/>
  <c r="D36" i="18"/>
  <c r="D35"/>
  <c r="E33" i="26" s="1"/>
  <c r="D34" i="18"/>
  <c r="D32"/>
  <c r="D31"/>
  <c r="D30"/>
  <c r="D29"/>
  <c r="D28"/>
  <c r="D27"/>
  <c r="D26"/>
  <c r="D25"/>
  <c r="D24"/>
  <c r="D23"/>
  <c r="D22"/>
  <c r="D21"/>
  <c r="D16"/>
  <c r="D15"/>
  <c r="D14"/>
  <c r="D13"/>
  <c r="D12"/>
  <c r="D11"/>
  <c r="D10"/>
  <c r="D9"/>
  <c r="D8"/>
  <c r="G31" i="17"/>
  <c r="B40" i="18"/>
  <c r="B20"/>
  <c r="AB33"/>
  <c r="AA33"/>
  <c r="F33"/>
  <c r="E33"/>
  <c r="A39"/>
  <c r="A38"/>
  <c r="A37"/>
  <c r="Z37" s="1"/>
  <c r="A36"/>
  <c r="Z36" s="1"/>
  <c r="BD36" s="1"/>
  <c r="A35"/>
  <c r="Z35" s="1"/>
  <c r="A34"/>
  <c r="Z34" s="1"/>
  <c r="A33"/>
  <c r="A32"/>
  <c r="G32" s="1"/>
  <c r="A31"/>
  <c r="G31" s="1"/>
  <c r="A30"/>
  <c r="Z30" s="1"/>
  <c r="A29"/>
  <c r="Z29" s="1"/>
  <c r="A28"/>
  <c r="Z28" s="1"/>
  <c r="A27"/>
  <c r="A26"/>
  <c r="Z26" s="1"/>
  <c r="A25"/>
  <c r="E25" s="1"/>
  <c r="AD25" s="1"/>
  <c r="A24"/>
  <c r="A23"/>
  <c r="A22"/>
  <c r="D51" i="3"/>
  <c r="D50"/>
  <c r="D40"/>
  <c r="D41"/>
  <c r="D34"/>
  <c r="D33"/>
  <c r="D32"/>
  <c r="D29"/>
  <c r="D28"/>
  <c r="D27"/>
  <c r="D26"/>
  <c r="D23"/>
  <c r="C30"/>
  <c r="C29"/>
  <c r="C28"/>
  <c r="C27"/>
  <c r="J31" i="26" l="1"/>
  <c r="G32"/>
  <c r="AD33" i="18"/>
  <c r="AE33"/>
  <c r="U33" i="19"/>
  <c r="C11" i="21" s="1"/>
  <c r="C8" s="1"/>
  <c r="U5" i="19"/>
  <c r="U4" s="1"/>
  <c r="C32" i="21"/>
  <c r="C29" s="1"/>
  <c r="Z27" i="18"/>
  <c r="G90" i="5"/>
  <c r="E32" i="26"/>
  <c r="E34"/>
  <c r="E36"/>
  <c r="O91" i="5"/>
  <c r="O88"/>
  <c r="B33" i="18"/>
  <c r="E19" i="26"/>
  <c r="E21"/>
  <c r="E25"/>
  <c r="E27"/>
  <c r="E29"/>
  <c r="W90" i="5"/>
  <c r="K89"/>
  <c r="S87"/>
  <c r="E20" i="26"/>
  <c r="E22"/>
  <c r="E24"/>
  <c r="E26"/>
  <c r="E28"/>
  <c r="E30"/>
  <c r="W91" i="5"/>
  <c r="G91"/>
  <c r="O90"/>
  <c r="S89"/>
  <c r="W88"/>
  <c r="G88"/>
  <c r="K87"/>
  <c r="R5" i="19"/>
  <c r="AB25" i="18"/>
  <c r="BF25" s="1"/>
  <c r="AA25"/>
  <c r="F25"/>
  <c r="AE25" s="1"/>
  <c r="AB26"/>
  <c r="BF26" s="1"/>
  <c r="AA26"/>
  <c r="F26"/>
  <c r="AE26" s="1"/>
  <c r="E26"/>
  <c r="AD26" s="1"/>
  <c r="AB27"/>
  <c r="BF27" s="1"/>
  <c r="AA27"/>
  <c r="F27"/>
  <c r="AE27" s="1"/>
  <c r="E27"/>
  <c r="AD27" s="1"/>
  <c r="AB28"/>
  <c r="BF28" s="1"/>
  <c r="AA28"/>
  <c r="BE28" s="1"/>
  <c r="F28"/>
  <c r="AE28" s="1"/>
  <c r="E28"/>
  <c r="AD28" s="1"/>
  <c r="BD34"/>
  <c r="Z38"/>
  <c r="Y38"/>
  <c r="X38"/>
  <c r="W38"/>
  <c r="V38"/>
  <c r="U38"/>
  <c r="Z39"/>
  <c r="BD39" s="1"/>
  <c r="Y39"/>
  <c r="X39"/>
  <c r="W39"/>
  <c r="V39"/>
  <c r="U39"/>
  <c r="T39"/>
  <c r="S39"/>
  <c r="R39"/>
  <c r="Q39"/>
  <c r="P39"/>
  <c r="AQ39" s="1"/>
  <c r="O39"/>
  <c r="AP39" s="1"/>
  <c r="N39"/>
  <c r="AO39" s="1"/>
  <c r="M39"/>
  <c r="AN39" s="1"/>
  <c r="L39"/>
  <c r="AL39" s="1"/>
  <c r="K39"/>
  <c r="AK39" s="1"/>
  <c r="J39"/>
  <c r="AJ39" s="1"/>
  <c r="I39"/>
  <c r="AI39" s="1"/>
  <c r="H39"/>
  <c r="AG39" s="1"/>
  <c r="G39"/>
  <c r="AF39" s="1"/>
  <c r="Z25"/>
  <c r="G26"/>
  <c r="G27"/>
  <c r="G28"/>
  <c r="H26"/>
  <c r="I26"/>
  <c r="J26"/>
  <c r="K26"/>
  <c r="L26"/>
  <c r="M26"/>
  <c r="N26"/>
  <c r="O26"/>
  <c r="P26"/>
  <c r="Q26"/>
  <c r="R26"/>
  <c r="S26"/>
  <c r="T26"/>
  <c r="U26"/>
  <c r="V26"/>
  <c r="W26"/>
  <c r="X26"/>
  <c r="Y26"/>
  <c r="H27"/>
  <c r="I27"/>
  <c r="J27"/>
  <c r="K27"/>
  <c r="L27"/>
  <c r="M27"/>
  <c r="N27"/>
  <c r="O27"/>
  <c r="P27"/>
  <c r="Q27"/>
  <c r="R27"/>
  <c r="S27"/>
  <c r="T27"/>
  <c r="U27"/>
  <c r="V27"/>
  <c r="W27"/>
  <c r="X27"/>
  <c r="Y27"/>
  <c r="H28"/>
  <c r="I28"/>
  <c r="J28"/>
  <c r="K28"/>
  <c r="L28"/>
  <c r="M28"/>
  <c r="N28"/>
  <c r="O28"/>
  <c r="P28"/>
  <c r="Q28"/>
  <c r="R28"/>
  <c r="S28"/>
  <c r="T28"/>
  <c r="U28"/>
  <c r="V28"/>
  <c r="W28"/>
  <c r="X28"/>
  <c r="Y28"/>
  <c r="H29"/>
  <c r="I29"/>
  <c r="J29"/>
  <c r="K29"/>
  <c r="L29"/>
  <c r="M29"/>
  <c r="N29"/>
  <c r="O29"/>
  <c r="P29"/>
  <c r="Q29"/>
  <c r="R29"/>
  <c r="S29"/>
  <c r="T29"/>
  <c r="U29"/>
  <c r="V29"/>
  <c r="W29"/>
  <c r="X29"/>
  <c r="Y29"/>
  <c r="H30"/>
  <c r="I30"/>
  <c r="J30"/>
  <c r="K30"/>
  <c r="L30"/>
  <c r="M30"/>
  <c r="N30"/>
  <c r="O30"/>
  <c r="P30"/>
  <c r="Q30"/>
  <c r="R30"/>
  <c r="S30"/>
  <c r="T30"/>
  <c r="U30"/>
  <c r="V30"/>
  <c r="W30"/>
  <c r="X30"/>
  <c r="Y30"/>
  <c r="H31"/>
  <c r="I31"/>
  <c r="J31"/>
  <c r="K31"/>
  <c r="L31"/>
  <c r="M31"/>
  <c r="N31"/>
  <c r="O31"/>
  <c r="P31"/>
  <c r="Q31"/>
  <c r="R31"/>
  <c r="S31"/>
  <c r="T31"/>
  <c r="U31"/>
  <c r="V31"/>
  <c r="W31"/>
  <c r="X31"/>
  <c r="Y31"/>
  <c r="Z31"/>
  <c r="H32"/>
  <c r="I32"/>
  <c r="J32"/>
  <c r="K32"/>
  <c r="L32"/>
  <c r="M32"/>
  <c r="N32"/>
  <c r="O32"/>
  <c r="P32"/>
  <c r="Q32"/>
  <c r="R32"/>
  <c r="S32"/>
  <c r="T32"/>
  <c r="U32"/>
  <c r="V32"/>
  <c r="W32"/>
  <c r="X32"/>
  <c r="Y32"/>
  <c r="Z32"/>
  <c r="G34"/>
  <c r="H34"/>
  <c r="I34"/>
  <c r="J34"/>
  <c r="K34"/>
  <c r="L34"/>
  <c r="M34"/>
  <c r="N34"/>
  <c r="O34"/>
  <c r="P34"/>
  <c r="Q34"/>
  <c r="R34"/>
  <c r="S34"/>
  <c r="T34"/>
  <c r="U34"/>
  <c r="V34"/>
  <c r="W34"/>
  <c r="X34"/>
  <c r="Y34"/>
  <c r="G35"/>
  <c r="AF35" s="1"/>
  <c r="H35"/>
  <c r="AG35" s="1"/>
  <c r="K35"/>
  <c r="L35"/>
  <c r="M35"/>
  <c r="N35"/>
  <c r="O35"/>
  <c r="P35"/>
  <c r="Q35"/>
  <c r="R35"/>
  <c r="S35"/>
  <c r="T35"/>
  <c r="U35"/>
  <c r="V35"/>
  <c r="W35"/>
  <c r="X35"/>
  <c r="Y35"/>
  <c r="G36"/>
  <c r="AF36" s="1"/>
  <c r="H36"/>
  <c r="I36"/>
  <c r="J36"/>
  <c r="K36"/>
  <c r="L36"/>
  <c r="M36"/>
  <c r="N36"/>
  <c r="O36"/>
  <c r="P36"/>
  <c r="Q36"/>
  <c r="R36"/>
  <c r="AT36" s="1"/>
  <c r="S36"/>
  <c r="AU36" s="1"/>
  <c r="T36"/>
  <c r="AV36" s="1"/>
  <c r="U36"/>
  <c r="AX36" s="1"/>
  <c r="V36"/>
  <c r="AY36" s="1"/>
  <c r="W36"/>
  <c r="AZ36" s="1"/>
  <c r="X36"/>
  <c r="BA36" s="1"/>
  <c r="Y36"/>
  <c r="BC36" s="1"/>
  <c r="BG36" s="1"/>
  <c r="G37"/>
  <c r="AF37" s="1"/>
  <c r="H37"/>
  <c r="I37"/>
  <c r="J37"/>
  <c r="K37"/>
  <c r="L37"/>
  <c r="M37"/>
  <c r="N37"/>
  <c r="O37"/>
  <c r="P37"/>
  <c r="Q37"/>
  <c r="R37"/>
  <c r="S37"/>
  <c r="T37"/>
  <c r="U37"/>
  <c r="V37"/>
  <c r="W37"/>
  <c r="X37"/>
  <c r="Y37"/>
  <c r="G38"/>
  <c r="AF38" s="1"/>
  <c r="H38"/>
  <c r="I38"/>
  <c r="J38"/>
  <c r="K38"/>
  <c r="L38"/>
  <c r="M38"/>
  <c r="N38"/>
  <c r="O38"/>
  <c r="P38"/>
  <c r="Q38"/>
  <c r="R38"/>
  <c r="S38"/>
  <c r="T38"/>
  <c r="B19" i="26"/>
  <c r="B20"/>
  <c r="B21"/>
  <c r="B22"/>
  <c r="B23"/>
  <c r="B24"/>
  <c r="B25"/>
  <c r="B26"/>
  <c r="B27"/>
  <c r="B28"/>
  <c r="B29"/>
  <c r="B30"/>
  <c r="C19"/>
  <c r="C20"/>
  <c r="C21"/>
  <c r="C22"/>
  <c r="C23"/>
  <c r="C24"/>
  <c r="C25"/>
  <c r="C26"/>
  <c r="C27"/>
  <c r="C28"/>
  <c r="C29"/>
  <c r="C30"/>
  <c r="B32"/>
  <c r="B33"/>
  <c r="B34"/>
  <c r="B35"/>
  <c r="B36"/>
  <c r="C32"/>
  <c r="C33"/>
  <c r="C34"/>
  <c r="C35"/>
  <c r="C36"/>
  <c r="D32"/>
  <c r="D33"/>
  <c r="D34"/>
  <c r="D35"/>
  <c r="D36"/>
  <c r="AH35" i="18"/>
  <c r="D33"/>
  <c r="E23" i="26"/>
  <c r="S86" i="5"/>
  <c r="K86"/>
  <c r="S85"/>
  <c r="K85"/>
  <c r="W84"/>
  <c r="O84"/>
  <c r="G84"/>
  <c r="S83"/>
  <c r="K83"/>
  <c r="W82"/>
  <c r="O82"/>
  <c r="G82"/>
  <c r="W81"/>
  <c r="O81"/>
  <c r="G81"/>
  <c r="W80"/>
  <c r="O80"/>
  <c r="G80"/>
  <c r="S79"/>
  <c r="K79"/>
  <c r="W78"/>
  <c r="O78"/>
  <c r="G78"/>
  <c r="S77"/>
  <c r="K77"/>
  <c r="S76"/>
  <c r="K76"/>
  <c r="S75"/>
  <c r="K75"/>
  <c r="W74"/>
  <c r="O74"/>
  <c r="G74"/>
  <c r="S73"/>
  <c r="K73"/>
  <c r="W72"/>
  <c r="O72"/>
  <c r="G72"/>
  <c r="W71"/>
  <c r="O71"/>
  <c r="G71"/>
  <c r="W70"/>
  <c r="O70"/>
  <c r="G70"/>
  <c r="S69"/>
  <c r="K69"/>
  <c r="W68"/>
  <c r="O68"/>
  <c r="G68"/>
  <c r="S67"/>
  <c r="K67"/>
  <c r="S91"/>
  <c r="K91"/>
  <c r="S90"/>
  <c r="K90"/>
  <c r="W89"/>
  <c r="O89"/>
  <c r="G89"/>
  <c r="S88"/>
  <c r="K88"/>
  <c r="W87"/>
  <c r="O87"/>
  <c r="G87"/>
  <c r="W86"/>
  <c r="O86"/>
  <c r="G86"/>
  <c r="W85"/>
  <c r="O85"/>
  <c r="G85"/>
  <c r="S84"/>
  <c r="K84"/>
  <c r="W83"/>
  <c r="O83"/>
  <c r="G83"/>
  <c r="S82"/>
  <c r="K82"/>
  <c r="S81"/>
  <c r="K81"/>
  <c r="S80"/>
  <c r="K80"/>
  <c r="W79"/>
  <c r="O79"/>
  <c r="G79"/>
  <c r="S78"/>
  <c r="K78"/>
  <c r="W77"/>
  <c r="O77"/>
  <c r="G77"/>
  <c r="W76"/>
  <c r="O76"/>
  <c r="G76"/>
  <c r="W75"/>
  <c r="O75"/>
  <c r="G75"/>
  <c r="S74"/>
  <c r="K74"/>
  <c r="W73"/>
  <c r="O73"/>
  <c r="G73"/>
  <c r="S72"/>
  <c r="K72"/>
  <c r="S71"/>
  <c r="K71"/>
  <c r="S70"/>
  <c r="K70"/>
  <c r="W69"/>
  <c r="O69"/>
  <c r="G69"/>
  <c r="S68"/>
  <c r="K68"/>
  <c r="W67"/>
  <c r="O67"/>
  <c r="AM39" i="18"/>
  <c r="D39" i="19" s="1"/>
  <c r="B39" s="1"/>
  <c r="I25" i="18"/>
  <c r="K25"/>
  <c r="M25"/>
  <c r="O25"/>
  <c r="Q25"/>
  <c r="S25"/>
  <c r="U25"/>
  <c r="W25"/>
  <c r="Y25"/>
  <c r="G25"/>
  <c r="H25"/>
  <c r="J25"/>
  <c r="L25"/>
  <c r="N25"/>
  <c r="P25"/>
  <c r="R25"/>
  <c r="T25"/>
  <c r="V25"/>
  <c r="X25"/>
  <c r="AA30"/>
  <c r="BE30" s="1"/>
  <c r="F24"/>
  <c r="AE24" s="1"/>
  <c r="AB30"/>
  <c r="BF30" s="1"/>
  <c r="F23"/>
  <c r="AE23" s="1"/>
  <c r="AA24"/>
  <c r="U6" i="16"/>
  <c r="U5"/>
  <c r="I5"/>
  <c r="I6"/>
  <c r="J5"/>
  <c r="E5"/>
  <c r="I56" i="5"/>
  <c r="M55"/>
  <c r="U65"/>
  <c r="W65" s="1"/>
  <c r="U64"/>
  <c r="I63"/>
  <c r="K63" s="1"/>
  <c r="I62"/>
  <c r="A25" i="17"/>
  <c r="I32" i="35"/>
  <c r="I26"/>
  <c r="I25"/>
  <c r="I11"/>
  <c r="I10"/>
  <c r="A20"/>
  <c r="W24" s="1"/>
  <c r="W14"/>
  <c r="A5"/>
  <c r="M56" i="5"/>
  <c r="A52" i="35"/>
  <c r="W56" s="1"/>
  <c r="A47"/>
  <c r="W51" s="1"/>
  <c r="A42"/>
  <c r="W46" s="1"/>
  <c r="A37"/>
  <c r="W41" s="1"/>
  <c r="W36"/>
  <c r="W31"/>
  <c r="W19"/>
  <c r="I50" i="5"/>
  <c r="W49"/>
  <c r="I40"/>
  <c r="U36"/>
  <c r="U35"/>
  <c r="Q36"/>
  <c r="I35"/>
  <c r="I30"/>
  <c r="U26"/>
  <c r="I25"/>
  <c r="U23"/>
  <c r="U22"/>
  <c r="U13"/>
  <c r="U12"/>
  <c r="I21"/>
  <c r="I11"/>
  <c r="I20"/>
  <c r="I10"/>
  <c r="I5"/>
  <c r="I6"/>
  <c r="U8"/>
  <c r="U7"/>
  <c r="U21"/>
  <c r="U20"/>
  <c r="U16"/>
  <c r="I15"/>
  <c r="U5"/>
  <c r="I15" i="4"/>
  <c r="V55" i="5"/>
  <c r="U55"/>
  <c r="W55" s="1"/>
  <c r="I55"/>
  <c r="A50"/>
  <c r="A55"/>
  <c r="G55" s="1"/>
  <c r="A40"/>
  <c r="S44" s="1"/>
  <c r="A35"/>
  <c r="W39" s="1"/>
  <c r="A25"/>
  <c r="W29" s="1"/>
  <c r="S21"/>
  <c r="A15"/>
  <c r="S19" s="1"/>
  <c r="G10"/>
  <c r="C32" i="3"/>
  <c r="S9" i="5"/>
  <c r="W54"/>
  <c r="O54"/>
  <c r="G54"/>
  <c r="S53"/>
  <c r="K53"/>
  <c r="W52"/>
  <c r="O52"/>
  <c r="S51"/>
  <c r="K51"/>
  <c r="W50"/>
  <c r="O50"/>
  <c r="S61"/>
  <c r="K61"/>
  <c r="W60"/>
  <c r="O60"/>
  <c r="G60"/>
  <c r="S59"/>
  <c r="K59"/>
  <c r="W56"/>
  <c r="O56"/>
  <c r="S55"/>
  <c r="K55"/>
  <c r="A2"/>
  <c r="C33" i="3"/>
  <c r="W66" i="5"/>
  <c r="O66"/>
  <c r="G66"/>
  <c r="O65"/>
  <c r="S64"/>
  <c r="K64"/>
  <c r="W63"/>
  <c r="O63"/>
  <c r="S62"/>
  <c r="K62"/>
  <c r="S66"/>
  <c r="K66"/>
  <c r="S65"/>
  <c r="K65"/>
  <c r="W64"/>
  <c r="O64"/>
  <c r="S63"/>
  <c r="W62"/>
  <c r="O62"/>
  <c r="O55"/>
  <c r="K56"/>
  <c r="S56"/>
  <c r="G59"/>
  <c r="O59"/>
  <c r="W59"/>
  <c r="K60"/>
  <c r="S60"/>
  <c r="G61"/>
  <c r="O61"/>
  <c r="W61"/>
  <c r="S50"/>
  <c r="O51"/>
  <c r="W51"/>
  <c r="K52"/>
  <c r="S52"/>
  <c r="O53"/>
  <c r="W53"/>
  <c r="K54"/>
  <c r="S54"/>
  <c r="S34"/>
  <c r="S24"/>
  <c r="W14"/>
  <c r="A6" i="26"/>
  <c r="I6"/>
  <c r="K6"/>
  <c r="A8"/>
  <c r="A9"/>
  <c r="A10"/>
  <c r="A11"/>
  <c r="A12"/>
  <c r="C12" s="1"/>
  <c r="A13"/>
  <c r="A14"/>
  <c r="I37"/>
  <c r="I39" s="1"/>
  <c r="I40" s="1"/>
  <c r="K37"/>
  <c r="K39" s="1"/>
  <c r="K40" s="1"/>
  <c r="A38"/>
  <c r="B38" s="1"/>
  <c r="J38"/>
  <c r="G38" s="1"/>
  <c r="G37" s="1"/>
  <c r="A5" i="21"/>
  <c r="A26" s="1"/>
  <c r="A6"/>
  <c r="A27" s="1"/>
  <c r="D7"/>
  <c r="A9"/>
  <c r="A30" s="1"/>
  <c r="E12"/>
  <c r="D15"/>
  <c r="A6" i="19"/>
  <c r="A7"/>
  <c r="A8"/>
  <c r="A9"/>
  <c r="A10"/>
  <c r="A11"/>
  <c r="A12"/>
  <c r="A13"/>
  <c r="A14"/>
  <c r="A15"/>
  <c r="A16"/>
  <c r="A41"/>
  <c r="C5" i="21"/>
  <c r="A42" i="19"/>
  <c r="C6" i="21"/>
  <c r="W43" i="19"/>
  <c r="A6" i="18"/>
  <c r="B6"/>
  <c r="A7"/>
  <c r="A7" i="26" s="1"/>
  <c r="B7" s="1"/>
  <c r="D7" i="18"/>
  <c r="A8"/>
  <c r="A9"/>
  <c r="A10"/>
  <c r="A11"/>
  <c r="AA11" s="1"/>
  <c r="BE11" s="1"/>
  <c r="A12"/>
  <c r="AA12" s="1"/>
  <c r="BE12" s="1"/>
  <c r="A13"/>
  <c r="A14"/>
  <c r="A15"/>
  <c r="AA15" s="1"/>
  <c r="BE15" s="1"/>
  <c r="A16"/>
  <c r="AA16" s="1"/>
  <c r="BE16" s="1"/>
  <c r="N21"/>
  <c r="F22"/>
  <c r="AE22" s="1"/>
  <c r="V22"/>
  <c r="E22"/>
  <c r="AD22" s="1"/>
  <c r="F29"/>
  <c r="AE29" s="1"/>
  <c r="F30"/>
  <c r="AE30" s="1"/>
  <c r="E30"/>
  <c r="AD30" s="1"/>
  <c r="A40"/>
  <c r="A41"/>
  <c r="F41" s="1"/>
  <c r="AE41" s="1"/>
  <c r="A42"/>
  <c r="E42" s="1"/>
  <c r="AD42" s="1"/>
  <c r="A5" i="17"/>
  <c r="A23" s="1"/>
  <c r="A24"/>
  <c r="A11"/>
  <c r="A29" s="1"/>
  <c r="A12"/>
  <c r="A30" s="1"/>
  <c r="H19"/>
  <c r="A20"/>
  <c r="A2" i="16"/>
  <c r="A5"/>
  <c r="O5" s="1"/>
  <c r="A16"/>
  <c r="O16" s="1"/>
  <c r="A5" i="4"/>
  <c r="I5"/>
  <c r="A10"/>
  <c r="A15"/>
  <c r="S15" s="1"/>
  <c r="A20"/>
  <c r="G20" s="1"/>
  <c r="U23"/>
  <c r="A25"/>
  <c r="G25" s="1"/>
  <c r="A30"/>
  <c r="G30" s="1"/>
  <c r="A35"/>
  <c r="G35" s="1"/>
  <c r="A40"/>
  <c r="G40" s="1"/>
  <c r="G45"/>
  <c r="C7" i="3"/>
  <c r="C8"/>
  <c r="C9"/>
  <c r="C10"/>
  <c r="C11"/>
  <c r="C12"/>
  <c r="C13"/>
  <c r="C14"/>
  <c r="C15"/>
  <c r="C16"/>
  <c r="C22"/>
  <c r="C23"/>
  <c r="C24"/>
  <c r="C25"/>
  <c r="C26"/>
  <c r="C38"/>
  <c r="C53"/>
  <c r="C54"/>
  <c r="K33" i="4"/>
  <c r="X24" i="18"/>
  <c r="V24"/>
  <c r="T24"/>
  <c r="P24"/>
  <c r="N24"/>
  <c r="L24"/>
  <c r="H24"/>
  <c r="W21"/>
  <c r="G28" i="4"/>
  <c r="G48"/>
  <c r="W28"/>
  <c r="S25"/>
  <c r="S49"/>
  <c r="O46"/>
  <c r="O28"/>
  <c r="W26"/>
  <c r="K25"/>
  <c r="K6"/>
  <c r="N22" i="18"/>
  <c r="W48" i="4"/>
  <c r="K47"/>
  <c r="S45"/>
  <c r="K22"/>
  <c r="W13"/>
  <c r="O7"/>
  <c r="S21" i="18"/>
  <c r="W32" i="4"/>
  <c r="W33"/>
  <c r="O29"/>
  <c r="S28"/>
  <c r="W27"/>
  <c r="G27"/>
  <c r="K26"/>
  <c r="O25"/>
  <c r="G24"/>
  <c r="S22"/>
  <c r="G21"/>
  <c r="G13" i="16"/>
  <c r="G42" i="4"/>
  <c r="K49"/>
  <c r="O48"/>
  <c r="S47"/>
  <c r="W46"/>
  <c r="G46"/>
  <c r="K45"/>
  <c r="G38"/>
  <c r="O8"/>
  <c r="W6"/>
  <c r="K5"/>
  <c r="J22" i="18"/>
  <c r="G45" i="5"/>
  <c r="K38"/>
  <c r="W49" i="4"/>
  <c r="O49"/>
  <c r="G49"/>
  <c r="S48"/>
  <c r="K48"/>
  <c r="W47"/>
  <c r="O47"/>
  <c r="G47"/>
  <c r="S46"/>
  <c r="K46"/>
  <c r="W45"/>
  <c r="O45"/>
  <c r="O36"/>
  <c r="S12"/>
  <c r="W13" i="16"/>
  <c r="O7"/>
  <c r="M23" i="18"/>
  <c r="G5" i="5"/>
  <c r="W6"/>
  <c r="W9"/>
  <c r="S11"/>
  <c r="G20"/>
  <c r="K23"/>
  <c r="O27"/>
  <c r="O37"/>
  <c r="W45"/>
  <c r="K49"/>
  <c r="G6"/>
  <c r="G9"/>
  <c r="O12"/>
  <c r="W20"/>
  <c r="W24"/>
  <c r="K37" i="4"/>
  <c r="S24"/>
  <c r="W23"/>
  <c r="K23"/>
  <c r="O22"/>
  <c r="S21"/>
  <c r="W20"/>
  <c r="O14"/>
  <c r="W12"/>
  <c r="K11"/>
  <c r="O13" i="16"/>
  <c r="K10"/>
  <c r="G7"/>
  <c r="I23" i="18"/>
  <c r="C7" i="26"/>
  <c r="O6" i="5"/>
  <c r="G8"/>
  <c r="O9"/>
  <c r="K11"/>
  <c r="W12"/>
  <c r="S14"/>
  <c r="K21"/>
  <c r="W22"/>
  <c r="W23"/>
  <c r="K26"/>
  <c r="W27"/>
  <c r="S29"/>
  <c r="O35"/>
  <c r="G37"/>
  <c r="S38"/>
  <c r="O45"/>
  <c r="G47"/>
  <c r="S48"/>
  <c r="S24" i="18"/>
  <c r="H23"/>
  <c r="X22"/>
  <c r="G22"/>
  <c r="J24"/>
  <c r="R24"/>
  <c r="G30"/>
  <c r="W24"/>
  <c r="U24"/>
  <c r="Q24"/>
  <c r="O24"/>
  <c r="M24"/>
  <c r="I24"/>
  <c r="G24"/>
  <c r="E24"/>
  <c r="AD24" s="1"/>
  <c r="S22"/>
  <c r="K22"/>
  <c r="H22"/>
  <c r="K15" i="5"/>
  <c r="G16"/>
  <c r="K17"/>
  <c r="G18"/>
  <c r="W18"/>
  <c r="O19"/>
  <c r="K30"/>
  <c r="S30"/>
  <c r="G31"/>
  <c r="O31"/>
  <c r="W31"/>
  <c r="K32"/>
  <c r="S32"/>
  <c r="G33"/>
  <c r="O33"/>
  <c r="W33"/>
  <c r="G34"/>
  <c r="O34"/>
  <c r="W34"/>
  <c r="S40"/>
  <c r="O41"/>
  <c r="K42"/>
  <c r="G43"/>
  <c r="W43"/>
  <c r="O44"/>
  <c r="O5"/>
  <c r="K6"/>
  <c r="G7"/>
  <c r="W7"/>
  <c r="S8"/>
  <c r="K10"/>
  <c r="G11"/>
  <c r="W11"/>
  <c r="S12"/>
  <c r="O13"/>
  <c r="G14"/>
  <c r="O15"/>
  <c r="K16"/>
  <c r="G17"/>
  <c r="W17"/>
  <c r="S18"/>
  <c r="S20"/>
  <c r="O21"/>
  <c r="K22"/>
  <c r="G23"/>
  <c r="K24"/>
  <c r="S25"/>
  <c r="O26"/>
  <c r="S27"/>
  <c r="O28"/>
  <c r="G29"/>
  <c r="G30"/>
  <c r="O30"/>
  <c r="W30"/>
  <c r="K31"/>
  <c r="S31"/>
  <c r="G32"/>
  <c r="O32"/>
  <c r="W32"/>
  <c r="K33"/>
  <c r="S33"/>
  <c r="K34"/>
  <c r="K35"/>
  <c r="G36"/>
  <c r="W36"/>
  <c r="S37"/>
  <c r="O38"/>
  <c r="G39"/>
  <c r="O40"/>
  <c r="K41"/>
  <c r="G42"/>
  <c r="W42"/>
  <c r="S43"/>
  <c r="S45"/>
  <c r="O46"/>
  <c r="K47"/>
  <c r="G48"/>
  <c r="W48"/>
  <c r="O49"/>
  <c r="G16" i="16"/>
  <c r="S17"/>
  <c r="G19"/>
  <c r="S20"/>
  <c r="K22"/>
  <c r="W23"/>
  <c r="O25"/>
  <c r="K5"/>
  <c r="G6"/>
  <c r="W6"/>
  <c r="S7"/>
  <c r="O8"/>
  <c r="K9"/>
  <c r="G10"/>
  <c r="W10"/>
  <c r="S11"/>
  <c r="O12"/>
  <c r="K13"/>
  <c r="G14"/>
  <c r="W14"/>
  <c r="O38" i="4"/>
  <c r="W36"/>
  <c r="K35"/>
  <c r="G18"/>
  <c r="K42" i="18"/>
  <c r="AK42" s="1"/>
  <c r="C11" i="26"/>
  <c r="V23" i="18"/>
  <c r="N23"/>
  <c r="W39" i="4"/>
  <c r="G39"/>
  <c r="K38"/>
  <c r="O37"/>
  <c r="S36"/>
  <c r="W35"/>
  <c r="J37" i="26" l="1"/>
  <c r="S36" i="19"/>
  <c r="Q36" s="1"/>
  <c r="P36"/>
  <c r="N36" s="1"/>
  <c r="K21" i="16"/>
  <c r="O15" i="4"/>
  <c r="G31"/>
  <c r="K18"/>
  <c r="K32"/>
  <c r="K17"/>
  <c r="K15"/>
  <c r="S69"/>
  <c r="K69"/>
  <c r="W68"/>
  <c r="O68"/>
  <c r="G68"/>
  <c r="S67"/>
  <c r="K67"/>
  <c r="W66"/>
  <c r="O66"/>
  <c r="G66"/>
  <c r="S65"/>
  <c r="K65"/>
  <c r="A69" s="1"/>
  <c r="W69"/>
  <c r="O69"/>
  <c r="G69"/>
  <c r="S68"/>
  <c r="K68"/>
  <c r="W67"/>
  <c r="O67"/>
  <c r="G67"/>
  <c r="S66"/>
  <c r="K66"/>
  <c r="W65"/>
  <c r="O65"/>
  <c r="G65"/>
  <c r="C20" i="3"/>
  <c r="G10" i="4"/>
  <c r="S64"/>
  <c r="K64"/>
  <c r="W63"/>
  <c r="O63"/>
  <c r="G63"/>
  <c r="S62"/>
  <c r="K62"/>
  <c r="O61"/>
  <c r="G61"/>
  <c r="S60"/>
  <c r="K60"/>
  <c r="G60"/>
  <c r="W64"/>
  <c r="O64"/>
  <c r="G64"/>
  <c r="S63"/>
  <c r="K63"/>
  <c r="W62"/>
  <c r="O62"/>
  <c r="G62"/>
  <c r="S61"/>
  <c r="K61"/>
  <c r="W60"/>
  <c r="O60"/>
  <c r="W61"/>
  <c r="G5"/>
  <c r="W59"/>
  <c r="O59"/>
  <c r="G59"/>
  <c r="S58"/>
  <c r="K58"/>
  <c r="W57"/>
  <c r="O57"/>
  <c r="G57"/>
  <c r="S56"/>
  <c r="K56"/>
  <c r="W55"/>
  <c r="O55"/>
  <c r="S59"/>
  <c r="K59"/>
  <c r="W58"/>
  <c r="O58"/>
  <c r="G58"/>
  <c r="S57"/>
  <c r="K57"/>
  <c r="O56"/>
  <c r="G56"/>
  <c r="S55"/>
  <c r="K55"/>
  <c r="G55"/>
  <c r="W56"/>
  <c r="W41"/>
  <c r="C6" i="3"/>
  <c r="O35" i="4"/>
  <c r="K36"/>
  <c r="G37"/>
  <c r="W37"/>
  <c r="S38"/>
  <c r="O39"/>
  <c r="G36"/>
  <c r="S37"/>
  <c r="K39"/>
  <c r="O14" i="16"/>
  <c r="S13"/>
  <c r="W12"/>
  <c r="G12"/>
  <c r="K11"/>
  <c r="O10"/>
  <c r="S9"/>
  <c r="W8"/>
  <c r="G8"/>
  <c r="K7"/>
  <c r="S6"/>
  <c r="S5"/>
  <c r="G5"/>
  <c r="S8"/>
  <c r="W11"/>
  <c r="O10" i="4"/>
  <c r="G12"/>
  <c r="S13"/>
  <c r="O20"/>
  <c r="K21"/>
  <c r="G22"/>
  <c r="W22"/>
  <c r="S23"/>
  <c r="K24"/>
  <c r="S35"/>
  <c r="W38"/>
  <c r="S10" i="16"/>
  <c r="G11" i="4"/>
  <c r="K14"/>
  <c r="S39"/>
  <c r="G6"/>
  <c r="S7"/>
  <c r="K9"/>
  <c r="O6" i="16"/>
  <c r="K20" i="4"/>
  <c r="W21"/>
  <c r="O23"/>
  <c r="W24"/>
  <c r="W25"/>
  <c r="S26"/>
  <c r="O27"/>
  <c r="K28"/>
  <c r="G29"/>
  <c r="W29"/>
  <c r="S14" i="16"/>
  <c r="S10" i="4"/>
  <c r="S20"/>
  <c r="O11" i="16"/>
  <c r="O11" i="4"/>
  <c r="G26"/>
  <c r="S27"/>
  <c r="K29"/>
  <c r="G13"/>
  <c r="K27"/>
  <c r="O26"/>
  <c r="O24"/>
  <c r="A34" i="5"/>
  <c r="A91"/>
  <c r="AH39" i="18"/>
  <c r="O19" i="4"/>
  <c r="S24" i="16"/>
  <c r="G23"/>
  <c r="O21"/>
  <c r="W19"/>
  <c r="K18"/>
  <c r="S16"/>
  <c r="W44" i="4"/>
  <c r="S26" i="5"/>
  <c r="K28"/>
  <c r="G18" i="16"/>
  <c r="O24"/>
  <c r="O44" i="4"/>
  <c r="S18"/>
  <c r="K42"/>
  <c r="S34"/>
  <c r="K31"/>
  <c r="S21" i="16"/>
  <c r="G34" i="4"/>
  <c r="W20" i="16"/>
  <c r="O22"/>
  <c r="O33" i="4"/>
  <c r="K19"/>
  <c r="S31"/>
  <c r="W40"/>
  <c r="W18"/>
  <c r="W25" i="16"/>
  <c r="G25"/>
  <c r="K24"/>
  <c r="O23"/>
  <c r="S22"/>
  <c r="W21"/>
  <c r="G21"/>
  <c r="K20"/>
  <c r="O19"/>
  <c r="S18"/>
  <c r="W17"/>
  <c r="G17"/>
  <c r="K16"/>
  <c r="K44" i="5"/>
  <c r="K43"/>
  <c r="O42"/>
  <c r="S41"/>
  <c r="W40"/>
  <c r="G40"/>
  <c r="O29"/>
  <c r="W28"/>
  <c r="G28"/>
  <c r="K27"/>
  <c r="G26"/>
  <c r="K25"/>
  <c r="K19"/>
  <c r="K18"/>
  <c r="O17"/>
  <c r="S16"/>
  <c r="W15"/>
  <c r="G15"/>
  <c r="W44"/>
  <c r="G44"/>
  <c r="O43"/>
  <c r="S42"/>
  <c r="W41"/>
  <c r="G41"/>
  <c r="K40"/>
  <c r="W19"/>
  <c r="G19"/>
  <c r="O18"/>
  <c r="S17"/>
  <c r="O16"/>
  <c r="S15"/>
  <c r="S28"/>
  <c r="G27"/>
  <c r="O25"/>
  <c r="V41" i="18"/>
  <c r="K29" i="5"/>
  <c r="W25"/>
  <c r="S17" i="4"/>
  <c r="O43"/>
  <c r="K40"/>
  <c r="G25" i="5"/>
  <c r="S41" i="18"/>
  <c r="S19" i="16"/>
  <c r="W22"/>
  <c r="O18" i="4"/>
  <c r="O41"/>
  <c r="S43"/>
  <c r="O40"/>
  <c r="G17"/>
  <c r="I41" i="18"/>
  <c r="G33" i="4"/>
  <c r="O34"/>
  <c r="W31"/>
  <c r="K30"/>
  <c r="K43"/>
  <c r="S33"/>
  <c r="G32"/>
  <c r="O30"/>
  <c r="G15"/>
  <c r="G16"/>
  <c r="O18" i="16"/>
  <c r="W24"/>
  <c r="S32" i="4"/>
  <c r="K19" i="16"/>
  <c r="W34" i="4"/>
  <c r="S30"/>
  <c r="O16"/>
  <c r="W30"/>
  <c r="O32"/>
  <c r="K34"/>
  <c r="K44"/>
  <c r="O31"/>
  <c r="X7" i="18"/>
  <c r="BA7" s="1"/>
  <c r="S29" i="4"/>
  <c r="AR39" i="18"/>
  <c r="K6" i="16"/>
  <c r="W7"/>
  <c r="O9"/>
  <c r="G11"/>
  <c r="S12"/>
  <c r="S15" s="1"/>
  <c r="K14"/>
  <c r="W10" i="4"/>
  <c r="S11"/>
  <c r="O12"/>
  <c r="K13"/>
  <c r="G14"/>
  <c r="W5" i="16"/>
  <c r="G9"/>
  <c r="K12"/>
  <c r="K10" i="4"/>
  <c r="W11"/>
  <c r="O13"/>
  <c r="W14"/>
  <c r="G19"/>
  <c r="S42"/>
  <c r="G44"/>
  <c r="G41"/>
  <c r="K17" i="16"/>
  <c r="W18"/>
  <c r="O20"/>
  <c r="G22"/>
  <c r="S23"/>
  <c r="K25"/>
  <c r="S5" i="4"/>
  <c r="O6"/>
  <c r="K7"/>
  <c r="G8"/>
  <c r="W8"/>
  <c r="S9"/>
  <c r="G43"/>
  <c r="S44"/>
  <c r="W42"/>
  <c r="K41"/>
  <c r="S19"/>
  <c r="W17"/>
  <c r="K16"/>
  <c r="W9" i="16"/>
  <c r="W19" i="4"/>
  <c r="S40"/>
  <c r="S41"/>
  <c r="S16"/>
  <c r="R42" i="18"/>
  <c r="W16" i="4"/>
  <c r="K8" i="16"/>
  <c r="W16"/>
  <c r="G20"/>
  <c r="K23"/>
  <c r="W5" i="4"/>
  <c r="G9"/>
  <c r="K12"/>
  <c r="W43"/>
  <c r="O17" i="16"/>
  <c r="G24"/>
  <c r="O9" i="4"/>
  <c r="S14"/>
  <c r="S25" i="16"/>
  <c r="W15" i="4"/>
  <c r="O17"/>
  <c r="A19" s="1"/>
  <c r="O42"/>
  <c r="A49"/>
  <c r="O21"/>
  <c r="G23"/>
  <c r="S6"/>
  <c r="K8"/>
  <c r="W9"/>
  <c r="W7"/>
  <c r="G7"/>
  <c r="S8"/>
  <c r="O5"/>
  <c r="A39"/>
  <c r="B14" i="26"/>
  <c r="D14"/>
  <c r="B13"/>
  <c r="D13"/>
  <c r="B12"/>
  <c r="D12"/>
  <c r="B11"/>
  <c r="D11"/>
  <c r="B10"/>
  <c r="D10"/>
  <c r="B9"/>
  <c r="D9"/>
  <c r="B8"/>
  <c r="D8"/>
  <c r="K50" i="5"/>
  <c r="G65"/>
  <c r="G64"/>
  <c r="G63"/>
  <c r="G62"/>
  <c r="A66" s="1"/>
  <c r="G58"/>
  <c r="G57"/>
  <c r="G56"/>
  <c r="G53"/>
  <c r="G52"/>
  <c r="G51"/>
  <c r="G50"/>
  <c r="BC34" i="18"/>
  <c r="Y33"/>
  <c r="BA34"/>
  <c r="X33"/>
  <c r="AZ34"/>
  <c r="W33"/>
  <c r="AY34"/>
  <c r="V33"/>
  <c r="AX34"/>
  <c r="U33"/>
  <c r="AV34"/>
  <c r="T33"/>
  <c r="AU34"/>
  <c r="S33"/>
  <c r="AT34"/>
  <c r="R33"/>
  <c r="AS34"/>
  <c r="Q33"/>
  <c r="AQ34"/>
  <c r="P33"/>
  <c r="AP34"/>
  <c r="O33"/>
  <c r="AO34"/>
  <c r="N33"/>
  <c r="AN34"/>
  <c r="M33"/>
  <c r="AL34"/>
  <c r="L33"/>
  <c r="AK34"/>
  <c r="K33"/>
  <c r="AJ34"/>
  <c r="J33"/>
  <c r="I33"/>
  <c r="AG34"/>
  <c r="H33"/>
  <c r="G33"/>
  <c r="BB36"/>
  <c r="E14" i="26"/>
  <c r="E13"/>
  <c r="E12"/>
  <c r="E11"/>
  <c r="E10"/>
  <c r="E9"/>
  <c r="E8"/>
  <c r="Z33" i="18"/>
  <c r="A81" i="5"/>
  <c r="A71"/>
  <c r="A76"/>
  <c r="A86"/>
  <c r="W16"/>
  <c r="W26"/>
  <c r="A29" s="1"/>
  <c r="A54"/>
  <c r="E38" i="3" s="1"/>
  <c r="AC30" i="18" s="1"/>
  <c r="G49" i="5"/>
  <c r="O48"/>
  <c r="S47"/>
  <c r="W46"/>
  <c r="G46"/>
  <c r="K45"/>
  <c r="O39"/>
  <c r="W38"/>
  <c r="G38"/>
  <c r="K37"/>
  <c r="O36"/>
  <c r="S35"/>
  <c r="O23"/>
  <c r="S22"/>
  <c r="W21"/>
  <c r="G21"/>
  <c r="K20"/>
  <c r="O14"/>
  <c r="W13"/>
  <c r="G13"/>
  <c r="K12"/>
  <c r="O11"/>
  <c r="S10"/>
  <c r="K9"/>
  <c r="K8"/>
  <c r="O7"/>
  <c r="S6"/>
  <c r="W5"/>
  <c r="S49"/>
  <c r="W47"/>
  <c r="K46"/>
  <c r="S39"/>
  <c r="W37"/>
  <c r="K36"/>
  <c r="O24"/>
  <c r="S23"/>
  <c r="G22"/>
  <c r="O20"/>
  <c r="S13"/>
  <c r="G12"/>
  <c r="O10"/>
  <c r="W8"/>
  <c r="K7"/>
  <c r="S5"/>
  <c r="O22"/>
  <c r="K14"/>
  <c r="W10"/>
  <c r="S7"/>
  <c r="O47"/>
  <c r="K39"/>
  <c r="W35"/>
  <c r="G24"/>
  <c r="K13"/>
  <c r="O8"/>
  <c r="K5"/>
  <c r="S46"/>
  <c r="G35"/>
  <c r="K48"/>
  <c r="S36"/>
  <c r="E31" i="3"/>
  <c r="C8" i="26"/>
  <c r="C38"/>
  <c r="C9"/>
  <c r="C10"/>
  <c r="D38"/>
  <c r="R4" i="19"/>
  <c r="G21" i="18"/>
  <c r="P7"/>
  <c r="AQ7" s="1"/>
  <c r="U21"/>
  <c r="E7" i="26"/>
  <c r="O22" i="18"/>
  <c r="W22"/>
  <c r="P22"/>
  <c r="M41"/>
  <c r="U41"/>
  <c r="AA10"/>
  <c r="BE10" s="1"/>
  <c r="AA9"/>
  <c r="BE9" s="1"/>
  <c r="AA8"/>
  <c r="BE8" s="1"/>
  <c r="AA7"/>
  <c r="BE7" s="1"/>
  <c r="C4" i="21"/>
  <c r="R7" i="18"/>
  <c r="AT7" s="1"/>
  <c r="D40"/>
  <c r="D20"/>
  <c r="C20" s="1"/>
  <c r="N41"/>
  <c r="K41"/>
  <c r="J41"/>
  <c r="R41"/>
  <c r="G41"/>
  <c r="O41"/>
  <c r="U42"/>
  <c r="O42"/>
  <c r="AP42" s="1"/>
  <c r="Q7"/>
  <c r="AS7" s="1"/>
  <c r="S7"/>
  <c r="AU7" s="1"/>
  <c r="J42"/>
  <c r="AJ42" s="1"/>
  <c r="J7"/>
  <c r="T42"/>
  <c r="H7"/>
  <c r="T7"/>
  <c r="AV7" s="1"/>
  <c r="E8"/>
  <c r="G8"/>
  <c r="AF8" s="1"/>
  <c r="I8"/>
  <c r="AI8" s="1"/>
  <c r="K8"/>
  <c r="AK8" s="1"/>
  <c r="M8"/>
  <c r="AN8" s="1"/>
  <c r="O8"/>
  <c r="AP8" s="1"/>
  <c r="Q8"/>
  <c r="AS8" s="1"/>
  <c r="S8"/>
  <c r="AU8" s="1"/>
  <c r="U8"/>
  <c r="AX8" s="1"/>
  <c r="W8"/>
  <c r="AZ8" s="1"/>
  <c r="Y8"/>
  <c r="BC8" s="1"/>
  <c r="E9"/>
  <c r="AD9" s="1"/>
  <c r="G9"/>
  <c r="AF9" s="1"/>
  <c r="I9"/>
  <c r="AI9" s="1"/>
  <c r="K9"/>
  <c r="AK9" s="1"/>
  <c r="M9"/>
  <c r="AN9" s="1"/>
  <c r="O9"/>
  <c r="AP9" s="1"/>
  <c r="Q9"/>
  <c r="S9"/>
  <c r="U9"/>
  <c r="AX9" s="1"/>
  <c r="W9"/>
  <c r="AZ9" s="1"/>
  <c r="Y9"/>
  <c r="BC9" s="1"/>
  <c r="E10"/>
  <c r="AD10" s="1"/>
  <c r="G10"/>
  <c r="AF10" s="1"/>
  <c r="I10"/>
  <c r="AI10" s="1"/>
  <c r="K10"/>
  <c r="M10"/>
  <c r="O10"/>
  <c r="AP10" s="1"/>
  <c r="Q10"/>
  <c r="AS10" s="1"/>
  <c r="S10"/>
  <c r="AU10" s="1"/>
  <c r="U10"/>
  <c r="AX10" s="1"/>
  <c r="W10"/>
  <c r="AZ10" s="1"/>
  <c r="Y10"/>
  <c r="BC10" s="1"/>
  <c r="E11"/>
  <c r="AD11" s="1"/>
  <c r="G11"/>
  <c r="AF11" s="1"/>
  <c r="I11"/>
  <c r="AI11" s="1"/>
  <c r="K11"/>
  <c r="AK11" s="1"/>
  <c r="M11"/>
  <c r="AN11" s="1"/>
  <c r="O11"/>
  <c r="Q11"/>
  <c r="S11"/>
  <c r="U11"/>
  <c r="AX11" s="1"/>
  <c r="W11"/>
  <c r="AZ11" s="1"/>
  <c r="Y11"/>
  <c r="BC11" s="1"/>
  <c r="E12"/>
  <c r="G12"/>
  <c r="AF12" s="1"/>
  <c r="I12"/>
  <c r="K12"/>
  <c r="M12"/>
  <c r="AN12" s="1"/>
  <c r="O12"/>
  <c r="AP12" s="1"/>
  <c r="Q12"/>
  <c r="AS12" s="1"/>
  <c r="S12"/>
  <c r="AU12" s="1"/>
  <c r="U12"/>
  <c r="AX12" s="1"/>
  <c r="W12"/>
  <c r="AZ12" s="1"/>
  <c r="Y12"/>
  <c r="BC12" s="1"/>
  <c r="E13"/>
  <c r="AD13" s="1"/>
  <c r="G13"/>
  <c r="AF13" s="1"/>
  <c r="I13"/>
  <c r="AI13" s="1"/>
  <c r="K13"/>
  <c r="AK13" s="1"/>
  <c r="M13"/>
  <c r="O13"/>
  <c r="Q13"/>
  <c r="S13"/>
  <c r="U13"/>
  <c r="AX13" s="1"/>
  <c r="W13"/>
  <c r="AZ13" s="1"/>
  <c r="Y13"/>
  <c r="BC13" s="1"/>
  <c r="AA13"/>
  <c r="BE13" s="1"/>
  <c r="E14"/>
  <c r="G14"/>
  <c r="I14"/>
  <c r="K14"/>
  <c r="AK14" s="1"/>
  <c r="M14"/>
  <c r="AN14" s="1"/>
  <c r="O14"/>
  <c r="AP14" s="1"/>
  <c r="Q14"/>
  <c r="AS14" s="1"/>
  <c r="S14"/>
  <c r="AU14" s="1"/>
  <c r="U14"/>
  <c r="AX14" s="1"/>
  <c r="W14"/>
  <c r="AZ14" s="1"/>
  <c r="Y14"/>
  <c r="BC14" s="1"/>
  <c r="AA14"/>
  <c r="BE14" s="1"/>
  <c r="E15"/>
  <c r="AD15" s="1"/>
  <c r="G15"/>
  <c r="I15"/>
  <c r="K15"/>
  <c r="AK15" s="1"/>
  <c r="M15"/>
  <c r="AN15" s="1"/>
  <c r="O15"/>
  <c r="AP15" s="1"/>
  <c r="Q15"/>
  <c r="AS15" s="1"/>
  <c r="S15"/>
  <c r="AU15" s="1"/>
  <c r="U15"/>
  <c r="AX15" s="1"/>
  <c r="W15"/>
  <c r="AZ15" s="1"/>
  <c r="Y15"/>
  <c r="BC15" s="1"/>
  <c r="E16"/>
  <c r="G16"/>
  <c r="I16"/>
  <c r="AI16" s="1"/>
  <c r="K16"/>
  <c r="AK16" s="1"/>
  <c r="M16"/>
  <c r="AN16" s="1"/>
  <c r="O16"/>
  <c r="AP16" s="1"/>
  <c r="Q16"/>
  <c r="AS16" s="1"/>
  <c r="S16"/>
  <c r="AU16" s="1"/>
  <c r="U16"/>
  <c r="AX16" s="1"/>
  <c r="W16"/>
  <c r="AZ16" s="1"/>
  <c r="Y16"/>
  <c r="BC16" s="1"/>
  <c r="F8"/>
  <c r="AE8" s="1"/>
  <c r="H8"/>
  <c r="AG8" s="1"/>
  <c r="J8"/>
  <c r="L8"/>
  <c r="N8"/>
  <c r="AO8" s="1"/>
  <c r="P8"/>
  <c r="AQ8" s="1"/>
  <c r="R8"/>
  <c r="AT8" s="1"/>
  <c r="T8"/>
  <c r="AV8" s="1"/>
  <c r="V8"/>
  <c r="AY8" s="1"/>
  <c r="X8"/>
  <c r="BA8" s="1"/>
  <c r="Z8"/>
  <c r="BD8" s="1"/>
  <c r="AB8"/>
  <c r="BF8" s="1"/>
  <c r="F9"/>
  <c r="AE9" s="1"/>
  <c r="H9"/>
  <c r="AG9" s="1"/>
  <c r="J9"/>
  <c r="AJ9" s="1"/>
  <c r="L9"/>
  <c r="AL9" s="1"/>
  <c r="N9"/>
  <c r="AO9" s="1"/>
  <c r="P9"/>
  <c r="AQ9" s="1"/>
  <c r="R9"/>
  <c r="AT9" s="1"/>
  <c r="T9"/>
  <c r="AV9" s="1"/>
  <c r="V9"/>
  <c r="AY9" s="1"/>
  <c r="X9"/>
  <c r="BA9" s="1"/>
  <c r="Z9"/>
  <c r="BD9" s="1"/>
  <c r="AB9"/>
  <c r="BF9" s="1"/>
  <c r="F10"/>
  <c r="AE10" s="1"/>
  <c r="H10"/>
  <c r="AG10" s="1"/>
  <c r="J10"/>
  <c r="AJ10" s="1"/>
  <c r="L10"/>
  <c r="AL10" s="1"/>
  <c r="N10"/>
  <c r="AO10" s="1"/>
  <c r="P10"/>
  <c r="AQ10" s="1"/>
  <c r="R10"/>
  <c r="AT10" s="1"/>
  <c r="T10"/>
  <c r="AV10" s="1"/>
  <c r="V10"/>
  <c r="AY10" s="1"/>
  <c r="X10"/>
  <c r="BA10" s="1"/>
  <c r="Z10"/>
  <c r="BD10" s="1"/>
  <c r="AB10"/>
  <c r="BF10" s="1"/>
  <c r="F11"/>
  <c r="AE11" s="1"/>
  <c r="H11"/>
  <c r="AG11" s="1"/>
  <c r="J11"/>
  <c r="AJ11" s="1"/>
  <c r="L11"/>
  <c r="AL11" s="1"/>
  <c r="N11"/>
  <c r="AO11" s="1"/>
  <c r="P11"/>
  <c r="R11"/>
  <c r="T11"/>
  <c r="V11"/>
  <c r="AY11" s="1"/>
  <c r="X11"/>
  <c r="BA11" s="1"/>
  <c r="Z11"/>
  <c r="BD11" s="1"/>
  <c r="AB11"/>
  <c r="BF11" s="1"/>
  <c r="F12"/>
  <c r="AE12" s="1"/>
  <c r="H12"/>
  <c r="AG12" s="1"/>
  <c r="J12"/>
  <c r="AJ12" s="1"/>
  <c r="L12"/>
  <c r="AL12" s="1"/>
  <c r="N12"/>
  <c r="AO12" s="1"/>
  <c r="P12"/>
  <c r="AQ12" s="1"/>
  <c r="R12"/>
  <c r="AT12" s="1"/>
  <c r="T12"/>
  <c r="AV12" s="1"/>
  <c r="V12"/>
  <c r="AY12" s="1"/>
  <c r="X12"/>
  <c r="BA12" s="1"/>
  <c r="Z12"/>
  <c r="BD12" s="1"/>
  <c r="AB12"/>
  <c r="BF12" s="1"/>
  <c r="F13"/>
  <c r="AE13" s="1"/>
  <c r="H13"/>
  <c r="AG13" s="1"/>
  <c r="J13"/>
  <c r="AJ13" s="1"/>
  <c r="L13"/>
  <c r="AL13" s="1"/>
  <c r="N13"/>
  <c r="P13"/>
  <c r="R13"/>
  <c r="T13"/>
  <c r="V13"/>
  <c r="AY13" s="1"/>
  <c r="X13"/>
  <c r="BA13" s="1"/>
  <c r="Z13"/>
  <c r="BD13" s="1"/>
  <c r="AB13"/>
  <c r="BF13" s="1"/>
  <c r="F14"/>
  <c r="AE14" s="1"/>
  <c r="H14"/>
  <c r="AG14" s="1"/>
  <c r="J14"/>
  <c r="AJ14" s="1"/>
  <c r="L14"/>
  <c r="AL14" s="1"/>
  <c r="N14"/>
  <c r="AO14" s="1"/>
  <c r="P14"/>
  <c r="AQ14" s="1"/>
  <c r="R14"/>
  <c r="AT14" s="1"/>
  <c r="T14"/>
  <c r="AV14" s="1"/>
  <c r="V14"/>
  <c r="AY14" s="1"/>
  <c r="X14"/>
  <c r="BA14" s="1"/>
  <c r="Z14"/>
  <c r="BD14" s="1"/>
  <c r="AB14"/>
  <c r="BF14" s="1"/>
  <c r="F15"/>
  <c r="AE15" s="1"/>
  <c r="H15"/>
  <c r="AG15" s="1"/>
  <c r="J15"/>
  <c r="AJ15" s="1"/>
  <c r="L15"/>
  <c r="AL15" s="1"/>
  <c r="N15"/>
  <c r="AO15" s="1"/>
  <c r="P15"/>
  <c r="AQ15" s="1"/>
  <c r="R15"/>
  <c r="AT15" s="1"/>
  <c r="T15"/>
  <c r="AV15" s="1"/>
  <c r="V15"/>
  <c r="AY15" s="1"/>
  <c r="X15"/>
  <c r="BA15" s="1"/>
  <c r="Z15"/>
  <c r="BD15" s="1"/>
  <c r="AB15"/>
  <c r="BF15" s="1"/>
  <c r="F16"/>
  <c r="AE16" s="1"/>
  <c r="H16"/>
  <c r="AG16" s="1"/>
  <c r="J16"/>
  <c r="AJ16" s="1"/>
  <c r="L16"/>
  <c r="AL16" s="1"/>
  <c r="N16"/>
  <c r="AO16" s="1"/>
  <c r="P16"/>
  <c r="AQ16" s="1"/>
  <c r="R16"/>
  <c r="AT16" s="1"/>
  <c r="T16"/>
  <c r="AV16" s="1"/>
  <c r="V16"/>
  <c r="AY16" s="1"/>
  <c r="X16"/>
  <c r="BA16" s="1"/>
  <c r="Z16"/>
  <c r="BD16" s="1"/>
  <c r="AB16"/>
  <c r="BF16" s="1"/>
  <c r="E21"/>
  <c r="AD21" s="1"/>
  <c r="P21"/>
  <c r="F21"/>
  <c r="AE21" s="1"/>
  <c r="AE20" s="1"/>
  <c r="K24"/>
  <c r="X42"/>
  <c r="V21"/>
  <c r="G7"/>
  <c r="Z7"/>
  <c r="BD7" s="1"/>
  <c r="AB7"/>
  <c r="BF7" s="1"/>
  <c r="Z21"/>
  <c r="AB21"/>
  <c r="BF21" s="1"/>
  <c r="Z22"/>
  <c r="AB22"/>
  <c r="BF22" s="1"/>
  <c r="Z23"/>
  <c r="AB23"/>
  <c r="BF23" s="1"/>
  <c r="Z24"/>
  <c r="AB24"/>
  <c r="BF24" s="1"/>
  <c r="AB29"/>
  <c r="BF29" s="1"/>
  <c r="Z41"/>
  <c r="BD41" s="1"/>
  <c r="AB41"/>
  <c r="Z42"/>
  <c r="AB42"/>
  <c r="BF42" s="1"/>
  <c r="Y7"/>
  <c r="BC7" s="1"/>
  <c r="Y21"/>
  <c r="AA21"/>
  <c r="Y22"/>
  <c r="AA22"/>
  <c r="Y23"/>
  <c r="AA23"/>
  <c r="Y24"/>
  <c r="AA29"/>
  <c r="BE29" s="1"/>
  <c r="Y41"/>
  <c r="AA41"/>
  <c r="Y42"/>
  <c r="AA42"/>
  <c r="BE42" s="1"/>
  <c r="O7"/>
  <c r="AP7" s="1"/>
  <c r="W7"/>
  <c r="AZ7" s="1"/>
  <c r="M21"/>
  <c r="J23"/>
  <c r="R23"/>
  <c r="G29"/>
  <c r="E38" i="26"/>
  <c r="Q42" i="18"/>
  <c r="F42"/>
  <c r="AE42" s="1"/>
  <c r="AE40" s="1"/>
  <c r="I42"/>
  <c r="AI42" s="1"/>
  <c r="W42"/>
  <c r="I22"/>
  <c r="M22"/>
  <c r="Q22"/>
  <c r="U22"/>
  <c r="L22"/>
  <c r="T22"/>
  <c r="P23"/>
  <c r="U23"/>
  <c r="E7"/>
  <c r="AD7" s="1"/>
  <c r="M7"/>
  <c r="AN7" s="1"/>
  <c r="U7"/>
  <c r="AX7" s="1"/>
  <c r="R22"/>
  <c r="M42"/>
  <c r="K7"/>
  <c r="S42"/>
  <c r="V42"/>
  <c r="N42"/>
  <c r="AO42" s="1"/>
  <c r="H21"/>
  <c r="X21"/>
  <c r="V7"/>
  <c r="AY7" s="1"/>
  <c r="N7"/>
  <c r="AO7" s="1"/>
  <c r="L42"/>
  <c r="AL42" s="1"/>
  <c r="P42"/>
  <c r="AQ42" s="1"/>
  <c r="L7"/>
  <c r="H42"/>
  <c r="AG42" s="1"/>
  <c r="D6"/>
  <c r="C6" s="1"/>
  <c r="I21"/>
  <c r="Q21"/>
  <c r="G23"/>
  <c r="L23"/>
  <c r="O23"/>
  <c r="T23"/>
  <c r="W23"/>
  <c r="K23"/>
  <c r="Q23"/>
  <c r="H41"/>
  <c r="L41"/>
  <c r="P41"/>
  <c r="T41"/>
  <c r="X41"/>
  <c r="X23"/>
  <c r="W41"/>
  <c r="S23"/>
  <c r="Q41"/>
  <c r="K21"/>
  <c r="L21"/>
  <c r="T21"/>
  <c r="R21"/>
  <c r="J21"/>
  <c r="O21"/>
  <c r="E23"/>
  <c r="AD23" s="1"/>
  <c r="AD12"/>
  <c r="E29"/>
  <c r="AD29" s="1"/>
  <c r="AD16"/>
  <c r="AD14"/>
  <c r="E41"/>
  <c r="AD41" s="1"/>
  <c r="AD40" s="1"/>
  <c r="F7"/>
  <c r="AE7" s="1"/>
  <c r="AE6" s="1"/>
  <c r="O57" i="5"/>
  <c r="O58"/>
  <c r="W70" i="4"/>
  <c r="F5" i="17" s="1"/>
  <c r="F23" s="1"/>
  <c r="O15" i="16"/>
  <c r="W26"/>
  <c r="F12" i="17" s="1"/>
  <c r="D22" i="21"/>
  <c r="G42" i="18"/>
  <c r="AF42" s="1"/>
  <c r="C14" i="26"/>
  <c r="C13"/>
  <c r="W9" i="35"/>
  <c r="S9"/>
  <c r="O9"/>
  <c r="K9"/>
  <c r="G9"/>
  <c r="W8"/>
  <c r="S8"/>
  <c r="O8"/>
  <c r="K8"/>
  <c r="G8"/>
  <c r="W7"/>
  <c r="S7"/>
  <c r="O7"/>
  <c r="K7"/>
  <c r="G7"/>
  <c r="G5"/>
  <c r="K5"/>
  <c r="O5"/>
  <c r="S5"/>
  <c r="W5"/>
  <c r="G6"/>
  <c r="K6"/>
  <c r="O6"/>
  <c r="S6"/>
  <c r="W6"/>
  <c r="G10"/>
  <c r="K10"/>
  <c r="O10"/>
  <c r="S10"/>
  <c r="W10"/>
  <c r="G11"/>
  <c r="K11"/>
  <c r="O11"/>
  <c r="S11"/>
  <c r="W11"/>
  <c r="G12"/>
  <c r="K12"/>
  <c r="O12"/>
  <c r="S12"/>
  <c r="W12"/>
  <c r="G13"/>
  <c r="K13"/>
  <c r="O13"/>
  <c r="S13"/>
  <c r="W13"/>
  <c r="G14"/>
  <c r="K14"/>
  <c r="O14"/>
  <c r="S14"/>
  <c r="G15"/>
  <c r="K15"/>
  <c r="O15"/>
  <c r="S15"/>
  <c r="W15"/>
  <c r="G16"/>
  <c r="K16"/>
  <c r="O16"/>
  <c r="S16"/>
  <c r="W16"/>
  <c r="G17"/>
  <c r="K17"/>
  <c r="O17"/>
  <c r="S17"/>
  <c r="W17"/>
  <c r="G18"/>
  <c r="K18"/>
  <c r="O18"/>
  <c r="S18"/>
  <c r="W18"/>
  <c r="G19"/>
  <c r="K19"/>
  <c r="O19"/>
  <c r="S19"/>
  <c r="G20"/>
  <c r="K20"/>
  <c r="O20"/>
  <c r="S20"/>
  <c r="W20"/>
  <c r="G21"/>
  <c r="K21"/>
  <c r="O21"/>
  <c r="S21"/>
  <c r="W21"/>
  <c r="G22"/>
  <c r="K22"/>
  <c r="O22"/>
  <c r="S22"/>
  <c r="W22"/>
  <c r="G23"/>
  <c r="K23"/>
  <c r="O23"/>
  <c r="S23"/>
  <c r="W23"/>
  <c r="G24"/>
  <c r="K24"/>
  <c r="O24"/>
  <c r="S24"/>
  <c r="G25"/>
  <c r="K25"/>
  <c r="O25"/>
  <c r="S25"/>
  <c r="W25"/>
  <c r="G26"/>
  <c r="K26"/>
  <c r="O26"/>
  <c r="S26"/>
  <c r="W26"/>
  <c r="G27"/>
  <c r="K27"/>
  <c r="O27"/>
  <c r="S27"/>
  <c r="W27"/>
  <c r="G28"/>
  <c r="K28"/>
  <c r="O28"/>
  <c r="S28"/>
  <c r="W28"/>
  <c r="G31"/>
  <c r="K31"/>
  <c r="O31"/>
  <c r="S31"/>
  <c r="G32"/>
  <c r="K32"/>
  <c r="O32"/>
  <c r="S32"/>
  <c r="W32"/>
  <c r="G33"/>
  <c r="K33"/>
  <c r="O33"/>
  <c r="S33"/>
  <c r="W33"/>
  <c r="G34"/>
  <c r="K34"/>
  <c r="O34"/>
  <c r="S34"/>
  <c r="W34"/>
  <c r="G35"/>
  <c r="K35"/>
  <c r="O35"/>
  <c r="S35"/>
  <c r="W35"/>
  <c r="G36"/>
  <c r="K36"/>
  <c r="O36"/>
  <c r="S36"/>
  <c r="G37"/>
  <c r="K37"/>
  <c r="O37"/>
  <c r="S37"/>
  <c r="W37"/>
  <c r="G38"/>
  <c r="K38"/>
  <c r="O38"/>
  <c r="S38"/>
  <c r="W38"/>
  <c r="G39"/>
  <c r="K39"/>
  <c r="O39"/>
  <c r="S39"/>
  <c r="W39"/>
  <c r="G40"/>
  <c r="K40"/>
  <c r="O40"/>
  <c r="S40"/>
  <c r="W40"/>
  <c r="G41"/>
  <c r="K41"/>
  <c r="O41"/>
  <c r="S41"/>
  <c r="G42"/>
  <c r="K42"/>
  <c r="O42"/>
  <c r="S42"/>
  <c r="W42"/>
  <c r="G43"/>
  <c r="K43"/>
  <c r="O43"/>
  <c r="S43"/>
  <c r="W43"/>
  <c r="G44"/>
  <c r="K44"/>
  <c r="O44"/>
  <c r="S44"/>
  <c r="W44"/>
  <c r="G45"/>
  <c r="K45"/>
  <c r="O45"/>
  <c r="S45"/>
  <c r="W45"/>
  <c r="G46"/>
  <c r="K46"/>
  <c r="O46"/>
  <c r="S46"/>
  <c r="G47"/>
  <c r="K47"/>
  <c r="O47"/>
  <c r="S47"/>
  <c r="W47"/>
  <c r="G48"/>
  <c r="K48"/>
  <c r="O48"/>
  <c r="S48"/>
  <c r="W48"/>
  <c r="G49"/>
  <c r="K49"/>
  <c r="O49"/>
  <c r="S49"/>
  <c r="W49"/>
  <c r="G50"/>
  <c r="K50"/>
  <c r="O50"/>
  <c r="S50"/>
  <c r="W50"/>
  <c r="G51"/>
  <c r="K51"/>
  <c r="O51"/>
  <c r="S51"/>
  <c r="G52"/>
  <c r="K52"/>
  <c r="O52"/>
  <c r="S52"/>
  <c r="W52"/>
  <c r="G53"/>
  <c r="K53"/>
  <c r="O53"/>
  <c r="S53"/>
  <c r="W53"/>
  <c r="G54"/>
  <c r="K54"/>
  <c r="O54"/>
  <c r="S54"/>
  <c r="W54"/>
  <c r="G55"/>
  <c r="K55"/>
  <c r="O55"/>
  <c r="S55"/>
  <c r="W55"/>
  <c r="G56"/>
  <c r="K56"/>
  <c r="O56"/>
  <c r="S56"/>
  <c r="A29" i="4"/>
  <c r="E11" i="3" s="1"/>
  <c r="AC11" i="18" s="1"/>
  <c r="M36" i="19" l="1"/>
  <c r="K36"/>
  <c r="J36"/>
  <c r="G39"/>
  <c r="E39"/>
  <c r="BF6" i="18"/>
  <c r="D31" i="3"/>
  <c r="AC26" i="18"/>
  <c r="BF41"/>
  <c r="BF40" s="1"/>
  <c r="BE41"/>
  <c r="BE40" s="1"/>
  <c r="AD20"/>
  <c r="BF20"/>
  <c r="AV11"/>
  <c r="AU11"/>
  <c r="E15" i="3"/>
  <c r="E9"/>
  <c r="E19"/>
  <c r="A59" i="4"/>
  <c r="E17" i="3" s="1"/>
  <c r="A64" i="4"/>
  <c r="E18" i="3" s="1"/>
  <c r="E13"/>
  <c r="C27" i="21"/>
  <c r="AM16" i="18"/>
  <c r="D16" i="19" s="1"/>
  <c r="B16" s="1"/>
  <c r="D16" i="3"/>
  <c r="E30"/>
  <c r="G70" i="4"/>
  <c r="B5" i="17" s="1"/>
  <c r="S70" i="4"/>
  <c r="E5" i="17" s="1"/>
  <c r="E23" s="1"/>
  <c r="A34" i="4"/>
  <c r="A19" i="5"/>
  <c r="E24" i="3" s="1"/>
  <c r="AC23" i="18" s="1"/>
  <c r="A44" i="5"/>
  <c r="E36" i="3" s="1"/>
  <c r="E42"/>
  <c r="K70" i="4"/>
  <c r="C5" i="17" s="1"/>
  <c r="A24" i="4"/>
  <c r="O26" i="16"/>
  <c r="D12" i="17" s="1"/>
  <c r="D30" s="1"/>
  <c r="G15" i="16"/>
  <c r="B11" i="17" s="1"/>
  <c r="A14" i="4"/>
  <c r="K15" i="16"/>
  <c r="C11" i="17" s="1"/>
  <c r="A9" i="5"/>
  <c r="E21" i="3" s="1"/>
  <c r="O70" i="4"/>
  <c r="D5" i="17" s="1"/>
  <c r="D23" s="1"/>
  <c r="A44" i="4"/>
  <c r="E11" i="17"/>
  <c r="A9" i="4"/>
  <c r="W15" i="16"/>
  <c r="A14"/>
  <c r="G26"/>
  <c r="B12" i="17" s="1"/>
  <c r="B30" s="1"/>
  <c r="S26" i="16"/>
  <c r="E12" i="17" s="1"/>
  <c r="E30" s="1"/>
  <c r="K26" i="16"/>
  <c r="C12" i="17" s="1"/>
  <c r="C30" s="1"/>
  <c r="A25" i="16"/>
  <c r="AH12" i="18"/>
  <c r="O20"/>
  <c r="K92" i="5"/>
  <c r="C6" i="17" s="1"/>
  <c r="C24" s="1"/>
  <c r="AF7" i="18"/>
  <c r="AF15"/>
  <c r="AH15" s="1"/>
  <c r="AR34"/>
  <c r="AW34"/>
  <c r="BB34"/>
  <c r="BG34"/>
  <c r="AH42"/>
  <c r="T40"/>
  <c r="V40"/>
  <c r="M40"/>
  <c r="AN42"/>
  <c r="AR42" s="1"/>
  <c r="X40"/>
  <c r="S40"/>
  <c r="U40"/>
  <c r="AM42"/>
  <c r="D42" i="19" s="1"/>
  <c r="B42" s="1"/>
  <c r="L6" i="18"/>
  <c r="AL7"/>
  <c r="BB7"/>
  <c r="BG7"/>
  <c r="AW7"/>
  <c r="BG15"/>
  <c r="BB15"/>
  <c r="M15" i="19" s="1"/>
  <c r="K15" s="1"/>
  <c r="AW15" i="18"/>
  <c r="J15" i="19" s="1"/>
  <c r="H15" s="1"/>
  <c r="AR15" i="18"/>
  <c r="G15" i="19" s="1"/>
  <c r="E15" s="1"/>
  <c r="BG14" i="18"/>
  <c r="BB14"/>
  <c r="M14" i="19" s="1"/>
  <c r="K14" s="1"/>
  <c r="AW14" i="18"/>
  <c r="J14" i="19" s="1"/>
  <c r="H14" s="1"/>
  <c r="AR14" i="18"/>
  <c r="G14" i="19" s="1"/>
  <c r="E14" s="1"/>
  <c r="BG13" i="18"/>
  <c r="BB13"/>
  <c r="M13" i="19" s="1"/>
  <c r="K13" s="1"/>
  <c r="AM13" i="18"/>
  <c r="D13" i="19" s="1"/>
  <c r="B13" s="1"/>
  <c r="AH13" i="18"/>
  <c r="BG11"/>
  <c r="BB11"/>
  <c r="M11" i="19" s="1"/>
  <c r="K11" s="1"/>
  <c r="AM11" i="18"/>
  <c r="D11" i="19" s="1"/>
  <c r="B11" s="1"/>
  <c r="AH11" i="18"/>
  <c r="BG9"/>
  <c r="BB9"/>
  <c r="M9" i="19" s="1"/>
  <c r="K9" s="1"/>
  <c r="AR9" i="18"/>
  <c r="G9" i="19" s="1"/>
  <c r="E9" s="1"/>
  <c r="AM9" i="18"/>
  <c r="D9" i="19" s="1"/>
  <c r="B9" s="1"/>
  <c r="AH9" i="18"/>
  <c r="AR7"/>
  <c r="BG16"/>
  <c r="BB16"/>
  <c r="M16" i="19" s="1"/>
  <c r="K16" s="1"/>
  <c r="AW16" i="18"/>
  <c r="J16" i="19" s="1"/>
  <c r="H16" s="1"/>
  <c r="AR16" i="18"/>
  <c r="G16" i="19" s="1"/>
  <c r="E16" s="1"/>
  <c r="BG12" i="18"/>
  <c r="BB12"/>
  <c r="M12" i="19" s="1"/>
  <c r="K12" s="1"/>
  <c r="AW12" i="18"/>
  <c r="J12" i="19" s="1"/>
  <c r="H12" s="1"/>
  <c r="AR12" i="18"/>
  <c r="G12" i="19" s="1"/>
  <c r="E12" s="1"/>
  <c r="BG10" i="18"/>
  <c r="BB10"/>
  <c r="M10" i="19" s="1"/>
  <c r="K10" s="1"/>
  <c r="AW10" i="18"/>
  <c r="J10" i="19" s="1"/>
  <c r="H10" s="1"/>
  <c r="AH10" i="18"/>
  <c r="BG8"/>
  <c r="BB8"/>
  <c r="M8" i="19" s="1"/>
  <c r="K8" s="1"/>
  <c r="AW8" i="18"/>
  <c r="J8" i="19" s="1"/>
  <c r="H8" s="1"/>
  <c r="AR8" i="18"/>
  <c r="G8" i="19" s="1"/>
  <c r="E8" s="1"/>
  <c r="A14" i="5"/>
  <c r="E22" i="3" s="1"/>
  <c r="AC22" i="18" s="1"/>
  <c r="S92" i="5"/>
  <c r="E6" i="17" s="1"/>
  <c r="E24" s="1"/>
  <c r="A49" i="5"/>
  <c r="A39"/>
  <c r="A24"/>
  <c r="O92"/>
  <c r="D6" i="17" s="1"/>
  <c r="D24" s="1"/>
  <c r="AF21" i="18"/>
  <c r="AG26"/>
  <c r="AF26"/>
  <c r="AI26"/>
  <c r="AG23"/>
  <c r="AF23"/>
  <c r="AF22"/>
  <c r="BD28"/>
  <c r="BA28"/>
  <c r="AY28"/>
  <c r="AX28"/>
  <c r="AV28"/>
  <c r="AT28"/>
  <c r="AP28"/>
  <c r="AN28"/>
  <c r="AL28"/>
  <c r="AF28"/>
  <c r="BC28"/>
  <c r="AZ28"/>
  <c r="AU28"/>
  <c r="AS28"/>
  <c r="AQ28"/>
  <c r="AO28"/>
  <c r="AI25"/>
  <c r="AJ25"/>
  <c r="AG25"/>
  <c r="AF25"/>
  <c r="AG32"/>
  <c r="AF32"/>
  <c r="AI32"/>
  <c r="D38" i="3"/>
  <c r="BD30" i="18"/>
  <c r="BC30"/>
  <c r="BA30"/>
  <c r="AY30"/>
  <c r="AV30"/>
  <c r="AT30"/>
  <c r="AS30"/>
  <c r="AP30"/>
  <c r="AL30"/>
  <c r="AJ30"/>
  <c r="AG30"/>
  <c r="AF30"/>
  <c r="AZ30"/>
  <c r="AX30"/>
  <c r="AU30"/>
  <c r="AQ30"/>
  <c r="AK30"/>
  <c r="AI30"/>
  <c r="H40"/>
  <c r="I6"/>
  <c r="L40"/>
  <c r="O6"/>
  <c r="P40"/>
  <c r="E20"/>
  <c r="AA40"/>
  <c r="F40"/>
  <c r="Z40"/>
  <c r="Q40"/>
  <c r="W40"/>
  <c r="O40"/>
  <c r="R40"/>
  <c r="N40"/>
  <c r="C40"/>
  <c r="C33"/>
  <c r="G40"/>
  <c r="J40"/>
  <c r="K40"/>
  <c r="S20"/>
  <c r="Q6"/>
  <c r="U6"/>
  <c r="W20"/>
  <c r="H20"/>
  <c r="X6"/>
  <c r="Y40"/>
  <c r="AB40"/>
  <c r="G6"/>
  <c r="F20"/>
  <c r="I40"/>
  <c r="R20"/>
  <c r="J20"/>
  <c r="K20"/>
  <c r="P20"/>
  <c r="AA20"/>
  <c r="Z20"/>
  <c r="T20"/>
  <c r="U20"/>
  <c r="Q20"/>
  <c r="G20"/>
  <c r="V20"/>
  <c r="X20"/>
  <c r="N20"/>
  <c r="Y20"/>
  <c r="AB20"/>
  <c r="I20"/>
  <c r="L20"/>
  <c r="M20"/>
  <c r="AE5"/>
  <c r="T6"/>
  <c r="H6"/>
  <c r="E40"/>
  <c r="M6"/>
  <c r="K6"/>
  <c r="O4" i="19"/>
  <c r="AA6" i="18"/>
  <c r="AB6"/>
  <c r="Y6"/>
  <c r="Z6"/>
  <c r="N6"/>
  <c r="J6"/>
  <c r="P6"/>
  <c r="R6"/>
  <c r="W6"/>
  <c r="V6"/>
  <c r="S6"/>
  <c r="F6"/>
  <c r="AD8"/>
  <c r="AH8" s="1"/>
  <c r="E6"/>
  <c r="A61" i="5"/>
  <c r="B23" i="17"/>
  <c r="O27" i="16"/>
  <c r="D11" i="17"/>
  <c r="B15" i="16"/>
  <c r="W92" i="5"/>
  <c r="F6" i="17" s="1"/>
  <c r="F24" s="1"/>
  <c r="C28" i="21"/>
  <c r="C36"/>
  <c r="D36" s="1"/>
  <c r="B36"/>
  <c r="B28"/>
  <c r="C26"/>
  <c r="C25" s="1"/>
  <c r="F30" i="17"/>
  <c r="G12"/>
  <c r="A56" i="35"/>
  <c r="A51"/>
  <c r="A46"/>
  <c r="A41"/>
  <c r="A36"/>
  <c r="A31"/>
  <c r="A24"/>
  <c r="A19"/>
  <c r="A14"/>
  <c r="W57"/>
  <c r="F7" i="17" s="1"/>
  <c r="F25" s="1"/>
  <c r="S57" i="35"/>
  <c r="E7" i="17" s="1"/>
  <c r="E25" s="1"/>
  <c r="O57" i="35"/>
  <c r="D7" i="17" s="1"/>
  <c r="D25" s="1"/>
  <c r="K57" i="35"/>
  <c r="C7" i="17" s="1"/>
  <c r="G57" i="35"/>
  <c r="A9"/>
  <c r="G92" i="5"/>
  <c r="S8" i="19" l="1"/>
  <c r="Q8" s="1"/>
  <c r="P8"/>
  <c r="N8" s="1"/>
  <c r="S10"/>
  <c r="Q10" s="1"/>
  <c r="P10"/>
  <c r="N10" s="1"/>
  <c r="S12"/>
  <c r="Q12" s="1"/>
  <c r="P12"/>
  <c r="N12" s="1"/>
  <c r="S16"/>
  <c r="Q16" s="1"/>
  <c r="P16"/>
  <c r="N16" s="1"/>
  <c r="S9"/>
  <c r="Q9" s="1"/>
  <c r="P9"/>
  <c r="N9" s="1"/>
  <c r="S11"/>
  <c r="Q11" s="1"/>
  <c r="P11"/>
  <c r="N11" s="1"/>
  <c r="S13"/>
  <c r="Q13" s="1"/>
  <c r="P13"/>
  <c r="N13" s="1"/>
  <c r="S14"/>
  <c r="Q14" s="1"/>
  <c r="P14"/>
  <c r="N14" s="1"/>
  <c r="S15"/>
  <c r="Q15" s="1"/>
  <c r="P15"/>
  <c r="N15" s="1"/>
  <c r="S7"/>
  <c r="Q7" s="1"/>
  <c r="P7"/>
  <c r="G42"/>
  <c r="E42"/>
  <c r="M34"/>
  <c r="K34"/>
  <c r="J34"/>
  <c r="G34"/>
  <c r="E34"/>
  <c r="D36" i="3"/>
  <c r="AC28" i="18"/>
  <c r="D42" i="3"/>
  <c r="AC32" i="18"/>
  <c r="D30" i="3"/>
  <c r="AC25" i="18"/>
  <c r="G7" i="19"/>
  <c r="J7"/>
  <c r="M7"/>
  <c r="S34"/>
  <c r="P34"/>
  <c r="H34"/>
  <c r="AC21" i="18"/>
  <c r="D24" i="3"/>
  <c r="D18"/>
  <c r="AC18" i="18"/>
  <c r="D19" i="3"/>
  <c r="AC19" i="18"/>
  <c r="D15" i="3"/>
  <c r="AC15" i="18"/>
  <c r="D22" i="3"/>
  <c r="D13"/>
  <c r="AC13" i="18"/>
  <c r="F11" i="26" s="1"/>
  <c r="D17" i="3"/>
  <c r="AC17" i="18"/>
  <c r="D9" i="3"/>
  <c r="AC9" i="18"/>
  <c r="E14" i="3"/>
  <c r="D21"/>
  <c r="E8"/>
  <c r="B70" i="4"/>
  <c r="E7" i="3"/>
  <c r="AC7" i="18" s="1"/>
  <c r="E10" i="3"/>
  <c r="AC10" i="18" s="1"/>
  <c r="AN10" s="1"/>
  <c r="E12" i="3"/>
  <c r="AC12" i="18" s="1"/>
  <c r="AK12" s="1"/>
  <c r="C23" i="17"/>
  <c r="G5"/>
  <c r="F14" i="26"/>
  <c r="AG28" i="18"/>
  <c r="AI28"/>
  <c r="AF16"/>
  <c r="AH16" s="1"/>
  <c r="V16" i="19" s="1"/>
  <c r="W16" s="1"/>
  <c r="F9" i="26"/>
  <c r="AI23" i="18"/>
  <c r="AJ23"/>
  <c r="AJ8"/>
  <c r="AG7"/>
  <c r="AG6" s="1"/>
  <c r="G27" i="16"/>
  <c r="AS9" i="18"/>
  <c r="BF5"/>
  <c r="AC42"/>
  <c r="E54" i="3"/>
  <c r="D54" s="1"/>
  <c r="E53"/>
  <c r="AC41" i="18"/>
  <c r="AC40" s="1"/>
  <c r="C29" i="17"/>
  <c r="C32" s="1"/>
  <c r="C14"/>
  <c r="E29"/>
  <c r="E32" s="1"/>
  <c r="E14"/>
  <c r="B29"/>
  <c r="B32" s="1"/>
  <c r="B14"/>
  <c r="F11"/>
  <c r="W27" i="16"/>
  <c r="AI7" i="18"/>
  <c r="B26" i="16"/>
  <c r="K27"/>
  <c r="S27"/>
  <c r="G14" i="26"/>
  <c r="H14" s="1"/>
  <c r="AP11" i="18"/>
  <c r="AS11"/>
  <c r="AQ11"/>
  <c r="AT11"/>
  <c r="E44" i="3"/>
  <c r="AC34" i="18"/>
  <c r="E45" i="3"/>
  <c r="AC35" i="18"/>
  <c r="E46" i="3"/>
  <c r="D46" s="1"/>
  <c r="AC36" i="18"/>
  <c r="E47" i="3"/>
  <c r="D47" s="1"/>
  <c r="AC37" i="18"/>
  <c r="E48" i="3"/>
  <c r="D48" s="1"/>
  <c r="AC38" i="18"/>
  <c r="E49" i="3"/>
  <c r="D49" s="1"/>
  <c r="AC39" i="18"/>
  <c r="AS39" s="1"/>
  <c r="Q34" i="19"/>
  <c r="D11" i="3"/>
  <c r="Q6" i="19"/>
  <c r="S6"/>
  <c r="E37" i="3"/>
  <c r="AZ29" i="18"/>
  <c r="AS29"/>
  <c r="AO29"/>
  <c r="AI29"/>
  <c r="BA29"/>
  <c r="AX29"/>
  <c r="AT29"/>
  <c r="AJ29"/>
  <c r="AF29"/>
  <c r="BC29"/>
  <c r="AU29"/>
  <c r="AQ29"/>
  <c r="AK29"/>
  <c r="BD29"/>
  <c r="AY29"/>
  <c r="AV29"/>
  <c r="AP29"/>
  <c r="AG29"/>
  <c r="AH29" s="1"/>
  <c r="E25" i="3"/>
  <c r="E35"/>
  <c r="AI21" i="18"/>
  <c r="AH23"/>
  <c r="AH26"/>
  <c r="AG21"/>
  <c r="AH25"/>
  <c r="AW28"/>
  <c r="J28" i="19" s="1"/>
  <c r="H28" s="1"/>
  <c r="BG28" i="18"/>
  <c r="AH28"/>
  <c r="AR28"/>
  <c r="BB28"/>
  <c r="M28" i="19" s="1"/>
  <c r="K28" s="1"/>
  <c r="AM30" i="18"/>
  <c r="BB30"/>
  <c r="M30" i="19" s="1"/>
  <c r="K30" s="1"/>
  <c r="AH30" i="18"/>
  <c r="BG30"/>
  <c r="E39" i="3"/>
  <c r="AC31" i="18" s="1"/>
  <c r="AW30"/>
  <c r="J30" i="19" s="1"/>
  <c r="H30" s="1"/>
  <c r="AH32" i="18"/>
  <c r="D28" i="21"/>
  <c r="AD6" i="18"/>
  <c r="F26" i="17"/>
  <c r="C8"/>
  <c r="C16" s="1"/>
  <c r="C25"/>
  <c r="D8"/>
  <c r="D26"/>
  <c r="E8"/>
  <c r="E16" s="1"/>
  <c r="E26"/>
  <c r="E34" s="1"/>
  <c r="D29"/>
  <c r="G11"/>
  <c r="G14" s="1"/>
  <c r="H12" s="1"/>
  <c r="D14"/>
  <c r="G23"/>
  <c r="F8"/>
  <c r="B57" i="35"/>
  <c r="B7" i="17"/>
  <c r="G30"/>
  <c r="B92" i="5"/>
  <c r="B6" i="17"/>
  <c r="AC33" i="18" l="1"/>
  <c r="E20" i="3"/>
  <c r="D45"/>
  <c r="E43"/>
  <c r="D43" s="1"/>
  <c r="D35"/>
  <c r="AC27" i="18"/>
  <c r="D37" i="3"/>
  <c r="AC29" i="18"/>
  <c r="F15" i="26"/>
  <c r="AZ17" i="18"/>
  <c r="AV17"/>
  <c r="AL17"/>
  <c r="AS17"/>
  <c r="AU17"/>
  <c r="AY17"/>
  <c r="AO17"/>
  <c r="AX17"/>
  <c r="AK17"/>
  <c r="BA17"/>
  <c r="AQ17"/>
  <c r="BE17"/>
  <c r="AN17"/>
  <c r="BC17"/>
  <c r="BD17"/>
  <c r="AT17"/>
  <c r="AJ17"/>
  <c r="AP17"/>
  <c r="N34" i="19"/>
  <c r="AV41" i="18"/>
  <c r="AO41"/>
  <c r="AO40" s="1"/>
  <c r="AS41"/>
  <c r="BA41"/>
  <c r="AP41"/>
  <c r="AP40" s="1"/>
  <c r="AK41"/>
  <c r="AK40" s="1"/>
  <c r="AI41"/>
  <c r="AI40" s="1"/>
  <c r="AL41"/>
  <c r="AJ41"/>
  <c r="AN41"/>
  <c r="AY41"/>
  <c r="AZ41"/>
  <c r="AQ41"/>
  <c r="BC41"/>
  <c r="AT41"/>
  <c r="AX41"/>
  <c r="AU41"/>
  <c r="F17" i="26"/>
  <c r="AI19" i="18"/>
  <c r="AJ19"/>
  <c r="F16" i="26"/>
  <c r="BC18" i="18"/>
  <c r="AS18"/>
  <c r="BD18"/>
  <c r="AT18"/>
  <c r="AJ18"/>
  <c r="AZ18"/>
  <c r="AP18"/>
  <c r="BA18"/>
  <c r="AQ18"/>
  <c r="AX18"/>
  <c r="AN18"/>
  <c r="AY18"/>
  <c r="AO18"/>
  <c r="BE18"/>
  <c r="AU18"/>
  <c r="AK18"/>
  <c r="AV18"/>
  <c r="AL18"/>
  <c r="K7" i="19"/>
  <c r="H7"/>
  <c r="E7"/>
  <c r="N7"/>
  <c r="E6" i="3"/>
  <c r="D12"/>
  <c r="D10"/>
  <c r="D7"/>
  <c r="D25"/>
  <c r="AC24" i="18"/>
  <c r="AH21"/>
  <c r="S30" i="19"/>
  <c r="P30"/>
  <c r="N30" s="1"/>
  <c r="D30"/>
  <c r="G28"/>
  <c r="E28" s="1"/>
  <c r="S28"/>
  <c r="Q28" s="1"/>
  <c r="P28"/>
  <c r="N28" s="1"/>
  <c r="AS36" i="18"/>
  <c r="AW36" s="1"/>
  <c r="H36" i="19" s="1"/>
  <c r="AQ36" i="18"/>
  <c r="AF34"/>
  <c r="AF33" s="1"/>
  <c r="AI34"/>
  <c r="AR10"/>
  <c r="AJ7"/>
  <c r="AJ6" s="1"/>
  <c r="AK7"/>
  <c r="F13" i="26"/>
  <c r="AI15" i="18"/>
  <c r="D8" i="3"/>
  <c r="AC8" i="18"/>
  <c r="D14" i="3"/>
  <c r="AC14" i="18"/>
  <c r="AU9"/>
  <c r="AW9" s="1"/>
  <c r="AQ13"/>
  <c r="AP13"/>
  <c r="AT13"/>
  <c r="AT6" s="1"/>
  <c r="AS13"/>
  <c r="AV13"/>
  <c r="AU13"/>
  <c r="AO13"/>
  <c r="AN13"/>
  <c r="AN6" s="1"/>
  <c r="F7" i="26"/>
  <c r="AH7" i="18"/>
  <c r="T16" i="19"/>
  <c r="AK10" i="18"/>
  <c r="F10" i="26"/>
  <c r="AI12" i="18"/>
  <c r="AF14"/>
  <c r="B27" i="16"/>
  <c r="D53" i="3"/>
  <c r="E52"/>
  <c r="D52" s="1"/>
  <c r="AT42" i="18"/>
  <c r="AT40" s="1"/>
  <c r="AS42"/>
  <c r="BD42"/>
  <c r="BD40" s="1"/>
  <c r="BA42"/>
  <c r="AV42"/>
  <c r="AV40" s="1"/>
  <c r="AU42"/>
  <c r="AX42"/>
  <c r="AX40" s="1"/>
  <c r="AZ42"/>
  <c r="BC42"/>
  <c r="BG42" s="1"/>
  <c r="AY42"/>
  <c r="AG22"/>
  <c r="AH22" s="1"/>
  <c r="AI22"/>
  <c r="F29" i="17"/>
  <c r="F32" s="1"/>
  <c r="F34" s="1"/>
  <c r="F14"/>
  <c r="F15" s="1"/>
  <c r="AG41" i="18"/>
  <c r="AG40" s="1"/>
  <c r="AL40"/>
  <c r="AF41"/>
  <c r="AF40" s="1"/>
  <c r="AN40"/>
  <c r="F38" i="26"/>
  <c r="BA40" i="18"/>
  <c r="AQ40"/>
  <c r="AJ40"/>
  <c r="AU40"/>
  <c r="BG29"/>
  <c r="AW29"/>
  <c r="J29" i="19" s="1"/>
  <c r="H29" s="1"/>
  <c r="BB29" i="18"/>
  <c r="M29" i="19" s="1"/>
  <c r="K29" s="1"/>
  <c r="AT39" i="18"/>
  <c r="AU39"/>
  <c r="AV39"/>
  <c r="AX39"/>
  <c r="AY39"/>
  <c r="AZ39"/>
  <c r="BA39"/>
  <c r="BC39"/>
  <c r="BG39" s="1"/>
  <c r="F36" i="26"/>
  <c r="AV38" i="18"/>
  <c r="AU38"/>
  <c r="AT38"/>
  <c r="AS38"/>
  <c r="AQ38"/>
  <c r="AP38"/>
  <c r="AO38"/>
  <c r="AN38"/>
  <c r="AL38"/>
  <c r="AK38"/>
  <c r="AJ38"/>
  <c r="AI38"/>
  <c r="AG38"/>
  <c r="AH38" s="1"/>
  <c r="AX38"/>
  <c r="AY38"/>
  <c r="AZ38"/>
  <c r="BA38"/>
  <c r="BC38"/>
  <c r="BD38"/>
  <c r="F34" i="26"/>
  <c r="AP36" i="18"/>
  <c r="AO36"/>
  <c r="AN36"/>
  <c r="AL36"/>
  <c r="AK36"/>
  <c r="AJ36"/>
  <c r="AI36"/>
  <c r="AG36"/>
  <c r="F33" i="26"/>
  <c r="BD35" i="18"/>
  <c r="BC35"/>
  <c r="BA35"/>
  <c r="AZ35"/>
  <c r="AY35"/>
  <c r="AX35"/>
  <c r="AV35"/>
  <c r="AU35"/>
  <c r="AT35"/>
  <c r="AS35"/>
  <c r="AQ35"/>
  <c r="AP35"/>
  <c r="AO35"/>
  <c r="AN35"/>
  <c r="AL35"/>
  <c r="AK35"/>
  <c r="AJ35"/>
  <c r="AI35"/>
  <c r="AW11"/>
  <c r="J11" i="19" s="1"/>
  <c r="H11" s="1"/>
  <c r="AR11" i="18"/>
  <c r="G11" i="19" s="1"/>
  <c r="E11" s="1"/>
  <c r="F35" i="26"/>
  <c r="BD37" i="18"/>
  <c r="BC37"/>
  <c r="BA37"/>
  <c r="AZ37"/>
  <c r="AY37"/>
  <c r="AX37"/>
  <c r="AV37"/>
  <c r="AU37"/>
  <c r="AT37"/>
  <c r="AS37"/>
  <c r="AQ37"/>
  <c r="AP37"/>
  <c r="AO37"/>
  <c r="AN37"/>
  <c r="AL37"/>
  <c r="AK37"/>
  <c r="AJ37"/>
  <c r="AI37"/>
  <c r="AG37"/>
  <c r="F32" i="26"/>
  <c r="F31" s="1"/>
  <c r="D44" i="3"/>
  <c r="D16" i="17"/>
  <c r="G7" i="26"/>
  <c r="AF24" i="18"/>
  <c r="AG24"/>
  <c r="AI24"/>
  <c r="AI27"/>
  <c r="AF27"/>
  <c r="AG27"/>
  <c r="AI31"/>
  <c r="AG31"/>
  <c r="AF31"/>
  <c r="Q30" i="19"/>
  <c r="D39" i="3"/>
  <c r="AD5" i="18"/>
  <c r="L4" i="19"/>
  <c r="G6" i="17"/>
  <c r="B24"/>
  <c r="G7"/>
  <c r="G25" s="1"/>
  <c r="B25"/>
  <c r="D32"/>
  <c r="D34" s="1"/>
  <c r="C26"/>
  <c r="C34" s="1"/>
  <c r="E15"/>
  <c r="B15"/>
  <c r="C15"/>
  <c r="H11"/>
  <c r="H14" s="1"/>
  <c r="D15"/>
  <c r="G15"/>
  <c r="B8"/>
  <c r="AZ40" i="18" l="1"/>
  <c r="AO6"/>
  <c r="AV6"/>
  <c r="AQ6"/>
  <c r="AM7"/>
  <c r="D7" i="19" s="1"/>
  <c r="V7" s="1"/>
  <c r="AC20" i="18"/>
  <c r="AC6"/>
  <c r="AS40"/>
  <c r="G29" i="17"/>
  <c r="G32" s="1"/>
  <c r="D20" i="3"/>
  <c r="AH34" i="18"/>
  <c r="AY40"/>
  <c r="AS6"/>
  <c r="AP6"/>
  <c r="BB41"/>
  <c r="M41" i="19" s="1"/>
  <c r="AR41" i="18"/>
  <c r="G41" i="19" s="1"/>
  <c r="AM35" i="18"/>
  <c r="D35" i="19" s="1"/>
  <c r="B35" s="1"/>
  <c r="D6" i="3"/>
  <c r="AR17" i="18"/>
  <c r="G17" i="19" s="1"/>
  <c r="E17" s="1"/>
  <c r="AH36" i="18"/>
  <c r="AG33"/>
  <c r="J9" i="19"/>
  <c r="V9" s="1"/>
  <c r="W9" s="1"/>
  <c r="G10"/>
  <c r="AM19" i="18"/>
  <c r="D19" i="19" s="1"/>
  <c r="G17" i="26"/>
  <c r="H17" s="1"/>
  <c r="BG17" i="18"/>
  <c r="BC6"/>
  <c r="BB17"/>
  <c r="AX6"/>
  <c r="AL33"/>
  <c r="AQ33"/>
  <c r="AV33"/>
  <c r="BA33"/>
  <c r="BC40"/>
  <c r="AU6"/>
  <c r="AK6"/>
  <c r="BB18"/>
  <c r="M18" i="19" s="1"/>
  <c r="K18" s="1"/>
  <c r="AW18" i="18"/>
  <c r="J18" i="19" s="1"/>
  <c r="H18" s="1"/>
  <c r="AM41" i="18"/>
  <c r="D41" i="19" s="1"/>
  <c r="AW41" i="18"/>
  <c r="J41" i="19" s="1"/>
  <c r="BE6" i="18"/>
  <c r="BA6"/>
  <c r="AY6"/>
  <c r="AW17"/>
  <c r="J17" i="19" s="1"/>
  <c r="H17" s="1"/>
  <c r="S39"/>
  <c r="Q39" s="1"/>
  <c r="P39"/>
  <c r="N39" s="1"/>
  <c r="S42"/>
  <c r="Q42" s="1"/>
  <c r="P42"/>
  <c r="AM34" i="18"/>
  <c r="AI33"/>
  <c r="AM18"/>
  <c r="D18" i="19" s="1"/>
  <c r="AM17" i="18"/>
  <c r="D17" i="19" s="1"/>
  <c r="AJ33" i="18"/>
  <c r="AO33"/>
  <c r="AT33"/>
  <c r="AY33"/>
  <c r="BD33"/>
  <c r="AK33"/>
  <c r="AN33"/>
  <c r="AP33"/>
  <c r="AS33"/>
  <c r="AU33"/>
  <c r="AX33"/>
  <c r="AZ33"/>
  <c r="BC33"/>
  <c r="E5" i="3"/>
  <c r="E3" s="1"/>
  <c r="B31" i="16" s="1"/>
  <c r="AR18" i="18"/>
  <c r="G18" i="19" s="1"/>
  <c r="E18" s="1"/>
  <c r="BG18" i="18"/>
  <c r="P18" i="19" s="1"/>
  <c r="N18" s="1"/>
  <c r="BD6" i="18"/>
  <c r="AZ6"/>
  <c r="AF20"/>
  <c r="AI20"/>
  <c r="AG20"/>
  <c r="S29" i="19"/>
  <c r="Q29" s="1"/>
  <c r="P29"/>
  <c r="N29" s="1"/>
  <c r="B30"/>
  <c r="AI14" i="18"/>
  <c r="AI6" s="1"/>
  <c r="F12" i="26"/>
  <c r="AL8" i="18"/>
  <c r="AL6" s="1"/>
  <c r="F8" i="26"/>
  <c r="F6" s="1"/>
  <c r="AM15" i="18"/>
  <c r="D15" i="19" s="1"/>
  <c r="B15" s="1"/>
  <c r="G13" i="26"/>
  <c r="H13" s="1"/>
  <c r="D5" i="3"/>
  <c r="D3" s="1"/>
  <c r="AR13" i="18"/>
  <c r="G13" i="19" s="1"/>
  <c r="E13" s="1"/>
  <c r="AW13" i="18"/>
  <c r="J13" i="19" s="1"/>
  <c r="H13" s="1"/>
  <c r="AM10" i="18"/>
  <c r="D10" i="19" s="1"/>
  <c r="B10" s="1"/>
  <c r="G10" i="26"/>
  <c r="H10" s="1"/>
  <c r="AM12" i="18"/>
  <c r="D12" i="19" s="1"/>
  <c r="B12" s="1"/>
  <c r="AH14" i="18"/>
  <c r="AF6"/>
  <c r="F37" i="26"/>
  <c r="BB42" i="18"/>
  <c r="BG41"/>
  <c r="P41" i="19" s="1"/>
  <c r="AH41" i="18"/>
  <c r="AH40" s="1"/>
  <c r="F16" i="17"/>
  <c r="AW42" i="18"/>
  <c r="AM38"/>
  <c r="D38" i="19" s="1"/>
  <c r="B38" s="1"/>
  <c r="AR38" i="18"/>
  <c r="AW38"/>
  <c r="H38" i="19" s="1"/>
  <c r="AR35" i="18"/>
  <c r="AW35"/>
  <c r="BB35"/>
  <c r="BG35"/>
  <c r="AM36"/>
  <c r="D36" i="19" s="1"/>
  <c r="B36" s="1"/>
  <c r="AR36" i="18"/>
  <c r="BG38"/>
  <c r="BB38"/>
  <c r="BB39"/>
  <c r="AW39"/>
  <c r="H39" i="19" s="1"/>
  <c r="AH37" i="18"/>
  <c r="AM37"/>
  <c r="D37" i="19" s="1"/>
  <c r="B37" s="1"/>
  <c r="AR37" i="18"/>
  <c r="AW37"/>
  <c r="H37" i="19" s="1"/>
  <c r="BB37" i="18"/>
  <c r="BG37"/>
  <c r="P37" i="19" s="1"/>
  <c r="N37" s="1"/>
  <c r="AH27" i="18"/>
  <c r="AH24"/>
  <c r="AH31"/>
  <c r="F4" i="19"/>
  <c r="G24" i="17"/>
  <c r="G8"/>
  <c r="G16" s="1"/>
  <c r="B26"/>
  <c r="I4" i="19"/>
  <c r="B16" i="17"/>
  <c r="H30" l="1"/>
  <c r="G33"/>
  <c r="E33"/>
  <c r="D33"/>
  <c r="F33"/>
  <c r="H29"/>
  <c r="C33"/>
  <c r="B33"/>
  <c r="AH33" i="18"/>
  <c r="V41" i="19"/>
  <c r="G37"/>
  <c r="E37"/>
  <c r="M39"/>
  <c r="K39"/>
  <c r="J39"/>
  <c r="M38"/>
  <c r="K38"/>
  <c r="J38"/>
  <c r="M35"/>
  <c r="K35"/>
  <c r="J35"/>
  <c r="BB33" i="18"/>
  <c r="G35" i="19"/>
  <c r="E35"/>
  <c r="AR33" i="18"/>
  <c r="G38" i="19"/>
  <c r="E38"/>
  <c r="J42"/>
  <c r="H42"/>
  <c r="M42"/>
  <c r="K42"/>
  <c r="W7"/>
  <c r="B17"/>
  <c r="V18"/>
  <c r="B18"/>
  <c r="T18" s="1"/>
  <c r="D34"/>
  <c r="AM33" i="18"/>
  <c r="B7" i="19"/>
  <c r="AR6" i="18"/>
  <c r="AW6"/>
  <c r="M37" i="19"/>
  <c r="K37"/>
  <c r="J37"/>
  <c r="S38"/>
  <c r="Q38" s="1"/>
  <c r="P38"/>
  <c r="N38" s="1"/>
  <c r="G36"/>
  <c r="E36"/>
  <c r="S35"/>
  <c r="Q35" s="1"/>
  <c r="P35"/>
  <c r="BG33" i="18"/>
  <c r="H35" i="19"/>
  <c r="H33" s="1"/>
  <c r="AW33" i="18"/>
  <c r="N42" i="19"/>
  <c r="T42" s="1"/>
  <c r="V42"/>
  <c r="V40" s="1"/>
  <c r="M17"/>
  <c r="BB6" i="18"/>
  <c r="P17" i="19"/>
  <c r="BG6" i="18"/>
  <c r="V19" i="19"/>
  <c r="B19"/>
  <c r="T19" s="1"/>
  <c r="E10"/>
  <c r="E6" s="1"/>
  <c r="G6"/>
  <c r="H9"/>
  <c r="J6"/>
  <c r="AW40" i="18"/>
  <c r="J40" i="19"/>
  <c r="H41"/>
  <c r="H40" s="1"/>
  <c r="BB40" i="18"/>
  <c r="M40" i="19"/>
  <c r="K41"/>
  <c r="AR40" i="18"/>
  <c r="G40" i="19"/>
  <c r="E41"/>
  <c r="E40" s="1"/>
  <c r="AM40" i="18"/>
  <c r="S41" i="19"/>
  <c r="Q41" s="1"/>
  <c r="BG40" i="18"/>
  <c r="AH20"/>
  <c r="T13" i="19"/>
  <c r="V13"/>
  <c r="W13" s="1"/>
  <c r="T15"/>
  <c r="V15"/>
  <c r="W15" s="1"/>
  <c r="G8" i="26"/>
  <c r="AM8" i="18"/>
  <c r="AM14"/>
  <c r="D14" i="19" s="1"/>
  <c r="B14" s="1"/>
  <c r="AF5" i="18"/>
  <c r="AG5"/>
  <c r="T10" i="19"/>
  <c r="V10"/>
  <c r="W10" s="1"/>
  <c r="T12"/>
  <c r="V12"/>
  <c r="W12" s="1"/>
  <c r="G12" i="26"/>
  <c r="AH6" i="18"/>
  <c r="W42" i="19"/>
  <c r="AI5" i="18"/>
  <c r="V39" i="19"/>
  <c r="V38"/>
  <c r="V36"/>
  <c r="V34"/>
  <c r="V11"/>
  <c r="W11" s="1"/>
  <c r="S37"/>
  <c r="H6" i="17"/>
  <c r="H7"/>
  <c r="B9"/>
  <c r="H5"/>
  <c r="G26"/>
  <c r="G34" s="1"/>
  <c r="B34"/>
  <c r="G9"/>
  <c r="H15"/>
  <c r="D9"/>
  <c r="E9"/>
  <c r="F9"/>
  <c r="C9"/>
  <c r="B17"/>
  <c r="K40" i="19" l="1"/>
  <c r="H32" i="17"/>
  <c r="H8" i="26"/>
  <c r="G6"/>
  <c r="T9" i="19"/>
  <c r="H6"/>
  <c r="N17"/>
  <c r="N6" s="1"/>
  <c r="P6"/>
  <c r="K17"/>
  <c r="K6" s="1"/>
  <c r="M6"/>
  <c r="N35"/>
  <c r="P33"/>
  <c r="T17"/>
  <c r="G33"/>
  <c r="J33"/>
  <c r="M33"/>
  <c r="D8"/>
  <c r="AM6" i="18"/>
  <c r="D33" i="19"/>
  <c r="B34"/>
  <c r="V17"/>
  <c r="E33"/>
  <c r="K33"/>
  <c r="S40"/>
  <c r="D40"/>
  <c r="B41"/>
  <c r="B40" s="1"/>
  <c r="N41"/>
  <c r="P40"/>
  <c r="H8" i="17"/>
  <c r="T14" i="19"/>
  <c r="V14"/>
  <c r="W14" s="1"/>
  <c r="H12" i="26"/>
  <c r="Q40" i="19"/>
  <c r="B6" i="21"/>
  <c r="D6" s="1"/>
  <c r="AH5" i="18"/>
  <c r="T11" i="19"/>
  <c r="Q37"/>
  <c r="Q33" s="1"/>
  <c r="S33"/>
  <c r="B27" i="17"/>
  <c r="H24"/>
  <c r="H25"/>
  <c r="H26"/>
  <c r="H23"/>
  <c r="G17"/>
  <c r="C17"/>
  <c r="F17"/>
  <c r="E17"/>
  <c r="D17"/>
  <c r="G27"/>
  <c r="H33"/>
  <c r="D27"/>
  <c r="E27"/>
  <c r="F27"/>
  <c r="C27"/>
  <c r="B35"/>
  <c r="B33" i="19" l="1"/>
  <c r="T34"/>
  <c r="N33"/>
  <c r="V35"/>
  <c r="B8"/>
  <c r="B6" s="1"/>
  <c r="D6"/>
  <c r="N40"/>
  <c r="T41"/>
  <c r="T40" s="1"/>
  <c r="B27" i="21"/>
  <c r="V8" i="19"/>
  <c r="W41"/>
  <c r="W40" s="1"/>
  <c r="V37"/>
  <c r="D27" i="21"/>
  <c r="G35" i="17"/>
  <c r="C35"/>
  <c r="F35"/>
  <c r="E35"/>
  <c r="D35"/>
  <c r="W8" i="19" l="1"/>
  <c r="W6" s="1"/>
  <c r="V6"/>
  <c r="V33"/>
  <c r="T33"/>
  <c r="T8"/>
  <c r="B5" i="21"/>
  <c r="B11" l="1"/>
  <c r="D5"/>
  <c r="B26"/>
  <c r="B4"/>
  <c r="D4" s="1"/>
  <c r="F4" s="1"/>
  <c r="D11" l="1"/>
  <c r="B32"/>
  <c r="D26"/>
  <c r="B25"/>
  <c r="D25" s="1"/>
  <c r="D32" l="1"/>
  <c r="U7" i="19"/>
  <c r="J7" i="26"/>
  <c r="J6" s="1"/>
  <c r="J39" s="1"/>
  <c r="J40" s="1"/>
  <c r="T7" i="19"/>
  <c r="T6" s="1"/>
  <c r="B9" i="21" s="1"/>
  <c r="D9" l="1"/>
  <c r="B30"/>
  <c r="H7" i="26"/>
  <c r="H6" s="1"/>
  <c r="C4" i="19"/>
  <c r="D30" i="21" l="1"/>
  <c r="C33"/>
  <c r="C37" s="1"/>
  <c r="C12"/>
  <c r="C16" s="1"/>
  <c r="BE26" i="18" l="1"/>
  <c r="AY26"/>
  <c r="AP26"/>
  <c r="F24" i="26"/>
  <c r="AO26" i="18"/>
  <c r="AT26"/>
  <c r="AQ26"/>
  <c r="BD26"/>
  <c r="AV26"/>
  <c r="AL26"/>
  <c r="AZ26"/>
  <c r="BA26"/>
  <c r="AU26"/>
  <c r="AK26"/>
  <c r="BE25"/>
  <c r="AQ25"/>
  <c r="AY25"/>
  <c r="AP25"/>
  <c r="F23" i="26"/>
  <c r="AO25" i="18"/>
  <c r="AT25"/>
  <c r="AU25"/>
  <c r="BD25"/>
  <c r="AV25"/>
  <c r="AL25"/>
  <c r="AZ25"/>
  <c r="BA25"/>
  <c r="AK28"/>
  <c r="BA32"/>
  <c r="AL32"/>
  <c r="AQ32"/>
  <c r="AT32"/>
  <c r="AZ32"/>
  <c r="AO32"/>
  <c r="BD32"/>
  <c r="AV32"/>
  <c r="F30" i="26"/>
  <c r="AY32" i="18"/>
  <c r="AP32"/>
  <c r="AU32"/>
  <c r="AK32"/>
  <c r="AO30"/>
  <c r="F28" i="26"/>
  <c r="F21"/>
  <c r="BD23" i="18"/>
  <c r="AL23"/>
  <c r="AZ23"/>
  <c r="BA23"/>
  <c r="AU23"/>
  <c r="AP23"/>
  <c r="AQ23"/>
  <c r="AV23"/>
  <c r="BE23"/>
  <c r="AO23"/>
  <c r="AT23"/>
  <c r="AY23"/>
  <c r="AY22"/>
  <c r="F20" i="26"/>
  <c r="AV22" i="18"/>
  <c r="AO22"/>
  <c r="AT22"/>
  <c r="AK22"/>
  <c r="BD22"/>
  <c r="BE22"/>
  <c r="AP22"/>
  <c r="AQ22"/>
  <c r="AZ22"/>
  <c r="BA22"/>
  <c r="AU22"/>
  <c r="AL22"/>
  <c r="F25" i="26"/>
  <c r="AK27" i="18"/>
  <c r="AP27"/>
  <c r="AO27"/>
  <c r="AT27"/>
  <c r="BD27"/>
  <c r="AL27"/>
  <c r="BE27"/>
  <c r="AU27"/>
  <c r="AY27"/>
  <c r="AZ27"/>
  <c r="BA27"/>
  <c r="AQ27"/>
  <c r="AV27"/>
  <c r="AU24"/>
  <c r="AY24"/>
  <c r="AZ24"/>
  <c r="BA24"/>
  <c r="AQ24"/>
  <c r="AV24"/>
  <c r="F22" i="26"/>
  <c r="BE24" i="18"/>
  <c r="AK24"/>
  <c r="AP24"/>
  <c r="AO24"/>
  <c r="AT24"/>
  <c r="BD24"/>
  <c r="AL24"/>
  <c r="AN25"/>
  <c r="AR25" s="1"/>
  <c r="G25" i="19" s="1"/>
  <c r="E25" s="1"/>
  <c r="AN23" i="18"/>
  <c r="AZ31"/>
  <c r="BD31"/>
  <c r="AL31"/>
  <c r="AQ31"/>
  <c r="AT31"/>
  <c r="AU31"/>
  <c r="BA31"/>
  <c r="AO31"/>
  <c r="AV31"/>
  <c r="F29" i="26"/>
  <c r="AY31" i="18"/>
  <c r="AP31"/>
  <c r="AK31"/>
  <c r="AN29"/>
  <c r="AR29" s="1"/>
  <c r="AN24"/>
  <c r="BC22"/>
  <c r="BC24"/>
  <c r="BC26"/>
  <c r="AX23"/>
  <c r="AX27"/>
  <c r="AX31"/>
  <c r="BB31" s="1"/>
  <c r="M31" i="19" s="1"/>
  <c r="K31" s="1"/>
  <c r="AS27" i="18"/>
  <c r="AS31"/>
  <c r="BC27"/>
  <c r="BG27" s="1"/>
  <c r="BC31"/>
  <c r="AX22"/>
  <c r="AX26"/>
  <c r="AX32"/>
  <c r="AS22"/>
  <c r="AS24"/>
  <c r="BE21"/>
  <c r="AJ28"/>
  <c r="AM28" s="1"/>
  <c r="AN32"/>
  <c r="AS25"/>
  <c r="AN26"/>
  <c r="BC25"/>
  <c r="BC23"/>
  <c r="AJ26"/>
  <c r="AS26"/>
  <c r="AS32"/>
  <c r="AJ32"/>
  <c r="BC32"/>
  <c r="AX25"/>
  <c r="BB25" s="1"/>
  <c r="M25" i="19" s="1"/>
  <c r="K25" s="1"/>
  <c r="AK25" i="18"/>
  <c r="AL29"/>
  <c r="AM29" s="1"/>
  <c r="D29" i="19" s="1"/>
  <c r="AK23" i="18"/>
  <c r="AM23" s="1"/>
  <c r="D23" i="19" s="1"/>
  <c r="AS23" i="18"/>
  <c r="AP21"/>
  <c r="AN27"/>
  <c r="AN31"/>
  <c r="AJ22"/>
  <c r="AN22"/>
  <c r="F19" i="26"/>
  <c r="F18" s="1"/>
  <c r="F39" s="1"/>
  <c r="F40" s="1"/>
  <c r="BD21" i="18"/>
  <c r="BA21"/>
  <c r="AJ27"/>
  <c r="AJ24"/>
  <c r="AX24"/>
  <c r="AN30"/>
  <c r="AR30" s="1"/>
  <c r="AZ21"/>
  <c r="AV21"/>
  <c r="AK21"/>
  <c r="AY21"/>
  <c r="AT21"/>
  <c r="AL21"/>
  <c r="AO21"/>
  <c r="AU21"/>
  <c r="AQ21"/>
  <c r="AJ31"/>
  <c r="AM31" s="1"/>
  <c r="D31" i="19" s="1"/>
  <c r="AX21" i="18"/>
  <c r="AS21"/>
  <c r="BC21"/>
  <c r="AN21"/>
  <c r="AJ21"/>
  <c r="BG32" l="1"/>
  <c r="P32" i="19" s="1"/>
  <c r="N32" s="1"/>
  <c r="BG26" i="18"/>
  <c r="AR23"/>
  <c r="G23" i="19" s="1"/>
  <c r="E23" s="1"/>
  <c r="D28"/>
  <c r="G29"/>
  <c r="E29" s="1"/>
  <c r="BG31" i="18"/>
  <c r="AW31"/>
  <c r="J31" i="19" s="1"/>
  <c r="H31" s="1"/>
  <c r="AM25" i="18"/>
  <c r="D25" i="19" s="1"/>
  <c r="AW23" i="18"/>
  <c r="J23" i="19" s="1"/>
  <c r="H23" s="1"/>
  <c r="BB23" i="18"/>
  <c r="M23" i="19" s="1"/>
  <c r="K23" s="1"/>
  <c r="BG23" i="18"/>
  <c r="P23" i="19" s="1"/>
  <c r="N23" s="1"/>
  <c r="AM32" i="18"/>
  <c r="D32" i="19" s="1"/>
  <c r="AR32" i="18"/>
  <c r="G32" i="19" s="1"/>
  <c r="E32" s="1"/>
  <c r="AR31" i="18"/>
  <c r="AT20"/>
  <c r="AT5" s="1"/>
  <c r="AW27"/>
  <c r="J27" i="19" s="1"/>
  <c r="H27" s="1"/>
  <c r="BB27" i="18"/>
  <c r="M27" i="19" s="1"/>
  <c r="K27" s="1"/>
  <c r="AQ20" i="18"/>
  <c r="AQ5" s="1"/>
  <c r="AO20"/>
  <c r="AO5" s="1"/>
  <c r="AK20"/>
  <c r="AK5" s="1"/>
  <c r="AZ20"/>
  <c r="AZ5" s="1"/>
  <c r="BB24"/>
  <c r="M24" i="19" s="1"/>
  <c r="K24" s="1"/>
  <c r="BD20" i="18"/>
  <c r="BD5" s="1"/>
  <c r="AW24"/>
  <c r="J24" i="19" s="1"/>
  <c r="H24" s="1"/>
  <c r="AP20" i="18"/>
  <c r="AP5" s="1"/>
  <c r="AR22"/>
  <c r="G22" i="19" s="1"/>
  <c r="E22" s="1"/>
  <c r="BB22" i="18"/>
  <c r="M22" i="19" s="1"/>
  <c r="K22" s="1"/>
  <c r="AW22" i="18"/>
  <c r="J22" i="19" s="1"/>
  <c r="H22" s="1"/>
  <c r="BG22" i="18"/>
  <c r="P22" i="19" s="1"/>
  <c r="N22" s="1"/>
  <c r="AW32" i="18"/>
  <c r="J32" i="19" s="1"/>
  <c r="H32" s="1"/>
  <c r="BB32" i="18"/>
  <c r="M32" i="19" s="1"/>
  <c r="K32" s="1"/>
  <c r="S31"/>
  <c r="Q31" s="1"/>
  <c r="S27"/>
  <c r="Q27" s="1"/>
  <c r="AL20" i="18"/>
  <c r="AL5" s="1"/>
  <c r="AR27"/>
  <c r="G27" i="19" s="1"/>
  <c r="E27" s="1"/>
  <c r="AU20" i="18"/>
  <c r="AU5" s="1"/>
  <c r="AV20"/>
  <c r="AV5" s="1"/>
  <c r="AW26"/>
  <c r="J26" i="19" s="1"/>
  <c r="H26" s="1"/>
  <c r="AR26" i="18"/>
  <c r="BB26"/>
  <c r="M26" i="19" s="1"/>
  <c r="K26" s="1"/>
  <c r="P26"/>
  <c r="N26" s="1"/>
  <c r="AS20" i="18"/>
  <c r="AS5" s="1"/>
  <c r="BG24"/>
  <c r="P24" i="19" s="1"/>
  <c r="N24" s="1"/>
  <c r="BC20" i="18"/>
  <c r="BC5" s="1"/>
  <c r="AX20"/>
  <c r="AX5" s="1"/>
  <c r="AM22"/>
  <c r="D22" i="19" s="1"/>
  <c r="B22" s="1"/>
  <c r="BG21" i="18"/>
  <c r="AW21"/>
  <c r="J21" i="19" s="1"/>
  <c r="H21" s="1"/>
  <c r="BB21" i="18"/>
  <c r="M21" i="19" s="1"/>
  <c r="AJ20" i="18"/>
  <c r="AJ5" s="1"/>
  <c r="AY20"/>
  <c r="AY5" s="1"/>
  <c r="BA20"/>
  <c r="BA5" s="1"/>
  <c r="AR21"/>
  <c r="G21" i="19" s="1"/>
  <c r="AN20" i="18"/>
  <c r="AN5" s="1"/>
  <c r="BE20"/>
  <c r="BE5" s="1"/>
  <c r="BG25"/>
  <c r="P25" i="19" s="1"/>
  <c r="N25" s="1"/>
  <c r="AW25" i="18"/>
  <c r="J25" i="19" s="1"/>
  <c r="H25" s="1"/>
  <c r="AM24" i="18"/>
  <c r="D24" i="19" s="1"/>
  <c r="B24" s="1"/>
  <c r="AR24" i="18"/>
  <c r="B31" i="19"/>
  <c r="B25"/>
  <c r="S32"/>
  <c r="Q32" s="1"/>
  <c r="S25"/>
  <c r="Q25" s="1"/>
  <c r="V28"/>
  <c r="B28"/>
  <c r="T28" s="1"/>
  <c r="G31"/>
  <c r="E31" s="1"/>
  <c r="B23"/>
  <c r="V29"/>
  <c r="B29"/>
  <c r="B32"/>
  <c r="G26"/>
  <c r="E26" s="1"/>
  <c r="S21"/>
  <c r="G30"/>
  <c r="P31"/>
  <c r="N31" s="1"/>
  <c r="P27"/>
  <c r="N27" s="1"/>
  <c r="S26"/>
  <c r="Q26" s="1"/>
  <c r="AM21" i="18"/>
  <c r="P21" i="19"/>
  <c r="AM27" i="18"/>
  <c r="D27" i="19" s="1"/>
  <c r="AM26" i="18"/>
  <c r="D26" i="19" s="1"/>
  <c r="V30" l="1"/>
  <c r="E30"/>
  <c r="T30" s="1"/>
  <c r="S23"/>
  <c r="Q23" s="1"/>
  <c r="G24"/>
  <c r="S24"/>
  <c r="Q24" s="1"/>
  <c r="S22"/>
  <c r="Q22" s="1"/>
  <c r="BG20" i="18"/>
  <c r="AW20"/>
  <c r="V32" i="19"/>
  <c r="BB20" i="18"/>
  <c r="BB5" s="1"/>
  <c r="H20" i="19"/>
  <c r="H5" s="1"/>
  <c r="H4" s="1"/>
  <c r="AM20" i="18"/>
  <c r="AR20"/>
  <c r="AR5" s="1"/>
  <c r="V22" i="19"/>
  <c r="W22" s="1"/>
  <c r="V31"/>
  <c r="T29"/>
  <c r="J20"/>
  <c r="J5" s="1"/>
  <c r="J4" s="1"/>
  <c r="B27"/>
  <c r="T27" s="1"/>
  <c r="V27"/>
  <c r="M20"/>
  <c r="M5" s="1"/>
  <c r="M4" s="1"/>
  <c r="K21"/>
  <c r="K20" s="1"/>
  <c r="D21"/>
  <c r="Q21"/>
  <c r="T32"/>
  <c r="V23"/>
  <c r="W23" s="1"/>
  <c r="T25"/>
  <c r="T31"/>
  <c r="V26"/>
  <c r="B26"/>
  <c r="T26" s="1"/>
  <c r="N21"/>
  <c r="N20" s="1"/>
  <c r="P20"/>
  <c r="G20"/>
  <c r="G5" s="1"/>
  <c r="G4" s="1"/>
  <c r="E21"/>
  <c r="T23"/>
  <c r="V25"/>
  <c r="T22"/>
  <c r="V24" l="1"/>
  <c r="W24" s="1"/>
  <c r="E24"/>
  <c r="T24" s="1"/>
  <c r="S20"/>
  <c r="S5" s="1"/>
  <c r="S4" s="1"/>
  <c r="AW5" i="18"/>
  <c r="Q20" i="19"/>
  <c r="BG5" i="18"/>
  <c r="P5" i="19"/>
  <c r="P4" s="1"/>
  <c r="N5"/>
  <c r="N4" s="1"/>
  <c r="AM5" i="18"/>
  <c r="B21" i="19"/>
  <c r="V21"/>
  <c r="V20" s="1"/>
  <c r="D20"/>
  <c r="D5" s="1"/>
  <c r="D4" s="1"/>
  <c r="K5"/>
  <c r="K4" s="1"/>
  <c r="E20" l="1"/>
  <c r="E5" s="1"/>
  <c r="E4" s="1"/>
  <c r="V5"/>
  <c r="V4" s="1"/>
  <c r="Q5"/>
  <c r="Q4" s="1"/>
  <c r="W21"/>
  <c r="T21"/>
  <c r="T20" s="1"/>
  <c r="B20"/>
  <c r="AC5" i="18"/>
  <c r="AH3" s="1"/>
  <c r="T5" i="19" l="1"/>
  <c r="T4" s="1"/>
  <c r="B10" i="21"/>
  <c r="W5" i="19"/>
  <c r="W4" s="1"/>
  <c r="B5"/>
  <c r="B4" s="1"/>
  <c r="B31" i="21" l="1"/>
  <c r="B29" s="1"/>
  <c r="B8"/>
  <c r="B12" s="1"/>
  <c r="B16" s="1"/>
  <c r="D10"/>
  <c r="D8" s="1"/>
  <c r="D31" l="1"/>
  <c r="D29" s="1"/>
  <c r="F8"/>
  <c r="D33"/>
  <c r="B33"/>
  <c r="D12" l="1"/>
  <c r="F12" s="1"/>
  <c r="B34"/>
  <c r="C34"/>
  <c r="D35"/>
  <c r="C13" l="1"/>
  <c r="B13"/>
  <c r="B37"/>
  <c r="B38" l="1"/>
  <c r="G38"/>
  <c r="C38"/>
  <c r="D14" l="1"/>
  <c r="D16" l="1"/>
  <c r="C17" s="1"/>
  <c r="B17" l="1"/>
  <c r="H37" i="26"/>
  <c r="H39" s="1"/>
  <c r="H40" s="1"/>
  <c r="G33"/>
  <c r="G35"/>
  <c r="G36"/>
  <c r="G31" l="1"/>
  <c r="G39" s="1"/>
  <c r="G40" s="1"/>
</calcChain>
</file>

<file path=xl/comments1.xml><?xml version="1.0" encoding="utf-8"?>
<comments xmlns="http://schemas.openxmlformats.org/spreadsheetml/2006/main">
  <authors>
    <author>user</author>
  </authors>
  <commentList>
    <comment ref="A2" authorId="0">
      <text>
        <r>
          <rPr>
            <b/>
            <sz val="9"/>
            <color indexed="81"/>
            <rFont val="Tahoma"/>
            <family val="2"/>
          </rPr>
          <t>NÃO INCLUIR OU EXCLUIR LINHAS NAS PLANILHAS. ESSAS AÇÕES PODEM QUEBRAR TODOS OS VÍNCULOS DE CÁLCULO AUTOMÁTICO</t>
        </r>
        <r>
          <rPr>
            <sz val="9"/>
            <color indexed="81"/>
            <rFont val="Tahoma"/>
            <family val="2"/>
          </rPr>
          <t xml:space="preserve">
</t>
        </r>
      </text>
    </comment>
    <comment ref="E4" authorId="0">
      <text>
        <r>
          <rPr>
            <b/>
            <sz val="9"/>
            <color indexed="81"/>
            <rFont val="Tahoma"/>
            <family val="2"/>
          </rPr>
          <t>Antes de iniciar o preenchimento desta planilha  a equipe de projeto deve definir e preencher as planilhas (22A, 22B, 22C e 22D) dos “Parâmetros de Custos”, que irão nortear as equipes na alocação dos recursos do Projeto</t>
        </r>
        <r>
          <rPr>
            <sz val="9"/>
            <color indexed="81"/>
            <rFont val="Tahoma"/>
            <family val="2"/>
          </rPr>
          <t xml:space="preserve">
</t>
        </r>
      </text>
    </comment>
    <comment ref="F4" authorId="0">
      <text>
        <r>
          <rPr>
            <b/>
            <sz val="9"/>
            <color indexed="81"/>
            <rFont val="Tahoma"/>
            <family val="2"/>
          </rPr>
          <t>Esta coluna só deve ser preenchida durante a elaboração do Projeto, após a elaboração do Marco de Resultados do Projeto.</t>
        </r>
        <r>
          <rPr>
            <sz val="9"/>
            <color indexed="81"/>
            <rFont val="Tahoma"/>
            <family val="2"/>
          </rPr>
          <t xml:space="preserve">
</t>
        </r>
      </text>
    </comment>
    <comment ref="B6" authorId="0">
      <text>
        <r>
          <rPr>
            <b/>
            <sz val="9"/>
            <color indexed="81"/>
            <rFont val="Tahoma"/>
            <family val="2"/>
          </rPr>
          <t xml:space="preserve">Nesta planilha devem ser descritos os PRODUTOS que serão desenvolvidas no âmbito do Projeto Estadual. O PRODUTO deve ser descrito como uma "ação concluída": Modelo de gestão por resultados definido aprovado, divulgado e implantado. 
</t>
        </r>
        <r>
          <rPr>
            <sz val="9"/>
            <color indexed="81"/>
            <rFont val="Tahoma"/>
            <family val="2"/>
          </rPr>
          <t xml:space="preserve">
</t>
        </r>
      </text>
    </comment>
    <comment ref="F6" authorId="0">
      <text>
        <r>
          <rPr>
            <b/>
            <sz val="9"/>
            <color indexed="81"/>
            <rFont val="Tahoma"/>
            <family val="2"/>
          </rPr>
          <t>Nesta coluna devem ser indicados os produtos com ionício de execução programada para os primeiros 18 meses de execução do Projeto, de acordo com o Cronograma Físico da planilha 18.</t>
        </r>
        <r>
          <rPr>
            <sz val="9"/>
            <color indexed="81"/>
            <rFont val="Tahoma"/>
            <family val="2"/>
          </rPr>
          <t xml:space="preserve">
</t>
        </r>
      </text>
    </comment>
    <comment ref="B7" authorId="0">
      <text>
        <r>
          <rPr>
            <b/>
            <sz val="9"/>
            <color indexed="81"/>
            <rFont val="Tahoma"/>
            <family val="2"/>
          </rPr>
          <t>Deve ser selecionada a opção NÃO para que o Produto seja automaticamente EXCLUÍDO da planilha específica do Subcomponente.</t>
        </r>
        <r>
          <rPr>
            <sz val="9"/>
            <color indexed="81"/>
            <rFont val="Tahoma"/>
            <family val="2"/>
          </rPr>
          <t xml:space="preserve">
</t>
        </r>
      </text>
    </comment>
    <comment ref="F7" authorId="0">
      <text>
        <r>
          <rPr>
            <b/>
            <sz val="9"/>
            <color indexed="81"/>
            <rFont val="Tahoma"/>
            <family val="2"/>
          </rPr>
          <t>Deve ser selecionada a opção SIM para que o Produto seja incluído no Plano Operacional (POA) - 18 meses do Projeto</t>
        </r>
        <r>
          <rPr>
            <sz val="9"/>
            <color indexed="81"/>
            <rFont val="Tahoma"/>
            <family val="2"/>
          </rPr>
          <t xml:space="preserve">
</t>
        </r>
      </text>
    </comment>
  </commentList>
</comments>
</file>

<file path=xl/comments2.xml><?xml version="1.0" encoding="utf-8"?>
<comments xmlns="http://schemas.openxmlformats.org/spreadsheetml/2006/main">
  <authors>
    <author>user</author>
  </authors>
  <commentList>
    <comment ref="A3" authorId="0">
      <text>
        <r>
          <rPr>
            <b/>
            <sz val="9"/>
            <color indexed="81"/>
            <rFont val="Tahoma"/>
            <family val="2"/>
          </rPr>
          <t>Qualquer alteração no PRODUTO (descrição, inclusão alteração,exclusão) deve ser efetuada APENAS na PLANILHA 3</t>
        </r>
      </text>
    </comment>
    <comment ref="B3" authorId="0">
      <text>
        <r>
          <rPr>
            <b/>
            <sz val="9"/>
            <color indexed="81"/>
            <rFont val="Tahoma"/>
            <family val="2"/>
          </rPr>
          <t xml:space="preserve">As Atividades representam o “como fazer”, ou seja, o conjunto de tarefas que devem ser executadas para o desenvolvimento do produto. Preferencialmente, devem ser expressas com o verbo no infinitivo para indicar uma ação.
</t>
        </r>
        <r>
          <rPr>
            <sz val="9"/>
            <color indexed="81"/>
            <rFont val="Tahoma"/>
            <family val="2"/>
          </rPr>
          <t xml:space="preserve">
</t>
        </r>
      </text>
    </comment>
    <comment ref="C3" authorId="0">
      <text>
        <r>
          <rPr>
            <b/>
            <sz val="9"/>
            <color indexed="81"/>
            <rFont val="Tahoma"/>
            <family val="2"/>
          </rPr>
          <t xml:space="preserve">formadas por um objetivo, um prazo e uma quantidade. Neste campo devem ser indicadas as metas de execução do PRODUTO e sua LINHA DE BASE: situação atual da meta.
</t>
        </r>
        <r>
          <rPr>
            <sz val="9"/>
            <color indexed="81"/>
            <rFont val="Tahoma"/>
            <family val="2"/>
          </rPr>
          <t xml:space="preserve">
</t>
        </r>
      </text>
    </comment>
    <comment ref="D3" authorId="0">
      <text>
        <r>
          <rPr>
            <b/>
            <sz val="9"/>
            <color indexed="81"/>
            <rFont val="Tahoma"/>
            <family val="2"/>
          </rPr>
          <t>Este recurso financia a contratação de cursos, seminários ou outras formas de treinamento, bolsas e realização de visitas técnicas, nacionais e internacionais</t>
        </r>
        <r>
          <rPr>
            <sz val="9"/>
            <color indexed="81"/>
            <rFont val="Tahoma"/>
            <family val="2"/>
          </rPr>
          <t xml:space="preserve">
</t>
        </r>
      </text>
    </comment>
    <comment ref="H3" authorId="0">
      <text>
        <r>
          <rPr>
            <sz val="9"/>
            <color indexed="81"/>
            <rFont val="Tahoma"/>
            <family val="2"/>
          </rPr>
          <t xml:space="preserve">Este recurso financia a contratação de pessoas físicas ou jurídicas, nacionais ou internacionais, para apoiar ou desenvolver produtos especificados financiáveis, inclusive sistemas informatizados
</t>
        </r>
      </text>
    </comment>
    <comment ref="L3" authorId="0">
      <text>
        <r>
          <rPr>
            <b/>
            <sz val="9"/>
            <color indexed="81"/>
            <rFont val="Tahoma"/>
            <family val="2"/>
          </rPr>
          <t>Este recurso financia a aquisição e instalação de hardware, de redes (lógica e elétrica), de software básico e de sistemas aplicativos</t>
        </r>
      </text>
    </comment>
    <comment ref="P3" authorId="0">
      <text>
        <r>
          <rPr>
            <b/>
            <sz val="9"/>
            <color indexed="81"/>
            <rFont val="Tahoma"/>
            <family val="2"/>
          </rPr>
          <t>Este recurso financia a aquisição de veículos, material permanente, recursos instrucionais e de divulgação e outros materiais e contratação de serviços (exceto Consultoria) de apoio operacional</t>
        </r>
        <r>
          <rPr>
            <sz val="9"/>
            <color indexed="81"/>
            <rFont val="Tahoma"/>
            <family val="2"/>
          </rPr>
          <t xml:space="preserve">
</t>
        </r>
      </text>
    </comment>
    <comment ref="T3" authorId="0">
      <text>
        <r>
          <rPr>
            <b/>
            <sz val="9"/>
            <color indexed="81"/>
            <rFont val="Tahoma"/>
            <family val="2"/>
          </rPr>
          <t>Este recurso financia a contratação de reformas e adequações em ambientes físicos necessários ao funcionamento de unidades operacionais</t>
        </r>
        <r>
          <rPr>
            <sz val="9"/>
            <color indexed="81"/>
            <rFont val="Tahoma"/>
            <family val="2"/>
          </rPr>
          <t xml:space="preserve">
</t>
        </r>
      </text>
    </comment>
    <comment ref="D4" authorId="0">
      <text>
        <r>
          <rPr>
            <sz val="9"/>
            <color indexed="81"/>
            <rFont val="Tahoma"/>
            <family val="2"/>
          </rPr>
          <t xml:space="preserve">Indicar a área de capacitação
</t>
        </r>
      </text>
    </comment>
    <comment ref="H4" authorId="0">
      <text>
        <r>
          <rPr>
            <b/>
            <sz val="9"/>
            <color indexed="81"/>
            <rFont val="Tahoma"/>
            <family val="2"/>
          </rPr>
          <t>Indicar a área de contratação da consultoria</t>
        </r>
        <r>
          <rPr>
            <sz val="9"/>
            <color indexed="81"/>
            <rFont val="Tahoma"/>
            <family val="2"/>
          </rPr>
          <t xml:space="preserve">
</t>
        </r>
      </text>
    </comment>
    <comment ref="L4" authorId="0">
      <text>
        <r>
          <rPr>
            <b/>
            <sz val="9"/>
            <color indexed="81"/>
            <rFont val="Tahoma"/>
            <family val="2"/>
          </rPr>
          <t>Descrever o tipo de equipamento. Caso a lista do produto seja superior a quantidade de campos, criar na planilha de Parâmetros de Custos CONJUNTOS DO TIPO: Estação de trabalho (1 micro, 1 monitor de 17, 1 impressora, etc) e indicar aqui apenas o nome do conjunto, quantidade de conjuntos e o valor unitário do conjunto.</t>
        </r>
      </text>
    </comment>
    <comment ref="P4" authorId="0">
      <text>
        <r>
          <rPr>
            <b/>
            <sz val="9"/>
            <color indexed="81"/>
            <rFont val="Tahoma"/>
            <family val="2"/>
          </rPr>
          <t>Descrever o tipo de equipamento. Caso a lista do produto seja superior a quantidade de campos, criar na planilha de Parâmetros de Custos CONJUNTOS DO TIPO: Ambiente de Trabalho (1 mesa, 5 cadeiras, 1 armário 1 estante 1 ar refrigerado) e indicar aqui apenas o nome do conjunto, quantidade de conjuntos e o valor unitário do conjunto.</t>
        </r>
        <r>
          <rPr>
            <sz val="9"/>
            <color indexed="81"/>
            <rFont val="Tahoma"/>
            <family val="2"/>
          </rPr>
          <t xml:space="preserve">
</t>
        </r>
      </text>
    </comment>
    <comment ref="T4" authorId="0">
      <text>
        <r>
          <rPr>
            <b/>
            <sz val="9"/>
            <color indexed="81"/>
            <rFont val="Tahoma"/>
            <family val="2"/>
          </rPr>
          <t>Indicar o tipo de reforma ou adequação física</t>
        </r>
        <r>
          <rPr>
            <sz val="9"/>
            <color indexed="81"/>
            <rFont val="Tahoma"/>
            <family val="2"/>
          </rPr>
          <t xml:space="preserve">
</t>
        </r>
      </text>
    </comment>
  </commentList>
</comments>
</file>

<file path=xl/comments3.xml><?xml version="1.0" encoding="utf-8"?>
<comments xmlns="http://schemas.openxmlformats.org/spreadsheetml/2006/main">
  <authors>
    <author>user</author>
  </authors>
  <commentList>
    <comment ref="A3" authorId="0">
      <text>
        <r>
          <rPr>
            <b/>
            <sz val="9"/>
            <color indexed="81"/>
            <rFont val="Tahoma"/>
            <family val="2"/>
          </rPr>
          <t>Qualquer alteração no PRODUTO (descrição, inclusão alteração,exclusão) deve ser efetuada APENAS na PLANILHA 3</t>
        </r>
      </text>
    </comment>
    <comment ref="B3" authorId="0">
      <text>
        <r>
          <rPr>
            <b/>
            <sz val="9"/>
            <color indexed="81"/>
            <rFont val="Tahoma"/>
            <family val="2"/>
          </rPr>
          <t xml:space="preserve">As Atividades representam o “como fazer”, ou seja, o conjunto de tarefas que devem ser executadas para o desenvolvimento do produto. Preferencialmente, devem ser expressas com o verbo no infinitivo para indicar uma ação.
</t>
        </r>
        <r>
          <rPr>
            <sz val="9"/>
            <color indexed="81"/>
            <rFont val="Tahoma"/>
            <family val="2"/>
          </rPr>
          <t xml:space="preserve">
</t>
        </r>
      </text>
    </comment>
    <comment ref="C3" authorId="0">
      <text>
        <r>
          <rPr>
            <b/>
            <sz val="9"/>
            <color indexed="81"/>
            <rFont val="Tahoma"/>
            <family val="2"/>
          </rPr>
          <t xml:space="preserve">formadas por um objetivo, um prazo e uma quantidade. Neste campo devem ser indicadas as metas de execução do PRODUTO e sua LINHA DE BASE: situação atual da meta.
</t>
        </r>
        <r>
          <rPr>
            <sz val="9"/>
            <color indexed="81"/>
            <rFont val="Tahoma"/>
            <family val="2"/>
          </rPr>
          <t xml:space="preserve">
</t>
        </r>
      </text>
    </comment>
    <comment ref="D3" authorId="0">
      <text>
        <r>
          <rPr>
            <b/>
            <sz val="9"/>
            <color indexed="81"/>
            <rFont val="Tahoma"/>
            <family val="2"/>
          </rPr>
          <t>Este recurso financia a contratação de cursos, seminários ou outras formas de treinamento, bolsas e realização de visitas técnicas, nacionais e internacionais</t>
        </r>
        <r>
          <rPr>
            <sz val="9"/>
            <color indexed="81"/>
            <rFont val="Tahoma"/>
            <family val="2"/>
          </rPr>
          <t xml:space="preserve">
</t>
        </r>
      </text>
    </comment>
    <comment ref="H3" authorId="0">
      <text>
        <r>
          <rPr>
            <sz val="9"/>
            <color indexed="81"/>
            <rFont val="Tahoma"/>
            <family val="2"/>
          </rPr>
          <t xml:space="preserve">Este recurso financia a contratação de pessoas físicas ou jurídicas, nacionais ou internacionais, para apoiar ou desenvolver produtos especificados financiáveis, inclusive sistemas informatizados
</t>
        </r>
      </text>
    </comment>
    <comment ref="L3" authorId="0">
      <text>
        <r>
          <rPr>
            <b/>
            <sz val="9"/>
            <color indexed="81"/>
            <rFont val="Tahoma"/>
            <family val="2"/>
          </rPr>
          <t>Este recurso financia a aquisição e instalação de hardware, de redes (lógica e elétrica), de software básico e de sistemas aplicativos</t>
        </r>
      </text>
    </comment>
    <comment ref="P3" authorId="0">
      <text>
        <r>
          <rPr>
            <b/>
            <sz val="9"/>
            <color indexed="81"/>
            <rFont val="Tahoma"/>
            <family val="2"/>
          </rPr>
          <t>Este recurso financia a aquisição de veículos, material permanente, recursos instrucionais e de divulgação e outros materiais e contratação de serviços (exceto Consultoria) de apoio operacional</t>
        </r>
        <r>
          <rPr>
            <sz val="9"/>
            <color indexed="81"/>
            <rFont val="Tahoma"/>
            <family val="2"/>
          </rPr>
          <t xml:space="preserve">
</t>
        </r>
      </text>
    </comment>
    <comment ref="T3" authorId="0">
      <text>
        <r>
          <rPr>
            <b/>
            <sz val="9"/>
            <color indexed="81"/>
            <rFont val="Tahoma"/>
            <family val="2"/>
          </rPr>
          <t>Este recurso financia a contratação de reformas e adequações em ambientes físicos necessários ao funcionamento de unidades operacionais</t>
        </r>
        <r>
          <rPr>
            <sz val="9"/>
            <color indexed="81"/>
            <rFont val="Tahoma"/>
            <family val="2"/>
          </rPr>
          <t xml:space="preserve">
</t>
        </r>
      </text>
    </comment>
    <comment ref="D4" authorId="0">
      <text>
        <r>
          <rPr>
            <sz val="9"/>
            <color indexed="81"/>
            <rFont val="Tahoma"/>
            <family val="2"/>
          </rPr>
          <t xml:space="preserve">Indicar a área de capacitação
</t>
        </r>
      </text>
    </comment>
    <comment ref="H4" authorId="0">
      <text>
        <r>
          <rPr>
            <b/>
            <sz val="9"/>
            <color indexed="81"/>
            <rFont val="Tahoma"/>
            <family val="2"/>
          </rPr>
          <t>Indicar a área de contratação da consultoria</t>
        </r>
        <r>
          <rPr>
            <sz val="9"/>
            <color indexed="81"/>
            <rFont val="Tahoma"/>
            <family val="2"/>
          </rPr>
          <t xml:space="preserve">
</t>
        </r>
      </text>
    </comment>
    <comment ref="L4" authorId="0">
      <text>
        <r>
          <rPr>
            <b/>
            <sz val="9"/>
            <color indexed="81"/>
            <rFont val="Tahoma"/>
            <family val="2"/>
          </rPr>
          <t>Descrever o tipo de equipamento. Caso a lista do produto seja superior a quantidade de campos, criar na planilha de Parâmetros de Custos CONJUNTOS DO TIPO: Estação de trabalho (1 micro, 1 monitor de 17, 1 impressora, etc) e indicar aqui apenas o nome do conjunto, quantidade de conjuntos e o valor unitário do conjunto.</t>
        </r>
      </text>
    </comment>
    <comment ref="P4" authorId="0">
      <text>
        <r>
          <rPr>
            <b/>
            <sz val="9"/>
            <color indexed="81"/>
            <rFont val="Tahoma"/>
            <family val="2"/>
          </rPr>
          <t>Descrever o tipo de equipamento. Caso a lista do produto seja superior a quantidade de campos, criar na planilha de Parâmetros de Custos CONJUNTOS DO TIPO: Ambiente de Trabalho (1 mesa, 5 cadeiras, 1 armário 1 estante 1 ar refrigerado) e indicar aqui apenas o nome do conjunto, quantidade de conjuntos e o valor unitário do conjunto.</t>
        </r>
        <r>
          <rPr>
            <sz val="9"/>
            <color indexed="81"/>
            <rFont val="Tahoma"/>
            <family val="2"/>
          </rPr>
          <t xml:space="preserve">
</t>
        </r>
      </text>
    </comment>
    <comment ref="T4" authorId="0">
      <text>
        <r>
          <rPr>
            <b/>
            <sz val="9"/>
            <color indexed="81"/>
            <rFont val="Tahoma"/>
            <family val="2"/>
          </rPr>
          <t>Indicar o tipo de reforma ou adequação física</t>
        </r>
        <r>
          <rPr>
            <sz val="9"/>
            <color indexed="81"/>
            <rFont val="Tahoma"/>
            <family val="2"/>
          </rPr>
          <t xml:space="preserve">
</t>
        </r>
      </text>
    </comment>
  </commentList>
</comments>
</file>

<file path=xl/comments4.xml><?xml version="1.0" encoding="utf-8"?>
<comments xmlns="http://schemas.openxmlformats.org/spreadsheetml/2006/main">
  <authors>
    <author>user</author>
  </authors>
  <commentList>
    <comment ref="A3" authorId="0">
      <text>
        <r>
          <rPr>
            <b/>
            <sz val="9"/>
            <color indexed="81"/>
            <rFont val="Tahoma"/>
            <family val="2"/>
          </rPr>
          <t>Qualquer alteração no PRODUTO (descrição, inclusão alteração,exclusão) deve ser efetuada APENAS na PLANILHA 3</t>
        </r>
      </text>
    </comment>
    <comment ref="B3" authorId="0">
      <text>
        <r>
          <rPr>
            <b/>
            <sz val="9"/>
            <color indexed="81"/>
            <rFont val="Tahoma"/>
            <family val="2"/>
          </rPr>
          <t xml:space="preserve">As Atividades representam o “como fazer”, ou seja, o conjunto de tarefas que devem ser executadas para o desenvolvimento do produto. Preferencialmente, devem ser expressas com o verbo no infinitivo para indicar uma ação.
</t>
        </r>
        <r>
          <rPr>
            <sz val="9"/>
            <color indexed="81"/>
            <rFont val="Tahoma"/>
            <family val="2"/>
          </rPr>
          <t xml:space="preserve">
</t>
        </r>
      </text>
    </comment>
    <comment ref="C3" authorId="0">
      <text>
        <r>
          <rPr>
            <b/>
            <sz val="9"/>
            <color indexed="81"/>
            <rFont val="Tahoma"/>
            <family val="2"/>
          </rPr>
          <t xml:space="preserve">formadas por um objetivo, um prazo e uma quantidade. Neste campo devem ser indicadas as metas de execução do PRODUTO e sua LINHA DE BASE: situação atual da meta.
</t>
        </r>
        <r>
          <rPr>
            <sz val="9"/>
            <color indexed="81"/>
            <rFont val="Tahoma"/>
            <family val="2"/>
          </rPr>
          <t xml:space="preserve">
</t>
        </r>
      </text>
    </comment>
    <comment ref="D3" authorId="0">
      <text>
        <r>
          <rPr>
            <b/>
            <sz val="9"/>
            <color indexed="81"/>
            <rFont val="Tahoma"/>
            <family val="2"/>
          </rPr>
          <t>Este recurso financia a contratação de cursos, seminários ou outras formas de treinamento, bolsas e realização de visitas técnicas, nacionais e internacionais</t>
        </r>
        <r>
          <rPr>
            <sz val="9"/>
            <color indexed="81"/>
            <rFont val="Tahoma"/>
            <family val="2"/>
          </rPr>
          <t xml:space="preserve">
</t>
        </r>
      </text>
    </comment>
    <comment ref="H3" authorId="0">
      <text>
        <r>
          <rPr>
            <sz val="9"/>
            <color indexed="81"/>
            <rFont val="Tahoma"/>
            <family val="2"/>
          </rPr>
          <t xml:space="preserve">Este recurso financia a contratação de pessoas físicas ou jurídicas, nacionais ou internacionais, para apoiar ou desenvolver produtos especificados financiáveis, inclusive sistemas informatizados
</t>
        </r>
      </text>
    </comment>
    <comment ref="L3" authorId="0">
      <text>
        <r>
          <rPr>
            <b/>
            <sz val="9"/>
            <color indexed="81"/>
            <rFont val="Tahoma"/>
            <family val="2"/>
          </rPr>
          <t>Este recurso financia a aquisição e instalação de hardware, de redes (lógica e elétrica), de software básico e de sistemas aplicativos</t>
        </r>
      </text>
    </comment>
    <comment ref="P3" authorId="0">
      <text>
        <r>
          <rPr>
            <b/>
            <sz val="9"/>
            <color indexed="81"/>
            <rFont val="Tahoma"/>
            <family val="2"/>
          </rPr>
          <t>Este recurso financia a aquisição de veículos, material permanente, recursos instrucionais e de divulgação e outros materiais e contratação de serviços (exceto Consultoria) de apoio operacional</t>
        </r>
        <r>
          <rPr>
            <sz val="9"/>
            <color indexed="81"/>
            <rFont val="Tahoma"/>
            <family val="2"/>
          </rPr>
          <t xml:space="preserve">
</t>
        </r>
      </text>
    </comment>
    <comment ref="T3" authorId="0">
      <text>
        <r>
          <rPr>
            <b/>
            <sz val="9"/>
            <color indexed="81"/>
            <rFont val="Tahoma"/>
            <family val="2"/>
          </rPr>
          <t>Este recurso financia a contratação de reformas e adequações em ambientes físicos necessários ao funcionamento de unidades operacionais</t>
        </r>
        <r>
          <rPr>
            <sz val="9"/>
            <color indexed="81"/>
            <rFont val="Tahoma"/>
            <family val="2"/>
          </rPr>
          <t xml:space="preserve">
</t>
        </r>
      </text>
    </comment>
    <comment ref="D4" authorId="0">
      <text>
        <r>
          <rPr>
            <sz val="9"/>
            <color indexed="81"/>
            <rFont val="Tahoma"/>
            <family val="2"/>
          </rPr>
          <t xml:space="preserve">Indicar a área de capacitação
</t>
        </r>
      </text>
    </comment>
    <comment ref="H4" authorId="0">
      <text>
        <r>
          <rPr>
            <b/>
            <sz val="9"/>
            <color indexed="81"/>
            <rFont val="Tahoma"/>
            <family val="2"/>
          </rPr>
          <t>Indicar a área de contratação da consultoria</t>
        </r>
        <r>
          <rPr>
            <sz val="9"/>
            <color indexed="81"/>
            <rFont val="Tahoma"/>
            <family val="2"/>
          </rPr>
          <t xml:space="preserve">
</t>
        </r>
      </text>
    </comment>
    <comment ref="L4" authorId="0">
      <text>
        <r>
          <rPr>
            <b/>
            <sz val="9"/>
            <color indexed="81"/>
            <rFont val="Tahoma"/>
            <family val="2"/>
          </rPr>
          <t>Descrever o tipo de equipamento. Caso a lista do produto seja superior a quantidade de campos, criar na planilha de Parâmetros de Custos CONJUNTOS DO TIPO: Estação de trabalho (1 micro, 1 monitor de 17, 1 impressora, etc) e indicar aqui apenas o nome do conjunto, quantidade de conjuntos e o valor unitário do conjunto.</t>
        </r>
      </text>
    </comment>
    <comment ref="P4" authorId="0">
      <text>
        <r>
          <rPr>
            <b/>
            <sz val="9"/>
            <color indexed="81"/>
            <rFont val="Tahoma"/>
            <family val="2"/>
          </rPr>
          <t>Descrever o tipo de equipamento. Caso a lista do produto seja superior a quantidade de campos, criar na planilha de Parâmetros de Custos CONJUNTOS DO TIPO: Ambiente de Trabalho (1 mesa, 5 cadeiras, 1 armário 1 estante 1 ar refrigerado) e indicar aqui apenas o nome do conjunto, quantidade de conjuntos e o valor unitário do conjunto.</t>
        </r>
        <r>
          <rPr>
            <sz val="9"/>
            <color indexed="81"/>
            <rFont val="Tahoma"/>
            <family val="2"/>
          </rPr>
          <t xml:space="preserve">
</t>
        </r>
      </text>
    </comment>
    <comment ref="T4" authorId="0">
      <text>
        <r>
          <rPr>
            <b/>
            <sz val="9"/>
            <color indexed="81"/>
            <rFont val="Tahoma"/>
            <family val="2"/>
          </rPr>
          <t>Indicar o tipo de reforma ou adequação física</t>
        </r>
        <r>
          <rPr>
            <sz val="9"/>
            <color indexed="81"/>
            <rFont val="Tahoma"/>
            <family val="2"/>
          </rPr>
          <t xml:space="preserve">
</t>
        </r>
      </text>
    </comment>
  </commentList>
</comments>
</file>

<file path=xl/comments5.xml><?xml version="1.0" encoding="utf-8"?>
<comments xmlns="http://schemas.openxmlformats.org/spreadsheetml/2006/main">
  <authors>
    <author>user</author>
  </authors>
  <commentList>
    <comment ref="A3" authorId="0">
      <text>
        <r>
          <rPr>
            <b/>
            <sz val="9"/>
            <color indexed="81"/>
            <rFont val="Tahoma"/>
            <family val="2"/>
          </rPr>
          <t>Qualquer alteração no PRODUTO (descrição, inclusão alteração,exclusão) deve ser efetuada APENAS na PLANILHA 3</t>
        </r>
      </text>
    </comment>
    <comment ref="B3" authorId="0">
      <text>
        <r>
          <rPr>
            <b/>
            <sz val="9"/>
            <color indexed="81"/>
            <rFont val="Tahoma"/>
            <family val="2"/>
          </rPr>
          <t xml:space="preserve">As Atividades representam o “como fazer”, ou seja, o conjunto de tarefas que devem ser executadas para o desenvolvimento do produto. Preferencialmente, devem ser expressas com o verbo no infinitivo para indicar uma ação.
</t>
        </r>
        <r>
          <rPr>
            <sz val="9"/>
            <color indexed="81"/>
            <rFont val="Tahoma"/>
            <family val="2"/>
          </rPr>
          <t xml:space="preserve">
</t>
        </r>
      </text>
    </comment>
    <comment ref="C3" authorId="0">
      <text>
        <r>
          <rPr>
            <b/>
            <sz val="9"/>
            <color indexed="81"/>
            <rFont val="Tahoma"/>
            <family val="2"/>
          </rPr>
          <t xml:space="preserve">formadas por um objetivo, um prazo e uma quantidade. Neste campo devem ser indicadas as metas de execução do PRODUTO e sua LINHA DE BASE: situação atual da meta.
</t>
        </r>
        <r>
          <rPr>
            <sz val="9"/>
            <color indexed="81"/>
            <rFont val="Tahoma"/>
            <family val="2"/>
          </rPr>
          <t xml:space="preserve">
</t>
        </r>
      </text>
    </comment>
    <comment ref="D3" authorId="0">
      <text>
        <r>
          <rPr>
            <b/>
            <sz val="9"/>
            <color indexed="81"/>
            <rFont val="Tahoma"/>
            <family val="2"/>
          </rPr>
          <t>Este recurso financia a contratação de cursos, seminários ou outras formas de treinamento, bolsas e realização de visitas técnicas, nacionais e internacionais</t>
        </r>
        <r>
          <rPr>
            <sz val="9"/>
            <color indexed="81"/>
            <rFont val="Tahoma"/>
            <family val="2"/>
          </rPr>
          <t xml:space="preserve">
</t>
        </r>
      </text>
    </comment>
    <comment ref="H3" authorId="0">
      <text>
        <r>
          <rPr>
            <sz val="9"/>
            <color indexed="81"/>
            <rFont val="Tahoma"/>
            <family val="2"/>
          </rPr>
          <t xml:space="preserve">Este recurso financia a contratação de pessoas físicas ou jurídicas, nacionais ou internacionais, para apoiar ou desenvolver produtos especificados financiáveis, inclusive sistemas informatizados
</t>
        </r>
      </text>
    </comment>
    <comment ref="L3" authorId="0">
      <text>
        <r>
          <rPr>
            <b/>
            <sz val="9"/>
            <color indexed="81"/>
            <rFont val="Tahoma"/>
            <family val="2"/>
          </rPr>
          <t>Este recurso financia a aquisição e instalação de hardware, de redes (lógica e elétrica), de software básico e de sistemas aplicativos</t>
        </r>
      </text>
    </comment>
    <comment ref="P3" authorId="0">
      <text>
        <r>
          <rPr>
            <b/>
            <sz val="9"/>
            <color indexed="81"/>
            <rFont val="Tahoma"/>
            <family val="2"/>
          </rPr>
          <t>Este recurso financia a aquisição de veículos, material permanente, recursos instrucionais e de divulgação e outros materiais e contratação de serviços (exceto Consultoria) de apoio operacional</t>
        </r>
        <r>
          <rPr>
            <sz val="9"/>
            <color indexed="81"/>
            <rFont val="Tahoma"/>
            <family val="2"/>
          </rPr>
          <t xml:space="preserve">
</t>
        </r>
      </text>
    </comment>
    <comment ref="T3" authorId="0">
      <text>
        <r>
          <rPr>
            <b/>
            <sz val="9"/>
            <color indexed="81"/>
            <rFont val="Tahoma"/>
            <family val="2"/>
          </rPr>
          <t>Este recurso financia a contratação de reformas e adequações em ambientes físicos necessários ao funcionamento de unidades operacionais</t>
        </r>
        <r>
          <rPr>
            <sz val="9"/>
            <color indexed="81"/>
            <rFont val="Tahoma"/>
            <family val="2"/>
          </rPr>
          <t xml:space="preserve">
</t>
        </r>
      </text>
    </comment>
    <comment ref="D4" authorId="0">
      <text>
        <r>
          <rPr>
            <sz val="9"/>
            <color indexed="81"/>
            <rFont val="Tahoma"/>
            <family val="2"/>
          </rPr>
          <t xml:space="preserve">Indicar a área de capacitação
</t>
        </r>
      </text>
    </comment>
    <comment ref="H4" authorId="0">
      <text>
        <r>
          <rPr>
            <b/>
            <sz val="9"/>
            <color indexed="81"/>
            <rFont val="Tahoma"/>
            <family val="2"/>
          </rPr>
          <t>Indicar a área de contratação da consultoria</t>
        </r>
        <r>
          <rPr>
            <sz val="9"/>
            <color indexed="81"/>
            <rFont val="Tahoma"/>
            <family val="2"/>
          </rPr>
          <t xml:space="preserve">
</t>
        </r>
      </text>
    </comment>
    <comment ref="L4" authorId="0">
      <text>
        <r>
          <rPr>
            <b/>
            <sz val="9"/>
            <color indexed="81"/>
            <rFont val="Tahoma"/>
            <family val="2"/>
          </rPr>
          <t>Descrever o tipo de equipamento. Caso a lista do produto seja superior a quantidade de campos, criar na planilha de Parâmetros de Custos CONJUNTOS DO TIPO: Estação de trabalho (1 micro, 1 monitor de 17, 1 impressora, etc) e indicar aqui apenas o nome do conjunto, quantidade de conjuntos e o valor unitário do conjunto.</t>
        </r>
      </text>
    </comment>
    <comment ref="P4" authorId="0">
      <text>
        <r>
          <rPr>
            <b/>
            <sz val="9"/>
            <color indexed="81"/>
            <rFont val="Tahoma"/>
            <family val="2"/>
          </rPr>
          <t>Descrever o tipo de equipamento. Caso a lista do produto seja superior a quantidade de campos, criar na planilha de Parâmetros de Custos CONJUNTOS DO TIPO: Ambiente de Trabalho (1 mesa, 5 cadeiras, 1 armário 1 estante 1 ar refrigerado) e indicar aqui apenas o nome do conjunto, quantidade de conjuntos e o valor unitário do conjunto.</t>
        </r>
        <r>
          <rPr>
            <sz val="9"/>
            <color indexed="81"/>
            <rFont val="Tahoma"/>
            <family val="2"/>
          </rPr>
          <t xml:space="preserve">
</t>
        </r>
      </text>
    </comment>
    <comment ref="T4" authorId="0">
      <text>
        <r>
          <rPr>
            <b/>
            <sz val="9"/>
            <color indexed="81"/>
            <rFont val="Tahoma"/>
            <family val="2"/>
          </rPr>
          <t>Indicar o tipo de reforma ou adequação física</t>
        </r>
        <r>
          <rPr>
            <sz val="9"/>
            <color indexed="81"/>
            <rFont val="Tahoma"/>
            <family val="2"/>
          </rPr>
          <t xml:space="preserve">
</t>
        </r>
      </text>
    </comment>
  </commentList>
</comments>
</file>

<file path=xl/comments6.xml><?xml version="1.0" encoding="utf-8"?>
<comments xmlns="http://schemas.openxmlformats.org/spreadsheetml/2006/main">
  <authors>
    <author>user</author>
  </authors>
  <commentList>
    <comment ref="A2" authorId="0">
      <text>
        <r>
          <rPr>
            <b/>
            <sz val="9"/>
            <color indexed="81"/>
            <rFont val="Tahoma"/>
            <family val="2"/>
          </rPr>
          <t>Qualquer alteração no PRODUTO (descrição, inclusão alteração,exclusão) deve ser efetuada APENAS na PLANILHA 3</t>
        </r>
      </text>
    </comment>
    <comment ref="B2" authorId="0">
      <text>
        <r>
          <rPr>
            <b/>
            <sz val="9"/>
            <color indexed="81"/>
            <rFont val="Tahoma"/>
            <family val="2"/>
          </rPr>
          <t xml:space="preserve">As Atividades representam o “como fazer”, ou seja, o conjunto de tarefas que devem ser executadas para o desenvolvimento do produto. Preferencialmente, devem ser expressas com o verbo no infinitivo para indicar uma ação.
</t>
        </r>
        <r>
          <rPr>
            <sz val="9"/>
            <color indexed="81"/>
            <rFont val="Tahoma"/>
            <family val="2"/>
          </rPr>
          <t xml:space="preserve">
</t>
        </r>
      </text>
    </comment>
    <comment ref="C2" authorId="0">
      <text>
        <r>
          <rPr>
            <b/>
            <sz val="9"/>
            <color indexed="81"/>
            <rFont val="Tahoma"/>
            <family val="2"/>
          </rPr>
          <t xml:space="preserve">formadas por um objetivo, um prazo e uma quantidade. Neste campo devem ser indicadas as metas de execução do PRODUTO e sua LINHA DE BASE: situação atual da meta.
</t>
        </r>
        <r>
          <rPr>
            <sz val="9"/>
            <color indexed="81"/>
            <rFont val="Tahoma"/>
            <family val="2"/>
          </rPr>
          <t xml:space="preserve">
</t>
        </r>
      </text>
    </comment>
  </commentList>
</comments>
</file>

<file path=xl/sharedStrings.xml><?xml version="1.0" encoding="utf-8"?>
<sst xmlns="http://schemas.openxmlformats.org/spreadsheetml/2006/main" count="877" uniqueCount="404">
  <si>
    <t>Unitário</t>
  </si>
  <si>
    <t>Dias</t>
  </si>
  <si>
    <t>Sim</t>
  </si>
  <si>
    <t>Produtos</t>
  </si>
  <si>
    <t>Atividades</t>
  </si>
  <si>
    <t>Meta e Linha de Base</t>
  </si>
  <si>
    <t>Capacitação</t>
  </si>
  <si>
    <t>Valores em R$</t>
  </si>
  <si>
    <t>Consultoria</t>
  </si>
  <si>
    <t>Eq e Sistemas de Informação</t>
  </si>
  <si>
    <t>Especificação</t>
  </si>
  <si>
    <t>Qt. Part.</t>
  </si>
  <si>
    <t>Área</t>
  </si>
  <si>
    <t>Tipo</t>
  </si>
  <si>
    <t>Qt.</t>
  </si>
  <si>
    <t>Descrição</t>
  </si>
  <si>
    <t>TOTAL</t>
  </si>
  <si>
    <t>CUSTOS TOTAIS (DIRETOS+ADM)</t>
  </si>
  <si>
    <t>A. Administração</t>
  </si>
  <si>
    <t>B. Custos Diretos</t>
  </si>
  <si>
    <t xml:space="preserve">C. Imprevistos </t>
  </si>
  <si>
    <t>D. Custos Financeiros</t>
  </si>
  <si>
    <t>TOTAL DO PROJETO</t>
  </si>
  <si>
    <t>US$</t>
  </si>
  <si>
    <t>ADMINISTRAÇÃO</t>
  </si>
  <si>
    <t>ÍNDICE</t>
  </si>
  <si>
    <t>Planilha</t>
  </si>
  <si>
    <t>Assunto</t>
  </si>
  <si>
    <t>Capa</t>
  </si>
  <si>
    <t>Índice</t>
  </si>
  <si>
    <t>A3 - Equipe de Projeto</t>
  </si>
  <si>
    <t>PRODUTOS</t>
  </si>
  <si>
    <t>Prior.</t>
  </si>
  <si>
    <t>CUSTOS DIRETOS</t>
  </si>
  <si>
    <t>BID</t>
  </si>
  <si>
    <t>Local</t>
  </si>
  <si>
    <t>1 US$ =</t>
  </si>
  <si>
    <t>ITENS</t>
  </si>
  <si>
    <t>R$</t>
  </si>
  <si>
    <t>Programação Desembolso</t>
  </si>
  <si>
    <t>Diferença</t>
  </si>
  <si>
    <t>Subtotal</t>
  </si>
  <si>
    <t>COMPONENTE / SUBCOMPONENTE</t>
  </si>
  <si>
    <t>Equip e Sistemas de Informação</t>
  </si>
  <si>
    <t>%</t>
  </si>
  <si>
    <t>SUBTOTAL CUSTOS DIRETOS</t>
  </si>
  <si>
    <t xml:space="preserve">% </t>
  </si>
  <si>
    <t>SUBTOTAL ADMINISTRAÇÃO</t>
  </si>
  <si>
    <t>TOTAL GERAL</t>
  </si>
  <si>
    <t xml:space="preserve">1 US$ = </t>
  </si>
  <si>
    <t>Valores em US$</t>
  </si>
  <si>
    <t>Início do Projeto:</t>
  </si>
  <si>
    <t>Data início</t>
  </si>
  <si>
    <t>Duração (meses)</t>
  </si>
  <si>
    <t>Data Término</t>
  </si>
  <si>
    <t>Ano 1</t>
  </si>
  <si>
    <t>Ano 2</t>
  </si>
  <si>
    <t>Ano 3</t>
  </si>
  <si>
    <t>Ano 4</t>
  </si>
  <si>
    <t>Ano 5</t>
  </si>
  <si>
    <t>Valor</t>
  </si>
  <si>
    <t>Produto</t>
  </si>
  <si>
    <t>Total</t>
  </si>
  <si>
    <t>A1 - Gestão do Projeto</t>
  </si>
  <si>
    <t>ESTA PLANILHA NÃO DEVE SER PREENCHIDA. CONSOLIDA OS RECURSOS DOS COMPONENTES E SUBCOMPONENTES.</t>
  </si>
  <si>
    <t>Antecipada</t>
  </si>
  <si>
    <t>Contrapartida</t>
  </si>
  <si>
    <t>Financiamento BID</t>
  </si>
  <si>
    <t>Valor 18M</t>
  </si>
  <si>
    <t>POA/PA</t>
  </si>
  <si>
    <t xml:space="preserve">1 US$ </t>
  </si>
  <si>
    <t>Data Início</t>
  </si>
  <si>
    <t>COMPONENTES
SUBCOMPONENTES E PRODUTOS</t>
  </si>
  <si>
    <t>REAIS (R$)</t>
  </si>
  <si>
    <t>DÓLARES (US$)</t>
  </si>
  <si>
    <t>Ramal</t>
  </si>
  <si>
    <t>Coordenadoria</t>
  </si>
  <si>
    <t>E-mail</t>
  </si>
  <si>
    <t>Líder</t>
  </si>
  <si>
    <t>Taxa de Câmbio:</t>
  </si>
  <si>
    <t>COMPONENTES</t>
  </si>
  <si>
    <t>Serviços Técnicos que nâo Consultoria</t>
  </si>
  <si>
    <t>Deslocamentos</t>
  </si>
  <si>
    <t xml:space="preserve">COMPONENTE </t>
  </si>
  <si>
    <t>IV- COMPONENTES E PRODUTOS</t>
  </si>
  <si>
    <t>V- PRODUTOS, ATIVIDADES E RECURSOS</t>
  </si>
  <si>
    <t>VI- CONSOLIDAÇÃO POR TIPO DE RECURSO (R$)</t>
  </si>
  <si>
    <t>VIII- DISTRIBUIÇÃO POR FONTE</t>
  </si>
  <si>
    <t>X- ORÇAMENTO GLOBAL (R$)</t>
  </si>
  <si>
    <t>XI- PLANO OPERACIONAL (POA) - 18 MESES</t>
  </si>
  <si>
    <t>Avaliação de projetos</t>
  </si>
  <si>
    <t>COMPONENTES E PRODUTOS</t>
  </si>
  <si>
    <t>VII- CRONOGRAMA FÍSICO E FINANCEIRO</t>
  </si>
  <si>
    <t>A2 -Avaliação Independente</t>
  </si>
  <si>
    <t>X - ORÇAMENTO GLOBAL (US$)</t>
  </si>
  <si>
    <t>VI - CONSOLIDAÇÃO POR TIPO DE RECURSO (US$)</t>
  </si>
  <si>
    <t>Ressarc.</t>
  </si>
  <si>
    <t>Vlr Total</t>
  </si>
  <si>
    <t>COMPONENTE 1: FORTALECIMENTO DA GESTÃO ESTRATÉGICA</t>
  </si>
  <si>
    <t>Passagens (120p)</t>
  </si>
  <si>
    <t>Diárias (120pX3dXR$250)</t>
  </si>
  <si>
    <t>Material p/ capacitação/implementação.</t>
  </si>
  <si>
    <t>Logistica eventos capacitação</t>
  </si>
  <si>
    <t xml:space="preserve"> Gerenciamento de riscos (3pX90dXR$800) &gt; 1 Gerente, 1 Esp. em Risco e 1 Esp. em TI</t>
  </si>
  <si>
    <t>Planejamento Estratégico/ de ação (3pX180dXR$800) &gt; 1 Gerente, 1 Esp. em Planejamento e 1 Técnico</t>
  </si>
  <si>
    <t>Gerenciamento de Risco (Esp. Internacional - Honorários)</t>
  </si>
  <si>
    <t>Passagens Equipe AGU (3pX3paises visitados)</t>
  </si>
  <si>
    <t>Diárias Equipe AGU (3pX5dX3paises)</t>
  </si>
  <si>
    <t>Passagens Esp. Internacional e Consultoria</t>
  </si>
  <si>
    <t>Diárias Esp. Internacional e Consultoria</t>
  </si>
  <si>
    <t>Logistica eventos discussão e capacitação.</t>
  </si>
  <si>
    <t>Passagens Consultor</t>
  </si>
  <si>
    <t>Diárias Consultor</t>
  </si>
  <si>
    <t>Passagens Equipe AGU (8p - 2 por RegionalX3eventos)</t>
  </si>
  <si>
    <t>Diárias Equipe AGU (8p - 2 por RegionalX3eventosX3dias)</t>
  </si>
  <si>
    <t xml:space="preserve">Ferramenta - Licença de uso </t>
  </si>
  <si>
    <t>Utilização da ferramenta</t>
  </si>
  <si>
    <t>Adequação / configuração (90 dias)</t>
  </si>
  <si>
    <t>Gestão do Conhecimento</t>
  </si>
  <si>
    <t xml:space="preserve">Solução - Licença de uso </t>
  </si>
  <si>
    <t>Utilização da Solução</t>
  </si>
  <si>
    <t>Gestão por processos (3pX60dXR$800) &gt; 1 Gerente, 2 Esp. em Gestão por processos</t>
  </si>
  <si>
    <t>Gestão de Projetos (3pX60dXR$800) &gt; 1 Gerente, 2 Esp. em Gestão de Projetos</t>
  </si>
  <si>
    <t>Gerencia de Projetos</t>
  </si>
  <si>
    <t>COMPONENTE 2: APRIMORAMENTO DA GESTÃO JURÍDICA DA AGU</t>
  </si>
  <si>
    <t xml:space="preserve">Capacitação </t>
  </si>
  <si>
    <t>2.2.1 Revisão das atuais práticas de consultoria e assessoramento, analisando a capacidade de atuação preventiva</t>
  </si>
  <si>
    <t>2.4.1 Consolidação da reestruturação dos fluxos de trabalho nos processos contenciososadministração indireta</t>
  </si>
  <si>
    <t xml:space="preserve">2.4.2 Consolidação da atual redefinição dos perfis profissionais </t>
  </si>
  <si>
    <t>2.4.3. Consolidação da reestruturação das unidades organizacionais em todos os níveis</t>
  </si>
  <si>
    <t>2.4.4 Revisão das atuais práticas de consultoria e assessoramento, analisando a capacidade de atuação preventiva</t>
  </si>
  <si>
    <t>2.6.1 Definição conceitual do Métodos Alternativos de Resolução de Conflitos (MARC)</t>
  </si>
  <si>
    <t>2.6.2 Desenho e implementação do MARC na APF</t>
  </si>
  <si>
    <t>2.6.3. Modelo de educação e sensibilização corporativa em técnicas de MARC</t>
  </si>
  <si>
    <t>2.7. Capacitação contínua de pessoal especializado em gerenciamento e recuperação de créditos</t>
  </si>
  <si>
    <t xml:space="preserve">2.8. Plano de ação para aprimoramento da integração interinstitucional entre os órgãos responsáveis pela dívida ativa </t>
  </si>
  <si>
    <t>2.11. Sistema Integrado de Gestão Jurídica da AGU desenvolvido e implantado</t>
  </si>
  <si>
    <t>2.11.1 Definição do modelo conceitual; proposta e definição de uma nova arquitetura de sistemas, incluindo as estratégias de migração dos sistemas atuais</t>
  </si>
  <si>
    <t>2.11.2 Desenvolvimento e implementação de um sistema integrado de gestão jurídica para a AGU, incluindo a interconexão com os sistemas do judiciário</t>
  </si>
  <si>
    <t>Analise de sistemas e modelo conceitual (6pX180d)</t>
  </si>
  <si>
    <t>Estações de trabalho</t>
  </si>
  <si>
    <t>Rede de comunicação</t>
  </si>
  <si>
    <t>Formação de multiplicadores (3 por Estado X 5 dias)</t>
  </si>
  <si>
    <t>Capacitação de Multiplicadores (4 turmas, 40hs/aula)</t>
  </si>
  <si>
    <t>Capacitação de Advogados (400 turmas, 20hs/aula)</t>
  </si>
  <si>
    <t>Capacitação dos Administrativos (300 turmas, 20hs/aula)</t>
  </si>
  <si>
    <t>Especificação de Sistemas - Modulos Credito Ativo (3pX90dXR$800) &gt; 1 Gerente, 1 Esp. em Credito/divida e 1 Esp. em TI</t>
  </si>
  <si>
    <t xml:space="preserve">Gestão Fiscal (3pX90dXR$800) &gt; 1 Gerente (economista ou advogado), 2 Esp. Gestão Fiscal </t>
  </si>
  <si>
    <t>Definição de Indicadores</t>
  </si>
  <si>
    <t xml:space="preserve">Gestão por resultados </t>
  </si>
  <si>
    <t>Escritorio de Gestão de Processos</t>
  </si>
  <si>
    <t>Passagens Equipe AGU (3pX8viagens)</t>
  </si>
  <si>
    <t>Diárias Equipe AGU (3pX8viagensX5dias)</t>
  </si>
  <si>
    <t>Passagens Equipe AGU (3pX3viagens)</t>
  </si>
  <si>
    <t>Diárias Equipe AGU (3pX3viagensX5dias)</t>
  </si>
  <si>
    <t>Demandas Jurídicas (3pX120dXR$800) &gt; 1 Gerente, 2 Esp. Advogados e análise de dados</t>
  </si>
  <si>
    <t>Práticas e rotinas para a prevenção   de demandas judiciais.</t>
  </si>
  <si>
    <t xml:space="preserve">Passagens </t>
  </si>
  <si>
    <t xml:space="preserve">Diárias </t>
  </si>
  <si>
    <t>Passagens Equipe AGU (3pX8viagens) - Acompanhamento dos Trabalhos</t>
  </si>
  <si>
    <t>Diárias Equipe AGU (3pX8viagensX5dias) - Acompanhamento dos Trabalhos</t>
  </si>
  <si>
    <t xml:space="preserve">Passagens Equipe AGU (2pX85viagens) - Implementação dos Processos </t>
  </si>
  <si>
    <t xml:space="preserve">Diárias Equipe AGU (2pX85viagensX5dias) - Implementação dos Processos </t>
  </si>
  <si>
    <t>Avaliação da Implementação dos Pilotos (3pX60dias/anoX4anos)</t>
  </si>
  <si>
    <t>Modelagem de Processos (8pX360dXR$800) &gt; 1 Gerente, 7 Esp. em Redesenho e Modelagem</t>
  </si>
  <si>
    <t xml:space="preserve">Passagens Equipe AGU (2pX27viagens) - Implementação dos Processos </t>
  </si>
  <si>
    <t xml:space="preserve">Diárias Equipe AGU (2pX27viagensX5dias) - Implementação dos Processos </t>
  </si>
  <si>
    <t xml:space="preserve">Passagens Equipe AGU (2pX120viagens) - Implementação dos Processos </t>
  </si>
  <si>
    <t xml:space="preserve">Diárias Equipe AGU (2pX120viagensX5dias) - Implementação dos Processos </t>
  </si>
  <si>
    <t>Métodos Alternativos de Resolução de Conflitos (3pX120dXR$800) &gt; 1 Gerente, 2 Esp. em MARC</t>
  </si>
  <si>
    <t>Logistica para eventos de dissseminação</t>
  </si>
  <si>
    <t xml:space="preserve">Material de Divulgação </t>
  </si>
  <si>
    <t>Passagens - Prospecção Internacional</t>
  </si>
  <si>
    <t>Diárias - Prospecção Internacional</t>
  </si>
  <si>
    <t>Passagens - Organização Eventos</t>
  </si>
  <si>
    <t>Diárias - Eventos</t>
  </si>
  <si>
    <t>Plano e implementação de Capacitação (2pX210d)</t>
  </si>
  <si>
    <t xml:space="preserve">Avaliação da Implementação do Plano </t>
  </si>
  <si>
    <t xml:space="preserve">Logistica para eventos de capacitação </t>
  </si>
  <si>
    <t xml:space="preserve">Material de Capacitação  </t>
  </si>
  <si>
    <t>Passagens (15pX20Eventos)</t>
  </si>
  <si>
    <t>Diárias (15pX20EventosX5dias)</t>
  </si>
  <si>
    <t xml:space="preserve">Banco de Dados e Recuperação de Créditos (3pX180dias) </t>
  </si>
  <si>
    <t xml:space="preserve">Avaliação </t>
  </si>
  <si>
    <t xml:space="preserve">Solução </t>
  </si>
  <si>
    <t xml:space="preserve">Customização </t>
  </si>
  <si>
    <t>Diagnóstico e definição de necessidades (3pX90dias)</t>
  </si>
  <si>
    <t>COMPONENTE 3: APRIMORAMENTO DA GESTÃO ADMINISTRATIVA DA AGU</t>
  </si>
  <si>
    <t>3.3. Implementação dos centros de custos</t>
  </si>
  <si>
    <t>3.6. Definição conceitual, desenho e implementação do modelo de gestão por competências da AGU</t>
  </si>
  <si>
    <t>3.6.1. Definição conceitual do modelo de gestão por competências da AGU</t>
  </si>
  <si>
    <t>3.6.2. Desenho e implementação do modelo de gestão por competências</t>
  </si>
  <si>
    <t xml:space="preserve">PLANO DE AÇÃO E DE INVESTIMENTOS (PAI) 
PLANO OPERACIONAL (POA)
</t>
  </si>
  <si>
    <t>ADVOCACIA GERAL DA UNIÃO</t>
  </si>
  <si>
    <t>AGU</t>
  </si>
  <si>
    <t>1.1. Plano de ação para a implementação da estratégia para melhorar a defesa jurídica do Estado e o papel da AGU na sustentabilidade jurídica das políticas públicas incluindo a avaliação dos riscos para o Estado (Diretrizes Estratégicas 2008/2015)</t>
  </si>
  <si>
    <t>1.4. Sistema de indicadores, metas e avaliação da gestão por resultados</t>
  </si>
  <si>
    <t>1.5. Ferramenta que permita verificar e monitorar a consistência entre os alinhamentos estratégicos e os resultados operacionais</t>
  </si>
  <si>
    <t>1.6. Criação de uma unidade de gestão do conhecimento</t>
  </si>
  <si>
    <t>1.8. Criação do Escritório de Processos</t>
  </si>
  <si>
    <t>1.10. Unidade responsável pela definição e monitoramento dos projetos institucionais (Escitório de Gestão de Projetos)</t>
  </si>
  <si>
    <t>Planejamento Estratégico (2pX90dias)</t>
  </si>
  <si>
    <t>Modelagem de Processos (4pX180dXR$800) &gt; 1 Gerente, 3 Esp. em Redesenho e Modelagem</t>
  </si>
  <si>
    <t>Avaliação da Implementação dos Pilotos (2pX30dias/anoX4anos)</t>
  </si>
  <si>
    <t>Passagens (2pX4anosX4Regionais)</t>
  </si>
  <si>
    <t>Diárias (32viagensX5dias)</t>
  </si>
  <si>
    <t>Centros de Custos (3pX120dias)</t>
  </si>
  <si>
    <t>Centros de Custos</t>
  </si>
  <si>
    <t>Logistica (3pX120dias)</t>
  </si>
  <si>
    <t>Logistica</t>
  </si>
  <si>
    <t>Modelagem de Processos (5pX270dXR$800) &gt; 1 Gerente, 7 Esp. em Redesenho e Modelagem</t>
  </si>
  <si>
    <t>Palestrantes com experiencia internacional</t>
  </si>
  <si>
    <t>RH - Gestão por competencia (Definição conceitual, desenho e implementação) &gt; (3pX720dias)</t>
  </si>
  <si>
    <t>Comunicação (2pX90dias) &gt; Plano</t>
  </si>
  <si>
    <t xml:space="preserve">Implementação assistida (Empresa de comunicação) </t>
  </si>
  <si>
    <t xml:space="preserve">Avaliação da Implementação </t>
  </si>
  <si>
    <t xml:space="preserve">Logistica p/ eventos </t>
  </si>
  <si>
    <t>Material de disseminação/divulgação</t>
  </si>
  <si>
    <t>Passagens</t>
  </si>
  <si>
    <t>Diárias</t>
  </si>
  <si>
    <t xml:space="preserve">Campanha </t>
  </si>
  <si>
    <t>Logistica p/ eventos (2 por ano)</t>
  </si>
  <si>
    <t>Campanha Interna</t>
  </si>
  <si>
    <t>Mudança Organizacional/Pesquisa (2pX120dias)</t>
  </si>
  <si>
    <t>PROGRAMA DE APOIO A MODERNIZAÇÃO DA ADVOCACIA GERAL DA UNIÃO</t>
  </si>
  <si>
    <t>CPD Central com espelho (Sevidores e Storage)</t>
  </si>
  <si>
    <t>Solução de Gestão eletronica de documentos (GED)</t>
  </si>
  <si>
    <t xml:space="preserve">Ilhas de Digitalização (Servidor e Scanner) </t>
  </si>
  <si>
    <t>Modelagem de Processos e Especificação de Calculos (8pX360dXR$800) &gt; 1 Gerente, 3 Esp. em Redesenho e Modelagem, 3 Especialistas em Calculo (algoritimos) e 1 em DBA.</t>
  </si>
  <si>
    <t xml:space="preserve">Desenvolvimento de Sistemas (6TecnicosX6mesesX12MacroP) </t>
  </si>
  <si>
    <t>Modelo Conceitual e Gestão documental (8pX360D) 1 Gerente, 1 arquivista, 3 modelo e sistemas, 3 gestão eletronica de docs.</t>
  </si>
  <si>
    <t>1. Seleção e Contratação de Técnicos Especialistas em Gestão de Projetos financiados por organismos internacionais (1 Adm.Financeiro, 1 em Aquisições e Contratações, 1 em Monitoramento e Avaliação).
2. Seleção e Contratação de Especialista em TIC.
3. Desenvolvimento de Modulo de Gestão Contabil, física e financeira do Programa.
4. Aquisição de Kits multimídia.
5. Capacitação da Equipe.</t>
  </si>
  <si>
    <t xml:space="preserve">Gestão de Projetos, Monitoramento e Avaliação </t>
  </si>
  <si>
    <t>Especialista em TIC</t>
  </si>
  <si>
    <t>Tecnicos Especialistas (3px4,5anos)</t>
  </si>
  <si>
    <t>Kits multimídia.</t>
  </si>
  <si>
    <t>Passagens (8pX4vz/anoX4anos)</t>
  </si>
  <si>
    <t>Diárias (8pX4vz/anoX4anosX3diárias)</t>
  </si>
  <si>
    <t>1. Realização de avaliações intermediária e final</t>
  </si>
  <si>
    <t>Desenvolvimento Modulo Sistema (2pX60dias)</t>
  </si>
  <si>
    <t xml:space="preserve">IMPREVISTOS </t>
  </si>
  <si>
    <t>Digitalização do acervo documental (8000 metros lineares)</t>
  </si>
  <si>
    <t>Ano 6</t>
  </si>
  <si>
    <t>Não</t>
  </si>
  <si>
    <t>Consolidação por Tipo de Recurso</t>
  </si>
  <si>
    <t>Cronograma Físico e Financeiro</t>
  </si>
  <si>
    <t>ADM</t>
  </si>
  <si>
    <t>COMPONENTE 3</t>
  </si>
  <si>
    <t>COMPONENTE 2</t>
  </si>
  <si>
    <t xml:space="preserve">COMPONENTE 1 </t>
  </si>
  <si>
    <t>Componentes e Produtos</t>
  </si>
  <si>
    <t>Distribuição por Fonte</t>
  </si>
  <si>
    <t>Orçamento Global</t>
  </si>
  <si>
    <t>Plano Operacional - 18 meses (POA 18 meses)</t>
  </si>
  <si>
    <t xml:space="preserve">Plano de Aquisições - 18 meses </t>
  </si>
  <si>
    <t>2.9. Solução para avaliação de riscos do Estado e inclusões nos sistemas corporativos da AGU</t>
  </si>
  <si>
    <t>1.2 Monitoramento estratégico dos créditos ativos e riscos para o Estado</t>
  </si>
  <si>
    <r>
      <t xml:space="preserve">1.7. Instalar uma ferramenta de BI incluindo recursos para </t>
    </r>
    <r>
      <rPr>
        <b/>
        <i/>
        <sz val="9"/>
        <rFont val="Arial"/>
        <family val="2"/>
      </rPr>
      <t>Text Mining</t>
    </r>
    <r>
      <rPr>
        <b/>
        <sz val="9"/>
        <rFont val="Arial"/>
        <family val="2"/>
      </rPr>
      <t xml:space="preserve"> e </t>
    </r>
    <r>
      <rPr>
        <b/>
        <i/>
        <sz val="9"/>
        <rFont val="Arial"/>
        <family val="2"/>
      </rPr>
      <t>Data Mining</t>
    </r>
  </si>
  <si>
    <t>1.9. Modelo dinâmico de gerência, controle, otimização, integração e sustentabilidade dos processos operacionais e de gestão</t>
  </si>
  <si>
    <t>2.3. Plano de estratégias de prevenção abrangente a todos os órgãos da Administração Direta</t>
  </si>
  <si>
    <t>2.6. Métodos Alternativos de Resolução de Conflitos (MARC) definidos e implementados</t>
  </si>
  <si>
    <t>1.3. Dimensionamento do custo fiscal implícito nos processos contra o Estado</t>
  </si>
  <si>
    <t>2.5. Plano de estratégias de prevenção abrangente a todos os órgãos da Administração Indireta</t>
  </si>
  <si>
    <t xml:space="preserve">2.10. Solução para identificação e facilitação da eliminação dos pagamentos indevidos nos processos contra o Estado </t>
  </si>
  <si>
    <t>2.12. Redesenho e implementação dos fluxos de trabalho relativos a cálculos e perícias</t>
  </si>
  <si>
    <t>3.1. Elaboração do plano estratégico de gestão da Secretaria-Geral</t>
  </si>
  <si>
    <t xml:space="preserve">3.2. Reestruturação dos fluxos de trabalho dos processos administrativos </t>
  </si>
  <si>
    <t>3.4. Revisão do modelo de gestão logística territorial e avaliação da implementação</t>
  </si>
  <si>
    <t xml:space="preserve">3.5. Implantação de Sistema Integrado de Gestão Administrativa, sincronizado ao SIAFI </t>
  </si>
  <si>
    <t xml:space="preserve">Desenvolvimento de Modulos de Interconexão com o Judiciário (3TecnicosX1mesX56Tribunais) </t>
  </si>
  <si>
    <r>
      <t xml:space="preserve">1. </t>
    </r>
    <r>
      <rPr>
        <b/>
        <sz val="8"/>
        <rFont val="Arial"/>
        <family val="2"/>
      </rPr>
      <t>Seleção e Contratação</t>
    </r>
    <r>
      <rPr>
        <sz val="8"/>
        <rFont val="Arial"/>
        <family val="2"/>
      </rPr>
      <t xml:space="preserve"> de consultoria para: 
(i) Elaboração de diagnóstico de causas, práticas e rotinas das autarquias e fundações geradoras  de demandas judiciais
(ii) Análise das causas diagnosticadas e proposta de redução de litigiosidade
(iii) Elaboração de plano  de redução de causas geradoras de litigiosidade
(iv) Proposta de mecanismo de mensuração de resultados
2.</t>
    </r>
    <r>
      <rPr>
        <b/>
        <sz val="8"/>
        <rFont val="Arial"/>
        <family val="2"/>
      </rPr>
      <t xml:space="preserve"> Entrega e validação </t>
    </r>
    <r>
      <rPr>
        <sz val="8"/>
        <rFont val="Arial"/>
        <family val="2"/>
      </rPr>
      <t xml:space="preserve">do documento contendo o novo modelo de trabalho e plano de implementação.  </t>
    </r>
  </si>
  <si>
    <r>
      <t xml:space="preserve">1. </t>
    </r>
    <r>
      <rPr>
        <b/>
        <sz val="8"/>
        <rFont val="Arial"/>
        <family val="2"/>
      </rPr>
      <t>Seleção e Contratação</t>
    </r>
    <r>
      <rPr>
        <sz val="8"/>
        <rFont val="Arial"/>
        <family val="2"/>
      </rPr>
      <t xml:space="preserve"> de consultoria para:
(i) Prospecção de boas práticas e de referências de resolução alternativa de conflitos; (ii)Identificação dos conflitos na Administração Pública Federal que contemple: 
- situações conflituosas existentes; - situações conflituosas em potencial identificadas; - análise comportamental dos gestores de órgãos públicos e cultura organizacional;
(iii) Análise das condicionantes, implicações e possibilidades legais; (iv) Definição do modelo conceitual do MARC;
(v) Diagnóstico do perfil e das necessidades de qualificação da CGU; (vi) Disseminação do modelo conceitual do MARC para a AGU; (vii) Estratégia de implementação com etapas e escopo; (viii) Pesquisa de grau de conhecimento do modelo.
2. </t>
    </r>
    <r>
      <rPr>
        <b/>
        <sz val="8"/>
        <rFont val="Arial"/>
        <family val="2"/>
      </rPr>
      <t xml:space="preserve">Seleção e Contratação </t>
    </r>
    <r>
      <rPr>
        <sz val="8"/>
        <rFont val="Arial"/>
        <family val="2"/>
      </rPr>
      <t xml:space="preserve">de consultoria para:
(i) Elaboração de proposta do modelo de MARC para a APF; (ii) Levantamento das necessidades de alteração de legislação; (iii) Proposta de compatibilização da legislação e normas; (iv) Disseminação do modelo conceitual do MARC na APF.
3. </t>
    </r>
    <r>
      <rPr>
        <b/>
        <sz val="8"/>
        <rFont val="Arial"/>
        <family val="2"/>
      </rPr>
      <t xml:space="preserve">Seleção e Contratação </t>
    </r>
    <r>
      <rPr>
        <sz val="8"/>
        <rFont val="Arial"/>
        <family val="2"/>
      </rPr>
      <t xml:space="preserve">de consultoria para: 
(i) Proposta de modelo de criação de núcleos focais;
(ii) Proposta de criação dos núcleos; (iii) Disseminação do MARC na APF (Minstérios, Autarquias e Fundações Públicas); (iv) Definição critérios e regras decisórias (análise de aplicabilidade e custo x benefício do MARC);
(v) Definição de mecanismo de monitoramento com indicadores e metas de resultados.
Contratação de consultoria para:
(i) Diagnóstico do perfil profissional;
(ii) Desenho do modelo pedagógico
(iii) Plano de implementação;
(iv) Definição do modelo de avaliação do modelo de educação e sensibilização;
(v) Realização de ações de disseminação da cultura do MARC.
4. </t>
    </r>
    <r>
      <rPr>
        <b/>
        <sz val="8"/>
        <rFont val="Arial"/>
        <family val="2"/>
      </rPr>
      <t>Realização</t>
    </r>
    <r>
      <rPr>
        <sz val="8"/>
        <rFont val="Arial"/>
        <family val="2"/>
      </rPr>
      <t xml:space="preserve"> de ciclos de capacitação.
5. </t>
    </r>
    <r>
      <rPr>
        <b/>
        <sz val="8"/>
        <rFont val="Arial"/>
        <family val="2"/>
      </rPr>
      <t>Seleção e Contratação</t>
    </r>
    <r>
      <rPr>
        <sz val="8"/>
        <rFont val="Arial"/>
        <family val="2"/>
      </rPr>
      <t xml:space="preserve"> de consultoria para avaliação do primeiro e demais ciclos de capacitação e implementação e sugestões de melhoria.
6.</t>
    </r>
    <r>
      <rPr>
        <b/>
        <sz val="8"/>
        <rFont val="Arial"/>
        <family val="2"/>
      </rPr>
      <t xml:space="preserve"> Promoção de parcerias</t>
    </r>
    <r>
      <rPr>
        <sz val="8"/>
        <rFont val="Arial"/>
        <family val="2"/>
      </rPr>
      <t xml:space="preserve"> com outras instituições, nacionais ou estrangeiras. (AGU) </t>
    </r>
    <r>
      <rPr>
        <b/>
        <sz val="8"/>
        <rFont val="Arial"/>
        <family val="2"/>
      </rPr>
      <t xml:space="preserve">
</t>
    </r>
  </si>
  <si>
    <r>
      <t xml:space="preserve">1. </t>
    </r>
    <r>
      <rPr>
        <b/>
        <sz val="8"/>
        <rFont val="Arial"/>
        <family val="2"/>
      </rPr>
      <t>Seleção e Contratação</t>
    </r>
    <r>
      <rPr>
        <sz val="8"/>
        <rFont val="Arial"/>
        <family val="2"/>
      </rPr>
      <t xml:space="preserve"> de consultoria para: 
(i) Prospecção de boas práticas em modelos de funcionamento contenciosos semelhantes; 
(ii) Diagnóstico das atuais práticas e resultados nos processos contenciosos         
(iii) Mapeamento detalhado dos tipos de processos, atividades e assuntos 
(iv) Proposta de mecanismo para mensuração de resultados
(iv) Proposta de aperfeiçoamento para garantir consolidação do modelo de trabalho em implementação
(v) Proposta de plano de implementação, incluindo as ações que facilitem a consolidação do atual processo de reorganização estrutural
2. </t>
    </r>
    <r>
      <rPr>
        <b/>
        <sz val="8"/>
        <rFont val="Arial"/>
        <family val="2"/>
      </rPr>
      <t xml:space="preserve">Entrega e validação </t>
    </r>
    <r>
      <rPr>
        <sz val="8"/>
        <rFont val="Arial"/>
        <family val="2"/>
      </rPr>
      <t xml:space="preserve">do documento contendo o novo modelo de trabalho e plano de implementação. 
3. </t>
    </r>
    <r>
      <rPr>
        <b/>
        <sz val="8"/>
        <rFont val="Arial"/>
        <family val="2"/>
      </rPr>
      <t xml:space="preserve">Seleção e Contratação </t>
    </r>
    <r>
      <rPr>
        <sz val="8"/>
        <rFont val="Arial"/>
        <family val="2"/>
      </rPr>
      <t xml:space="preserve">de consultoria para:
(i) Definição das competências necessárias de acordo com o novo modelo de trabalho;
(ii) Mapeamento das competências atuais; 
(iii) Identificação da defasagem qualitativa e quantitativa; 
(iv) Identificação e definição de necessidades de reciclagem de pessoal; 
(v) Critérios do processo de seleção e promoção indutores dos novos perfis;
(vi) Plano de capacitação.
4. </t>
    </r>
    <r>
      <rPr>
        <b/>
        <sz val="8"/>
        <rFont val="Arial"/>
        <family val="2"/>
      </rPr>
      <t>Entrega e validação</t>
    </r>
    <r>
      <rPr>
        <sz val="8"/>
        <rFont val="Arial"/>
        <family val="2"/>
      </rPr>
      <t xml:space="preserve"> do produto da consultoria
5. </t>
    </r>
    <r>
      <rPr>
        <b/>
        <sz val="8"/>
        <rFont val="Arial"/>
        <family val="2"/>
      </rPr>
      <t>Seleção e Contratação</t>
    </r>
    <r>
      <rPr>
        <sz val="8"/>
        <rFont val="Arial"/>
        <family val="2"/>
      </rPr>
      <t xml:space="preserve"> de consultoria para: 
(i) Mapeamento das atuais práticas de consultoria e assessoramento nas autarquias e fundações 
(ii) Identificação e categorização de demandas de consultoria e assessoramento nas autarquias e fundações 
(iii) Prospecção de experiências exitosas nacionais e internacionais em consultoria e assessoramento jurídicos
(iv) Avaliação do atual modelo de consultoria e assessoramento jurídico
(v) Proposta de novo modelo de consultoria e assessoramento jurídico, 
(vi) Identificação de necessidades de capacitação e disseminação
(vii) Proposta de mecanismo para mensuração de resultados
(viii) Plano de implementação
6. </t>
    </r>
    <r>
      <rPr>
        <b/>
        <sz val="8"/>
        <rFont val="Arial"/>
        <family val="2"/>
      </rPr>
      <t>Entrega e validação</t>
    </r>
    <r>
      <rPr>
        <sz val="8"/>
        <rFont val="Arial"/>
        <family val="2"/>
      </rPr>
      <t xml:space="preserve"> do produto da consultoria.</t>
    </r>
  </si>
  <si>
    <r>
      <t xml:space="preserve">1. </t>
    </r>
    <r>
      <rPr>
        <b/>
        <sz val="8"/>
        <rFont val="Arial"/>
        <family val="2"/>
      </rPr>
      <t>Seleção e Contratação</t>
    </r>
    <r>
      <rPr>
        <sz val="8"/>
        <rFont val="Arial"/>
        <family val="2"/>
      </rPr>
      <t xml:space="preserve"> de consultoria para: 
(i) Elaboração de diagnóstico de causas, práticas e rotinas das  de demandas judiciais
(ii) Análise das causas diagnosticadas e proposta de redução de litigiosidade
(iii) Elaboração de plano  de redução de causas geradoras de litigiosidade
(iv) Proposta de mecanismo de mensuração de resultados
2. </t>
    </r>
    <r>
      <rPr>
        <b/>
        <sz val="8"/>
        <rFont val="Arial"/>
        <family val="2"/>
      </rPr>
      <t>Entrega e validação</t>
    </r>
    <r>
      <rPr>
        <sz val="8"/>
        <rFont val="Arial"/>
        <family val="2"/>
      </rPr>
      <t xml:space="preserve"> do documento contendo o novo modelo de trabalho e plano de implementação gradual.  </t>
    </r>
  </si>
  <si>
    <r>
      <t xml:space="preserve">1. </t>
    </r>
    <r>
      <rPr>
        <b/>
        <sz val="8"/>
        <rFont val="Arial"/>
        <family val="2"/>
      </rPr>
      <t>Seleção e Contratação</t>
    </r>
    <r>
      <rPr>
        <sz val="8"/>
        <rFont val="Arial"/>
        <family val="2"/>
      </rPr>
      <t xml:space="preserve"> de consultoria para: 
(i) Identificação de banco de dados úteis para a recuperação do crédito público;
(ii) Desenho dos processos e ferramentas para de acesso aos bancos de dados;
(iii) Definição e implementação de mecanismos e iniciativas para integração interinstitucional.
(iv) Definição do plano de ação para integração progressiva.
(v) Definição do modelo de avaliação continuada.
2. </t>
    </r>
    <r>
      <rPr>
        <b/>
        <sz val="8"/>
        <rFont val="Arial"/>
        <family val="2"/>
      </rPr>
      <t>Entrega e validação</t>
    </r>
    <r>
      <rPr>
        <sz val="8"/>
        <rFont val="Arial"/>
        <family val="2"/>
      </rPr>
      <t xml:space="preserve">
3.</t>
    </r>
    <r>
      <rPr>
        <b/>
        <sz val="8"/>
        <rFont val="Arial"/>
        <family val="2"/>
      </rPr>
      <t xml:space="preserve"> Implementação</t>
    </r>
    <r>
      <rPr>
        <sz val="8"/>
        <rFont val="Arial"/>
        <family val="2"/>
      </rPr>
      <t xml:space="preserve">
4.</t>
    </r>
    <r>
      <rPr>
        <b/>
        <sz val="8"/>
        <rFont val="Arial"/>
        <family val="2"/>
      </rPr>
      <t xml:space="preserve"> Seleção e Contratação</t>
    </r>
    <r>
      <rPr>
        <sz val="8"/>
        <rFont val="Arial"/>
        <family val="2"/>
      </rPr>
      <t xml:space="preserve"> de consultoria para avaliação continuada  com sugestões de melhoria
</t>
    </r>
  </si>
  <si>
    <r>
      <t xml:space="preserve">1. </t>
    </r>
    <r>
      <rPr>
        <b/>
        <sz val="8"/>
        <rFont val="Arial"/>
        <family val="2"/>
      </rPr>
      <t xml:space="preserve">Seleção e Contratação </t>
    </r>
    <r>
      <rPr>
        <sz val="8"/>
        <rFont val="Arial"/>
        <family val="2"/>
      </rPr>
      <t xml:space="preserve">de consultoria para:
(i) Identificação das necessidades de capacitação;
(ii) Identificação dos perfis profissionais;
(iii) Elaboração do plano de capacitação contínua com mecanismo de avaliação.
2. </t>
    </r>
    <r>
      <rPr>
        <b/>
        <sz val="8"/>
        <rFont val="Arial"/>
        <family val="2"/>
      </rPr>
      <t>Entrega e validação</t>
    </r>
    <r>
      <rPr>
        <sz val="8"/>
        <rFont val="Arial"/>
        <family val="2"/>
      </rPr>
      <t xml:space="preserve">.
3. </t>
    </r>
    <r>
      <rPr>
        <b/>
        <sz val="8"/>
        <rFont val="Arial"/>
        <family val="2"/>
      </rPr>
      <t>Implementação</t>
    </r>
    <r>
      <rPr>
        <sz val="8"/>
        <rFont val="Arial"/>
        <family val="2"/>
      </rPr>
      <t xml:space="preserve"> da capacitação.
4. </t>
    </r>
    <r>
      <rPr>
        <b/>
        <sz val="8"/>
        <rFont val="Arial"/>
        <family val="2"/>
      </rPr>
      <t>Seleção e Contratação</t>
    </r>
    <r>
      <rPr>
        <sz val="8"/>
        <rFont val="Arial"/>
        <family val="2"/>
      </rPr>
      <t xml:space="preserve"> de consultoria para avaliação do piloto e demais ciclos de capacitação e sugestões de melhoria
</t>
    </r>
  </si>
  <si>
    <r>
      <t xml:space="preserve">1. </t>
    </r>
    <r>
      <rPr>
        <b/>
        <sz val="8"/>
        <rFont val="Arial"/>
        <family val="2"/>
      </rPr>
      <t>Seleção e Contratação</t>
    </r>
    <r>
      <rPr>
        <sz val="8"/>
        <rFont val="Arial"/>
        <family val="2"/>
      </rPr>
      <t xml:space="preserve"> para:
(i) Mapeamento das causas dos pagamentos indevidos;
(ii) Análise de consistência dos sistemas (eliminação de pagamentos em duplicidade e outros indevidos, confronto/compensação de créditos/débitos)
(iii) Desenho e desenvolvimento do Sistema  Informatizado de Identificação de pagamentos, se necessário.
(iv) Definição do mecanismos de avaliação contínua;
(vi) Identificação dos normativos existentes e de necessidades de adequação;
(vii) Criação de sistemática para atualização dinâmica da identificação de pagamentos;
(viii) Plano de implementação da solução;
(ix) Definição do plano de capacitação e disseminação.
2. </t>
    </r>
    <r>
      <rPr>
        <b/>
        <sz val="8"/>
        <rFont val="Arial"/>
        <family val="2"/>
      </rPr>
      <t xml:space="preserve">Entrega e validação
</t>
    </r>
    <r>
      <rPr>
        <sz val="8"/>
        <rFont val="Arial"/>
        <family val="2"/>
      </rPr>
      <t xml:space="preserve">3. </t>
    </r>
    <r>
      <rPr>
        <b/>
        <sz val="8"/>
        <rFont val="Arial"/>
        <family val="2"/>
      </rPr>
      <t xml:space="preserve">Seleção e Contratação </t>
    </r>
    <r>
      <rPr>
        <sz val="8"/>
        <rFont val="Arial"/>
        <family val="2"/>
      </rPr>
      <t>de consultoria para avaliação do piloto e demais ciclos e sugestões de melhoria</t>
    </r>
  </si>
  <si>
    <r>
      <t xml:space="preserve">1. </t>
    </r>
    <r>
      <rPr>
        <b/>
        <sz val="8"/>
        <rFont val="Arial"/>
        <family val="2"/>
      </rPr>
      <t>Seleção e Contratação</t>
    </r>
    <r>
      <rPr>
        <sz val="8"/>
        <rFont val="Arial"/>
        <family val="2"/>
      </rPr>
      <t xml:space="preserve"> de consultoria para:
(i) Diagnóstico SWOT da SGAGU;
(ii) Desdobramento das diretrizes estratégicas institucionais;
(iii) Definição dos desafios;
(iv) Objetivos e Diretrizes estratégicas para a SGAGU.
2. </t>
    </r>
    <r>
      <rPr>
        <b/>
        <sz val="8"/>
        <rFont val="Arial"/>
        <family val="2"/>
      </rPr>
      <t>Entrega e Validação</t>
    </r>
    <r>
      <rPr>
        <sz val="8"/>
        <rFont val="Arial"/>
        <family val="2"/>
      </rPr>
      <t>.</t>
    </r>
  </si>
  <si>
    <r>
      <t xml:space="preserve">1. </t>
    </r>
    <r>
      <rPr>
        <b/>
        <sz val="8"/>
        <color theme="1"/>
        <rFont val="Arial"/>
        <family val="2"/>
      </rPr>
      <t>Seleção e Contratação</t>
    </r>
    <r>
      <rPr>
        <sz val="8"/>
        <color theme="1"/>
        <rFont val="Arial"/>
        <family val="2"/>
      </rPr>
      <t xml:space="preserve"> de consultoria para:
(i) Diagnóstico, definição e descrição do conjunto de macro-processos que concretizam o cumprimento das funções legais e diretrizes estratégicas da SGAGU; 
(ii)  Revisão/redefinição dos processos de gestão interna; (iii) Identificação dos principais resultados e estabelecimento ou revisão de indicadores de desempenho para os macroprocessos, permitindo seu acompanhamento e avaliação; (iv) Requisitos para os sistemas informatizados; (v) Plano de implementação de reestruturação de processos; (vi) Proposta de capacitação e disseminação; (vii) Proposta de mecanismo de avaliação contínua.
2. </t>
    </r>
    <r>
      <rPr>
        <b/>
        <sz val="8"/>
        <color theme="1"/>
        <rFont val="Arial"/>
        <family val="2"/>
      </rPr>
      <t>Entrega e Validação</t>
    </r>
    <r>
      <rPr>
        <sz val="8"/>
        <color theme="1"/>
        <rFont val="Arial"/>
        <family val="2"/>
      </rPr>
      <t xml:space="preserve">
3.</t>
    </r>
    <r>
      <rPr>
        <b/>
        <sz val="8"/>
        <color theme="1"/>
        <rFont val="Arial"/>
        <family val="2"/>
      </rPr>
      <t xml:space="preserve"> Seleção e Contratação </t>
    </r>
    <r>
      <rPr>
        <sz val="8"/>
        <color theme="1"/>
        <rFont val="Arial"/>
        <family val="2"/>
      </rPr>
      <t xml:space="preserve">de consultoria para:
(i) Implementação do piloto de plano reestruturação de processos e demais etapas do ciclo.
(ii) Capacitação contínua e disseminação
4. </t>
    </r>
    <r>
      <rPr>
        <b/>
        <sz val="8"/>
        <color theme="1"/>
        <rFont val="Arial"/>
        <family val="2"/>
      </rPr>
      <t>Entrega e validação</t>
    </r>
    <r>
      <rPr>
        <sz val="8"/>
        <color theme="1"/>
        <rFont val="Arial"/>
        <family val="2"/>
      </rPr>
      <t xml:space="preserve">
5. </t>
    </r>
    <r>
      <rPr>
        <b/>
        <sz val="8"/>
        <color theme="1"/>
        <rFont val="Arial"/>
        <family val="2"/>
      </rPr>
      <t>Seleção e Contratação</t>
    </r>
    <r>
      <rPr>
        <sz val="8"/>
        <color theme="1"/>
        <rFont val="Arial"/>
        <family val="2"/>
      </rPr>
      <t xml:space="preserve"> de consultoria para avaliação do piloto do processo reestruturado e demais ciclos de implementação com sugestões de melhoria.</t>
    </r>
  </si>
  <si>
    <r>
      <t>1.</t>
    </r>
    <r>
      <rPr>
        <b/>
        <sz val="8"/>
        <rFont val="Arial"/>
        <family val="2"/>
      </rPr>
      <t xml:space="preserve"> Seleção e Contratação</t>
    </r>
    <r>
      <rPr>
        <sz val="8"/>
        <rFont val="Arial"/>
        <family val="2"/>
      </rPr>
      <t xml:space="preserve"> de consultoria para:
(i) Prospecção de experiências e boas práticas de funcionamento de centros de custos; 
(ii) Identificação, mapeamento dos centros de atividades;
(iii) Identificação de bens e serviços a serem incorporados nos centros de custos;
(iv) Definição dos centros de custos;
(v) Análise dos requisitos e impactos das mudanças nos registros contábeis e nos sistemas de gestão.
(vi) Proposta de plano de implementação gradual para transformação de centro de atividades em centro de custos.
(vii) Proposta de capacitação continuada e disseminação
(viii) Definição de mecanismo de avaliação contínua
2.</t>
    </r>
    <r>
      <rPr>
        <b/>
        <sz val="8"/>
        <rFont val="Arial"/>
        <family val="2"/>
      </rPr>
      <t xml:space="preserve"> Entrega</t>
    </r>
    <r>
      <rPr>
        <sz val="8"/>
        <rFont val="Arial"/>
        <family val="2"/>
      </rPr>
      <t xml:space="preserve"> do documento de proposta de modelo de centros de custos
3. </t>
    </r>
    <r>
      <rPr>
        <b/>
        <sz val="8"/>
        <rFont val="Arial"/>
        <family val="2"/>
      </rPr>
      <t>Seleção e Contratação</t>
    </r>
    <r>
      <rPr>
        <sz val="8"/>
        <rFont val="Arial"/>
        <family val="2"/>
      </rPr>
      <t xml:space="preserve"> de consultoria para: 
(i) Implementação piloto; 
(ii) Capacitação e disseminação
4. </t>
    </r>
    <r>
      <rPr>
        <b/>
        <sz val="8"/>
        <rFont val="Arial"/>
        <family val="2"/>
      </rPr>
      <t>Entrega e validação.</t>
    </r>
    <r>
      <rPr>
        <sz val="8"/>
        <rFont val="Arial"/>
        <family val="2"/>
      </rPr>
      <t xml:space="preserve">
5. </t>
    </r>
    <r>
      <rPr>
        <b/>
        <sz val="8"/>
        <rFont val="Arial"/>
        <family val="2"/>
      </rPr>
      <t>Seleção e Contratação</t>
    </r>
    <r>
      <rPr>
        <sz val="8"/>
        <rFont val="Arial"/>
        <family val="2"/>
      </rPr>
      <t xml:space="preserve"> de consultoria para avaliação do piloto e demais ciclos de implementação com sugestões de melhoria.
6. </t>
    </r>
    <r>
      <rPr>
        <b/>
        <sz val="8"/>
        <rFont val="Arial"/>
        <family val="2"/>
      </rPr>
      <t>Entrega e validação</t>
    </r>
  </si>
  <si>
    <r>
      <t xml:space="preserve">1. </t>
    </r>
    <r>
      <rPr>
        <b/>
        <sz val="8"/>
        <rFont val="Arial"/>
        <family val="2"/>
      </rPr>
      <t xml:space="preserve">Seleção e Contratação </t>
    </r>
    <r>
      <rPr>
        <sz val="8"/>
        <rFont val="Arial"/>
        <family val="2"/>
      </rPr>
      <t xml:space="preserve">de consultoria para:
(i) Prospecção de experiências e boas práticas de gestão de logística territorial;
(ii) Mapeamento e análise dos atuais procedimentos das unidades;
(iii) Elaboração de proposta de padronização de procedimentos; 
(iv) Definição de perfis de responsabilidades, alçada e abrangência;
(v) Definição de normatização de procedimentos;
(vi) Elaboração de plano gradual de implementação;
(vii) Proposta de plano de capacitação contínua;
(viii) Definição de mecanismo de avaliação contínua.
2. </t>
    </r>
    <r>
      <rPr>
        <b/>
        <sz val="8"/>
        <rFont val="Arial"/>
        <family val="2"/>
      </rPr>
      <t xml:space="preserve">Entrega </t>
    </r>
    <r>
      <rPr>
        <sz val="8"/>
        <rFont val="Arial"/>
        <family val="2"/>
      </rPr>
      <t xml:space="preserve">de documento com proposta de novo modelo de gestão logística territorial.
3. </t>
    </r>
    <r>
      <rPr>
        <b/>
        <sz val="8"/>
        <rFont val="Arial"/>
        <family val="2"/>
      </rPr>
      <t>Seleção e Contratação</t>
    </r>
    <r>
      <rPr>
        <sz val="8"/>
        <rFont val="Arial"/>
        <family val="2"/>
      </rPr>
      <t xml:space="preserve"> de consultoria para: 
(i) Implementação piloto; 
(ii) Capacitação e disseminação
4. </t>
    </r>
    <r>
      <rPr>
        <b/>
        <sz val="8"/>
        <rFont val="Arial"/>
        <family val="2"/>
      </rPr>
      <t xml:space="preserve">Entrega e validação.
</t>
    </r>
    <r>
      <rPr>
        <sz val="8"/>
        <rFont val="Arial"/>
        <family val="2"/>
      </rPr>
      <t xml:space="preserve">5. </t>
    </r>
    <r>
      <rPr>
        <b/>
        <sz val="8"/>
        <rFont val="Arial"/>
        <family val="2"/>
      </rPr>
      <t>Seleção e Contratação</t>
    </r>
    <r>
      <rPr>
        <sz val="8"/>
        <rFont val="Arial"/>
        <family val="2"/>
      </rPr>
      <t xml:space="preserve"> de consultoria para avaliação do piloto e demais ciclos de implementação com sugestões de melhoria.
6. </t>
    </r>
    <r>
      <rPr>
        <b/>
        <sz val="8"/>
        <rFont val="Arial"/>
        <family val="2"/>
      </rPr>
      <t>Entrega e validação</t>
    </r>
  </si>
  <si>
    <r>
      <t xml:space="preserve">1. </t>
    </r>
    <r>
      <rPr>
        <b/>
        <sz val="8"/>
        <rFont val="Arial"/>
        <family val="2"/>
      </rPr>
      <t>Seleção e Contratação</t>
    </r>
    <r>
      <rPr>
        <sz val="8"/>
        <rFont val="Arial"/>
        <family val="2"/>
      </rPr>
      <t xml:space="preserve"> de consultoria para (anos 1 e 2):
(i) Prospecção de experiências e referências de sistemas de gestão administrativa.
(ii) Mapeamento e análise dos atuais procedimentos e fluxos de trabalho administrativos na AGU;
(iii) Elaboração de proposta de padronização de procedimentos e fluxos de trabalhos; 
(iv) Definição dos fluxos de informação para controle gerencial;
(v) Definição de perfis de responsabilidades, alçada e abrangência;
(vi) Definição de normatização de procedimentos e fluxos de trabalho;
2. </t>
    </r>
    <r>
      <rPr>
        <b/>
        <sz val="8"/>
        <rFont val="Arial"/>
        <family val="2"/>
      </rPr>
      <t xml:space="preserve">Entrega e validação </t>
    </r>
    <r>
      <rPr>
        <sz val="8"/>
        <rFont val="Arial"/>
        <family val="2"/>
      </rPr>
      <t xml:space="preserve">de documento com proposta de novo modelo integrado de gestão administrativa.
3. </t>
    </r>
    <r>
      <rPr>
        <b/>
        <sz val="8"/>
        <rFont val="Arial"/>
        <family val="2"/>
      </rPr>
      <t>Seleção e Contratação</t>
    </r>
    <r>
      <rPr>
        <sz val="8"/>
        <rFont val="Arial"/>
        <family val="2"/>
      </rPr>
      <t xml:space="preserve"> de consultoria para (anos 3 a 5):
(i) Instalação da plataforma tecnológica dos aplicativos
(ii) Análise funcional dos procedimentos definidos de acordo com a priorização;
(iii) Desenvolvimento dos aplicativos de acordo com os novos procedimentos;
(iv) Teste e homologação dos aplicativos; 
(v) Instalação dos aplicativos em ambiente de produção.
(vi) Capacitação de pessoal e disseminação
4. </t>
    </r>
    <r>
      <rPr>
        <b/>
        <sz val="8"/>
        <rFont val="Arial"/>
        <family val="2"/>
      </rPr>
      <t>Entrega e validação</t>
    </r>
    <r>
      <rPr>
        <sz val="8"/>
        <rFont val="Arial"/>
        <family val="2"/>
      </rPr>
      <t xml:space="preserve"> de documento 
5. </t>
    </r>
    <r>
      <rPr>
        <b/>
        <sz val="8"/>
        <rFont val="Arial"/>
        <family val="2"/>
      </rPr>
      <t>Seleção e Contratação</t>
    </r>
    <r>
      <rPr>
        <sz val="8"/>
        <rFont val="Arial"/>
        <family val="2"/>
      </rPr>
      <t xml:space="preserve"> de consultoria para avaliação contínua do estágio de desenvolvimento sistema e proposta de melhoria.
</t>
    </r>
  </si>
  <si>
    <r>
      <t xml:space="preserve">1. </t>
    </r>
    <r>
      <rPr>
        <b/>
        <sz val="8"/>
        <rFont val="Arial"/>
        <family val="2"/>
      </rPr>
      <t>Seleção e Contratação</t>
    </r>
    <r>
      <rPr>
        <sz val="8"/>
        <rFont val="Arial"/>
        <family val="2"/>
      </rPr>
      <t xml:space="preserve"> de consultoria para:
(i) Prospecção de boas práticas;
(ii) Análise das condicionantes, implicações e possibilidades legais para a gestão de competências;
(iii) Definição de modelo conceitual da gestão por competências;
(iv) Diagnóstico do perfil e das necessidades de qualificação da área responsável por gestão de pessoas;
(v) Capacitação e disseminação do modelo conceitual de gestão por competências;
(vi) Estratégia de implementação com etapas e escopo;
(vii) Pesquisa de grau de conhecimento do modelo.
2. </t>
    </r>
    <r>
      <rPr>
        <b/>
        <sz val="8"/>
        <rFont val="Arial"/>
        <family val="2"/>
      </rPr>
      <t xml:space="preserve">Entrega e validação </t>
    </r>
    <r>
      <rPr>
        <sz val="8"/>
        <rFont val="Arial"/>
        <family val="2"/>
      </rPr>
      <t xml:space="preserve">
3. </t>
    </r>
    <r>
      <rPr>
        <b/>
        <sz val="8"/>
        <rFont val="Arial"/>
        <family val="2"/>
      </rPr>
      <t>Seleção e Contratação</t>
    </r>
    <r>
      <rPr>
        <sz val="8"/>
        <rFont val="Arial"/>
        <family val="2"/>
      </rPr>
      <t xml:space="preserve"> de consultoria para capacitação e disseminação do modelo conceitual de gestão por competências
4. </t>
    </r>
    <r>
      <rPr>
        <b/>
        <sz val="8"/>
        <rFont val="Arial"/>
        <family val="2"/>
      </rPr>
      <t>Entrega e validação</t>
    </r>
    <r>
      <rPr>
        <sz val="8"/>
        <rFont val="Arial"/>
        <family val="2"/>
      </rPr>
      <t xml:space="preserve">
5.</t>
    </r>
    <r>
      <rPr>
        <b/>
        <sz val="8"/>
        <rFont val="Arial"/>
        <family val="2"/>
      </rPr>
      <t xml:space="preserve"> Seleção e Contratação </t>
    </r>
    <r>
      <rPr>
        <sz val="8"/>
        <rFont val="Arial"/>
        <family val="2"/>
      </rPr>
      <t xml:space="preserve">de consultoria para avaliação do modelo conceitual com sugestões de melhoria 
6. </t>
    </r>
    <r>
      <rPr>
        <b/>
        <sz val="8"/>
        <rFont val="Arial"/>
        <family val="2"/>
      </rPr>
      <t>Entrega e validação</t>
    </r>
    <r>
      <rPr>
        <sz val="8"/>
        <rFont val="Arial"/>
        <family val="2"/>
      </rPr>
      <t xml:space="preserve">
7. </t>
    </r>
    <r>
      <rPr>
        <b/>
        <sz val="8"/>
        <rFont val="Arial"/>
        <family val="2"/>
      </rPr>
      <t>Seleção e Contratação</t>
    </r>
    <r>
      <rPr>
        <sz val="8"/>
        <rFont val="Arial"/>
        <family val="2"/>
      </rPr>
      <t xml:space="preserve"> de consultoria para (anos 2 a 4):
(a) Para a unidade piloto:
(i) Mapeamento das competências das unidades organizacionais requeridas e existentes (core competences);
(ii) Mapeamento das competências individuais requeridas e existentes (conhecimentos, habilidades e atitudes);
(iii) Diagnóstico e análise de lacunas entre as competências requeridas e as existentes;
(iv) Proposta e adequação das normas referentes a capacitação  ao modelo de gestão por competências;
(v) Montagem do Plano de Capacitação por competências e ações de desenvolvimento;
(vi) Identificação de requisitos para o módulo informatizado de gestão por competências com base no piloto;
(vii)  Proposta de delineamento de perfis de competências necessárias a cada grupo de funções;
(viii)  Elaboração de plano de ação para implementação gradual, incluindo capacitação e disseminação.
(ix) Proposta de mecanismo de avaliação contínua do modelo de gestão por competências.
8. </t>
    </r>
    <r>
      <rPr>
        <b/>
        <sz val="8"/>
        <rFont val="Arial"/>
        <family val="2"/>
      </rPr>
      <t xml:space="preserve">Entrega e validação
</t>
    </r>
    <r>
      <rPr>
        <sz val="8"/>
        <rFont val="Arial"/>
        <family val="2"/>
      </rPr>
      <t xml:space="preserve">9. </t>
    </r>
    <r>
      <rPr>
        <b/>
        <sz val="8"/>
        <rFont val="Arial"/>
        <family val="2"/>
      </rPr>
      <t xml:space="preserve">Seleção e Contratação </t>
    </r>
    <r>
      <rPr>
        <sz val="8"/>
        <rFont val="Arial"/>
        <family val="2"/>
      </rPr>
      <t xml:space="preserve">de consultoria para avaliação do desenvolvimento do modelo de gestão por competências (piloto).
10. </t>
    </r>
    <r>
      <rPr>
        <b/>
        <sz val="8"/>
        <rFont val="Arial"/>
        <family val="2"/>
      </rPr>
      <t>Entrega e validação.</t>
    </r>
  </si>
  <si>
    <r>
      <t xml:space="preserve">1. </t>
    </r>
    <r>
      <rPr>
        <b/>
        <sz val="8"/>
        <rFont val="Arial"/>
        <family val="2"/>
      </rPr>
      <t>Seleção e Contratação</t>
    </r>
    <r>
      <rPr>
        <sz val="8"/>
        <rFont val="Arial"/>
        <family val="2"/>
      </rPr>
      <t xml:space="preserve"> de consultoria (anos 1 a 5) para: 
(i) Prospecção e identificação de políticas e práticas de comunicação de mudanças;
(ii) Diagnóstico de comunicação externa e percepção de imagem institucional;
(iii) Proposta de política de comunicação;
(iv) Elaboração do plano de comunicação das mudanças.
(v) Elaboração de proposta de mecanismo de avaliação contínua de efetividade das ações de comunicação das mudanças.
(vi) Implementação das primeiras ações do plano de comunicação externa das mudanças.
2. </t>
    </r>
    <r>
      <rPr>
        <b/>
        <sz val="8"/>
        <rFont val="Arial"/>
        <family val="2"/>
      </rPr>
      <t>Entrega e validação</t>
    </r>
    <r>
      <rPr>
        <sz val="8"/>
        <rFont val="Arial"/>
        <family val="2"/>
      </rPr>
      <t xml:space="preserve"> da política e do plano de comunicação das mudanças.
3.</t>
    </r>
    <r>
      <rPr>
        <b/>
        <sz val="8"/>
        <rFont val="Arial"/>
        <family val="2"/>
      </rPr>
      <t xml:space="preserve">Continuação da consultoria  </t>
    </r>
    <r>
      <rPr>
        <sz val="8"/>
        <rFont val="Arial"/>
        <family val="2"/>
      </rPr>
      <t xml:space="preserve">para: 
(i) Implementação do plano de comunicação externa das mudanças.
4. </t>
    </r>
    <r>
      <rPr>
        <b/>
        <sz val="8"/>
        <rFont val="Arial"/>
        <family val="2"/>
      </rPr>
      <t xml:space="preserve">Entrega e validação </t>
    </r>
    <r>
      <rPr>
        <sz val="8"/>
        <rFont val="Arial"/>
        <family val="2"/>
      </rPr>
      <t xml:space="preserve">
5. </t>
    </r>
    <r>
      <rPr>
        <b/>
        <sz val="8"/>
        <rFont val="Arial"/>
        <family val="2"/>
      </rPr>
      <t>Seleção e Contratação</t>
    </r>
    <r>
      <rPr>
        <sz val="8"/>
        <rFont val="Arial"/>
        <family val="2"/>
      </rPr>
      <t xml:space="preserve"> de consultoria para: 
(i) Avaliação contínua da implementação e dos resultados das iniciativas de comunicação;
(ii) Análise das ações e proposta de melhorias nas ações de comunicação das mudanças.
6. </t>
    </r>
    <r>
      <rPr>
        <b/>
        <sz val="8"/>
        <rFont val="Arial"/>
        <family val="2"/>
      </rPr>
      <t>Entrega e validação</t>
    </r>
    <r>
      <rPr>
        <sz val="8"/>
        <rFont val="Arial"/>
        <family val="2"/>
      </rPr>
      <t xml:space="preserve"> da análise das ações e do plano de melhorias nas ações de comunicação das mudanças.</t>
    </r>
  </si>
  <si>
    <r>
      <t xml:space="preserve">1. </t>
    </r>
    <r>
      <rPr>
        <b/>
        <sz val="8"/>
        <color theme="1"/>
        <rFont val="Arial"/>
        <family val="2"/>
      </rPr>
      <t xml:space="preserve">Seleção e Contratação </t>
    </r>
    <r>
      <rPr>
        <sz val="8"/>
        <color theme="1"/>
        <rFont val="Arial"/>
        <family val="2"/>
      </rPr>
      <t xml:space="preserve">de consultoria (anos 1 a 5) para: 
(i) Prospecção e identificação de políticas e práticas de comunicação interna; 
(ii) Diagnóstico de comunicação interna e percepção de imagem institucional;
(iii) Proposta de política de comunicação interna;
(iv) Elaboração do plano de comunicação interna das mudanças.
(v) Elaboração de proposta de mecanismo de avaliação contínua de efetividade das ações de comunicação das mudanças.
2. </t>
    </r>
    <r>
      <rPr>
        <b/>
        <sz val="8"/>
        <color theme="1"/>
        <rFont val="Arial"/>
        <family val="2"/>
      </rPr>
      <t xml:space="preserve">Seleção e Contratação </t>
    </r>
    <r>
      <rPr>
        <sz val="8"/>
        <color theme="1"/>
        <rFont val="Arial"/>
        <family val="2"/>
      </rPr>
      <t xml:space="preserve">de consultoria para implementação das primeiras ações do plano de comunicação interna das mudanças.
3. </t>
    </r>
    <r>
      <rPr>
        <b/>
        <sz val="8"/>
        <color theme="1"/>
        <rFont val="Arial"/>
        <family val="2"/>
      </rPr>
      <t>Entrega e validação</t>
    </r>
    <r>
      <rPr>
        <sz val="8"/>
        <color theme="1"/>
        <rFont val="Arial"/>
        <family val="2"/>
      </rPr>
      <t xml:space="preserve"> da política e do plano de comunicação das mudanças.
4. </t>
    </r>
    <r>
      <rPr>
        <b/>
        <sz val="8"/>
        <color theme="1"/>
        <rFont val="Arial"/>
        <family val="2"/>
      </rPr>
      <t>Continuação</t>
    </r>
    <r>
      <rPr>
        <sz val="8"/>
        <color theme="1"/>
        <rFont val="Arial"/>
        <family val="2"/>
      </rPr>
      <t xml:space="preserve"> de consultoria para: 
(i) Implementação do plano de comunicação interna das mudanças.
5. </t>
    </r>
    <r>
      <rPr>
        <b/>
        <sz val="8"/>
        <color theme="1"/>
        <rFont val="Arial"/>
        <family val="2"/>
      </rPr>
      <t>Entrega e validação</t>
    </r>
    <r>
      <rPr>
        <sz val="8"/>
        <color theme="1"/>
        <rFont val="Arial"/>
        <family val="2"/>
      </rPr>
      <t xml:space="preserve">
6. </t>
    </r>
    <r>
      <rPr>
        <b/>
        <sz val="8"/>
        <color theme="1"/>
        <rFont val="Arial"/>
        <family val="2"/>
      </rPr>
      <t>Seleção e Contratação</t>
    </r>
    <r>
      <rPr>
        <sz val="8"/>
        <color theme="1"/>
        <rFont val="Arial"/>
        <family val="2"/>
      </rPr>
      <t xml:space="preserve"> de consultoria para: 
(i) Avaliação contínua da implementação e dos resultados das iniciativas de comunicação interna;
(ii) Análise das ações e proposta de melhorias nas ações de comunicação  interna das mudanças.
7. </t>
    </r>
    <r>
      <rPr>
        <b/>
        <sz val="8"/>
        <color theme="1"/>
        <rFont val="Arial"/>
        <family val="2"/>
      </rPr>
      <t>Entrega e validação</t>
    </r>
    <r>
      <rPr>
        <sz val="8"/>
        <color theme="1"/>
        <rFont val="Arial"/>
        <family val="2"/>
      </rPr>
      <t xml:space="preserve"> da análise das ações e do plano de melhorias nas ações de comunicação interna das mudanças.
</t>
    </r>
  </si>
  <si>
    <r>
      <t xml:space="preserve">1. </t>
    </r>
    <r>
      <rPr>
        <b/>
        <sz val="8"/>
        <rFont val="Arial"/>
        <family val="2"/>
      </rPr>
      <t>Seleção e Contratação</t>
    </r>
    <r>
      <rPr>
        <sz val="8"/>
        <rFont val="Arial"/>
        <family val="2"/>
      </rPr>
      <t xml:space="preserve"> de consultoria (anos 1 a 5) para: 
(i) Prospecção e identificação de políticas e práticas de gestão de mudanças; 
(ii) Diagnóstico de cultura e clima organizacional e identificação de fatores explicativos do perfil comportamental;
(iii) Proposta de estratégias e mecanismos de incentivo à mudança e prevenção e gestão de possíveis resistências organizacionais;
(iv) Elaboração do plano de implementação das estratégias de gestão de mudanças;
(v) Elaboração de proposta de mecanismo de avaliação contínua de efetividade das estratégias e ações da gestão de mudança.
2. </t>
    </r>
    <r>
      <rPr>
        <b/>
        <sz val="8"/>
        <rFont val="Arial"/>
        <family val="2"/>
      </rPr>
      <t>Entrega e validação</t>
    </r>
    <r>
      <rPr>
        <sz val="8"/>
        <rFont val="Arial"/>
        <family val="2"/>
      </rPr>
      <t xml:space="preserve">
3. </t>
    </r>
    <r>
      <rPr>
        <b/>
        <sz val="8"/>
        <rFont val="Arial"/>
        <family val="2"/>
      </rPr>
      <t>Seleção e Contratação</t>
    </r>
    <r>
      <rPr>
        <sz val="8"/>
        <rFont val="Arial"/>
        <family val="2"/>
      </rPr>
      <t xml:space="preserve"> de consultoria para: 
(i) Implementação das primeiras ações do plano de gestão da mudança.
4. </t>
    </r>
    <r>
      <rPr>
        <b/>
        <sz val="8"/>
        <rFont val="Arial"/>
        <family val="2"/>
      </rPr>
      <t>Entrega e validação</t>
    </r>
    <r>
      <rPr>
        <sz val="8"/>
        <rFont val="Arial"/>
        <family val="2"/>
      </rPr>
      <t xml:space="preserve"> da política e do plano gestão das mudança.
5. </t>
    </r>
    <r>
      <rPr>
        <b/>
        <sz val="8"/>
        <rFont val="Arial"/>
        <family val="2"/>
      </rPr>
      <t>Continuação</t>
    </r>
    <r>
      <rPr>
        <sz val="8"/>
        <rFont val="Arial"/>
        <family val="2"/>
      </rPr>
      <t xml:space="preserve"> de consultoria para: 
(i) Implementação do plano das estratégias e iniciativas de mudanças.
6. </t>
    </r>
    <r>
      <rPr>
        <b/>
        <sz val="8"/>
        <rFont val="Arial"/>
        <family val="2"/>
      </rPr>
      <t>Entrega e validação</t>
    </r>
    <r>
      <rPr>
        <sz val="8"/>
        <rFont val="Arial"/>
        <family val="2"/>
      </rPr>
      <t xml:space="preserve">
7. </t>
    </r>
    <r>
      <rPr>
        <b/>
        <sz val="8"/>
        <rFont val="Arial"/>
        <family val="2"/>
      </rPr>
      <t>Seleção e Contratação</t>
    </r>
    <r>
      <rPr>
        <sz val="8"/>
        <rFont val="Arial"/>
        <family val="2"/>
      </rPr>
      <t xml:space="preserve"> de consultoria para: 
(i) Avaliação da implementação e dos resultados das iniciativas de gestão de mudanças;
(ii) Análise das ações e proposta de melhorias nas ações de gestão das mudanças.
8. </t>
    </r>
    <r>
      <rPr>
        <b/>
        <sz val="8"/>
        <rFont val="Arial"/>
        <family val="2"/>
      </rPr>
      <t>Entrega e validação</t>
    </r>
    <r>
      <rPr>
        <sz val="8"/>
        <rFont val="Arial"/>
        <family val="2"/>
      </rPr>
      <t xml:space="preserve"> da análise das ações e do plano de gestão da mudança.</t>
    </r>
  </si>
  <si>
    <r>
      <t>1.</t>
    </r>
    <r>
      <rPr>
        <b/>
        <sz val="8"/>
        <rFont val="Arial"/>
        <family val="2"/>
      </rPr>
      <t xml:space="preserve"> Seleção e Contratação</t>
    </r>
    <r>
      <rPr>
        <sz val="8"/>
        <rFont val="Arial"/>
        <family val="2"/>
      </rPr>
      <t xml:space="preserve"> de consultoria para:
(i) Definição da metodologia (prioridades, escopo, capacitação, ferramentas);
(ii) Elaboração do plano de desdobramento estratégico e de implementação da estratégia;
(iii) Proposta de comunicação interna e externa.
2. </t>
    </r>
    <r>
      <rPr>
        <b/>
        <sz val="8"/>
        <rFont val="Arial"/>
        <family val="2"/>
      </rPr>
      <t xml:space="preserve">Entrega e validação </t>
    </r>
    <r>
      <rPr>
        <sz val="8"/>
        <rFont val="Arial"/>
        <family val="2"/>
      </rPr>
      <t xml:space="preserve">do plano de ação.
3. </t>
    </r>
    <r>
      <rPr>
        <b/>
        <sz val="8"/>
        <rFont val="Arial"/>
        <family val="2"/>
      </rPr>
      <t>Implementação</t>
    </r>
    <r>
      <rPr>
        <sz val="8"/>
        <rFont val="Arial"/>
        <family val="2"/>
      </rPr>
      <t xml:space="preserve"> do plano de ação.</t>
    </r>
  </si>
  <si>
    <r>
      <t xml:space="preserve">1. </t>
    </r>
    <r>
      <rPr>
        <b/>
        <sz val="8"/>
        <color theme="1"/>
        <rFont val="Arial"/>
        <family val="2"/>
      </rPr>
      <t>Conclusão</t>
    </r>
    <r>
      <rPr>
        <sz val="8"/>
        <color theme="1"/>
        <rFont val="Arial"/>
        <family val="2"/>
      </rPr>
      <t xml:space="preserve"> do Projeto Lógico dos módulos do sistema Sisdat: pré-inscrição, inscrição, pagamento, parcelamento de créditos;
2. </t>
    </r>
    <r>
      <rPr>
        <b/>
        <sz val="8"/>
        <color theme="1"/>
        <rFont val="Arial"/>
        <family val="2"/>
      </rPr>
      <t>Seleção e Contratação</t>
    </r>
    <r>
      <rPr>
        <sz val="8"/>
        <color theme="1"/>
        <rFont val="Arial"/>
        <family val="2"/>
      </rPr>
      <t xml:space="preserve"> de consultoria para Prospecção de boas práticas em gerenciamento de riscos: (i) para troca de experiências nacionais e internacionais; (ii) análises de viabilidade de implementação de melhorias no sistema existente e integração ao e-AGU; 
3. </t>
    </r>
    <r>
      <rPr>
        <b/>
        <sz val="8"/>
        <color theme="1"/>
        <rFont val="Arial"/>
        <family val="2"/>
      </rPr>
      <t xml:space="preserve"> Projeto</t>
    </r>
    <r>
      <rPr>
        <sz val="8"/>
        <color theme="1"/>
        <rFont val="Arial"/>
        <family val="2"/>
      </rPr>
      <t xml:space="preserve"> Lógico do Sistema de gestão de riscos elaborado.
</t>
    </r>
  </si>
  <si>
    <r>
      <t xml:space="preserve">1. </t>
    </r>
    <r>
      <rPr>
        <b/>
        <sz val="8"/>
        <rFont val="Arial"/>
        <family val="2"/>
      </rPr>
      <t>Seleção e Contratação</t>
    </r>
    <r>
      <rPr>
        <sz val="8"/>
        <rFont val="Arial"/>
        <family val="2"/>
      </rPr>
      <t xml:space="preserve"> de consultoria para: estudo do dimensionamento do custo fiscal (passivos contingentes) implícito em todos os processos contra o Estado;
2.</t>
    </r>
    <r>
      <rPr>
        <b/>
        <sz val="8"/>
        <rFont val="Arial"/>
        <family val="2"/>
      </rPr>
      <t xml:space="preserve"> Entrega e validação</t>
    </r>
    <r>
      <rPr>
        <sz val="8"/>
        <rFont val="Arial"/>
        <family val="2"/>
      </rPr>
      <t xml:space="preserve"> do estudo.</t>
    </r>
  </si>
  <si>
    <r>
      <t>1.</t>
    </r>
    <r>
      <rPr>
        <b/>
        <sz val="8"/>
        <rFont val="Arial"/>
        <family val="2"/>
      </rPr>
      <t xml:space="preserve"> Seleção e Contratação</t>
    </r>
    <r>
      <rPr>
        <sz val="8"/>
        <rFont val="Arial"/>
        <family val="2"/>
      </rPr>
      <t xml:space="preserve"> de consultoria para: 
(i) prospecção de boas práticas nos setores público e privado, incluindo troca de experiências internacionais;
(ii) elaboração dos indicadores e metas de gestão;
(iii) Prospecção de soluções informatizadas.
2.</t>
    </r>
    <r>
      <rPr>
        <b/>
        <sz val="8"/>
        <rFont val="Arial"/>
        <family val="2"/>
      </rPr>
      <t xml:space="preserve"> Entrega e validação.</t>
    </r>
  </si>
  <si>
    <r>
      <t xml:space="preserve">1. </t>
    </r>
    <r>
      <rPr>
        <b/>
        <sz val="8"/>
        <rFont val="Arial"/>
        <family val="2"/>
      </rPr>
      <t>Seleção e Contratação</t>
    </r>
    <r>
      <rPr>
        <sz val="8"/>
        <rFont val="Arial"/>
        <family val="2"/>
      </rPr>
      <t xml:space="preserve"> de consultoria para: 
(i) Prospecção junto a outros órgãos ou entidades da Administração Pública ou Privada;
(ii) Estabelecimento das competências e da vinculação hierárquica; 
(iii) Definição da estrutura orgânica da unidade; 
(iv) definição dos recursos humanos e materiais necessários. 
2. </t>
    </r>
    <r>
      <rPr>
        <b/>
        <sz val="8"/>
        <rFont val="Arial"/>
        <family val="2"/>
      </rPr>
      <t xml:space="preserve">Entrega e validação
</t>
    </r>
    <r>
      <rPr>
        <sz val="8"/>
        <rFont val="Arial"/>
        <family val="2"/>
      </rPr>
      <t>3.</t>
    </r>
    <r>
      <rPr>
        <b/>
        <sz val="8"/>
        <rFont val="Arial"/>
        <family val="2"/>
      </rPr>
      <t xml:space="preserve"> Resolução</t>
    </r>
    <r>
      <rPr>
        <sz val="8"/>
        <rFont val="Arial"/>
        <family val="2"/>
      </rPr>
      <t xml:space="preserve"> de criação da unidade.</t>
    </r>
  </si>
  <si>
    <r>
      <t xml:space="preserve">1. </t>
    </r>
    <r>
      <rPr>
        <b/>
        <sz val="8"/>
        <rFont val="Arial"/>
        <family val="2"/>
      </rPr>
      <t>Seleção e Contratação</t>
    </r>
    <r>
      <rPr>
        <sz val="8"/>
        <rFont val="Arial"/>
        <family val="2"/>
      </rPr>
      <t xml:space="preserve"> de consultoria para: 
(i) Prospecção de ferramentas existentes no mercado.
(ii) Levantamento das necessidades de recursos tecnológicos e técnicos da GTI. 
(iii) Elaboração de termos de referência para a contratação da ferramenta; 
2.</t>
    </r>
    <r>
      <rPr>
        <b/>
        <sz val="8"/>
        <rFont val="Arial"/>
        <family val="2"/>
      </rPr>
      <t xml:space="preserve"> Entrega e validação.</t>
    </r>
    <r>
      <rPr>
        <sz val="8"/>
        <rFont val="Arial"/>
        <family val="2"/>
      </rPr>
      <t xml:space="preserve">
3. </t>
    </r>
    <r>
      <rPr>
        <b/>
        <sz val="8"/>
        <rFont val="Arial"/>
        <family val="2"/>
      </rPr>
      <t>Aquisição</t>
    </r>
    <r>
      <rPr>
        <sz val="8"/>
        <rFont val="Arial"/>
        <family val="2"/>
      </rPr>
      <t xml:space="preserve"> da solução e de recursos tecnológicos necessários (incluindo instalação e capacitação da área de TI). 
4. </t>
    </r>
    <r>
      <rPr>
        <b/>
        <sz val="8"/>
        <rFont val="Arial"/>
        <family val="2"/>
      </rPr>
      <t>Instalação e adequação</t>
    </r>
    <r>
      <rPr>
        <sz val="8"/>
        <rFont val="Arial"/>
        <family val="2"/>
      </rPr>
      <t xml:space="preserve"> da ferramenta (incluindo a regulamentação de uso). 
5. </t>
    </r>
    <r>
      <rPr>
        <b/>
        <sz val="8"/>
        <rFont val="Arial"/>
        <family val="2"/>
      </rPr>
      <t>Avaliação</t>
    </r>
    <r>
      <rPr>
        <sz val="8"/>
        <rFont val="Arial"/>
        <family val="2"/>
      </rPr>
      <t xml:space="preserve"> da ferramenta.
6. </t>
    </r>
    <r>
      <rPr>
        <b/>
        <sz val="8"/>
        <rFont val="Arial"/>
        <family val="2"/>
      </rPr>
      <t>Capacitação</t>
    </r>
    <r>
      <rPr>
        <sz val="8"/>
        <rFont val="Arial"/>
        <family val="2"/>
      </rPr>
      <t xml:space="preserve"> dos servidores.</t>
    </r>
  </si>
  <si>
    <r>
      <t xml:space="preserve">1. </t>
    </r>
    <r>
      <rPr>
        <b/>
        <sz val="8"/>
        <rFont val="Arial"/>
        <family val="2"/>
      </rPr>
      <t>Seleção e Contratação</t>
    </r>
    <r>
      <rPr>
        <sz val="8"/>
        <rFont val="Arial"/>
        <family val="2"/>
      </rPr>
      <t xml:space="preserve"> de consultoria para:
(i) Prospecção e "Benchmarking";
(ii) Definição das atribuições do Escritório;
(iii) Definição da estrutura do Escritório e sua vinculação;
(iv) Definição dos recursos;
2. </t>
    </r>
    <r>
      <rPr>
        <b/>
        <sz val="8"/>
        <rFont val="Arial"/>
        <family val="2"/>
      </rPr>
      <t>Entrega e validação</t>
    </r>
    <r>
      <rPr>
        <sz val="8"/>
        <rFont val="Arial"/>
        <family val="2"/>
      </rPr>
      <t xml:space="preserve">
3. </t>
    </r>
    <r>
      <rPr>
        <b/>
        <sz val="8"/>
        <rFont val="Arial"/>
        <family val="2"/>
      </rPr>
      <t>Instituição</t>
    </r>
    <r>
      <rPr>
        <sz val="8"/>
        <rFont val="Arial"/>
        <family val="2"/>
      </rPr>
      <t xml:space="preserve"> do Escritório de  Processos</t>
    </r>
  </si>
  <si>
    <r>
      <t xml:space="preserve">1. </t>
    </r>
    <r>
      <rPr>
        <b/>
        <sz val="8"/>
        <rFont val="Arial"/>
        <family val="2"/>
      </rPr>
      <t>Seleção e Contratação</t>
    </r>
    <r>
      <rPr>
        <sz val="8"/>
        <rFont val="Arial"/>
        <family val="2"/>
      </rPr>
      <t xml:space="preserve"> de consultoria para: 
(i) Definição da Metodologia; 
(ii) Definição da Ferramenta; 
(iii) Definição do modelo de capacitação; 
(iv) Plano de Implementação gradual 
2. </t>
    </r>
    <r>
      <rPr>
        <b/>
        <sz val="8"/>
        <rFont val="Arial"/>
        <family val="2"/>
      </rPr>
      <t>Entrega e validação.</t>
    </r>
    <r>
      <rPr>
        <sz val="8"/>
        <rFont val="Arial"/>
        <family val="2"/>
      </rPr>
      <t xml:space="preserve">
3. </t>
    </r>
    <r>
      <rPr>
        <b/>
        <sz val="8"/>
        <rFont val="Arial"/>
        <family val="2"/>
      </rPr>
      <t>Aquisição</t>
    </r>
    <r>
      <rPr>
        <sz val="8"/>
        <rFont val="Arial"/>
        <family val="2"/>
      </rPr>
      <t xml:space="preserve"> de ferramenta de modelagem;
4.</t>
    </r>
    <r>
      <rPr>
        <b/>
        <sz val="8"/>
        <rFont val="Arial"/>
        <family val="2"/>
      </rPr>
      <t xml:space="preserve"> Implementar </t>
    </r>
    <r>
      <rPr>
        <sz val="8"/>
        <rFont val="Arial"/>
        <family val="2"/>
      </rPr>
      <t xml:space="preserve">metodologia.
5. </t>
    </r>
    <r>
      <rPr>
        <b/>
        <sz val="8"/>
        <rFont val="Arial"/>
        <family val="2"/>
      </rPr>
      <t>Avaliação</t>
    </r>
    <r>
      <rPr>
        <sz val="8"/>
        <rFont val="Arial"/>
        <family val="2"/>
      </rPr>
      <t xml:space="preserve"> da implementação e sugestões de melhoria.
</t>
    </r>
  </si>
  <si>
    <r>
      <t xml:space="preserve">1. </t>
    </r>
    <r>
      <rPr>
        <b/>
        <sz val="8"/>
        <rFont val="Arial"/>
        <family val="2"/>
      </rPr>
      <t>Seleção e Contratação</t>
    </r>
    <r>
      <rPr>
        <sz val="8"/>
        <rFont val="Arial"/>
        <family val="2"/>
      </rPr>
      <t xml:space="preserve"> de consultoria para:
(i) Prospecção e "Benchmarking";
(ii) Definição das atribuições da unidade;
(iii) Definição da estrutura da (EGP) e sua vinculação hierárquica;
(iv) Definição dos recursos.
2. </t>
    </r>
    <r>
      <rPr>
        <b/>
        <sz val="8"/>
        <rFont val="Arial"/>
        <family val="2"/>
      </rPr>
      <t>Instituição</t>
    </r>
    <r>
      <rPr>
        <sz val="8"/>
        <rFont val="Arial"/>
        <family val="2"/>
      </rPr>
      <t xml:space="preserve"> do EGP.
3. </t>
    </r>
    <r>
      <rPr>
        <b/>
        <sz val="8"/>
        <rFont val="Arial"/>
        <family val="2"/>
      </rPr>
      <t xml:space="preserve">Seleção e Contratação </t>
    </r>
    <r>
      <rPr>
        <sz val="8"/>
        <rFont val="Arial"/>
        <family val="2"/>
      </rPr>
      <t>de consultoria para:
(i) definição de uma metodologia e sistemática de gestão de projetos, incluindo a capacitação da (EGP); 
(ii) Aprovação da metodologia;
(iii) Implementação da metodologia e da capacitação; 
(iv) Definição da ferramenta de gerenciamento de projetos;
4.</t>
    </r>
    <r>
      <rPr>
        <b/>
        <sz val="8"/>
        <rFont val="Arial"/>
        <family val="2"/>
      </rPr>
      <t xml:space="preserve"> Aquisição</t>
    </r>
    <r>
      <rPr>
        <sz val="8"/>
        <rFont val="Arial"/>
        <family val="2"/>
      </rPr>
      <t xml:space="preserve"> da ferramenta e capacitação dos usuários.</t>
    </r>
  </si>
  <si>
    <r>
      <t xml:space="preserve">1. </t>
    </r>
    <r>
      <rPr>
        <b/>
        <sz val="8"/>
        <rFont val="Arial"/>
        <family val="2"/>
      </rPr>
      <t>Seleção e Contratação</t>
    </r>
    <r>
      <rPr>
        <sz val="8"/>
        <rFont val="Arial"/>
        <family val="2"/>
      </rPr>
      <t xml:space="preserve"> de consultoria para: 
(i) Prospecção de boas práticas em modelos de funcionamento contenciosos semelhantes; 
(ii) Diagnóstico das atuais práticas e resultados nos processos contenciosos         
(iii) Mapeamento detalhado dos tipos de processos, atividades e assuntos; 
(iv) Proposta de novo modelo de trabalho;
(v) Proposta de mecanismo de avaliação de resultados; 
(vi) Proposta de plano de implementação gradual.
2. </t>
    </r>
    <r>
      <rPr>
        <b/>
        <sz val="8"/>
        <rFont val="Arial"/>
        <family val="2"/>
      </rPr>
      <t>Entrega e validação</t>
    </r>
    <r>
      <rPr>
        <sz val="8"/>
        <rFont val="Arial"/>
        <family val="2"/>
      </rPr>
      <t xml:space="preserve"> do documento contendo o novo modelo de trabalho e plano de implementação
3. </t>
    </r>
    <r>
      <rPr>
        <b/>
        <sz val="8"/>
        <rFont val="Arial"/>
        <family val="2"/>
      </rPr>
      <t>Seleção e Contratação</t>
    </r>
    <r>
      <rPr>
        <sz val="8"/>
        <rFont val="Arial"/>
        <family val="2"/>
      </rPr>
      <t xml:space="preserve"> de consultoria para:                            
(i) Harmonização de conceitos com o judiciário 
(ii) Definição do mecanimso de disseminação do novo modelo de trabalho com formação de multiplicadores
4. </t>
    </r>
    <r>
      <rPr>
        <b/>
        <sz val="8"/>
        <rFont val="Arial"/>
        <family val="2"/>
      </rPr>
      <t>Entrega e validação</t>
    </r>
    <r>
      <rPr>
        <sz val="8"/>
        <rFont val="Arial"/>
        <family val="2"/>
      </rPr>
      <t xml:space="preserve">  do documento com análise de desenvolvimento do modelo 
5. </t>
    </r>
    <r>
      <rPr>
        <b/>
        <sz val="8"/>
        <rFont val="Arial"/>
        <family val="2"/>
      </rPr>
      <t>Normatização</t>
    </r>
    <r>
      <rPr>
        <sz val="8"/>
        <rFont val="Arial"/>
        <family val="2"/>
      </rPr>
      <t xml:space="preserve"> do novo modelo (AGU)
6. </t>
    </r>
    <r>
      <rPr>
        <b/>
        <sz val="8"/>
        <rFont val="Arial"/>
        <family val="2"/>
      </rPr>
      <t xml:space="preserve">Contratação de consultoria </t>
    </r>
    <r>
      <rPr>
        <sz val="8"/>
        <rFont val="Arial"/>
        <family val="2"/>
      </rPr>
      <t xml:space="preserve">para:
(i) Definição das competências necessárias de acordo com o novo modelo de trabalho;
(ii) Mapeamento das competências atuais; 
(iii) Identificação da defasagem; 
(iv) Identificação e definição de necessidades de reciclagem de pessoal; 
(v) Critérios do processo de seleção e promoção indutores dos novos perfis;
(vi) Plano de capacitação.
(vi) Plano de capacitação.
7. </t>
    </r>
    <r>
      <rPr>
        <b/>
        <sz val="8"/>
        <rFont val="Arial"/>
        <family val="2"/>
      </rPr>
      <t>Entrega e validação</t>
    </r>
    <r>
      <rPr>
        <sz val="8"/>
        <rFont val="Arial"/>
        <family val="2"/>
      </rPr>
      <t xml:space="preserve"> do produto.
8.</t>
    </r>
    <r>
      <rPr>
        <b/>
        <sz val="8"/>
        <rFont val="Arial"/>
        <family val="2"/>
      </rPr>
      <t xml:space="preserve"> Implementação</t>
    </r>
    <r>
      <rPr>
        <sz val="8"/>
        <rFont val="Arial"/>
        <family val="2"/>
      </rPr>
      <t xml:space="preserve"> do novo modelo.
                          </t>
    </r>
  </si>
  <si>
    <r>
      <t xml:space="preserve">1. </t>
    </r>
    <r>
      <rPr>
        <b/>
        <sz val="8"/>
        <rFont val="Arial"/>
        <family val="2"/>
      </rPr>
      <t>Seleção e Contratação</t>
    </r>
    <r>
      <rPr>
        <sz val="8"/>
        <rFont val="Arial"/>
        <family val="2"/>
      </rPr>
      <t xml:space="preserve"> de consultoria para: 
(i) Mapeamento das atuais práticas de consultoria e assessoramento da CGU
(ii)  Identificação da defasagem de competências qualitativa e quantitativa; 
(iii) Identificação e categorização de demandas de consultoria e assessoramento na Administração 
(iv Prospecção de experiências exitosas nacionais e internacionais em consultoria e assessoramento jurídicos
(v) Avaliação do atual modelo de consultoria e assessoramento jurídico
(vi) Proposta de novo modelo de consultoria e assessoramento jurídico, 
(vii) Identificação de necessidades de capacitação e disseminação
(viii) Proposta de mecanismo para mensuração de resultados
(iX) Plano de implementação gradual
2. </t>
    </r>
    <r>
      <rPr>
        <b/>
        <sz val="8"/>
        <rFont val="Arial"/>
        <family val="2"/>
      </rPr>
      <t>Entrega e validação</t>
    </r>
    <r>
      <rPr>
        <sz val="8"/>
        <rFont val="Arial"/>
        <family val="2"/>
      </rPr>
      <t xml:space="preserve"> do documento contendo o novo modelo de trabalho e plano de implementação gradual.  
3. </t>
    </r>
    <r>
      <rPr>
        <b/>
        <sz val="8"/>
        <rFont val="Arial"/>
        <family val="2"/>
      </rPr>
      <t>Implementação</t>
    </r>
    <r>
      <rPr>
        <sz val="8"/>
        <rFont val="Arial"/>
        <family val="2"/>
      </rPr>
      <t xml:space="preserve"> do piloto do novo modelo de consultoria e assessoramento; Disseminação do novo modelo de trabalho. 
4. </t>
    </r>
    <r>
      <rPr>
        <b/>
        <sz val="8"/>
        <rFont val="Arial"/>
        <family val="2"/>
      </rPr>
      <t>Seleção e Contratação</t>
    </r>
    <r>
      <rPr>
        <sz val="8"/>
        <rFont val="Arial"/>
        <family val="2"/>
      </rPr>
      <t xml:space="preserve"> de consultoria para </t>
    </r>
    <r>
      <rPr>
        <b/>
        <sz val="8"/>
        <rFont val="Arial"/>
        <family val="2"/>
      </rPr>
      <t>avaliação da implementação</t>
    </r>
    <r>
      <rPr>
        <sz val="8"/>
        <rFont val="Arial"/>
        <family val="2"/>
      </rPr>
      <t xml:space="preserve"> do piloto e demais etapas da implementação
6. </t>
    </r>
    <r>
      <rPr>
        <b/>
        <sz val="8"/>
        <rFont val="Arial"/>
        <family val="2"/>
      </rPr>
      <t>Entrega e validação</t>
    </r>
    <r>
      <rPr>
        <sz val="8"/>
        <rFont val="Arial"/>
        <family val="2"/>
      </rPr>
      <t xml:space="preserve"> do documento </t>
    </r>
  </si>
  <si>
    <r>
      <t xml:space="preserve">1. </t>
    </r>
    <r>
      <rPr>
        <b/>
        <sz val="8"/>
        <rFont val="Arial"/>
        <family val="2"/>
      </rPr>
      <t xml:space="preserve">Seleção e Contratação </t>
    </r>
    <r>
      <rPr>
        <sz val="8"/>
        <rFont val="Arial"/>
        <family val="2"/>
      </rPr>
      <t>de Consultoria para desenvolvimento, customização e implantação do sistema integrado.
2</t>
    </r>
    <r>
      <rPr>
        <b/>
        <sz val="8"/>
        <rFont val="Arial"/>
        <family val="2"/>
      </rPr>
      <t xml:space="preserve">. Seleção e Contratação </t>
    </r>
    <r>
      <rPr>
        <sz val="8"/>
        <rFont val="Arial"/>
        <family val="2"/>
      </rPr>
      <t xml:space="preserve">de consultoria para:
(i) Prospeção de modelos atuais e gestão documental digitalizada;
(ii) Identificação do volume e características do acervo de documentação a digitalizar;
(iii) Identificação dos trâmites, a tabela temporal dos documentos e dimensionamento;
(iv) Identificação das soluções da TI disponíveis no mercados e análise da sua viabilidade  para AGU;
(v) Definição do acervo documental a digitalizar;
(vi) Elaboração da tabela de temporalidade da atividade finalística;
(vii) Proposta de plano de implementação gradual da digitalização documental, incluindo o dimensionamento da força de trabalho operacional;
(viii) Proposta de plano de implementaçaõ gradual da solução tecnológica;
(ix) Plano de capacitação contínua;
(x) Proposta de mecanismo de avaliação de resultados.
3. </t>
    </r>
    <r>
      <rPr>
        <b/>
        <sz val="8"/>
        <rFont val="Arial"/>
        <family val="2"/>
      </rPr>
      <t>Entrega e validação</t>
    </r>
    <r>
      <rPr>
        <sz val="8"/>
        <rFont val="Arial"/>
        <family val="2"/>
      </rPr>
      <t>.</t>
    </r>
  </si>
  <si>
    <r>
      <t xml:space="preserve">Projeto Lógico do Sistema de gestão de riscos elaborado e implementado.
1. </t>
    </r>
    <r>
      <rPr>
        <b/>
        <sz val="8"/>
        <rFont val="Arial"/>
        <family val="2"/>
      </rPr>
      <t>Seleção e Contratação</t>
    </r>
    <r>
      <rPr>
        <sz val="8"/>
        <rFont val="Arial"/>
        <family val="2"/>
      </rPr>
      <t xml:space="preserve"> de consultoria para: 
(i) Prospecção de boas práticas nos setores público e privado;
(ii) Intercâmbio interinstitucional;
(iii) Definição da metodologia de avaliação de riscos;
(iv) Identificação de requisitos e especificações para iinclusão da metodologia nos sistemas corporativos;
(v) Definição do mecanismos de avaliação contínua;
(vi) Identificação dos normativos existentes e de necessidades de adequação;
(vii) Criação de sistemática para atualização dinâmica da classificação de riscos;
(viii) Plano de implementação da metodologia e instalação da ferramenta;
(ix) Definição do plano de capacitação e disseminação.
2. </t>
    </r>
    <r>
      <rPr>
        <b/>
        <sz val="8"/>
        <rFont val="Arial"/>
        <family val="2"/>
      </rPr>
      <t>Entrega e validação</t>
    </r>
    <r>
      <rPr>
        <sz val="8"/>
        <rFont val="Arial"/>
        <family val="2"/>
      </rPr>
      <t xml:space="preserve">
3.</t>
    </r>
    <r>
      <rPr>
        <b/>
        <sz val="8"/>
        <rFont val="Arial"/>
        <family val="2"/>
      </rPr>
      <t xml:space="preserve"> Implementação</t>
    </r>
    <r>
      <rPr>
        <sz val="8"/>
        <rFont val="Arial"/>
        <family val="2"/>
      </rPr>
      <t xml:space="preserve">
4. </t>
    </r>
    <r>
      <rPr>
        <b/>
        <sz val="8"/>
        <rFont val="Arial"/>
        <family val="2"/>
      </rPr>
      <t xml:space="preserve">Seleção e Contratação </t>
    </r>
    <r>
      <rPr>
        <sz val="8"/>
        <rFont val="Arial"/>
        <family val="2"/>
      </rPr>
      <t xml:space="preserve">de consultoria para avaliação do piloto e demais ciclos e sugestões de melhoria
5. </t>
    </r>
    <r>
      <rPr>
        <b/>
        <sz val="8"/>
        <rFont val="Arial"/>
        <family val="2"/>
      </rPr>
      <t>Entrega e validação</t>
    </r>
    <r>
      <rPr>
        <sz val="8"/>
        <rFont val="Arial"/>
        <family val="2"/>
      </rPr>
      <t xml:space="preserve">
6. </t>
    </r>
    <r>
      <rPr>
        <b/>
        <sz val="8"/>
        <rFont val="Arial"/>
        <family val="2"/>
      </rPr>
      <t xml:space="preserve">Adequação </t>
    </r>
    <r>
      <rPr>
        <sz val="8"/>
        <rFont val="Arial"/>
        <family val="2"/>
      </rPr>
      <t xml:space="preserve">dos normativos e manualização (AGU)
7. </t>
    </r>
    <r>
      <rPr>
        <b/>
        <sz val="8"/>
        <rFont val="Arial"/>
        <family val="2"/>
      </rPr>
      <t>Capacitação e disseminação</t>
    </r>
    <r>
      <rPr>
        <sz val="8"/>
        <rFont val="Arial"/>
        <family val="2"/>
      </rPr>
      <t xml:space="preserve">.
</t>
    </r>
  </si>
  <si>
    <r>
      <t xml:space="preserve">1. </t>
    </r>
    <r>
      <rPr>
        <b/>
        <sz val="8"/>
        <rFont val="Arial"/>
        <family val="2"/>
      </rPr>
      <t>Seleção e Contratação</t>
    </r>
    <r>
      <rPr>
        <sz val="8"/>
        <rFont val="Arial"/>
        <family val="2"/>
      </rPr>
      <t xml:space="preserve"> de consultoria para: 
(i) Prospecção de boas práticas em modelos semelhantes; 
(ii) Diagnóstico das atuais práticas e resultados;
(iii) Mapeamento detalhado dos tipos de processos, atividades e assuntos; 
(iv) Identificação das bases de dados existentes que subsidian os cálculos;
(v) Proposta de mecanismo para mensuração de resultados;
(vi) Proposta de redesenho dos fluxos de trabalho;
(vii) Definição das necessidades de reestrutura organizacional e dos perfis profissionais;
(viii) Avaliação da solução atual (SICAP), identificação das novas funcionalidades  e algoritmos de cálculos, e definição das estrategias de atualização/redesenho
(ix) Definição da solução informatizada do novo sistema de cálculo;
(x) Proposta de plano de capacitação contínua;
(xi) Proposta de plano de implementação gradual.
2. </t>
    </r>
    <r>
      <rPr>
        <b/>
        <sz val="8"/>
        <rFont val="Arial"/>
        <family val="2"/>
      </rPr>
      <t xml:space="preserve">Entrega </t>
    </r>
    <r>
      <rPr>
        <sz val="8"/>
        <rFont val="Arial"/>
        <family val="2"/>
      </rPr>
      <t xml:space="preserve">do documento contendo o redesenho e o plano de implementação.
3. </t>
    </r>
    <r>
      <rPr>
        <b/>
        <sz val="8"/>
        <rFont val="Arial"/>
        <family val="2"/>
      </rPr>
      <t>Implementação</t>
    </r>
    <r>
      <rPr>
        <sz val="8"/>
        <rFont val="Arial"/>
        <family val="2"/>
      </rPr>
      <t xml:space="preserve">
3. </t>
    </r>
    <r>
      <rPr>
        <b/>
        <sz val="8"/>
        <rFont val="Arial"/>
        <family val="2"/>
      </rPr>
      <t xml:space="preserve">Seleção e Contratação </t>
    </r>
    <r>
      <rPr>
        <sz val="8"/>
        <rFont val="Arial"/>
        <family val="2"/>
      </rPr>
      <t xml:space="preserve">de consultoria para avaliação do piloto e demais ciclos e sugestões de melhoria.
4. </t>
    </r>
    <r>
      <rPr>
        <b/>
        <sz val="8"/>
        <rFont val="Arial"/>
        <family val="2"/>
      </rPr>
      <t xml:space="preserve">Adequação </t>
    </r>
    <r>
      <rPr>
        <sz val="8"/>
        <rFont val="Arial"/>
        <family val="2"/>
      </rPr>
      <t xml:space="preserve">dos normativos (AGU)
5. </t>
    </r>
    <r>
      <rPr>
        <b/>
        <sz val="8"/>
        <rFont val="Arial"/>
        <family val="2"/>
      </rPr>
      <t>Capacitação e disseminação</t>
    </r>
  </si>
  <si>
    <r>
      <t>1.</t>
    </r>
    <r>
      <rPr>
        <b/>
        <sz val="8"/>
        <rFont val="Arial"/>
        <family val="2"/>
      </rPr>
      <t xml:space="preserve"> Aquisição</t>
    </r>
    <r>
      <rPr>
        <sz val="8"/>
        <rFont val="Arial"/>
        <family val="2"/>
      </rPr>
      <t xml:space="preserve"> de ferramenta de monitoramento estratégico.
2. </t>
    </r>
    <r>
      <rPr>
        <b/>
        <sz val="8"/>
        <rFont val="Arial"/>
        <family val="2"/>
      </rPr>
      <t>Instalação e adequação</t>
    </r>
    <r>
      <rPr>
        <sz val="8"/>
        <rFont val="Arial"/>
        <family val="2"/>
      </rPr>
      <t xml:space="preserve"> da  ferramenta de monitoramento estratégico. 
3.</t>
    </r>
    <r>
      <rPr>
        <b/>
        <sz val="8"/>
        <rFont val="Arial"/>
        <family val="2"/>
      </rPr>
      <t xml:space="preserve"> Entrega e validação.</t>
    </r>
    <r>
      <rPr>
        <sz val="8"/>
        <rFont val="Arial"/>
        <family val="2"/>
      </rPr>
      <t xml:space="preserve">
4. </t>
    </r>
    <r>
      <rPr>
        <b/>
        <sz val="8"/>
        <rFont val="Arial"/>
        <family val="2"/>
      </rPr>
      <t>Capacitação</t>
    </r>
    <r>
      <rPr>
        <sz val="8"/>
        <rFont val="Arial"/>
        <family val="2"/>
      </rPr>
      <t xml:space="preserve"> dos usuários da ferramenta.
5. </t>
    </r>
    <r>
      <rPr>
        <b/>
        <sz val="8"/>
        <rFont val="Arial"/>
        <family val="2"/>
      </rPr>
      <t>Implementação</t>
    </r>
    <r>
      <rPr>
        <sz val="8"/>
        <rFont val="Arial"/>
        <family val="2"/>
      </rPr>
      <t xml:space="preserve"> da ferramenta de monitoramento do(s) macroprocesso(s) prioritário(s).</t>
    </r>
  </si>
  <si>
    <t>1.11. Política de comunicação das mudanças aos cidadãos, sobre as ações previstas no Projeto, desenhada e implementada</t>
  </si>
  <si>
    <t>1.12. Plano de comunicação interna de mudanças desenhado e implementado</t>
  </si>
  <si>
    <t>1.13. Plano de Gestão da Mudança desenhado e implementado</t>
  </si>
  <si>
    <t>Ano 1/12</t>
  </si>
  <si>
    <t>Ano 2/13</t>
  </si>
  <si>
    <t>Ano 3/14</t>
  </si>
  <si>
    <t>Ano 4/15</t>
  </si>
  <si>
    <t>Ano 5/16</t>
  </si>
  <si>
    <t>2.1. Fluxos de trabalho Contenciosos da Administração Direta modelados e implantados</t>
  </si>
  <si>
    <t>2.2. Fluxos de trabalho de Consultoria e Assessoramento Jurídicos na Administração Direta modelados e implantados</t>
  </si>
  <si>
    <t>2.4. Fluxos de trabalho Contenciosos, de Consultoria e Assessoramento Jurídicos na Administração Indireta modelados e implantados</t>
  </si>
  <si>
    <t>MAIO DE 2011</t>
  </si>
  <si>
    <t>Diarias</t>
  </si>
  <si>
    <t>Passagens Equipe AGU - Acompanhamento dos Trabalhos</t>
  </si>
  <si>
    <t>Diárias Equipe AGU  - Acompanhamento dos Trabalhos</t>
  </si>
  <si>
    <t xml:space="preserve">Passagens Equipe AGU - Implementação dos Processos </t>
  </si>
  <si>
    <t xml:space="preserve">Diárias Equipe AGU - Implementação dos Processos </t>
  </si>
  <si>
    <t>Passagens Equipe AGU</t>
  </si>
  <si>
    <t xml:space="preserve">Diárias Equipe AGU </t>
  </si>
  <si>
    <t xml:space="preserve">R$ </t>
  </si>
  <si>
    <t>BRASIL</t>
  </si>
  <si>
    <t>Projeto BR-L1277</t>
  </si>
  <si>
    <t xml:space="preserve">PLANO DE AQUISIÇÕES (PA) - 18 MESES </t>
  </si>
  <si>
    <r>
      <t xml:space="preserve">Atualizado por: </t>
    </r>
    <r>
      <rPr>
        <b/>
        <sz val="11"/>
        <color rgb="FFFF0000"/>
        <rFont val="Calibri"/>
        <family val="2"/>
        <scheme val="minor"/>
      </rPr>
      <t>[indicar]</t>
    </r>
  </si>
  <si>
    <t>Nº</t>
  </si>
  <si>
    <t>Descrição do Contrato</t>
  </si>
  <si>
    <t>Custo</t>
  </si>
  <si>
    <t>Método</t>
  </si>
  <si>
    <t>Revisão</t>
  </si>
  <si>
    <t>Fonte</t>
  </si>
  <si>
    <t>Datas Estimadas</t>
  </si>
  <si>
    <t>Status</t>
  </si>
  <si>
    <t>Comentário</t>
  </si>
  <si>
    <t>Aquisição</t>
  </si>
  <si>
    <t>Publicação</t>
  </si>
  <si>
    <t>Término</t>
  </si>
  <si>
    <t>(1)</t>
  </si>
  <si>
    <t>(2)</t>
  </si>
  <si>
    <t>(%)</t>
  </si>
  <si>
    <t>Anúncio</t>
  </si>
  <si>
    <t>Contrato</t>
  </si>
  <si>
    <t>(3)</t>
  </si>
  <si>
    <t>1. SERVIÇOS DE CONSULTORIA</t>
  </si>
  <si>
    <t>Seleção e Contratação de Consultoria para elaboração de um Plano de ação para a implementação da estratégia para melhorar a defesa jurídica do Estado e o papel da AGU na sustentabilidade jurídica das políticas públicas incluindo a avaliação dos riscos para o Estado (Diretrizes Estratégicas 2008/2015)</t>
  </si>
  <si>
    <t>SBMC</t>
  </si>
  <si>
    <t>ex-ante</t>
  </si>
  <si>
    <t>P</t>
  </si>
  <si>
    <t xml:space="preserve">Seleção e Contratação de consultoria para Prospecção de boas práticas em gerenciamento de riscos: a) p/ troca de experiências nacionais e internacionais; b) análises de viabilidade de implementação de melhorias no sistema existente e integração ao e-AGU. </t>
  </si>
  <si>
    <t>SQC</t>
  </si>
  <si>
    <t>Seleção e Contratação de Consultoria para Conclusão do Projeto Lógico dos módulos Crédito Ativo.</t>
  </si>
  <si>
    <t>Seleção e Contratação de Consultor Individual Internacional</t>
  </si>
  <si>
    <t>CI</t>
  </si>
  <si>
    <t>Seleção e Contratação de 02 Consultores Individuais para elaboração de Sistema de indicadores, metas e avaliação da gestão por resultados</t>
  </si>
  <si>
    <t>Seleção e Contratação de Consultor Individual especialista em gestão do conhecimento</t>
  </si>
  <si>
    <t>Seleção e Contratação de Consultor Individual especialista em  gestão/desenho de processos</t>
  </si>
  <si>
    <t xml:space="preserve">Modelo dinâmico de gerência, controle, otimização, integração e sustentabilidade dos processos operacionais e de gestão - Seleção e Contratação de consultoria para: (i) Definição da Metodologia; (ii) Definição da Ferramenta; (iii) Definição do modelo de capacitação; (iv) Plano de Implementação gradual; e  (v) Implementar metodologia.
</t>
  </si>
  <si>
    <t>Unidade responsável pela definição e monitoramento dos projetos institucionais (Escitório de Gestão de Projetos)</t>
  </si>
  <si>
    <t>SBQC</t>
  </si>
  <si>
    <t xml:space="preserve">Seleção e Contratação de Consultoria para elaborar Plano de estratégias de prevenção abrangente a todos os órgãos da Administração Direta </t>
  </si>
  <si>
    <t>Seleção e Contratação de Consultoria para elaborar Plano de estratégias de prevenção abrangente a todos os órgãos da Administração Indireta</t>
  </si>
  <si>
    <t xml:space="preserve">Seleção e Contratação de Consultoria para definição e implementação de Métodos Alternativos de Resolução de Conflitos (MARC) </t>
  </si>
  <si>
    <t>Seleção e Contratação de Consultoria para elaboração de Plano de Capacitação contínua de pessoal especializado em gerenciamento e recuperação de créditos</t>
  </si>
  <si>
    <t xml:space="preserve">Seleção e Contratação de Consultoria para elaboração de um Plano de ação para aprimoramento da integração interinstitucional entre os órgãos responsáveis pela dívida ativa </t>
  </si>
  <si>
    <t>SBQ</t>
  </si>
  <si>
    <t xml:space="preserve">Seleção e Contratação de Consultoria para identificar Solução para identificação e facilitação da eliminação dos pagamentos indevidos nos processos contra o Estado pela dívida ativa </t>
  </si>
  <si>
    <t xml:space="preserve">Seleção e Contratação de Consultoria Especializada em Análise de Sistemas e Modelo Conceitual de Dados para o Sistema Integrado de Gestão Jurídica da AGU </t>
  </si>
  <si>
    <t>Seleção e Contratação de Consultoria Especializada em Gestão documental - GED</t>
  </si>
  <si>
    <t>Seleção e Contratação de Consultoria para Redesenho e implementação dos fluxos de trabalho relativos a cálculos e perícias</t>
  </si>
  <si>
    <t>Seleção e Contratação de Consultoria para elaboração do plano estratégico de gestão da Secretaria-Geral</t>
  </si>
  <si>
    <t xml:space="preserve">Seleção e Contratação de Consultoria para Reestruturação dos fluxos de trabalho dos processos administrativos </t>
  </si>
  <si>
    <t>Seleção e Contratação de Consultoria para Implementação dos centros de custos</t>
  </si>
  <si>
    <t>Seleção e Contratação de Consultoria para Revisão do modelo de gestão logística territorial e avaliação da implementação</t>
  </si>
  <si>
    <t xml:space="preserve">Seleção e Contratação de Consultoria para Implantação de Sistema Integrado de Gestão Administrativa, sincronizado ao SIAFI </t>
  </si>
  <si>
    <t>Seleção e Contratação de Consultoria para desenho e implementação da Política de comunicação das mudanças aos cidadãos, sobre as ações previstas no Projeto</t>
  </si>
  <si>
    <t xml:space="preserve">Seleção e Contratação de Consultoria para elaboração e implementação do Plano de comunicação interna de mudanças </t>
  </si>
  <si>
    <t xml:space="preserve"> Seleção e Contratação de Consultoria para elaboração e implementação do Plano de Gestão da Mudança</t>
  </si>
  <si>
    <t>SUBTORAL DE CONSULTORIA</t>
  </si>
  <si>
    <t>Notas:</t>
  </si>
  <si>
    <r>
      <rPr>
        <b/>
        <sz val="10"/>
        <color theme="1"/>
        <rFont val="Calibri"/>
        <family val="2"/>
        <scheme val="minor"/>
      </rPr>
      <t>Revisões BID</t>
    </r>
    <r>
      <rPr>
        <sz val="10"/>
        <color theme="1"/>
        <rFont val="Calibri"/>
        <family val="2"/>
        <scheme val="minor"/>
      </rPr>
      <t xml:space="preserve">: i) </t>
    </r>
    <r>
      <rPr>
        <i/>
        <sz val="10"/>
        <color theme="1"/>
        <rFont val="Calibri"/>
        <family val="2"/>
        <scheme val="minor"/>
      </rPr>
      <t>Ex-ante &gt; anterior a seleção/contratação; ii) Ex-post &gt; posterior a seleção/contratação</t>
    </r>
  </si>
  <si>
    <r>
      <rPr>
        <b/>
        <sz val="10"/>
        <color theme="1"/>
        <rFont val="Calibri"/>
        <family val="2"/>
        <scheme val="minor"/>
      </rPr>
      <t>Status</t>
    </r>
    <r>
      <rPr>
        <sz val="10"/>
        <color theme="1"/>
        <rFont val="Calibri"/>
        <family val="2"/>
        <scheme val="minor"/>
      </rPr>
      <t>: Pendente (P); Em Processo  (EP); Adjudicado (A); Cancelado (C )</t>
    </r>
  </si>
  <si>
    <r>
      <t xml:space="preserve">Atualizado em: </t>
    </r>
    <r>
      <rPr>
        <b/>
        <sz val="11"/>
        <color rgb="FFFF0000"/>
        <rFont val="Calibri"/>
        <family val="2"/>
        <scheme val="minor"/>
      </rPr>
      <t xml:space="preserve"> Maio/2011</t>
    </r>
  </si>
  <si>
    <t>Atualização Nº: 2</t>
  </si>
  <si>
    <t xml:space="preserve">Seleção e Contratação de Consultoria para modelar e implantar os Fluxos de trabalho Jurídicos da Administração Direta </t>
  </si>
  <si>
    <t xml:space="preserve">Seleção e Contratação de Consultoria para modelar e implantar os Fluxos de trabalho de Consultoria e Assessoramento Jurídicos na Administração Direta </t>
  </si>
  <si>
    <t>Seleção e Contratação de Consultoria para modelar e implantar os Fluxos de trabalho Jurídicos na Administração Indireta</t>
  </si>
  <si>
    <t>dez/2016</t>
  </si>
  <si>
    <t>SUBTORAL DE EQUIPAMENTOS E SERVIÇOS</t>
  </si>
  <si>
    <t>PE</t>
  </si>
  <si>
    <t>Seleção e Contratação de Serviços Graficos</t>
  </si>
  <si>
    <t xml:space="preserve">Seleção e Contratação de Serviços de Logistica de Eventos </t>
  </si>
  <si>
    <t>Referente a 3.250 estações (50% do total previsto).</t>
  </si>
  <si>
    <t>ex-post</t>
  </si>
  <si>
    <t xml:space="preserve">Aquisição de Estações de Trabalho </t>
  </si>
  <si>
    <t>Aquisição de CPD Central com espelho (Sevidores e Storage)</t>
  </si>
  <si>
    <t>Aquisição, customização e implementação de Solução para avaliação de Riscos</t>
  </si>
  <si>
    <t>CP</t>
  </si>
  <si>
    <t xml:space="preserve">Aquisição, instalação e implementação de Ferramenta de Gerenciamento de Projetos </t>
  </si>
  <si>
    <t>Aquisição, instalação e implementação de Ferramenta de Modelagem de Processos na AGU</t>
  </si>
  <si>
    <t>Aquisição e adequação/customização e instalação de Ferramenta de BI incluindo recursos para Text Mining e Data Mining</t>
  </si>
  <si>
    <t>2. BENS E SERVIÇOS (QUE NÃO SEJAM DE CONSULTORIA)</t>
  </si>
  <si>
    <r>
      <rPr>
        <b/>
        <sz val="10"/>
        <color theme="1"/>
        <rFont val="Calibri"/>
        <family val="2"/>
        <scheme val="minor"/>
      </rPr>
      <t>Métodos de Seleção de Consultoria</t>
    </r>
    <r>
      <rPr>
        <sz val="10"/>
        <color theme="1"/>
        <rFont val="Calibri"/>
        <family val="2"/>
        <scheme val="minor"/>
      </rPr>
      <t xml:space="preserve">: i) </t>
    </r>
    <r>
      <rPr>
        <b/>
        <sz val="10"/>
        <color theme="1"/>
        <rFont val="Calibri"/>
        <family val="2"/>
        <scheme val="minor"/>
      </rPr>
      <t>SBQC:</t>
    </r>
    <r>
      <rPr>
        <sz val="10"/>
        <color theme="1"/>
        <rFont val="Calibri"/>
        <family val="2"/>
        <scheme val="minor"/>
      </rPr>
      <t xml:space="preserve"> Seleção Baseada na Qualidade e no Custo; ii) </t>
    </r>
    <r>
      <rPr>
        <b/>
        <sz val="10"/>
        <color theme="1"/>
        <rFont val="Calibri"/>
        <family val="2"/>
        <scheme val="minor"/>
      </rPr>
      <t xml:space="preserve">SQC: </t>
    </r>
    <r>
      <rPr>
        <sz val="10"/>
        <color theme="1"/>
        <rFont val="Calibri"/>
        <family val="2"/>
        <scheme val="minor"/>
      </rPr>
      <t xml:space="preserve">Seleção Baseada nas Qualificações dos Consultores; iii) </t>
    </r>
    <r>
      <rPr>
        <b/>
        <sz val="10"/>
        <color theme="1"/>
        <rFont val="Calibri"/>
        <family val="2"/>
        <scheme val="minor"/>
      </rPr>
      <t xml:space="preserve">SBMC: </t>
    </r>
    <r>
      <rPr>
        <sz val="10"/>
        <color theme="1"/>
        <rFont val="Calibri"/>
        <family val="2"/>
        <scheme val="minor"/>
      </rPr>
      <t xml:space="preserve">Seleção Baseada no Menor Custo; iv) </t>
    </r>
    <r>
      <rPr>
        <b/>
        <sz val="10"/>
        <color theme="1"/>
        <rFont val="Calibri"/>
        <family val="2"/>
        <scheme val="minor"/>
      </rPr>
      <t xml:space="preserve">SBQ: </t>
    </r>
    <r>
      <rPr>
        <sz val="10"/>
        <color theme="1"/>
        <rFont val="Calibri"/>
        <family val="2"/>
        <scheme val="minor"/>
      </rPr>
      <t xml:space="preserve">Seleção Baseada na Qualidade; v) SBOF: Seleção Baseada no Orçamento Fixo; vi) </t>
    </r>
    <r>
      <rPr>
        <b/>
        <sz val="10"/>
        <color theme="1"/>
        <rFont val="Calibri"/>
        <family val="2"/>
        <scheme val="minor"/>
      </rPr>
      <t>CD:</t>
    </r>
    <r>
      <rPr>
        <sz val="10"/>
        <color theme="1"/>
        <rFont val="Calibri"/>
        <family val="2"/>
        <scheme val="minor"/>
      </rPr>
      <t xml:space="preserve"> Contratação Direta; vii) </t>
    </r>
    <r>
      <rPr>
        <b/>
        <sz val="10"/>
        <color theme="1"/>
        <rFont val="Calibri"/>
        <family val="2"/>
        <scheme val="minor"/>
      </rPr>
      <t>CI:</t>
    </r>
    <r>
      <rPr>
        <sz val="10"/>
        <color theme="1"/>
        <rFont val="Calibri"/>
        <family val="2"/>
        <scheme val="minor"/>
      </rPr>
      <t xml:space="preserve"> Consultor Individual.
</t>
    </r>
    <r>
      <rPr>
        <b/>
        <sz val="10"/>
        <color theme="1"/>
        <rFont val="Calibri"/>
        <family val="2"/>
        <scheme val="minor"/>
      </rPr>
      <t>Modalidades de Aquisição:</t>
    </r>
    <r>
      <rPr>
        <sz val="10"/>
        <color theme="1"/>
        <rFont val="Calibri"/>
        <family val="2"/>
        <scheme val="minor"/>
      </rPr>
      <t xml:space="preserve">i) LPI: Licitação Pública Internacional; ii) LPN: Licitação Pública Nacional; iii) CP: Comparação de Preços; iv) PE: Pregão Eletronico. </t>
    </r>
  </si>
  <si>
    <t>(US$ )</t>
  </si>
  <si>
    <t xml:space="preserve">Estimado </t>
  </si>
</sst>
</file>

<file path=xl/styles.xml><?xml version="1.0" encoding="utf-8"?>
<styleSheet xmlns="http://schemas.openxmlformats.org/spreadsheetml/2006/main">
  <numFmts count="15">
    <numFmt numFmtId="43" formatCode="_(* #,##0.00_);_(* \(#,##0.00\);_(* &quot;-&quot;??_);_(@_)"/>
    <numFmt numFmtId="164" formatCode="_-* #,##0.00_-;\-* #,##0.00_-;_-* &quot;-&quot;??_-;_-@_-"/>
    <numFmt numFmtId="165" formatCode="mm/yy"/>
    <numFmt numFmtId="166" formatCode="_(* #,##0.00_);_(* \(#,##0.00\);_(* \-??_);_(@_)"/>
    <numFmt numFmtId="167" formatCode="_(* #,##0_);_(* \(#,##0\);_(* \-??_);_(@_)"/>
    <numFmt numFmtId="168" formatCode="&quot;R$ &quot;#,##0.00_);[Red]&quot;(R$ &quot;#,##0.00\)"/>
    <numFmt numFmtId="169" formatCode="dd/mm/yy"/>
    <numFmt numFmtId="170" formatCode="#,##0.00&quot;   &quot;;\-#,##0.00&quot;   &quot;"/>
    <numFmt numFmtId="171" formatCode="_(* #,##0_);_(* \(#,##0\);_(* &quot;-&quot;??_);_(@_)"/>
    <numFmt numFmtId="172" formatCode="[$-416]mmm\-yy;@"/>
    <numFmt numFmtId="173" formatCode="_(* #,##0.0_);_(* \(#,##0.0\);_(* \-??_);_(@_)"/>
    <numFmt numFmtId="174" formatCode="&quot;R$&quot;\ #,##0.00"/>
    <numFmt numFmtId="175" formatCode="_(* #,##0.000_);_(* \(#,##0.000\);_(* &quot;-&quot;???_);_(@_)"/>
    <numFmt numFmtId="176" formatCode="_(* #,##0.00000000_);_(* \(#,##0.00000000\);_(* \-??_);_(@_)"/>
    <numFmt numFmtId="177" formatCode="_(* #,##0.000_);_(* \(#,##0.000\);_(* \-??_);_(@_)"/>
  </numFmts>
  <fonts count="53">
    <font>
      <sz val="10"/>
      <name val="Arial"/>
    </font>
    <font>
      <sz val="10"/>
      <name val="Arial"/>
      <family val="2"/>
    </font>
    <font>
      <b/>
      <sz val="10"/>
      <name val="Arial"/>
      <family val="2"/>
    </font>
    <font>
      <b/>
      <sz val="14"/>
      <color indexed="10"/>
      <name val="Arial"/>
      <family val="2"/>
    </font>
    <font>
      <b/>
      <sz val="12"/>
      <name val="Arial"/>
      <family val="2"/>
    </font>
    <font>
      <b/>
      <sz val="11"/>
      <name val="Arial"/>
      <family val="2"/>
    </font>
    <font>
      <sz val="10"/>
      <name val="Arial"/>
      <family val="2"/>
    </font>
    <font>
      <b/>
      <sz val="10"/>
      <color indexed="12"/>
      <name val="Arial"/>
      <family val="2"/>
    </font>
    <font>
      <b/>
      <sz val="12"/>
      <color indexed="10"/>
      <name val="Arial"/>
      <family val="2"/>
    </font>
    <font>
      <b/>
      <sz val="10"/>
      <color indexed="10"/>
      <name val="Arial"/>
      <family val="2"/>
    </font>
    <font>
      <sz val="10"/>
      <color indexed="10"/>
      <name val="Arial"/>
      <family val="2"/>
    </font>
    <font>
      <u/>
      <sz val="10"/>
      <color indexed="12"/>
      <name val="Arial"/>
      <family val="2"/>
    </font>
    <font>
      <b/>
      <sz val="10"/>
      <name val="Arial"/>
      <family val="2"/>
    </font>
    <font>
      <sz val="10"/>
      <name val="Arial"/>
      <family val="2"/>
    </font>
    <font>
      <sz val="9"/>
      <color indexed="81"/>
      <name val="Tahoma"/>
      <family val="2"/>
    </font>
    <font>
      <b/>
      <sz val="9"/>
      <color indexed="81"/>
      <name val="Tahoma"/>
      <family val="2"/>
    </font>
    <font>
      <sz val="9"/>
      <name val="Arial"/>
      <family val="2"/>
    </font>
    <font>
      <b/>
      <sz val="9"/>
      <color indexed="12"/>
      <name val="Arial"/>
      <family val="2"/>
    </font>
    <font>
      <b/>
      <sz val="9"/>
      <name val="Arial"/>
      <family val="2"/>
    </font>
    <font>
      <b/>
      <sz val="10"/>
      <color indexed="10"/>
      <name val="Arial"/>
      <family val="2"/>
    </font>
    <font>
      <b/>
      <sz val="10"/>
      <color indexed="30"/>
      <name val="Arial"/>
      <family val="2"/>
    </font>
    <font>
      <sz val="10"/>
      <name val="Times New Roman"/>
      <family val="1"/>
    </font>
    <font>
      <sz val="10"/>
      <color indexed="10"/>
      <name val="Times New Roman"/>
      <family val="1"/>
    </font>
    <font>
      <b/>
      <sz val="10"/>
      <color indexed="10"/>
      <name val="Arial"/>
      <family val="2"/>
    </font>
    <font>
      <sz val="10"/>
      <name val="Arial"/>
      <family val="2"/>
    </font>
    <font>
      <sz val="10"/>
      <color indexed="8"/>
      <name val="Arial"/>
      <family val="2"/>
    </font>
    <font>
      <b/>
      <sz val="14"/>
      <name val="Arial"/>
      <family val="2"/>
    </font>
    <font>
      <sz val="10"/>
      <color rgb="FFFF0000"/>
      <name val="Arial"/>
      <family val="2"/>
    </font>
    <font>
      <sz val="10"/>
      <color rgb="FF3333FF"/>
      <name val="Arial"/>
      <family val="2"/>
    </font>
    <font>
      <b/>
      <sz val="10"/>
      <color rgb="FF0000FF"/>
      <name val="Arial"/>
      <family val="2"/>
    </font>
    <font>
      <sz val="10"/>
      <color theme="1"/>
      <name val="Arial"/>
      <family val="2"/>
    </font>
    <font>
      <b/>
      <sz val="14"/>
      <color rgb="FF3333FF"/>
      <name val="Arial"/>
      <family val="2"/>
    </font>
    <font>
      <sz val="8"/>
      <name val="Arial"/>
      <family val="2"/>
    </font>
    <font>
      <sz val="8"/>
      <color theme="1"/>
      <name val="Arial"/>
      <family val="2"/>
    </font>
    <font>
      <b/>
      <sz val="11"/>
      <color rgb="FFFF0000"/>
      <name val="Arial"/>
      <family val="2"/>
    </font>
    <font>
      <b/>
      <i/>
      <sz val="9"/>
      <name val="Arial"/>
      <family val="2"/>
    </font>
    <font>
      <b/>
      <sz val="8"/>
      <name val="Arial"/>
      <family val="2"/>
    </font>
    <font>
      <b/>
      <sz val="8"/>
      <color theme="1"/>
      <name val="Arial"/>
      <family val="2"/>
    </font>
    <font>
      <b/>
      <sz val="11"/>
      <color theme="1"/>
      <name val="Calibri"/>
      <family val="2"/>
      <scheme val="minor"/>
    </font>
    <font>
      <b/>
      <sz val="14"/>
      <color theme="1"/>
      <name val="Calibri"/>
      <family val="2"/>
      <scheme val="minor"/>
    </font>
    <font>
      <b/>
      <sz val="11"/>
      <color rgb="FFFF0000"/>
      <name val="Calibri"/>
      <family val="2"/>
      <scheme val="minor"/>
    </font>
    <font>
      <b/>
      <sz val="10"/>
      <color theme="1"/>
      <name val="Calibri"/>
      <family val="2"/>
      <scheme val="minor"/>
    </font>
    <font>
      <sz val="12"/>
      <color theme="1"/>
      <name val="Times New Roman"/>
      <family val="1"/>
    </font>
    <font>
      <b/>
      <sz val="10"/>
      <name val="Calibri"/>
      <family val="2"/>
      <scheme val="minor"/>
    </font>
    <font>
      <sz val="10"/>
      <name val="Calibri"/>
      <family val="2"/>
      <scheme val="minor"/>
    </font>
    <font>
      <i/>
      <sz val="10"/>
      <name val="Calibri"/>
      <family val="2"/>
      <scheme val="minor"/>
    </font>
    <font>
      <sz val="10"/>
      <color rgb="FF3333CC"/>
      <name val="Calibri"/>
      <family val="2"/>
      <scheme val="minor"/>
    </font>
    <font>
      <i/>
      <sz val="10"/>
      <color rgb="FF3333CC"/>
      <name val="Calibri"/>
      <family val="2"/>
      <scheme val="minor"/>
    </font>
    <font>
      <sz val="8"/>
      <color theme="1"/>
      <name val="Calibri"/>
      <family val="2"/>
      <scheme val="minor"/>
    </font>
    <font>
      <b/>
      <sz val="12"/>
      <color theme="1"/>
      <name val="Calibri"/>
      <family val="2"/>
      <scheme val="minor"/>
    </font>
    <font>
      <sz val="10"/>
      <color theme="1"/>
      <name val="Calibri"/>
      <family val="2"/>
      <scheme val="minor"/>
    </font>
    <font>
      <i/>
      <sz val="10"/>
      <color theme="1"/>
      <name val="Calibri"/>
      <family val="2"/>
      <scheme val="minor"/>
    </font>
    <font>
      <b/>
      <sz val="11"/>
      <color rgb="FF3333CC"/>
      <name val="Calibri"/>
      <family val="2"/>
      <scheme val="minor"/>
    </font>
  </fonts>
  <fills count="30">
    <fill>
      <patternFill patternType="none"/>
    </fill>
    <fill>
      <patternFill patternType="gray125"/>
    </fill>
    <fill>
      <patternFill patternType="solid">
        <fgColor indexed="22"/>
        <bgColor indexed="31"/>
      </patternFill>
    </fill>
    <fill>
      <patternFill patternType="solid">
        <fgColor indexed="43"/>
        <bgColor indexed="26"/>
      </patternFill>
    </fill>
    <fill>
      <patternFill patternType="solid">
        <fgColor indexed="47"/>
        <bgColor indexed="22"/>
      </patternFill>
    </fill>
    <fill>
      <patternFill patternType="solid">
        <fgColor indexed="42"/>
        <bgColor indexed="27"/>
      </patternFill>
    </fill>
    <fill>
      <patternFill patternType="solid">
        <fgColor indexed="22"/>
        <bgColor indexed="26"/>
      </patternFill>
    </fill>
    <fill>
      <patternFill patternType="solid">
        <fgColor indexed="22"/>
        <bgColor indexed="64"/>
      </patternFill>
    </fill>
    <fill>
      <patternFill patternType="solid">
        <fgColor indexed="42"/>
        <bgColor indexed="64"/>
      </patternFill>
    </fill>
    <fill>
      <patternFill patternType="solid">
        <fgColor indexed="55"/>
        <bgColor indexed="64"/>
      </patternFill>
    </fill>
    <fill>
      <patternFill patternType="solid">
        <fgColor indexed="43"/>
        <bgColor indexed="64"/>
      </patternFill>
    </fill>
    <fill>
      <patternFill patternType="solid">
        <fgColor indexed="27"/>
        <bgColor indexed="41"/>
      </patternFill>
    </fill>
    <fill>
      <patternFill patternType="solid">
        <fgColor indexed="44"/>
        <bgColor indexed="31"/>
      </patternFill>
    </fill>
    <fill>
      <patternFill patternType="solid">
        <fgColor indexed="13"/>
        <bgColor indexed="34"/>
      </patternFill>
    </fill>
    <fill>
      <patternFill patternType="solid">
        <fgColor rgb="FFFFFF00"/>
        <bgColor indexed="64"/>
      </patternFill>
    </fill>
    <fill>
      <patternFill patternType="solid">
        <fgColor rgb="FF92D050"/>
        <bgColor indexed="64"/>
      </patternFill>
    </fill>
    <fill>
      <patternFill patternType="solid">
        <fgColor rgb="FF92D050"/>
        <bgColor indexed="26"/>
      </patternFill>
    </fill>
    <fill>
      <patternFill patternType="solid">
        <fgColor theme="3" tint="0.39997558519241921"/>
        <bgColor indexed="64"/>
      </patternFill>
    </fill>
    <fill>
      <patternFill patternType="solid">
        <fgColor theme="0"/>
        <bgColor indexed="64"/>
      </patternFill>
    </fill>
    <fill>
      <patternFill patternType="solid">
        <fgColor theme="0"/>
        <bgColor indexed="31"/>
      </patternFill>
    </fill>
    <fill>
      <patternFill patternType="solid">
        <fgColor theme="2" tint="-0.249977111117893"/>
        <bgColor indexed="27"/>
      </patternFill>
    </fill>
    <fill>
      <patternFill patternType="solid">
        <fgColor rgb="FFFF0000"/>
        <bgColor indexed="31"/>
      </patternFill>
    </fill>
    <fill>
      <patternFill patternType="solid">
        <fgColor theme="0" tint="-0.249977111117893"/>
        <bgColor indexed="31"/>
      </patternFill>
    </fill>
    <fill>
      <patternFill patternType="solid">
        <fgColor theme="0" tint="-0.249977111117893"/>
        <bgColor indexed="64"/>
      </patternFill>
    </fill>
    <fill>
      <patternFill patternType="solid">
        <fgColor theme="0" tint="-0.249977111117893"/>
        <bgColor indexed="26"/>
      </patternFill>
    </fill>
    <fill>
      <patternFill patternType="solid">
        <fgColor theme="0" tint="-0.14996795556505021"/>
        <bgColor indexed="64"/>
      </patternFill>
    </fill>
    <fill>
      <patternFill patternType="solid">
        <fgColor theme="4" tint="0.39997558519241921"/>
        <bgColor indexed="64"/>
      </patternFill>
    </fill>
    <fill>
      <patternFill patternType="solid">
        <fgColor rgb="FFFFFF00"/>
        <bgColor indexed="31"/>
      </patternFill>
    </fill>
    <fill>
      <patternFill patternType="solid">
        <fgColor rgb="FFFFFF00"/>
        <bgColor indexed="22"/>
      </patternFill>
    </fill>
    <fill>
      <patternFill patternType="solid">
        <fgColor rgb="FFFFFF00"/>
        <bgColor indexed="27"/>
      </patternFill>
    </fill>
  </fills>
  <borders count="167">
    <border>
      <left/>
      <right/>
      <top/>
      <bottom/>
      <diagonal/>
    </border>
    <border>
      <left/>
      <right/>
      <top/>
      <bottom style="thin">
        <color indexed="8"/>
      </bottom>
      <diagonal/>
    </border>
    <border>
      <left style="thin">
        <color indexed="8"/>
      </left>
      <right/>
      <top/>
      <bottom style="thin">
        <color indexed="8"/>
      </bottom>
      <diagonal/>
    </border>
    <border>
      <left style="thin">
        <color indexed="8"/>
      </left>
      <right/>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right style="medium">
        <color indexed="8"/>
      </right>
      <top style="medium">
        <color indexed="8"/>
      </top>
      <bottom style="medium">
        <color indexed="8"/>
      </bottom>
      <diagonal/>
    </border>
    <border>
      <left/>
      <right/>
      <top style="medium">
        <color indexed="8"/>
      </top>
      <bottom/>
      <diagonal/>
    </border>
    <border>
      <left style="thin">
        <color indexed="8"/>
      </left>
      <right style="thin">
        <color indexed="8"/>
      </right>
      <top style="medium">
        <color indexed="8"/>
      </top>
      <bottom style="medium">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medium">
        <color indexed="8"/>
      </bottom>
      <diagonal/>
    </border>
    <border>
      <left style="medium">
        <color indexed="8"/>
      </left>
      <right style="thin">
        <color indexed="8"/>
      </right>
      <top style="medium">
        <color indexed="8"/>
      </top>
      <bottom style="thin">
        <color indexed="8"/>
      </bottom>
      <diagonal/>
    </border>
    <border>
      <left style="medium">
        <color indexed="8"/>
      </left>
      <right/>
      <top style="medium">
        <color indexed="8"/>
      </top>
      <bottom/>
      <diagonal/>
    </border>
    <border>
      <left/>
      <right style="medium">
        <color indexed="8"/>
      </right>
      <top style="medium">
        <color indexed="8"/>
      </top>
      <bottom/>
      <diagonal/>
    </border>
    <border>
      <left style="thin">
        <color indexed="8"/>
      </left>
      <right style="thin">
        <color indexed="8"/>
      </right>
      <top style="medium">
        <color indexed="8"/>
      </top>
      <bottom/>
      <diagonal/>
    </border>
    <border>
      <left style="thin">
        <color indexed="8"/>
      </left>
      <right/>
      <top style="thin">
        <color indexed="8"/>
      </top>
      <bottom style="thin">
        <color indexed="8"/>
      </bottom>
      <diagonal/>
    </border>
    <border>
      <left style="thin">
        <color indexed="8"/>
      </left>
      <right/>
      <top style="thin">
        <color indexed="8"/>
      </top>
      <bottom style="medium">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style="thin">
        <color indexed="8"/>
      </right>
      <top/>
      <bottom style="thin">
        <color indexed="8"/>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8"/>
      </left>
      <right style="thin">
        <color indexed="8"/>
      </right>
      <top/>
      <bottom/>
      <diagonal/>
    </border>
    <border>
      <left style="medium">
        <color indexed="8"/>
      </left>
      <right style="thin">
        <color indexed="8"/>
      </right>
      <top style="thin">
        <color indexed="8"/>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8"/>
      </right>
      <top/>
      <bottom style="thin">
        <color indexed="8"/>
      </bottom>
      <diagonal/>
    </border>
    <border>
      <left style="medium">
        <color indexed="64"/>
      </left>
      <right style="thin">
        <color indexed="8"/>
      </right>
      <top style="medium">
        <color indexed="64"/>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right style="thin">
        <color indexed="8"/>
      </right>
      <top style="medium">
        <color indexed="64"/>
      </top>
      <bottom style="thin">
        <color indexed="8"/>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style="thin">
        <color indexed="8"/>
      </left>
      <right style="medium">
        <color indexed="8"/>
      </right>
      <top/>
      <bottom style="thin">
        <color indexed="8"/>
      </bottom>
      <diagonal/>
    </border>
    <border>
      <left style="thin">
        <color indexed="8"/>
      </left>
      <right style="thin">
        <color indexed="8"/>
      </right>
      <top style="thin">
        <color indexed="64"/>
      </top>
      <bottom style="medium">
        <color indexed="64"/>
      </bottom>
      <diagonal/>
    </border>
    <border>
      <left style="thin">
        <color indexed="8"/>
      </left>
      <right style="medium">
        <color indexed="8"/>
      </right>
      <top style="medium">
        <color indexed="8"/>
      </top>
      <bottom style="thin">
        <color indexed="8"/>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medium">
        <color indexed="8"/>
      </right>
      <top style="thin">
        <color indexed="8"/>
      </top>
      <bottom style="thin">
        <color indexed="64"/>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thin">
        <color indexed="8"/>
      </left>
      <right style="medium">
        <color indexed="64"/>
      </right>
      <top style="thin">
        <color indexed="8"/>
      </top>
      <bottom style="thin">
        <color indexed="8"/>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thin">
        <color indexed="8"/>
      </left>
      <right/>
      <top style="thin">
        <color indexed="8"/>
      </top>
      <bottom/>
      <diagonal/>
    </border>
    <border>
      <left style="thin">
        <color indexed="8"/>
      </left>
      <right style="medium">
        <color indexed="64"/>
      </right>
      <top style="thin">
        <color indexed="8"/>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8"/>
      </left>
      <right style="thin">
        <color indexed="8"/>
      </right>
      <top style="thin">
        <color indexed="8"/>
      </top>
      <bottom style="medium">
        <color indexed="64"/>
      </bottom>
      <diagonal/>
    </border>
    <border>
      <left style="thin">
        <color indexed="8"/>
      </left>
      <right/>
      <top style="thin">
        <color indexed="8"/>
      </top>
      <bottom style="medium">
        <color indexed="64"/>
      </bottom>
      <diagonal/>
    </border>
    <border>
      <left style="medium">
        <color indexed="8"/>
      </left>
      <right style="thin">
        <color indexed="8"/>
      </right>
      <top style="thin">
        <color indexed="8"/>
      </top>
      <bottom/>
      <diagonal/>
    </border>
    <border>
      <left style="medium">
        <color indexed="64"/>
      </left>
      <right style="thin">
        <color indexed="8"/>
      </right>
      <top style="thin">
        <color indexed="8"/>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8"/>
      </right>
      <top style="medium">
        <color indexed="8"/>
      </top>
      <bottom style="medium">
        <color indexed="8"/>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8"/>
      </left>
      <right style="thin">
        <color indexed="64"/>
      </right>
      <top style="thin">
        <color indexed="64"/>
      </top>
      <bottom style="thin">
        <color indexed="8"/>
      </bottom>
      <diagonal/>
    </border>
    <border>
      <left style="medium">
        <color indexed="8"/>
      </left>
      <right style="thin">
        <color indexed="64"/>
      </right>
      <top style="thin">
        <color indexed="8"/>
      </top>
      <bottom/>
      <diagonal/>
    </border>
    <border>
      <left style="medium">
        <color indexed="8"/>
      </left>
      <right style="thin">
        <color indexed="64"/>
      </right>
      <top/>
      <bottom/>
      <diagonal/>
    </border>
    <border>
      <left style="medium">
        <color indexed="8"/>
      </left>
      <right style="thin">
        <color indexed="64"/>
      </right>
      <top/>
      <bottom style="thin">
        <color indexed="8"/>
      </bottom>
      <diagonal/>
    </border>
    <border>
      <left style="medium">
        <color indexed="8"/>
      </left>
      <right/>
      <top style="medium">
        <color indexed="8"/>
      </top>
      <bottom style="thin">
        <color indexed="8"/>
      </bottom>
      <diagonal/>
    </border>
    <border>
      <left/>
      <right style="thin">
        <color indexed="64"/>
      </right>
      <top style="medium">
        <color indexed="8"/>
      </top>
      <bottom style="thin">
        <color indexed="8"/>
      </bottom>
      <diagonal/>
    </border>
    <border>
      <left style="thin">
        <color indexed="64"/>
      </left>
      <right/>
      <top style="medium">
        <color indexed="8"/>
      </top>
      <bottom style="thin">
        <color indexed="8"/>
      </bottom>
      <diagonal/>
    </border>
    <border>
      <left style="thin">
        <color indexed="64"/>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top style="medium">
        <color indexed="64"/>
      </top>
      <bottom style="thin">
        <color indexed="8"/>
      </bottom>
      <diagonal/>
    </border>
    <border>
      <left/>
      <right style="thin">
        <color indexed="64"/>
      </right>
      <top style="medium">
        <color indexed="64"/>
      </top>
      <bottom style="thin">
        <color indexed="8"/>
      </bottom>
      <diagonal/>
    </border>
    <border>
      <left style="thin">
        <color indexed="8"/>
      </left>
      <right style="medium">
        <color indexed="64"/>
      </right>
      <top/>
      <bottom/>
      <diagonal/>
    </border>
    <border>
      <left style="thin">
        <color indexed="8"/>
      </left>
      <right style="medium">
        <color indexed="64"/>
      </right>
      <top/>
      <bottom style="medium">
        <color indexed="8"/>
      </bottom>
      <diagonal/>
    </border>
    <border>
      <left style="thin">
        <color indexed="8"/>
      </left>
      <right style="thin">
        <color indexed="8"/>
      </right>
      <top/>
      <bottom style="medium">
        <color indexed="8"/>
      </bottom>
      <diagonal/>
    </border>
    <border>
      <left style="medium">
        <color indexed="64"/>
      </left>
      <right style="thin">
        <color indexed="8"/>
      </right>
      <top style="medium">
        <color indexed="64"/>
      </top>
      <bottom style="medium">
        <color indexed="8"/>
      </bottom>
      <diagonal/>
    </border>
    <border>
      <left style="medium">
        <color indexed="64"/>
      </left>
      <right style="thin">
        <color indexed="8"/>
      </right>
      <top style="medium">
        <color indexed="8"/>
      </top>
      <bottom style="medium">
        <color indexed="64"/>
      </bottom>
      <diagonal/>
    </border>
    <border>
      <left style="thin">
        <color indexed="8"/>
      </left>
      <right style="thin">
        <color indexed="8"/>
      </right>
      <top style="medium">
        <color indexed="64"/>
      </top>
      <bottom style="medium">
        <color indexed="8"/>
      </bottom>
      <diagonal/>
    </border>
    <border>
      <left style="thin">
        <color indexed="8"/>
      </left>
      <right style="thin">
        <color indexed="8"/>
      </right>
      <top style="medium">
        <color indexed="8"/>
      </top>
      <bottom style="medium">
        <color indexed="64"/>
      </bottom>
      <diagonal/>
    </border>
    <border>
      <left style="medium">
        <color indexed="8"/>
      </left>
      <right/>
      <top style="medium">
        <color indexed="64"/>
      </top>
      <bottom style="thin">
        <color indexed="8"/>
      </bottom>
      <diagonal/>
    </border>
    <border>
      <left/>
      <right style="medium">
        <color indexed="8"/>
      </right>
      <top style="medium">
        <color indexed="64"/>
      </top>
      <bottom style="thin">
        <color indexed="8"/>
      </bottom>
      <diagonal/>
    </border>
    <border>
      <left/>
      <right/>
      <top style="medium">
        <color indexed="64"/>
      </top>
      <bottom style="thin">
        <color indexed="8"/>
      </bottom>
      <diagonal/>
    </border>
    <border>
      <left style="thin">
        <color indexed="8"/>
      </left>
      <right style="medium">
        <color indexed="8"/>
      </right>
      <top style="medium">
        <color indexed="64"/>
      </top>
      <bottom style="medium">
        <color indexed="8"/>
      </bottom>
      <diagonal/>
    </border>
    <border>
      <left style="thin">
        <color indexed="8"/>
      </left>
      <right style="medium">
        <color indexed="8"/>
      </right>
      <top style="medium">
        <color indexed="8"/>
      </top>
      <bottom style="medium">
        <color indexed="64"/>
      </bottom>
      <diagonal/>
    </border>
    <border>
      <left style="medium">
        <color indexed="8"/>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8"/>
      </top>
      <bottom style="thin">
        <color indexed="8"/>
      </bottom>
      <diagonal/>
    </border>
    <border>
      <left style="medium">
        <color indexed="64"/>
      </left>
      <right style="medium">
        <color indexed="8"/>
      </right>
      <top style="medium">
        <color indexed="64"/>
      </top>
      <bottom style="thin">
        <color indexed="8"/>
      </bottom>
      <diagonal/>
    </border>
    <border>
      <left style="medium">
        <color indexed="8"/>
      </left>
      <right style="medium">
        <color indexed="8"/>
      </right>
      <top style="medium">
        <color indexed="64"/>
      </top>
      <bottom style="thin">
        <color indexed="8"/>
      </bottom>
      <diagonal/>
    </border>
    <border>
      <left style="medium">
        <color indexed="8"/>
      </left>
      <right style="medium">
        <color indexed="64"/>
      </right>
      <top style="medium">
        <color indexed="64"/>
      </top>
      <bottom style="thin">
        <color indexed="8"/>
      </bottom>
      <diagonal/>
    </border>
    <border>
      <left/>
      <right/>
      <top/>
      <bottom style="medium">
        <color indexed="8"/>
      </bottom>
      <diagonal/>
    </border>
    <border>
      <left/>
      <right style="thin">
        <color indexed="8"/>
      </right>
      <top style="medium">
        <color indexed="8"/>
      </top>
      <bottom style="thin">
        <color indexed="8"/>
      </bottom>
      <diagonal/>
    </border>
    <border>
      <left style="medium">
        <color indexed="8"/>
      </left>
      <right/>
      <top style="medium">
        <color indexed="64"/>
      </top>
      <bottom style="medium">
        <color indexed="64"/>
      </bottom>
      <diagonal/>
    </border>
    <border>
      <left style="medium">
        <color indexed="64"/>
      </left>
      <right/>
      <top style="medium">
        <color indexed="64"/>
      </top>
      <bottom style="medium">
        <color indexed="8"/>
      </bottom>
      <diagonal/>
    </border>
    <border>
      <left style="medium">
        <color indexed="64"/>
      </left>
      <right/>
      <top style="medium">
        <color indexed="8"/>
      </top>
      <bottom style="medium">
        <color indexed="64"/>
      </bottom>
      <diagonal/>
    </border>
    <border>
      <left style="thin">
        <color indexed="64"/>
      </left>
      <right style="thin">
        <color indexed="8"/>
      </right>
      <top style="thin">
        <color indexed="64"/>
      </top>
      <bottom style="thin">
        <color indexed="64"/>
      </bottom>
      <diagonal/>
    </border>
    <border>
      <left/>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style="thin">
        <color indexed="8"/>
      </right>
      <top style="medium">
        <color indexed="8"/>
      </top>
      <bottom/>
      <diagonal/>
    </border>
    <border>
      <left/>
      <right style="medium">
        <color indexed="64"/>
      </right>
      <top style="medium">
        <color indexed="8"/>
      </top>
      <bottom style="thin">
        <color indexed="8"/>
      </bottom>
      <diagonal/>
    </border>
    <border>
      <left style="medium">
        <color indexed="64"/>
      </left>
      <right style="thin">
        <color indexed="8"/>
      </right>
      <top style="medium">
        <color indexed="8"/>
      </top>
      <bottom style="thin">
        <color indexed="8"/>
      </bottom>
      <diagonal/>
    </border>
    <border>
      <left style="thin">
        <color indexed="8"/>
      </left>
      <right style="medium">
        <color indexed="64"/>
      </right>
      <top style="medium">
        <color indexed="8"/>
      </top>
      <bottom style="thin">
        <color indexed="8"/>
      </bottom>
      <diagonal/>
    </border>
    <border>
      <left style="thin">
        <color indexed="8"/>
      </left>
      <right style="medium">
        <color indexed="64"/>
      </right>
      <top style="thin">
        <color indexed="8"/>
      </top>
      <bottom style="thin">
        <color indexed="64"/>
      </bottom>
      <diagonal/>
    </border>
    <border>
      <left style="medium">
        <color indexed="64"/>
      </left>
      <right style="thin">
        <color indexed="8"/>
      </right>
      <top/>
      <bottom/>
      <diagonal/>
    </border>
    <border>
      <left style="medium">
        <color indexed="64"/>
      </left>
      <right style="thin">
        <color indexed="64"/>
      </right>
      <top/>
      <bottom style="medium">
        <color indexed="64"/>
      </bottom>
      <diagonal/>
    </border>
    <border>
      <left style="medium">
        <color auto="1"/>
      </left>
      <right style="medium">
        <color auto="1"/>
      </right>
      <top style="medium">
        <color auto="1"/>
      </top>
      <bottom/>
      <diagonal/>
    </border>
    <border>
      <left/>
      <right style="medium">
        <color indexed="64"/>
      </right>
      <top style="medium">
        <color indexed="64"/>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top style="medium">
        <color indexed="64"/>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s>
  <cellStyleXfs count="5">
    <xf numFmtId="0" fontId="0" fillId="0" borderId="0"/>
    <xf numFmtId="0" fontId="11" fillId="0" borderId="0" applyNumberFormat="0" applyFill="0" applyBorder="0" applyAlignment="0" applyProtection="0">
      <alignment vertical="top"/>
      <protection locked="0"/>
    </xf>
    <xf numFmtId="9" fontId="13" fillId="0" borderId="0" applyFill="0" applyBorder="0" applyAlignment="0" applyProtection="0"/>
    <xf numFmtId="166" fontId="13" fillId="0" borderId="0" applyFill="0" applyBorder="0" applyAlignment="0" applyProtection="0"/>
    <xf numFmtId="166" fontId="6" fillId="0" borderId="0" applyFill="0" applyBorder="0" applyAlignment="0" applyProtection="0"/>
  </cellStyleXfs>
  <cellXfs count="911">
    <xf numFmtId="0" fontId="0" fillId="0" borderId="0" xfId="0"/>
    <xf numFmtId="0" fontId="0" fillId="0" borderId="0" xfId="0" applyProtection="1">
      <protection locked="0"/>
    </xf>
    <xf numFmtId="0" fontId="0" fillId="0" borderId="0" xfId="0" applyAlignment="1">
      <alignment horizontal="center"/>
    </xf>
    <xf numFmtId="0" fontId="2" fillId="0" borderId="0" xfId="0" applyFont="1" applyAlignment="1" applyProtection="1">
      <alignment horizontal="right"/>
      <protection locked="0"/>
    </xf>
    <xf numFmtId="0" fontId="5" fillId="0" borderId="0" xfId="0" applyFont="1" applyAlignment="1">
      <alignment horizontal="center"/>
    </xf>
    <xf numFmtId="0" fontId="0" fillId="0" borderId="0" xfId="0" applyAlignment="1" applyProtection="1">
      <alignment horizontal="center"/>
      <protection locked="0"/>
    </xf>
    <xf numFmtId="0" fontId="5" fillId="0" borderId="1" xfId="0" applyFont="1" applyBorder="1" applyAlignment="1" applyProtection="1">
      <alignment horizontal="center"/>
      <protection locked="0"/>
    </xf>
    <xf numFmtId="0" fontId="5" fillId="0" borderId="2" xfId="0" applyFont="1" applyBorder="1" applyProtection="1">
      <protection locked="0"/>
    </xf>
    <xf numFmtId="0" fontId="5" fillId="0" borderId="0" xfId="0" applyFont="1" applyBorder="1" applyAlignment="1" applyProtection="1">
      <alignment horizontal="center"/>
      <protection locked="0"/>
    </xf>
    <xf numFmtId="0" fontId="5" fillId="0" borderId="3" xfId="0" applyFont="1" applyBorder="1" applyProtection="1">
      <protection locked="0"/>
    </xf>
    <xf numFmtId="0" fontId="5" fillId="0" borderId="0" xfId="0" applyFont="1" applyAlignment="1" applyProtection="1">
      <alignment horizontal="center"/>
      <protection locked="0"/>
    </xf>
    <xf numFmtId="0" fontId="5" fillId="0" borderId="3" xfId="0" applyFont="1" applyBorder="1" applyAlignment="1">
      <alignment horizontal="left"/>
    </xf>
    <xf numFmtId="0" fontId="6" fillId="0" borderId="0" xfId="0" applyFont="1"/>
    <xf numFmtId="0" fontId="6" fillId="0" borderId="0" xfId="0" applyFont="1" applyAlignment="1">
      <alignment horizontal="center"/>
    </xf>
    <xf numFmtId="167" fontId="0" fillId="0" borderId="0" xfId="3" applyNumberFormat="1" applyFont="1" applyFill="1" applyBorder="1" applyAlignment="1" applyProtection="1"/>
    <xf numFmtId="166" fontId="0" fillId="0" borderId="0" xfId="3" applyFont="1" applyFill="1" applyBorder="1" applyAlignment="1" applyProtection="1"/>
    <xf numFmtId="167" fontId="0" fillId="0" borderId="0" xfId="3" applyNumberFormat="1" applyFont="1" applyFill="1" applyBorder="1" applyAlignment="1" applyProtection="1">
      <alignment horizontal="center"/>
    </xf>
    <xf numFmtId="166" fontId="0" fillId="0" borderId="0" xfId="3" applyNumberFormat="1" applyFont="1" applyFill="1" applyBorder="1" applyAlignment="1" applyProtection="1"/>
    <xf numFmtId="0" fontId="7" fillId="0" borderId="4" xfId="0" applyFont="1" applyFill="1" applyBorder="1" applyAlignment="1">
      <alignment horizontal="left" vertical="center"/>
    </xf>
    <xf numFmtId="0" fontId="2" fillId="0" borderId="5" xfId="0" applyFont="1" applyFill="1" applyBorder="1" applyAlignment="1">
      <alignment horizontal="left" vertical="center"/>
    </xf>
    <xf numFmtId="0" fontId="6" fillId="0" borderId="5" xfId="0" applyFont="1" applyFill="1" applyBorder="1" applyAlignment="1">
      <alignment horizontal="left" vertical="center"/>
    </xf>
    <xf numFmtId="167" fontId="6" fillId="0" borderId="5" xfId="3" applyNumberFormat="1" applyFont="1" applyFill="1" applyBorder="1" applyAlignment="1" applyProtection="1"/>
    <xf numFmtId="166" fontId="6" fillId="0" borderId="5" xfId="3" applyFont="1" applyFill="1" applyBorder="1" applyAlignment="1" applyProtection="1"/>
    <xf numFmtId="0" fontId="6" fillId="0" borderId="5" xfId="0" applyFont="1" applyFill="1" applyBorder="1" applyAlignment="1">
      <alignment horizontal="left"/>
    </xf>
    <xf numFmtId="167" fontId="6" fillId="0" borderId="5" xfId="3" applyNumberFormat="1" applyFont="1" applyFill="1" applyBorder="1" applyAlignment="1" applyProtection="1">
      <alignment horizontal="center"/>
    </xf>
    <xf numFmtId="166" fontId="6" fillId="0" borderId="5" xfId="3" applyNumberFormat="1" applyFont="1" applyFill="1" applyBorder="1" applyAlignment="1" applyProtection="1">
      <alignment horizontal="left"/>
    </xf>
    <xf numFmtId="167" fontId="6" fillId="0" borderId="5" xfId="3" applyNumberFormat="1" applyFont="1" applyFill="1" applyBorder="1" applyAlignment="1" applyProtection="1">
      <alignment horizontal="left"/>
    </xf>
    <xf numFmtId="166" fontId="6" fillId="0" borderId="5" xfId="3" applyFont="1" applyFill="1" applyBorder="1" applyAlignment="1" applyProtection="1">
      <alignment horizontal="left"/>
    </xf>
    <xf numFmtId="0" fontId="0" fillId="0" borderId="0" xfId="0" applyFill="1" applyAlignment="1">
      <alignment wrapText="1"/>
    </xf>
    <xf numFmtId="0" fontId="0" fillId="0" borderId="0" xfId="0" applyAlignment="1">
      <alignment wrapText="1"/>
    </xf>
    <xf numFmtId="0" fontId="2" fillId="2" borderId="6" xfId="0" applyFont="1" applyFill="1" applyBorder="1" applyAlignment="1">
      <alignment horizontal="right" vertical="top" wrapText="1"/>
    </xf>
    <xf numFmtId="166" fontId="2" fillId="2" borderId="7" xfId="3" applyFont="1" applyFill="1" applyBorder="1" applyAlignment="1" applyProtection="1"/>
    <xf numFmtId="166" fontId="2" fillId="2" borderId="5" xfId="3" applyFont="1" applyFill="1" applyBorder="1" applyAlignment="1" applyProtection="1">
      <alignment vertical="top" wrapText="1"/>
    </xf>
    <xf numFmtId="167" fontId="2" fillId="2" borderId="5" xfId="3" applyNumberFormat="1" applyFont="1" applyFill="1" applyBorder="1" applyAlignment="1" applyProtection="1">
      <alignment vertical="top"/>
    </xf>
    <xf numFmtId="166" fontId="2" fillId="2" borderId="4" xfId="3" applyFont="1" applyFill="1" applyBorder="1" applyAlignment="1" applyProtection="1">
      <alignment vertical="top"/>
    </xf>
    <xf numFmtId="166" fontId="6" fillId="0" borderId="8" xfId="3" applyFont="1" applyFill="1" applyBorder="1" applyAlignment="1" applyProtection="1">
      <alignment horizontal="left"/>
    </xf>
    <xf numFmtId="0" fontId="0" fillId="0" borderId="9" xfId="0" applyFill="1" applyBorder="1" applyAlignment="1">
      <alignment wrapText="1"/>
    </xf>
    <xf numFmtId="167" fontId="0" fillId="0" borderId="9" xfId="3" applyNumberFormat="1" applyFont="1" applyFill="1" applyBorder="1" applyAlignment="1" applyProtection="1">
      <alignment wrapText="1"/>
    </xf>
    <xf numFmtId="166" fontId="0" fillId="0" borderId="9" xfId="3" applyFont="1" applyFill="1" applyBorder="1" applyAlignment="1" applyProtection="1">
      <alignment wrapText="1"/>
    </xf>
    <xf numFmtId="167" fontId="0" fillId="0" borderId="9" xfId="3" applyNumberFormat="1" applyFont="1" applyFill="1" applyBorder="1" applyAlignment="1" applyProtection="1">
      <alignment horizontal="center" wrapText="1"/>
    </xf>
    <xf numFmtId="166" fontId="0" fillId="0" borderId="9" xfId="3" applyNumberFormat="1" applyFont="1" applyFill="1" applyBorder="1" applyAlignment="1" applyProtection="1">
      <alignment wrapText="1"/>
    </xf>
    <xf numFmtId="0" fontId="0" fillId="0" borderId="0" xfId="0" applyProtection="1"/>
    <xf numFmtId="0" fontId="6" fillId="0" borderId="0" xfId="0" applyFont="1" applyProtection="1"/>
    <xf numFmtId="0" fontId="0" fillId="0" borderId="0" xfId="0" applyAlignment="1" applyProtection="1">
      <alignment horizontal="left"/>
    </xf>
    <xf numFmtId="0" fontId="2" fillId="3" borderId="6" xfId="0" applyFont="1" applyFill="1" applyBorder="1" applyAlignment="1" applyProtection="1">
      <alignment horizontal="center" vertical="center" wrapText="1"/>
    </xf>
    <xf numFmtId="0" fontId="2" fillId="3" borderId="10" xfId="0" applyFont="1" applyFill="1" applyBorder="1" applyAlignment="1" applyProtection="1">
      <alignment horizontal="center" vertical="center" wrapText="1"/>
    </xf>
    <xf numFmtId="0" fontId="2" fillId="3" borderId="7" xfId="0" applyFont="1" applyFill="1" applyBorder="1" applyAlignment="1" applyProtection="1">
      <alignment horizontal="center" vertical="center" wrapText="1"/>
    </xf>
    <xf numFmtId="166" fontId="0" fillId="0" borderId="0" xfId="0" applyNumberFormat="1" applyProtection="1"/>
    <xf numFmtId="166" fontId="2" fillId="0" borderId="0" xfId="0" applyNumberFormat="1" applyFont="1" applyProtection="1"/>
    <xf numFmtId="0" fontId="2" fillId="0" borderId="0" xfId="0" applyFont="1" applyProtection="1"/>
    <xf numFmtId="166" fontId="2" fillId="0" borderId="0" xfId="0" applyNumberFormat="1" applyFont="1" applyFill="1" applyProtection="1"/>
    <xf numFmtId="0" fontId="2" fillId="0" borderId="0" xfId="0" applyFont="1" applyFill="1" applyProtection="1"/>
    <xf numFmtId="0" fontId="7" fillId="0" borderId="4" xfId="0" applyFont="1" applyFill="1" applyBorder="1" applyAlignment="1" applyProtection="1">
      <alignment vertical="center"/>
    </xf>
    <xf numFmtId="0" fontId="7" fillId="0" borderId="5" xfId="0" applyFont="1" applyFill="1" applyBorder="1" applyAlignment="1" applyProtection="1">
      <alignment vertical="center"/>
    </xf>
    <xf numFmtId="0" fontId="7" fillId="0" borderId="5" xfId="0" applyFont="1" applyFill="1" applyBorder="1" applyAlignment="1" applyProtection="1">
      <alignment horizontal="right" vertical="center"/>
    </xf>
    <xf numFmtId="168" fontId="2" fillId="0" borderId="8" xfId="0" applyNumberFormat="1" applyFont="1" applyFill="1" applyBorder="1" applyAlignment="1" applyProtection="1">
      <alignment vertical="center"/>
      <protection locked="0"/>
    </xf>
    <xf numFmtId="0" fontId="2" fillId="4" borderId="6" xfId="0" applyFont="1" applyFill="1" applyBorder="1" applyAlignment="1" applyProtection="1">
      <alignment horizontal="center" vertical="center" wrapText="1"/>
    </xf>
    <xf numFmtId="0" fontId="2" fillId="4" borderId="10" xfId="0" applyFont="1" applyFill="1" applyBorder="1" applyAlignment="1" applyProtection="1">
      <alignment horizontal="center" vertical="center" wrapText="1"/>
    </xf>
    <xf numFmtId="0" fontId="2" fillId="4" borderId="7" xfId="0" applyFont="1" applyFill="1" applyBorder="1" applyAlignment="1" applyProtection="1">
      <alignment horizontal="center" vertical="center" wrapText="1"/>
    </xf>
    <xf numFmtId="0" fontId="2" fillId="0" borderId="11" xfId="0" applyFont="1" applyFill="1" applyBorder="1" applyAlignment="1" applyProtection="1">
      <alignment horizontal="left" vertical="top" wrapText="1"/>
    </xf>
    <xf numFmtId="0" fontId="2" fillId="2" borderId="13" xfId="0" applyFont="1" applyFill="1" applyBorder="1" applyAlignment="1" applyProtection="1">
      <alignment horizontal="left" vertical="top" wrapText="1"/>
    </xf>
    <xf numFmtId="0" fontId="6" fillId="0" borderId="11" xfId="0" applyFont="1" applyBorder="1" applyAlignment="1" applyProtection="1">
      <alignment horizontal="left" vertical="top" wrapText="1"/>
    </xf>
    <xf numFmtId="0" fontId="0" fillId="0" borderId="0" xfId="0" applyFill="1" applyProtection="1"/>
    <xf numFmtId="0" fontId="0" fillId="0" borderId="0" xfId="0" applyFont="1" applyBorder="1" applyProtection="1"/>
    <xf numFmtId="0" fontId="0" fillId="0" borderId="0" xfId="0" applyFont="1" applyProtection="1"/>
    <xf numFmtId="0" fontId="7" fillId="3" borderId="8" xfId="0" applyFont="1" applyFill="1" applyBorder="1" applyAlignment="1" applyProtection="1">
      <alignment horizontal="center" vertical="center"/>
    </xf>
    <xf numFmtId="4" fontId="10" fillId="0" borderId="21" xfId="2" applyNumberFormat="1" applyFont="1" applyFill="1" applyBorder="1" applyAlignment="1" applyProtection="1">
      <alignment horizontal="right" vertical="center"/>
    </xf>
    <xf numFmtId="4" fontId="10" fillId="0" borderId="22" xfId="0" applyNumberFormat="1" applyFont="1" applyBorder="1" applyProtection="1"/>
    <xf numFmtId="4" fontId="10" fillId="0" borderId="21" xfId="0" applyNumberFormat="1" applyFont="1" applyBorder="1" applyAlignment="1" applyProtection="1">
      <alignment horizontal="right" vertical="center"/>
    </xf>
    <xf numFmtId="0" fontId="2" fillId="0" borderId="11" xfId="0" applyFont="1" applyBorder="1" applyAlignment="1" applyProtection="1">
      <alignment horizontal="left" vertical="top" wrapText="1"/>
    </xf>
    <xf numFmtId="4" fontId="9" fillId="0" borderId="21" xfId="0" applyNumberFormat="1" applyFont="1" applyBorder="1" applyAlignment="1" applyProtection="1">
      <alignment horizontal="right" vertical="center"/>
    </xf>
    <xf numFmtId="4" fontId="9" fillId="0" borderId="22" xfId="0" applyNumberFormat="1" applyFont="1" applyBorder="1" applyProtection="1"/>
    <xf numFmtId="0" fontId="2" fillId="0" borderId="0" xfId="0" applyFont="1" applyBorder="1" applyProtection="1"/>
    <xf numFmtId="0" fontId="10" fillId="0" borderId="0" xfId="0" applyFont="1" applyBorder="1" applyProtection="1"/>
    <xf numFmtId="0" fontId="2" fillId="0" borderId="23" xfId="0" applyFont="1" applyFill="1" applyBorder="1" applyAlignment="1" applyProtection="1">
      <alignment horizontal="center" vertical="top" wrapText="1"/>
    </xf>
    <xf numFmtId="9" fontId="2" fillId="2" borderId="12" xfId="2" applyNumberFormat="1" applyFont="1" applyFill="1" applyBorder="1" applyAlignment="1" applyProtection="1">
      <alignment horizontal="center" vertical="center"/>
    </xf>
    <xf numFmtId="9" fontId="2" fillId="2" borderId="24" xfId="2" applyNumberFormat="1" applyFont="1" applyFill="1" applyBorder="1" applyAlignment="1" applyProtection="1">
      <alignment horizontal="center" vertical="center"/>
    </xf>
    <xf numFmtId="4" fontId="10" fillId="0" borderId="25" xfId="0" applyNumberFormat="1" applyFont="1" applyBorder="1" applyAlignment="1" applyProtection="1">
      <alignment horizontal="right" vertical="center"/>
    </xf>
    <xf numFmtId="4" fontId="10" fillId="0" borderId="24" xfId="0" applyNumberFormat="1" applyFont="1" applyBorder="1" applyProtection="1"/>
    <xf numFmtId="0" fontId="9" fillId="4" borderId="26" xfId="0" applyFont="1" applyFill="1" applyBorder="1" applyAlignment="1" applyProtection="1">
      <alignment horizontal="center"/>
    </xf>
    <xf numFmtId="0" fontId="2" fillId="4" borderId="27" xfId="0" applyFont="1" applyFill="1" applyBorder="1" applyAlignment="1" applyProtection="1">
      <alignment horizontal="center"/>
    </xf>
    <xf numFmtId="0" fontId="2" fillId="4" borderId="29" xfId="0" applyFont="1" applyFill="1" applyBorder="1" applyAlignment="1" applyProtection="1">
      <alignment horizontal="center" vertical="top" wrapText="1"/>
    </xf>
    <xf numFmtId="0" fontId="2" fillId="4" borderId="30" xfId="0" applyFont="1" applyFill="1" applyBorder="1" applyAlignment="1" applyProtection="1">
      <alignment horizontal="center" vertical="top" wrapText="1"/>
    </xf>
    <xf numFmtId="0" fontId="2" fillId="0" borderId="32" xfId="0" applyFont="1" applyFill="1" applyBorder="1" applyAlignment="1" applyProtection="1">
      <alignment horizontal="center" vertical="top" wrapText="1"/>
    </xf>
    <xf numFmtId="0" fontId="0" fillId="0" borderId="33" xfId="0" applyBorder="1" applyAlignment="1" applyProtection="1">
      <alignment vertical="top" wrapText="1"/>
      <protection locked="0"/>
    </xf>
    <xf numFmtId="0" fontId="6" fillId="0" borderId="34" xfId="0" applyFont="1" applyBorder="1"/>
    <xf numFmtId="171" fontId="6" fillId="0" borderId="35" xfId="3" applyNumberFormat="1" applyFont="1" applyBorder="1" applyAlignment="1" applyProtection="1">
      <alignment vertical="top"/>
      <protection locked="0"/>
    </xf>
    <xf numFmtId="0" fontId="6" fillId="0" borderId="33" xfId="0" applyFont="1" applyBorder="1" applyAlignment="1" applyProtection="1">
      <alignment vertical="top"/>
      <protection locked="0"/>
    </xf>
    <xf numFmtId="166" fontId="6" fillId="0" borderId="5" xfId="3" applyFont="1" applyFill="1" applyBorder="1" applyAlignment="1" applyProtection="1">
      <alignment wrapText="1"/>
    </xf>
    <xf numFmtId="0" fontId="6" fillId="0" borderId="32" xfId="0" applyFont="1" applyBorder="1" applyAlignment="1" applyProtection="1">
      <alignment vertical="top"/>
      <protection locked="0"/>
    </xf>
    <xf numFmtId="0" fontId="6" fillId="0" borderId="11" xfId="0" applyFont="1" applyBorder="1" applyAlignment="1" applyProtection="1">
      <alignment vertical="top"/>
      <protection locked="0"/>
    </xf>
    <xf numFmtId="167" fontId="6" fillId="0" borderId="20" xfId="3" applyNumberFormat="1" applyFont="1" applyFill="1" applyBorder="1" applyAlignment="1" applyProtection="1">
      <alignment vertical="top"/>
      <protection locked="0"/>
    </xf>
    <xf numFmtId="0" fontId="6" fillId="0" borderId="11" xfId="0" applyFont="1" applyBorder="1" applyAlignment="1" applyProtection="1">
      <alignment vertical="top" wrapText="1"/>
      <protection locked="0"/>
    </xf>
    <xf numFmtId="0" fontId="6" fillId="0" borderId="32" xfId="0" applyFont="1" applyBorder="1" applyAlignment="1" applyProtection="1">
      <alignment vertical="top" wrapText="1"/>
      <protection locked="0"/>
    </xf>
    <xf numFmtId="166" fontId="6" fillId="0" borderId="0" xfId="3" applyFont="1" applyFill="1" applyBorder="1" applyAlignment="1" applyProtection="1"/>
    <xf numFmtId="166" fontId="0" fillId="0" borderId="15" xfId="3" applyFont="1" applyFill="1" applyBorder="1" applyAlignment="1" applyProtection="1">
      <alignment wrapText="1"/>
    </xf>
    <xf numFmtId="43" fontId="0" fillId="0" borderId="0" xfId="0" applyNumberFormat="1"/>
    <xf numFmtId="166" fontId="2" fillId="0" borderId="0" xfId="0" applyNumberFormat="1" applyFont="1" applyFill="1" applyBorder="1" applyProtection="1"/>
    <xf numFmtId="0" fontId="6" fillId="0" borderId="36" xfId="0" applyFont="1" applyBorder="1"/>
    <xf numFmtId="166" fontId="13" fillId="0" borderId="0" xfId="3"/>
    <xf numFmtId="0" fontId="2" fillId="3" borderId="36" xfId="0" applyFont="1" applyFill="1" applyBorder="1" applyAlignment="1">
      <alignment horizontal="center" vertical="top" wrapText="1"/>
    </xf>
    <xf numFmtId="0" fontId="6" fillId="0" borderId="37" xfId="0" applyFont="1" applyBorder="1" applyAlignment="1" applyProtection="1">
      <alignment horizontal="left" vertical="top" wrapText="1"/>
    </xf>
    <xf numFmtId="0" fontId="6" fillId="0" borderId="38" xfId="0" applyFont="1" applyBorder="1" applyAlignment="1" applyProtection="1">
      <alignment horizontal="left" vertical="top" wrapText="1"/>
    </xf>
    <xf numFmtId="166" fontId="13" fillId="0" borderId="0" xfId="3" applyBorder="1" applyProtection="1"/>
    <xf numFmtId="9" fontId="2" fillId="2" borderId="39" xfId="2" applyFont="1" applyFill="1" applyBorder="1" applyAlignment="1" applyProtection="1">
      <alignment horizontal="center" vertical="center" wrapText="1"/>
    </xf>
    <xf numFmtId="2" fontId="0" fillId="0" borderId="0" xfId="0" applyNumberFormat="1" applyFont="1" applyBorder="1" applyProtection="1"/>
    <xf numFmtId="0" fontId="0" fillId="0" borderId="0" xfId="0" applyAlignment="1" applyProtection="1">
      <alignment vertical="top"/>
    </xf>
    <xf numFmtId="0" fontId="2" fillId="0" borderId="0" xfId="0" applyFont="1" applyAlignment="1" applyProtection="1">
      <alignment vertical="top"/>
    </xf>
    <xf numFmtId="0" fontId="12" fillId="2" borderId="6" xfId="0" applyFont="1" applyFill="1" applyBorder="1" applyAlignment="1">
      <alignment horizontal="right" vertical="top" wrapText="1"/>
    </xf>
    <xf numFmtId="166" fontId="12" fillId="2" borderId="7" xfId="3" applyFont="1" applyFill="1" applyBorder="1" applyAlignment="1" applyProtection="1"/>
    <xf numFmtId="166" fontId="12" fillId="2" borderId="5" xfId="3" applyFont="1" applyFill="1" applyBorder="1" applyAlignment="1" applyProtection="1">
      <alignment vertical="top" wrapText="1"/>
    </xf>
    <xf numFmtId="167" fontId="12" fillId="2" borderId="5" xfId="3" applyNumberFormat="1" applyFont="1" applyFill="1" applyBorder="1" applyAlignment="1" applyProtection="1">
      <alignment vertical="top"/>
    </xf>
    <xf numFmtId="166" fontId="12" fillId="2" borderId="4" xfId="3" applyFont="1" applyFill="1" applyBorder="1" applyAlignment="1" applyProtection="1">
      <alignment vertical="top"/>
    </xf>
    <xf numFmtId="0" fontId="13" fillId="0" borderId="0" xfId="0" applyFont="1"/>
    <xf numFmtId="172" fontId="6" fillId="0" borderId="34" xfId="0" applyNumberFormat="1" applyFont="1" applyBorder="1" applyAlignment="1" applyProtection="1">
      <alignment horizontal="center" vertical="top" wrapText="1"/>
      <protection locked="0"/>
    </xf>
    <xf numFmtId="0" fontId="2" fillId="5" borderId="34" xfId="0" applyFont="1" applyFill="1" applyBorder="1" applyAlignment="1">
      <alignment horizontal="center" vertical="center"/>
    </xf>
    <xf numFmtId="0" fontId="2" fillId="5" borderId="40" xfId="0" applyFont="1" applyFill="1" applyBorder="1" applyAlignment="1">
      <alignment horizontal="center" vertical="center"/>
    </xf>
    <xf numFmtId="0" fontId="6" fillId="0" borderId="41" xfId="0" applyFont="1" applyBorder="1" applyAlignment="1">
      <alignment horizontal="left" vertical="top" wrapText="1"/>
    </xf>
    <xf numFmtId="0" fontId="6" fillId="0" borderId="0" xfId="0" applyFont="1" applyAlignment="1" applyProtection="1">
      <alignment vertical="top"/>
    </xf>
    <xf numFmtId="166" fontId="13" fillId="4" borderId="33" xfId="3" applyFill="1" applyBorder="1" applyAlignment="1" applyProtection="1">
      <alignment horizontal="center" vertical="center"/>
    </xf>
    <xf numFmtId="166" fontId="13" fillId="2" borderId="42" xfId="3" applyFill="1" applyBorder="1" applyAlignment="1" applyProtection="1">
      <alignment horizontal="center" vertical="center"/>
    </xf>
    <xf numFmtId="0" fontId="2" fillId="3" borderId="29" xfId="0" applyFont="1" applyFill="1" applyBorder="1" applyAlignment="1" applyProtection="1">
      <alignment horizontal="center" vertical="center" wrapText="1"/>
    </xf>
    <xf numFmtId="0" fontId="0" fillId="0" borderId="9" xfId="0" applyBorder="1" applyProtection="1"/>
    <xf numFmtId="0" fontId="0" fillId="0" borderId="15" xfId="0" applyBorder="1" applyProtection="1"/>
    <xf numFmtId="0" fontId="9" fillId="3" borderId="2"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0" fontId="9" fillId="3" borderId="44" xfId="0" applyFont="1" applyFill="1" applyBorder="1" applyAlignment="1" applyProtection="1">
      <alignment horizontal="center" vertical="center"/>
    </xf>
    <xf numFmtId="0" fontId="2" fillId="3" borderId="30" xfId="0" applyFont="1" applyFill="1" applyBorder="1" applyAlignment="1" applyProtection="1">
      <alignment horizontal="center" vertical="center" wrapText="1"/>
    </xf>
    <xf numFmtId="0" fontId="2" fillId="3" borderId="31" xfId="0" applyFont="1" applyFill="1" applyBorder="1" applyAlignment="1" applyProtection="1">
      <alignment horizontal="center" vertical="center" wrapText="1"/>
    </xf>
    <xf numFmtId="0" fontId="2" fillId="0" borderId="45" xfId="0" applyFont="1" applyBorder="1" applyAlignment="1" applyProtection="1">
      <alignment horizontal="center" vertical="top" wrapText="1"/>
    </xf>
    <xf numFmtId="0" fontId="2" fillId="0" borderId="46" xfId="0" applyFont="1" applyBorder="1" applyAlignment="1" applyProtection="1">
      <alignment horizontal="center" vertical="top" wrapText="1"/>
    </xf>
    <xf numFmtId="170" fontId="2" fillId="2" borderId="47" xfId="3" applyNumberFormat="1" applyFont="1" applyFill="1" applyBorder="1" applyAlignment="1" applyProtection="1">
      <alignment horizontal="right" vertical="center" wrapText="1"/>
    </xf>
    <xf numFmtId="0" fontId="2" fillId="2" borderId="48" xfId="0" applyFont="1" applyFill="1" applyBorder="1" applyAlignment="1" applyProtection="1">
      <alignment horizontal="left" vertical="top" wrapText="1"/>
    </xf>
    <xf numFmtId="0" fontId="2" fillId="2" borderId="49" xfId="0" applyFont="1" applyFill="1" applyBorder="1" applyAlignment="1" applyProtection="1">
      <alignment horizontal="left" vertical="top" wrapText="1"/>
    </xf>
    <xf numFmtId="166" fontId="2" fillId="5" borderId="50" xfId="3" applyFont="1" applyFill="1" applyBorder="1" applyAlignment="1" applyProtection="1">
      <alignment vertical="center"/>
    </xf>
    <xf numFmtId="43" fontId="2" fillId="0" borderId="29" xfId="0" applyNumberFormat="1" applyFont="1" applyFill="1" applyBorder="1" applyAlignment="1" applyProtection="1">
      <alignment horizontal="center"/>
    </xf>
    <xf numFmtId="0" fontId="7" fillId="0" borderId="14" xfId="0" applyFont="1" applyBorder="1" applyAlignment="1" applyProtection="1">
      <alignment vertical="center" wrapText="1"/>
    </xf>
    <xf numFmtId="0" fontId="0" fillId="0" borderId="0" xfId="0" applyAlignment="1" applyProtection="1">
      <alignment wrapText="1"/>
    </xf>
    <xf numFmtId="0" fontId="16" fillId="0" borderId="33" xfId="0" applyFont="1" applyBorder="1" applyAlignment="1">
      <alignment horizontal="left" vertical="center" wrapText="1"/>
    </xf>
    <xf numFmtId="0" fontId="17" fillId="0" borderId="51" xfId="0" applyFont="1" applyFill="1" applyBorder="1" applyAlignment="1">
      <alignment vertical="center" wrapText="1"/>
    </xf>
    <xf numFmtId="0" fontId="18" fillId="3" borderId="52" xfId="0" applyFont="1" applyFill="1" applyBorder="1" applyAlignment="1">
      <alignment vertical="top" wrapText="1"/>
    </xf>
    <xf numFmtId="0" fontId="16" fillId="0" borderId="0" xfId="0" applyFont="1"/>
    <xf numFmtId="43" fontId="0" fillId="0" borderId="0" xfId="0" applyNumberFormat="1" applyFont="1" applyBorder="1" applyProtection="1"/>
    <xf numFmtId="0" fontId="6" fillId="0" borderId="33" xfId="0" applyFont="1" applyBorder="1" applyAlignment="1">
      <alignment horizontal="left" vertical="top" wrapText="1"/>
    </xf>
    <xf numFmtId="0" fontId="6" fillId="0" borderId="0" xfId="0" applyFont="1" applyBorder="1"/>
    <xf numFmtId="0" fontId="6" fillId="0" borderId="53" xfId="0" applyFont="1" applyBorder="1"/>
    <xf numFmtId="0" fontId="8" fillId="0" borderId="54" xfId="0" applyFont="1" applyFill="1" applyBorder="1" applyAlignment="1">
      <alignment horizontal="center" vertical="center" wrapText="1"/>
    </xf>
    <xf numFmtId="0" fontId="19" fillId="0" borderId="51" xfId="0" applyFont="1" applyBorder="1" applyAlignment="1">
      <alignment horizontal="right"/>
    </xf>
    <xf numFmtId="0" fontId="19" fillId="0" borderId="53" xfId="0" applyFont="1" applyBorder="1" applyAlignment="1">
      <alignment horizontal="right"/>
    </xf>
    <xf numFmtId="0" fontId="19" fillId="0" borderId="53" xfId="0" applyFont="1" applyFill="1" applyBorder="1" applyAlignment="1">
      <alignment horizontal="center" vertical="center" wrapText="1"/>
    </xf>
    <xf numFmtId="174" fontId="19" fillId="0" borderId="53" xfId="3" applyNumberFormat="1" applyFont="1" applyBorder="1" applyAlignment="1">
      <alignment horizontal="center" vertical="center"/>
    </xf>
    <xf numFmtId="0" fontId="6" fillId="0" borderId="54" xfId="0" applyFont="1" applyBorder="1"/>
    <xf numFmtId="0" fontId="9" fillId="3" borderId="55" xfId="0" applyFont="1" applyFill="1" applyBorder="1" applyAlignment="1">
      <alignment horizontal="center" vertical="top" wrapText="1"/>
    </xf>
    <xf numFmtId="0" fontId="1" fillId="0" borderId="34" xfId="0" applyFont="1" applyBorder="1" applyAlignment="1" applyProtection="1">
      <alignment horizontal="left" vertical="top" wrapText="1"/>
      <protection locked="0"/>
    </xf>
    <xf numFmtId="0" fontId="6" fillId="0" borderId="56" xfId="0" applyFont="1" applyBorder="1" applyAlignment="1">
      <alignment horizontal="left" vertical="top" wrapText="1"/>
    </xf>
    <xf numFmtId="0" fontId="2" fillId="3" borderId="43" xfId="0" applyFont="1" applyFill="1" applyBorder="1" applyAlignment="1">
      <alignment horizontal="center" vertical="center" wrapText="1"/>
    </xf>
    <xf numFmtId="0" fontId="2" fillId="6" borderId="53" xfId="0" applyFont="1" applyFill="1" applyBorder="1" applyAlignment="1">
      <alignment horizontal="center" vertical="center"/>
    </xf>
    <xf numFmtId="0" fontId="2" fillId="6" borderId="53" xfId="0" applyFont="1" applyFill="1" applyBorder="1" applyAlignment="1">
      <alignment horizontal="center" vertical="center" wrapText="1"/>
    </xf>
    <xf numFmtId="0" fontId="2" fillId="6" borderId="57" xfId="0" applyFont="1" applyFill="1" applyBorder="1" applyAlignment="1">
      <alignment horizontal="center" vertical="center" wrapText="1"/>
    </xf>
    <xf numFmtId="0" fontId="1" fillId="0" borderId="58" xfId="0" applyFont="1" applyBorder="1" applyAlignment="1" applyProtection="1">
      <alignment vertical="top" wrapText="1"/>
      <protection locked="0"/>
    </xf>
    <xf numFmtId="171" fontId="1" fillId="0" borderId="59" xfId="3" applyNumberFormat="1" applyFont="1" applyBorder="1" applyAlignment="1" applyProtection="1">
      <alignment vertical="top"/>
      <protection locked="0"/>
    </xf>
    <xf numFmtId="3" fontId="7" fillId="0" borderId="4" xfId="0" applyNumberFormat="1" applyFont="1" applyFill="1" applyBorder="1" applyAlignment="1">
      <alignment horizontal="left" vertical="center"/>
    </xf>
    <xf numFmtId="3" fontId="2" fillId="0" borderId="5" xfId="0" applyNumberFormat="1" applyFont="1" applyFill="1" applyBorder="1" applyAlignment="1">
      <alignment horizontal="left" vertical="center"/>
    </xf>
    <xf numFmtId="3" fontId="6" fillId="0" borderId="5" xfId="0" applyNumberFormat="1" applyFont="1" applyFill="1" applyBorder="1" applyAlignment="1">
      <alignment horizontal="left" vertical="center"/>
    </xf>
    <xf numFmtId="3" fontId="6" fillId="0" borderId="5" xfId="3" applyNumberFormat="1" applyFont="1" applyFill="1" applyBorder="1" applyAlignment="1" applyProtection="1"/>
    <xf numFmtId="3" fontId="6" fillId="0" borderId="5" xfId="0" applyNumberFormat="1" applyFont="1" applyFill="1" applyBorder="1" applyAlignment="1">
      <alignment horizontal="left"/>
    </xf>
    <xf numFmtId="3" fontId="6" fillId="0" borderId="5" xfId="3" applyNumberFormat="1" applyFont="1" applyFill="1" applyBorder="1" applyAlignment="1" applyProtection="1">
      <alignment horizontal="center"/>
    </xf>
    <xf numFmtId="3" fontId="6" fillId="0" borderId="5" xfId="3" applyNumberFormat="1" applyFont="1" applyFill="1" applyBorder="1" applyAlignment="1" applyProtection="1">
      <alignment horizontal="left"/>
    </xf>
    <xf numFmtId="3" fontId="6" fillId="0" borderId="5" xfId="0" applyNumberFormat="1" applyFont="1" applyFill="1" applyBorder="1" applyAlignment="1">
      <alignment horizontal="left" wrapText="1"/>
    </xf>
    <xf numFmtId="3" fontId="0" fillId="0" borderId="0" xfId="0" applyNumberFormat="1"/>
    <xf numFmtId="3" fontId="0" fillId="0" borderId="5" xfId="0" applyNumberFormat="1" applyFill="1" applyBorder="1" applyAlignment="1">
      <alignment wrapText="1"/>
    </xf>
    <xf numFmtId="3" fontId="0" fillId="0" borderId="5" xfId="3" applyNumberFormat="1" applyFont="1" applyFill="1" applyBorder="1" applyAlignment="1" applyProtection="1">
      <alignment wrapText="1"/>
    </xf>
    <xf numFmtId="3" fontId="0" fillId="0" borderId="5" xfId="3" applyNumberFormat="1" applyFont="1" applyFill="1" applyBorder="1" applyAlignment="1" applyProtection="1">
      <alignment horizontal="center" wrapText="1"/>
    </xf>
    <xf numFmtId="3" fontId="0" fillId="0" borderId="0" xfId="0" applyNumberFormat="1" applyFill="1" applyAlignment="1">
      <alignment wrapText="1"/>
    </xf>
    <xf numFmtId="3" fontId="0" fillId="0" borderId="0" xfId="0" applyNumberFormat="1" applyAlignment="1">
      <alignment wrapText="1"/>
    </xf>
    <xf numFmtId="3" fontId="2" fillId="0" borderId="23" xfId="0" applyNumberFormat="1" applyFont="1" applyFill="1" applyBorder="1" applyAlignment="1">
      <alignment horizontal="center" vertical="top" wrapText="1"/>
    </xf>
    <xf numFmtId="3" fontId="2" fillId="0" borderId="12" xfId="3" applyNumberFormat="1" applyFont="1" applyFill="1" applyBorder="1" applyAlignment="1" applyProtection="1">
      <alignment horizontal="center" vertical="top" wrapText="1"/>
    </xf>
    <xf numFmtId="3" fontId="2" fillId="0" borderId="18" xfId="0" applyNumberFormat="1" applyFont="1" applyFill="1" applyBorder="1" applyAlignment="1">
      <alignment horizontal="center" vertical="top" wrapText="1"/>
    </xf>
    <xf numFmtId="3" fontId="2" fillId="3" borderId="23" xfId="0" applyNumberFormat="1" applyFont="1" applyFill="1" applyBorder="1" applyAlignment="1">
      <alignment horizontal="center" vertical="top" wrapText="1"/>
    </xf>
    <xf numFmtId="3" fontId="2" fillId="3" borderId="12" xfId="3" applyNumberFormat="1" applyFont="1" applyFill="1" applyBorder="1" applyAlignment="1" applyProtection="1">
      <alignment horizontal="center" vertical="top" wrapText="1"/>
    </xf>
    <xf numFmtId="3" fontId="2" fillId="3" borderId="18" xfId="0" applyNumberFormat="1" applyFont="1" applyFill="1" applyBorder="1" applyAlignment="1">
      <alignment horizontal="center" vertical="top" wrapText="1"/>
    </xf>
    <xf numFmtId="3" fontId="6" fillId="0" borderId="41" xfId="0" applyNumberFormat="1" applyFont="1" applyBorder="1" applyAlignment="1" applyProtection="1">
      <alignment vertical="top" wrapText="1"/>
      <protection locked="0"/>
    </xf>
    <xf numFmtId="3" fontId="6" fillId="0" borderId="60" xfId="3" applyNumberFormat="1" applyFont="1" applyBorder="1" applyAlignment="1" applyProtection="1">
      <alignment vertical="top"/>
      <protection locked="0"/>
    </xf>
    <xf numFmtId="3" fontId="1" fillId="0" borderId="41" xfId="0" applyNumberFormat="1" applyFont="1" applyBorder="1" applyAlignment="1" applyProtection="1">
      <alignment vertical="top" wrapText="1"/>
      <protection locked="0"/>
    </xf>
    <xf numFmtId="3" fontId="1" fillId="0" borderId="61" xfId="3" applyNumberFormat="1" applyFont="1" applyBorder="1" applyAlignment="1" applyProtection="1">
      <alignment vertical="top"/>
      <protection locked="0"/>
    </xf>
    <xf numFmtId="3" fontId="13" fillId="0" borderId="60" xfId="3" applyNumberFormat="1" applyBorder="1" applyAlignment="1" applyProtection="1">
      <alignment vertical="top"/>
      <protection locked="0"/>
    </xf>
    <xf numFmtId="3" fontId="0" fillId="0" borderId="41" xfId="0" applyNumberFormat="1" applyBorder="1" applyAlignment="1" applyProtection="1">
      <alignment vertical="top" wrapText="1"/>
      <protection locked="0"/>
    </xf>
    <xf numFmtId="3" fontId="13" fillId="0" borderId="61" xfId="3" applyNumberFormat="1" applyBorder="1" applyAlignment="1" applyProtection="1">
      <alignment vertical="top"/>
      <protection locked="0"/>
    </xf>
    <xf numFmtId="3" fontId="0" fillId="0" borderId="32" xfId="0" applyNumberFormat="1" applyBorder="1" applyAlignment="1" applyProtection="1">
      <alignment vertical="top"/>
      <protection locked="0"/>
    </xf>
    <xf numFmtId="3" fontId="6" fillId="0" borderId="33" xfId="0" applyNumberFormat="1" applyFont="1" applyBorder="1" applyAlignment="1" applyProtection="1">
      <alignment vertical="top" wrapText="1"/>
      <protection locked="0"/>
    </xf>
    <xf numFmtId="3" fontId="0" fillId="0" borderId="11" xfId="0" applyNumberFormat="1" applyBorder="1" applyAlignment="1" applyProtection="1">
      <alignment vertical="top" wrapText="1"/>
      <protection locked="0"/>
    </xf>
    <xf numFmtId="3" fontId="0" fillId="0" borderId="33" xfId="0" applyNumberFormat="1" applyBorder="1" applyAlignment="1" applyProtection="1">
      <alignment vertical="top"/>
      <protection locked="0"/>
    </xf>
    <xf numFmtId="3" fontId="0" fillId="0" borderId="11" xfId="0" applyNumberFormat="1" applyBorder="1" applyAlignment="1" applyProtection="1">
      <alignment vertical="top"/>
      <protection locked="0"/>
    </xf>
    <xf numFmtId="3" fontId="0" fillId="0" borderId="33" xfId="0" applyNumberFormat="1" applyBorder="1" applyAlignment="1" applyProtection="1">
      <alignment vertical="top" wrapText="1"/>
      <protection locked="0"/>
    </xf>
    <xf numFmtId="3" fontId="1" fillId="0" borderId="60" xfId="3" applyNumberFormat="1" applyFont="1" applyBorder="1" applyAlignment="1" applyProtection="1">
      <alignment vertical="top"/>
      <protection locked="0"/>
    </xf>
    <xf numFmtId="3" fontId="1" fillId="0" borderId="33" xfId="0" applyNumberFormat="1" applyFont="1" applyBorder="1" applyAlignment="1" applyProtection="1">
      <alignment vertical="top"/>
      <protection locked="0"/>
    </xf>
    <xf numFmtId="3" fontId="21" fillId="0" borderId="34" xfId="0" applyNumberFormat="1" applyFont="1" applyFill="1" applyBorder="1" applyAlignment="1" applyProtection="1">
      <alignment horizontal="center" vertical="top" wrapText="1"/>
      <protection locked="0"/>
    </xf>
    <xf numFmtId="3" fontId="21" fillId="0" borderId="34" xfId="0" applyNumberFormat="1" applyFont="1" applyFill="1" applyBorder="1" applyAlignment="1">
      <alignment wrapText="1"/>
    </xf>
    <xf numFmtId="3" fontId="21" fillId="0" borderId="34" xfId="0" applyNumberFormat="1" applyFont="1" applyFill="1" applyBorder="1" applyAlignment="1">
      <alignment horizontal="center"/>
    </xf>
    <xf numFmtId="3" fontId="21" fillId="0" borderId="34" xfId="0" applyNumberFormat="1" applyFont="1" applyFill="1" applyBorder="1"/>
    <xf numFmtId="3" fontId="21" fillId="0" borderId="34" xfId="0" applyNumberFormat="1" applyFont="1" applyBorder="1" applyAlignment="1">
      <alignment horizontal="left" vertical="top" wrapText="1"/>
    </xf>
    <xf numFmtId="3" fontId="21" fillId="0" borderId="34" xfId="0" applyNumberFormat="1" applyFont="1" applyBorder="1" applyAlignment="1">
      <alignment horizontal="center" vertical="top" wrapText="1"/>
    </xf>
    <xf numFmtId="3" fontId="21" fillId="0" borderId="34" xfId="0" applyNumberFormat="1" applyFont="1" applyBorder="1" applyAlignment="1">
      <alignment horizontal="right" vertical="top" wrapText="1"/>
    </xf>
    <xf numFmtId="3" fontId="21" fillId="0" borderId="33" xfId="0" applyNumberFormat="1" applyFont="1" applyBorder="1" applyAlignment="1" applyProtection="1">
      <alignment vertical="top"/>
      <protection locked="0"/>
    </xf>
    <xf numFmtId="3" fontId="21" fillId="0" borderId="60" xfId="3" applyNumberFormat="1" applyFont="1" applyBorder="1" applyAlignment="1" applyProtection="1">
      <alignment vertical="top"/>
      <protection locked="0"/>
    </xf>
    <xf numFmtId="3" fontId="1" fillId="0" borderId="33" xfId="0" applyNumberFormat="1" applyFont="1" applyBorder="1" applyAlignment="1" applyProtection="1">
      <alignment vertical="top" wrapText="1"/>
      <protection locked="0"/>
    </xf>
    <xf numFmtId="3" fontId="22" fillId="0" borderId="33" xfId="0" applyNumberFormat="1" applyFont="1" applyBorder="1" applyAlignment="1" applyProtection="1">
      <alignment vertical="top"/>
      <protection locked="0"/>
    </xf>
    <xf numFmtId="3" fontId="21" fillId="0" borderId="34" xfId="0" applyNumberFormat="1" applyFont="1" applyBorder="1" applyAlignment="1">
      <alignment wrapText="1"/>
    </xf>
    <xf numFmtId="3" fontId="21" fillId="0" borderId="34" xfId="0" applyNumberFormat="1" applyFont="1" applyBorder="1" applyAlignment="1">
      <alignment horizontal="center"/>
    </xf>
    <xf numFmtId="3" fontId="21" fillId="0" borderId="34" xfId="0" applyNumberFormat="1" applyFont="1" applyBorder="1"/>
    <xf numFmtId="3" fontId="0" fillId="0" borderId="62" xfId="0" applyNumberFormat="1" applyFill="1" applyBorder="1" applyAlignment="1" applyProtection="1">
      <alignment vertical="top" wrapText="1"/>
      <protection locked="0"/>
    </xf>
    <xf numFmtId="3" fontId="2" fillId="2" borderId="6" xfId="0" applyNumberFormat="1" applyFont="1" applyFill="1" applyBorder="1" applyAlignment="1">
      <alignment horizontal="right" vertical="top" wrapText="1"/>
    </xf>
    <xf numFmtId="3" fontId="2" fillId="2" borderId="7" xfId="3" applyNumberFormat="1" applyFont="1" applyFill="1" applyBorder="1" applyAlignment="1" applyProtection="1"/>
    <xf numFmtId="3" fontId="2" fillId="2" borderId="5" xfId="3" applyNumberFormat="1" applyFont="1" applyFill="1" applyBorder="1" applyAlignment="1" applyProtection="1">
      <alignment vertical="top" wrapText="1"/>
    </xf>
    <xf numFmtId="3" fontId="2" fillId="2" borderId="5" xfId="3" applyNumberFormat="1" applyFont="1" applyFill="1" applyBorder="1" applyAlignment="1" applyProtection="1">
      <alignment vertical="top"/>
    </xf>
    <xf numFmtId="3" fontId="2" fillId="2" borderId="4" xfId="3" applyNumberFormat="1" applyFont="1" applyFill="1" applyBorder="1" applyAlignment="1" applyProtection="1">
      <alignment vertical="top"/>
    </xf>
    <xf numFmtId="3" fontId="2" fillId="2" borderId="4" xfId="3" applyNumberFormat="1" applyFont="1" applyFill="1" applyBorder="1" applyAlignment="1" applyProtection="1">
      <alignment vertical="top" wrapText="1"/>
    </xf>
    <xf numFmtId="3" fontId="6" fillId="0" borderId="0" xfId="0" applyNumberFormat="1" applyFont="1"/>
    <xf numFmtId="3" fontId="0" fillId="0" borderId="0" xfId="3" applyNumberFormat="1" applyFont="1" applyFill="1" applyBorder="1" applyAlignment="1" applyProtection="1"/>
    <xf numFmtId="3" fontId="0" fillId="0" borderId="0" xfId="3" applyNumberFormat="1" applyFont="1" applyFill="1" applyBorder="1" applyAlignment="1" applyProtection="1">
      <alignment horizontal="center"/>
    </xf>
    <xf numFmtId="3" fontId="6" fillId="0" borderId="34" xfId="3" applyNumberFormat="1" applyFont="1" applyBorder="1" applyAlignment="1" applyProtection="1">
      <alignment horizontal="center" vertical="top"/>
      <protection locked="0"/>
    </xf>
    <xf numFmtId="3" fontId="13" fillId="0" borderId="34" xfId="3" applyNumberFormat="1" applyBorder="1" applyAlignment="1" applyProtection="1">
      <alignment horizontal="center" vertical="top"/>
      <protection locked="0"/>
    </xf>
    <xf numFmtId="3" fontId="1" fillId="0" borderId="34" xfId="3" applyNumberFormat="1" applyFont="1" applyBorder="1" applyAlignment="1" applyProtection="1">
      <alignment horizontal="center" vertical="top"/>
      <protection locked="0"/>
    </xf>
    <xf numFmtId="3" fontId="1" fillId="0" borderId="35" xfId="3" applyNumberFormat="1" applyFont="1" applyBorder="1" applyAlignment="1" applyProtection="1">
      <alignment horizontal="center" vertical="top"/>
      <protection locked="0"/>
    </xf>
    <xf numFmtId="3" fontId="2" fillId="2" borderId="5" xfId="3" applyNumberFormat="1" applyFont="1" applyFill="1" applyBorder="1" applyAlignment="1" applyProtection="1">
      <alignment horizontal="center" vertical="top"/>
    </xf>
    <xf numFmtId="3" fontId="13" fillId="0" borderId="35" xfId="3" applyNumberFormat="1" applyBorder="1" applyAlignment="1" applyProtection="1">
      <alignment horizontal="center" vertical="top"/>
      <protection locked="0"/>
    </xf>
    <xf numFmtId="3" fontId="21" fillId="0" borderId="34" xfId="0" applyNumberFormat="1" applyFont="1" applyFill="1" applyBorder="1" applyAlignment="1">
      <alignment horizontal="left" vertical="top" wrapText="1"/>
    </xf>
    <xf numFmtId="3" fontId="21" fillId="0" borderId="34" xfId="0" applyNumberFormat="1" applyFont="1" applyFill="1" applyBorder="1" applyAlignment="1">
      <alignment horizontal="center" vertical="top"/>
    </xf>
    <xf numFmtId="3" fontId="21" fillId="0" borderId="34" xfId="0" applyNumberFormat="1" applyFont="1" applyFill="1" applyBorder="1" applyAlignment="1">
      <alignment horizontal="right" vertical="top"/>
    </xf>
    <xf numFmtId="167" fontId="6" fillId="2" borderId="63" xfId="3" applyNumberFormat="1" applyFont="1" applyFill="1" applyBorder="1" applyAlignment="1" applyProtection="1">
      <alignment vertical="top"/>
    </xf>
    <xf numFmtId="167" fontId="6" fillId="2" borderId="22" xfId="3" applyNumberFormat="1" applyFont="1" applyFill="1" applyBorder="1" applyAlignment="1" applyProtection="1">
      <alignment vertical="top"/>
    </xf>
    <xf numFmtId="167" fontId="6" fillId="0" borderId="60" xfId="3" applyNumberFormat="1" applyFont="1" applyBorder="1" applyAlignment="1" applyProtection="1">
      <alignment vertical="top"/>
      <protection locked="0"/>
    </xf>
    <xf numFmtId="167" fontId="2" fillId="2" borderId="16" xfId="3" applyNumberFormat="1" applyFont="1" applyFill="1" applyBorder="1" applyAlignment="1" applyProtection="1"/>
    <xf numFmtId="167" fontId="2" fillId="2" borderId="64" xfId="3" applyNumberFormat="1" applyFont="1" applyFill="1" applyBorder="1" applyAlignment="1" applyProtection="1"/>
    <xf numFmtId="167" fontId="12" fillId="2" borderId="10" xfId="3" applyNumberFormat="1" applyFont="1" applyFill="1" applyBorder="1" applyAlignment="1" applyProtection="1"/>
    <xf numFmtId="167" fontId="0" fillId="0" borderId="0" xfId="0" applyNumberFormat="1" applyProtection="1"/>
    <xf numFmtId="167" fontId="2" fillId="0" borderId="0" xfId="0" applyNumberFormat="1" applyFont="1" applyProtection="1"/>
    <xf numFmtId="167" fontId="6" fillId="0" borderId="0" xfId="0" applyNumberFormat="1" applyFont="1" applyAlignment="1" applyProtection="1">
      <alignment vertical="top"/>
    </xf>
    <xf numFmtId="167" fontId="2" fillId="2" borderId="19" xfId="3" applyNumberFormat="1" applyFont="1" applyFill="1" applyBorder="1" applyAlignment="1" applyProtection="1">
      <alignment horizontal="right" vertical="center" wrapText="1"/>
    </xf>
    <xf numFmtId="167" fontId="2" fillId="2" borderId="65" xfId="3" applyNumberFormat="1" applyFont="1" applyFill="1" applyBorder="1" applyAlignment="1" applyProtection="1">
      <alignment horizontal="right" vertical="center" wrapText="1"/>
    </xf>
    <xf numFmtId="167" fontId="0" fillId="2" borderId="17" xfId="3" applyNumberFormat="1" applyFont="1" applyFill="1" applyBorder="1" applyAlignment="1" applyProtection="1">
      <alignment horizontal="right" vertical="center" wrapText="1"/>
    </xf>
    <xf numFmtId="167" fontId="6" fillId="2" borderId="20" xfId="3" applyNumberFormat="1" applyFont="1" applyFill="1" applyBorder="1" applyAlignment="1" applyProtection="1">
      <alignment horizontal="right" vertical="center" wrapText="1"/>
    </xf>
    <xf numFmtId="167" fontId="6" fillId="2" borderId="63" xfId="3" applyNumberFormat="1" applyFont="1" applyFill="1" applyBorder="1" applyAlignment="1" applyProtection="1">
      <alignment horizontal="right" vertical="center" wrapText="1"/>
    </xf>
    <xf numFmtId="167" fontId="0" fillId="2" borderId="66" xfId="3" applyNumberFormat="1" applyFont="1" applyFill="1" applyBorder="1" applyAlignment="1" applyProtection="1">
      <alignment horizontal="right" vertical="center" wrapText="1"/>
    </xf>
    <xf numFmtId="167" fontId="6" fillId="2" borderId="67" xfId="3" applyNumberFormat="1" applyFont="1" applyFill="1" applyBorder="1" applyAlignment="1" applyProtection="1">
      <alignment horizontal="right" vertical="center" wrapText="1"/>
    </xf>
    <xf numFmtId="167" fontId="6" fillId="2" borderId="68" xfId="3" applyNumberFormat="1" applyFont="1" applyFill="1" applyBorder="1" applyAlignment="1" applyProtection="1">
      <alignment horizontal="right" vertical="center" wrapText="1"/>
    </xf>
    <xf numFmtId="167" fontId="0" fillId="2" borderId="3" xfId="3" applyNumberFormat="1" applyFont="1" applyFill="1" applyBorder="1" applyAlignment="1" applyProtection="1">
      <alignment horizontal="right" vertical="center" wrapText="1"/>
    </xf>
    <xf numFmtId="167" fontId="6" fillId="0" borderId="30" xfId="3" applyNumberFormat="1" applyFont="1" applyFill="1" applyBorder="1" applyAlignment="1" applyProtection="1">
      <alignment horizontal="right" vertical="center" wrapText="1"/>
      <protection locked="0"/>
    </xf>
    <xf numFmtId="167" fontId="2" fillId="2" borderId="20" xfId="3" applyNumberFormat="1" applyFont="1" applyFill="1" applyBorder="1" applyAlignment="1" applyProtection="1">
      <alignment horizontal="right" vertical="center" wrapText="1"/>
    </xf>
    <xf numFmtId="167" fontId="2" fillId="2" borderId="22" xfId="3" applyNumberFormat="1" applyFont="1" applyFill="1" applyBorder="1" applyAlignment="1" applyProtection="1">
      <alignment horizontal="right" vertical="center" wrapText="1"/>
    </xf>
    <xf numFmtId="167" fontId="2" fillId="2" borderId="39" xfId="3" applyNumberFormat="1" applyFont="1" applyFill="1" applyBorder="1" applyAlignment="1" applyProtection="1">
      <alignment horizontal="right" vertical="center" wrapText="1"/>
    </xf>
    <xf numFmtId="167" fontId="9" fillId="0" borderId="21" xfId="0" applyNumberFormat="1" applyFont="1" applyBorder="1" applyAlignment="1" applyProtection="1">
      <alignment horizontal="right" vertical="center"/>
    </xf>
    <xf numFmtId="167" fontId="9" fillId="0" borderId="22" xfId="0" applyNumberFormat="1" applyFont="1" applyBorder="1" applyProtection="1"/>
    <xf numFmtId="167" fontId="2" fillId="0" borderId="0" xfId="0" applyNumberFormat="1" applyFont="1" applyBorder="1" applyProtection="1"/>
    <xf numFmtId="167" fontId="2" fillId="2" borderId="63" xfId="3" applyNumberFormat="1" applyFont="1" applyFill="1" applyBorder="1" applyAlignment="1" applyProtection="1">
      <alignment horizontal="right" vertical="center" wrapText="1"/>
    </xf>
    <xf numFmtId="167" fontId="2" fillId="2" borderId="69" xfId="3" applyNumberFormat="1" applyFont="1" applyFill="1" applyBorder="1" applyAlignment="1" applyProtection="1">
      <alignment horizontal="right" vertical="center" wrapText="1"/>
    </xf>
    <xf numFmtId="167" fontId="2" fillId="2" borderId="70" xfId="3" applyNumberFormat="1" applyFont="1" applyFill="1" applyBorder="1" applyAlignment="1" applyProtection="1">
      <alignment horizontal="right" vertical="center" wrapText="1"/>
    </xf>
    <xf numFmtId="167" fontId="2" fillId="2" borderId="71" xfId="3" applyNumberFormat="1" applyFont="1" applyFill="1" applyBorder="1" applyAlignment="1" applyProtection="1">
      <alignment horizontal="right" vertical="center" wrapText="1"/>
    </xf>
    <xf numFmtId="43" fontId="0" fillId="0" borderId="0" xfId="0" applyNumberFormat="1" applyProtection="1"/>
    <xf numFmtId="167" fontId="0" fillId="0" borderId="0" xfId="0" applyNumberFormat="1" applyFont="1" applyProtection="1"/>
    <xf numFmtId="175" fontId="0" fillId="0" borderId="0" xfId="0" applyNumberFormat="1" applyFont="1" applyProtection="1"/>
    <xf numFmtId="176" fontId="13" fillId="0" borderId="0" xfId="3" applyNumberFormat="1" applyProtection="1"/>
    <xf numFmtId="167" fontId="2" fillId="0" borderId="0" xfId="2" applyNumberFormat="1" applyFont="1" applyFill="1" applyBorder="1" applyAlignment="1" applyProtection="1">
      <alignment horizontal="center" vertical="center"/>
    </xf>
    <xf numFmtId="167" fontId="0" fillId="0" borderId="0" xfId="0" applyNumberFormat="1" applyFont="1" applyBorder="1" applyProtection="1"/>
    <xf numFmtId="166" fontId="13" fillId="0" borderId="0" xfId="3" applyProtection="1"/>
    <xf numFmtId="171" fontId="0" fillId="0" borderId="0" xfId="0" applyNumberFormat="1" applyAlignment="1" applyProtection="1">
      <alignment vertical="top"/>
    </xf>
    <xf numFmtId="0" fontId="1" fillId="0" borderId="35" xfId="0" applyFont="1" applyBorder="1" applyAlignment="1" applyProtection="1">
      <alignment horizontal="left" vertical="top" wrapText="1"/>
      <protection locked="0"/>
    </xf>
    <xf numFmtId="172" fontId="6" fillId="0" borderId="35" xfId="0" applyNumberFormat="1" applyFont="1" applyBorder="1" applyAlignment="1" applyProtection="1">
      <alignment horizontal="center" vertical="center" wrapText="1"/>
      <protection locked="0"/>
    </xf>
    <xf numFmtId="167" fontId="6" fillId="0" borderId="35" xfId="3" applyNumberFormat="1" applyFont="1" applyBorder="1" applyAlignment="1" applyProtection="1">
      <alignment horizontal="right" vertical="center" wrapText="1"/>
      <protection locked="0"/>
    </xf>
    <xf numFmtId="167" fontId="6" fillId="0" borderId="72" xfId="3" applyNumberFormat="1" applyFont="1" applyBorder="1" applyAlignment="1" applyProtection="1">
      <alignment horizontal="right" vertical="center" wrapText="1"/>
      <protection locked="0"/>
    </xf>
    <xf numFmtId="172" fontId="6" fillId="5" borderId="34" xfId="3" applyNumberFormat="1" applyFont="1" applyFill="1" applyBorder="1" applyAlignment="1" applyProtection="1">
      <alignment horizontal="center" vertical="top" wrapText="1"/>
    </xf>
    <xf numFmtId="0" fontId="23" fillId="6" borderId="53" xfId="0" applyFont="1" applyFill="1" applyBorder="1" applyAlignment="1">
      <alignment horizontal="right" vertical="center" wrapText="1"/>
    </xf>
    <xf numFmtId="0" fontId="23" fillId="6" borderId="51" xfId="0" applyFont="1" applyFill="1" applyBorder="1" applyAlignment="1">
      <alignment horizontal="center" vertical="center"/>
    </xf>
    <xf numFmtId="167" fontId="6" fillId="6" borderId="73" xfId="3" applyNumberFormat="1" applyFont="1" applyFill="1" applyBorder="1" applyAlignment="1">
      <alignment horizontal="center" vertical="center" wrapText="1"/>
    </xf>
    <xf numFmtId="167" fontId="6" fillId="6" borderId="74" xfId="3" applyNumberFormat="1" applyFont="1" applyFill="1" applyBorder="1" applyAlignment="1">
      <alignment horizontal="center" vertical="center" wrapText="1"/>
    </xf>
    <xf numFmtId="0" fontId="2" fillId="2" borderId="75" xfId="0" applyFont="1" applyFill="1" applyBorder="1" applyAlignment="1" applyProtection="1">
      <alignment horizontal="left" vertical="top" wrapText="1"/>
    </xf>
    <xf numFmtId="0" fontId="2" fillId="0" borderId="45" xfId="0" applyFont="1" applyFill="1" applyBorder="1" applyAlignment="1" applyProtection="1">
      <alignment horizontal="center" vertical="top" wrapText="1"/>
    </xf>
    <xf numFmtId="0" fontId="2" fillId="0" borderId="49" xfId="0" applyFont="1" applyFill="1" applyBorder="1" applyAlignment="1" applyProtection="1">
      <alignment horizontal="center" vertical="top" wrapText="1"/>
    </xf>
    <xf numFmtId="9" fontId="2" fillId="2" borderId="76" xfId="2" applyNumberFormat="1" applyFont="1" applyFill="1" applyBorder="1" applyAlignment="1" applyProtection="1">
      <alignment horizontal="center" vertical="center"/>
    </xf>
    <xf numFmtId="9" fontId="2" fillId="2" borderId="77" xfId="2" applyNumberFormat="1" applyFont="1" applyFill="1" applyBorder="1" applyAlignment="1" applyProtection="1">
      <alignment horizontal="center" vertical="center"/>
    </xf>
    <xf numFmtId="173" fontId="6" fillId="2" borderId="78" xfId="3" applyNumberFormat="1" applyFont="1" applyFill="1" applyBorder="1" applyAlignment="1" applyProtection="1">
      <alignment horizontal="right" vertical="center" wrapText="1"/>
    </xf>
    <xf numFmtId="173" fontId="6" fillId="2" borderId="79" xfId="3" applyNumberFormat="1" applyFont="1" applyFill="1" applyBorder="1" applyAlignment="1" applyProtection="1">
      <alignment horizontal="right" vertical="center" wrapText="1"/>
    </xf>
    <xf numFmtId="170" fontId="2" fillId="7" borderId="76" xfId="3" applyNumberFormat="1" applyFont="1" applyFill="1" applyBorder="1" applyAlignment="1" applyProtection="1">
      <alignment horizontal="right" vertical="center" wrapText="1"/>
      <protection locked="0"/>
    </xf>
    <xf numFmtId="170" fontId="2" fillId="2" borderId="76" xfId="3" applyNumberFormat="1" applyFont="1" applyFill="1" applyBorder="1" applyAlignment="1" applyProtection="1">
      <alignment horizontal="right" vertical="center" wrapText="1"/>
    </xf>
    <xf numFmtId="0" fontId="2" fillId="0" borderId="80" xfId="0" applyFont="1" applyFill="1" applyBorder="1" applyAlignment="1" applyProtection="1">
      <alignment horizontal="left" vertical="top" wrapText="1"/>
    </xf>
    <xf numFmtId="166" fontId="13" fillId="0" borderId="80" xfId="3" applyBorder="1" applyProtection="1"/>
    <xf numFmtId="0" fontId="2" fillId="0" borderId="0" xfId="0" applyFont="1" applyFill="1" applyBorder="1" applyAlignment="1" applyProtection="1">
      <alignment horizontal="left" vertical="top" wrapText="1"/>
    </xf>
    <xf numFmtId="166" fontId="6" fillId="0" borderId="11" xfId="3" applyFont="1" applyBorder="1" applyAlignment="1">
      <alignment horizontal="left" vertical="top" wrapText="1"/>
    </xf>
    <xf numFmtId="3" fontId="2" fillId="0" borderId="0" xfId="0" applyNumberFormat="1" applyFont="1"/>
    <xf numFmtId="167" fontId="6" fillId="7" borderId="81" xfId="3" applyNumberFormat="1" applyFont="1" applyFill="1" applyBorder="1" applyAlignment="1">
      <alignment wrapText="1"/>
    </xf>
    <xf numFmtId="167" fontId="6" fillId="7" borderId="36" xfId="3" applyNumberFormat="1" applyFont="1" applyFill="1" applyBorder="1"/>
    <xf numFmtId="167" fontId="6" fillId="0" borderId="60" xfId="3" applyNumberFormat="1" applyFont="1" applyBorder="1" applyAlignment="1">
      <alignment wrapText="1"/>
    </xf>
    <xf numFmtId="167" fontId="6" fillId="0" borderId="34" xfId="3" applyNumberFormat="1" applyFont="1" applyBorder="1"/>
    <xf numFmtId="0" fontId="6" fillId="0" borderId="0" xfId="0" applyFont="1" applyBorder="1" applyAlignment="1"/>
    <xf numFmtId="167" fontId="6" fillId="8" borderId="82" xfId="3" applyNumberFormat="1" applyFont="1" applyFill="1" applyBorder="1"/>
    <xf numFmtId="167" fontId="6" fillId="8" borderId="83" xfId="3" applyNumberFormat="1" applyFont="1" applyFill="1" applyBorder="1"/>
    <xf numFmtId="3" fontId="2" fillId="0" borderId="49" xfId="0" applyNumberFormat="1" applyFont="1" applyFill="1" applyBorder="1" applyAlignment="1">
      <alignment horizontal="center" vertical="top" wrapText="1"/>
    </xf>
    <xf numFmtId="3" fontId="2" fillId="0" borderId="76" xfId="3" applyNumberFormat="1" applyFont="1" applyFill="1" applyBorder="1" applyAlignment="1" applyProtection="1">
      <alignment horizontal="center" vertical="top" wrapText="1"/>
    </xf>
    <xf numFmtId="3" fontId="2" fillId="0" borderId="77" xfId="0" applyNumberFormat="1" applyFont="1" applyFill="1" applyBorder="1" applyAlignment="1">
      <alignment horizontal="center" vertical="top" wrapText="1"/>
    </xf>
    <xf numFmtId="3" fontId="0" fillId="0" borderId="9" xfId="0" applyNumberFormat="1" applyFill="1" applyBorder="1" applyAlignment="1">
      <alignment wrapText="1"/>
    </xf>
    <xf numFmtId="3" fontId="0" fillId="0" borderId="9" xfId="3" applyNumberFormat="1" applyFont="1" applyFill="1" applyBorder="1" applyAlignment="1" applyProtection="1">
      <alignment horizontal="center" wrapText="1"/>
    </xf>
    <xf numFmtId="3" fontId="0" fillId="0" borderId="9" xfId="3" applyNumberFormat="1" applyFont="1" applyFill="1" applyBorder="1" applyAlignment="1" applyProtection="1">
      <alignment wrapText="1"/>
    </xf>
    <xf numFmtId="166" fontId="6" fillId="0" borderId="15" xfId="3" applyFont="1" applyFill="1" applyBorder="1" applyAlignment="1" applyProtection="1">
      <alignment wrapText="1"/>
    </xf>
    <xf numFmtId="3" fontId="2" fillId="0" borderId="84" xfId="0" applyNumberFormat="1" applyFont="1" applyFill="1" applyBorder="1" applyAlignment="1">
      <alignment horizontal="center" vertical="top" wrapText="1"/>
    </xf>
    <xf numFmtId="3" fontId="2" fillId="0" borderId="85" xfId="0" applyNumberFormat="1" applyFont="1" applyFill="1" applyBorder="1" applyAlignment="1">
      <alignment horizontal="center" vertical="top" wrapText="1"/>
    </xf>
    <xf numFmtId="3" fontId="2" fillId="3" borderId="84" xfId="0" applyNumberFormat="1" applyFont="1" applyFill="1" applyBorder="1" applyAlignment="1">
      <alignment horizontal="center" vertical="top" wrapText="1"/>
    </xf>
    <xf numFmtId="3" fontId="2" fillId="3" borderId="76" xfId="3" applyNumberFormat="1" applyFont="1" applyFill="1" applyBorder="1" applyAlignment="1" applyProtection="1">
      <alignment horizontal="center" vertical="top" wrapText="1"/>
    </xf>
    <xf numFmtId="3" fontId="2" fillId="3" borderId="85" xfId="0" applyNumberFormat="1" applyFont="1" applyFill="1" applyBorder="1" applyAlignment="1">
      <alignment horizontal="center" vertical="top" wrapText="1"/>
    </xf>
    <xf numFmtId="0" fontId="2" fillId="0" borderId="86" xfId="0" applyFont="1" applyFill="1" applyBorder="1" applyAlignment="1">
      <alignment horizontal="left" vertical="top" wrapText="1"/>
    </xf>
    <xf numFmtId="0" fontId="2" fillId="0" borderId="9" xfId="0" applyFont="1" applyFill="1" applyBorder="1" applyAlignment="1">
      <alignment horizontal="left" vertical="top" wrapText="1"/>
    </xf>
    <xf numFmtId="167" fontId="6" fillId="2" borderId="8" xfId="3" applyNumberFormat="1" applyFont="1" applyFill="1" applyBorder="1" applyAlignment="1" applyProtection="1">
      <alignment vertical="top"/>
    </xf>
    <xf numFmtId="167" fontId="6" fillId="0" borderId="61" xfId="3" applyNumberFormat="1" applyFont="1" applyBorder="1" applyAlignment="1" applyProtection="1">
      <alignment vertical="top"/>
      <protection locked="0"/>
    </xf>
    <xf numFmtId="167" fontId="6" fillId="7" borderId="72" xfId="3" applyNumberFormat="1" applyFont="1" applyFill="1" applyBorder="1" applyAlignment="1">
      <alignment vertical="top"/>
    </xf>
    <xf numFmtId="167" fontId="6" fillId="0" borderId="17" xfId="3" applyNumberFormat="1" applyFont="1" applyFill="1" applyBorder="1" applyAlignment="1" applyProtection="1">
      <alignment vertical="top"/>
      <protection locked="0"/>
    </xf>
    <xf numFmtId="167" fontId="6" fillId="2" borderId="5" xfId="3" applyNumberFormat="1" applyFont="1" applyFill="1" applyBorder="1" applyAlignment="1" applyProtection="1">
      <alignment vertical="top"/>
    </xf>
    <xf numFmtId="0" fontId="6" fillId="0" borderId="41" xfId="0" applyFont="1" applyBorder="1" applyAlignment="1" applyProtection="1">
      <alignment vertical="top" wrapText="1"/>
      <protection locked="0"/>
    </xf>
    <xf numFmtId="3" fontId="6" fillId="0" borderId="33" xfId="0" applyNumberFormat="1" applyFont="1" applyBorder="1" applyAlignment="1" applyProtection="1">
      <alignment horizontal="left" vertical="top" wrapText="1"/>
      <protection locked="0"/>
    </xf>
    <xf numFmtId="167" fontId="6" fillId="0" borderId="11" xfId="3" applyNumberFormat="1" applyFont="1" applyBorder="1" applyAlignment="1">
      <alignment horizontal="left" vertical="top" wrapText="1"/>
    </xf>
    <xf numFmtId="3" fontId="6" fillId="0" borderId="33" xfId="0" applyNumberFormat="1" applyFont="1" applyBorder="1" applyAlignment="1" applyProtection="1">
      <alignment vertical="top"/>
      <protection locked="0"/>
    </xf>
    <xf numFmtId="167" fontId="6" fillId="0" borderId="60" xfId="3" applyNumberFormat="1" applyFont="1" applyBorder="1" applyAlignment="1" applyProtection="1">
      <alignment vertical="center"/>
      <protection locked="0"/>
    </xf>
    <xf numFmtId="3" fontId="6" fillId="0" borderId="62" xfId="0" applyNumberFormat="1" applyFont="1" applyFill="1" applyBorder="1" applyAlignment="1" applyProtection="1">
      <alignment vertical="top" wrapText="1"/>
      <protection locked="0"/>
    </xf>
    <xf numFmtId="3" fontId="6" fillId="0" borderId="11" xfId="0" applyNumberFormat="1" applyFont="1" applyBorder="1" applyAlignment="1" applyProtection="1">
      <alignment vertical="top" wrapText="1"/>
      <protection locked="0"/>
    </xf>
    <xf numFmtId="167" fontId="6" fillId="8" borderId="34" xfId="3" applyNumberFormat="1" applyFont="1" applyFill="1" applyBorder="1"/>
    <xf numFmtId="167" fontId="6" fillId="0" borderId="11" xfId="0" applyNumberFormat="1" applyFont="1" applyBorder="1" applyAlignment="1">
      <alignment horizontal="left" vertical="top" wrapText="1"/>
    </xf>
    <xf numFmtId="3" fontId="6" fillId="0" borderId="33" xfId="0" applyNumberFormat="1" applyFont="1" applyFill="1" applyBorder="1" applyAlignment="1" applyProtection="1">
      <alignment vertical="top" wrapText="1"/>
      <protection locked="0"/>
    </xf>
    <xf numFmtId="0" fontId="6" fillId="0" borderId="34" xfId="3" applyNumberFormat="1" applyFont="1" applyBorder="1"/>
    <xf numFmtId="167" fontId="6" fillId="0" borderId="34" xfId="3" applyNumberFormat="1" applyFont="1" applyBorder="1" applyAlignment="1" applyProtection="1">
      <alignment horizontal="center" vertical="top"/>
      <protection locked="0"/>
    </xf>
    <xf numFmtId="167" fontId="6" fillId="0" borderId="61" xfId="3" applyNumberFormat="1" applyFont="1" applyFill="1" applyBorder="1" applyAlignment="1" applyProtection="1">
      <alignment vertical="top"/>
      <protection locked="0"/>
    </xf>
    <xf numFmtId="167" fontId="6" fillId="0" borderId="60" xfId="3" applyNumberFormat="1" applyFont="1" applyBorder="1" applyAlignment="1" applyProtection="1">
      <alignment horizontal="center" vertical="top"/>
      <protection locked="0"/>
    </xf>
    <xf numFmtId="167" fontId="6" fillId="0" borderId="0" xfId="3" applyNumberFormat="1" applyFont="1" applyAlignment="1" applyProtection="1">
      <alignment horizontal="center" vertical="top"/>
      <protection locked="0"/>
    </xf>
    <xf numFmtId="167" fontId="6" fillId="0" borderId="35" xfId="3" applyNumberFormat="1" applyFont="1" applyBorder="1" applyAlignment="1" applyProtection="1">
      <alignment horizontal="center" vertical="top"/>
      <protection locked="0"/>
    </xf>
    <xf numFmtId="167" fontId="6" fillId="0" borderId="34" xfId="3" applyNumberFormat="1" applyFont="1" applyBorder="1" applyAlignment="1" applyProtection="1">
      <alignment vertical="center"/>
      <protection locked="0"/>
    </xf>
    <xf numFmtId="167" fontId="6" fillId="0" borderId="0" xfId="3" applyNumberFormat="1" applyFont="1" applyAlignment="1" applyProtection="1">
      <alignment vertical="center"/>
      <protection locked="0"/>
    </xf>
    <xf numFmtId="167" fontId="6" fillId="0" borderId="20" xfId="4" applyNumberFormat="1" applyFont="1" applyFill="1" applyBorder="1" applyAlignment="1" applyProtection="1">
      <alignment vertical="top"/>
      <protection locked="0"/>
    </xf>
    <xf numFmtId="167" fontId="6" fillId="0" borderId="17" xfId="4" applyNumberFormat="1" applyFont="1" applyFill="1" applyBorder="1" applyAlignment="1" applyProtection="1">
      <alignment vertical="top"/>
      <protection locked="0"/>
    </xf>
    <xf numFmtId="171" fontId="6" fillId="0" borderId="34" xfId="4" applyNumberFormat="1" applyFont="1" applyBorder="1" applyAlignment="1" applyProtection="1">
      <alignment vertical="top"/>
      <protection locked="0"/>
    </xf>
    <xf numFmtId="167" fontId="6" fillId="0" borderId="60" xfId="4" applyNumberFormat="1" applyFont="1" applyBorder="1" applyAlignment="1" applyProtection="1">
      <alignment vertical="top"/>
      <protection locked="0"/>
    </xf>
    <xf numFmtId="167" fontId="6" fillId="0" borderId="17" xfId="4" applyNumberFormat="1" applyFill="1" applyBorder="1" applyAlignment="1" applyProtection="1">
      <alignment vertical="top"/>
      <protection locked="0"/>
    </xf>
    <xf numFmtId="171" fontId="6" fillId="0" borderId="35" xfId="4" applyNumberFormat="1" applyFont="1" applyBorder="1" applyAlignment="1" applyProtection="1">
      <alignment vertical="top"/>
      <protection locked="0"/>
    </xf>
    <xf numFmtId="167" fontId="6" fillId="0" borderId="61" xfId="4" applyNumberFormat="1" applyFont="1" applyBorder="1" applyAlignment="1" applyProtection="1">
      <alignment vertical="top"/>
      <protection locked="0"/>
    </xf>
    <xf numFmtId="10" fontId="6" fillId="0" borderId="0" xfId="2" applyNumberFormat="1" applyFont="1"/>
    <xf numFmtId="0" fontId="6" fillId="0" borderId="41" xfId="0" applyFont="1" applyFill="1" applyBorder="1" applyAlignment="1" applyProtection="1">
      <alignment vertical="top" wrapText="1"/>
      <protection locked="0"/>
    </xf>
    <xf numFmtId="171" fontId="6" fillId="0" borderId="34" xfId="4" applyNumberFormat="1" applyFont="1" applyFill="1" applyBorder="1" applyAlignment="1" applyProtection="1">
      <alignment vertical="top"/>
      <protection locked="0"/>
    </xf>
    <xf numFmtId="167" fontId="6" fillId="0" borderId="60" xfId="4" applyNumberFormat="1" applyFont="1" applyFill="1" applyBorder="1" applyAlignment="1" applyProtection="1">
      <alignment vertical="top"/>
      <protection locked="0"/>
    </xf>
    <xf numFmtId="0" fontId="6" fillId="0" borderId="62" xfId="0" applyFont="1" applyFill="1" applyBorder="1" applyAlignment="1">
      <alignment horizontal="left" vertical="top" wrapText="1"/>
    </xf>
    <xf numFmtId="0" fontId="6" fillId="0" borderId="41" xfId="0" applyFont="1" applyFill="1" applyBorder="1" applyAlignment="1">
      <alignment horizontal="left" vertical="top" wrapText="1"/>
    </xf>
    <xf numFmtId="3" fontId="0" fillId="0" borderId="11" xfId="0" applyNumberFormat="1" applyFill="1" applyBorder="1" applyAlignment="1" applyProtection="1">
      <alignment vertical="top" wrapText="1"/>
      <protection locked="0"/>
    </xf>
    <xf numFmtId="3" fontId="6" fillId="0" borderId="34" xfId="4" applyNumberFormat="1" applyFill="1" applyBorder="1" applyAlignment="1" applyProtection="1">
      <alignment horizontal="center" vertical="top"/>
      <protection locked="0"/>
    </xf>
    <xf numFmtId="3" fontId="6" fillId="0" borderId="60" xfId="4" applyNumberFormat="1" applyFill="1" applyBorder="1" applyAlignment="1" applyProtection="1">
      <alignment vertical="top"/>
      <protection locked="0"/>
    </xf>
    <xf numFmtId="172" fontId="6" fillId="0" borderId="34" xfId="0" applyNumberFormat="1" applyFont="1" applyFill="1" applyBorder="1" applyAlignment="1" applyProtection="1">
      <alignment horizontal="center" vertical="top" wrapText="1"/>
      <protection locked="0"/>
    </xf>
    <xf numFmtId="3" fontId="6" fillId="0" borderId="34" xfId="4" applyNumberFormat="1" applyBorder="1" applyAlignment="1" applyProtection="1">
      <alignment horizontal="center" vertical="top"/>
      <protection locked="0"/>
    </xf>
    <xf numFmtId="3" fontId="6" fillId="0" borderId="60" xfId="4" applyNumberFormat="1" applyBorder="1" applyAlignment="1" applyProtection="1">
      <alignment vertical="top"/>
      <protection locked="0"/>
    </xf>
    <xf numFmtId="3" fontId="6" fillId="0" borderId="34" xfId="4" applyNumberFormat="1" applyFont="1" applyBorder="1" applyAlignment="1" applyProtection="1">
      <alignment horizontal="center" vertical="top"/>
      <protection locked="0"/>
    </xf>
    <xf numFmtId="3" fontId="6" fillId="0" borderId="60" xfId="4" applyNumberFormat="1" applyFont="1" applyBorder="1" applyAlignment="1" applyProtection="1">
      <alignment vertical="top"/>
      <protection locked="0"/>
    </xf>
    <xf numFmtId="167" fontId="0" fillId="0" borderId="39" xfId="4" applyNumberFormat="1" applyFont="1" applyFill="1" applyBorder="1" applyAlignment="1" applyProtection="1">
      <alignment vertical="top"/>
      <protection locked="0"/>
    </xf>
    <xf numFmtId="167" fontId="0" fillId="0" borderId="2" xfId="4" applyNumberFormat="1" applyFont="1" applyFill="1" applyBorder="1" applyAlignment="1" applyProtection="1">
      <alignment vertical="top"/>
      <protection locked="0"/>
    </xf>
    <xf numFmtId="0" fontId="6" fillId="0" borderId="34" xfId="0" applyFont="1" applyFill="1" applyBorder="1" applyAlignment="1" applyProtection="1">
      <alignment vertical="top" wrapText="1"/>
      <protection locked="0"/>
    </xf>
    <xf numFmtId="0" fontId="6" fillId="0" borderId="32" xfId="0" applyFont="1" applyFill="1" applyBorder="1" applyAlignment="1" applyProtection="1">
      <alignment vertical="top" wrapText="1"/>
      <protection locked="0"/>
    </xf>
    <xf numFmtId="171" fontId="6" fillId="0" borderId="35" xfId="4" applyNumberFormat="1" applyFont="1" applyFill="1" applyBorder="1" applyAlignment="1" applyProtection="1">
      <alignment vertical="top"/>
      <protection locked="0"/>
    </xf>
    <xf numFmtId="0" fontId="6" fillId="0" borderId="11" xfId="0" applyFont="1" applyFill="1" applyBorder="1" applyAlignment="1" applyProtection="1">
      <alignment vertical="top" wrapText="1"/>
      <protection locked="0"/>
    </xf>
    <xf numFmtId="0" fontId="6" fillId="0" borderId="32" xfId="0" applyFont="1" applyFill="1" applyBorder="1" applyAlignment="1" applyProtection="1">
      <alignment horizontal="left" vertical="top" wrapText="1"/>
      <protection locked="0"/>
    </xf>
    <xf numFmtId="0" fontId="6" fillId="0" borderId="87" xfId="0" applyFont="1" applyBorder="1" applyAlignment="1" applyProtection="1">
      <alignment vertical="top" wrapText="1"/>
      <protection locked="0"/>
    </xf>
    <xf numFmtId="167" fontId="6" fillId="0" borderId="61" xfId="4" applyNumberFormat="1" applyFont="1" applyFill="1" applyBorder="1" applyAlignment="1" applyProtection="1">
      <alignment vertical="top"/>
      <protection locked="0"/>
    </xf>
    <xf numFmtId="3" fontId="0" fillId="0" borderId="33" xfId="0" applyNumberFormat="1" applyFill="1" applyBorder="1" applyAlignment="1" applyProtection="1">
      <alignment vertical="top" wrapText="1"/>
      <protection locked="0"/>
    </xf>
    <xf numFmtId="3" fontId="24" fillId="0" borderId="60" xfId="4" applyNumberFormat="1" applyFont="1" applyBorder="1" applyAlignment="1" applyProtection="1">
      <alignment vertical="top"/>
      <protection locked="0"/>
    </xf>
    <xf numFmtId="0" fontId="6" fillId="0" borderId="34" xfId="4" applyNumberFormat="1" applyFont="1" applyFill="1" applyBorder="1" applyAlignment="1" applyProtection="1">
      <alignment horizontal="center" vertical="top" wrapText="1"/>
      <protection locked="0"/>
    </xf>
    <xf numFmtId="167" fontId="10" fillId="0" borderId="0" xfId="0" applyNumberFormat="1" applyFont="1" applyBorder="1" applyProtection="1"/>
    <xf numFmtId="166" fontId="6" fillId="0" borderId="0" xfId="3" applyFont="1" applyBorder="1" applyProtection="1"/>
    <xf numFmtId="166" fontId="6" fillId="2" borderId="77" xfId="3" applyFont="1" applyFill="1" applyBorder="1" applyAlignment="1" applyProtection="1">
      <alignment horizontal="right" vertical="center" wrapText="1"/>
    </xf>
    <xf numFmtId="167" fontId="6" fillId="0" borderId="35" xfId="3" applyNumberFormat="1" applyFont="1" applyBorder="1" applyAlignment="1" applyProtection="1">
      <alignment horizontal="center" vertical="center" wrapText="1"/>
      <protection locked="0"/>
    </xf>
    <xf numFmtId="167" fontId="6" fillId="0" borderId="35" xfId="3" applyNumberFormat="1" applyFont="1" applyFill="1" applyBorder="1" applyAlignment="1" applyProtection="1">
      <alignment horizontal="right" vertical="center" wrapText="1"/>
      <protection locked="0"/>
    </xf>
    <xf numFmtId="0" fontId="20" fillId="0" borderId="53" xfId="0" applyFont="1" applyFill="1" applyBorder="1" applyAlignment="1">
      <alignment wrapText="1"/>
    </xf>
    <xf numFmtId="0" fontId="6" fillId="0" borderId="34" xfId="0" applyFont="1" applyFill="1" applyBorder="1" applyAlignment="1" applyProtection="1">
      <alignment horizontal="center" vertical="center" wrapText="1"/>
      <protection locked="0"/>
    </xf>
    <xf numFmtId="0" fontId="6" fillId="0" borderId="34" xfId="0" applyFont="1" applyBorder="1" applyAlignment="1">
      <alignment vertical="center"/>
    </xf>
    <xf numFmtId="167" fontId="6" fillId="0" borderId="34" xfId="3" applyNumberFormat="1" applyFont="1" applyBorder="1" applyAlignment="1">
      <alignment vertical="center"/>
    </xf>
    <xf numFmtId="0" fontId="6" fillId="0" borderId="34" xfId="3" applyNumberFormat="1" applyFont="1" applyBorder="1" applyAlignment="1">
      <alignment horizontal="center"/>
    </xf>
    <xf numFmtId="167" fontId="6" fillId="0" borderId="34" xfId="3" quotePrefix="1" applyNumberFormat="1" applyFont="1" applyBorder="1" applyAlignment="1">
      <alignment horizontal="center"/>
    </xf>
    <xf numFmtId="0" fontId="9" fillId="0" borderId="53" xfId="0" applyFont="1" applyBorder="1" applyAlignment="1">
      <alignment horizontal="right"/>
    </xf>
    <xf numFmtId="3" fontId="25" fillId="0" borderId="33" xfId="0" applyNumberFormat="1" applyFont="1" applyBorder="1" applyAlignment="1" applyProtection="1">
      <alignment horizontal="left" vertical="top" wrapText="1"/>
      <protection locked="0"/>
    </xf>
    <xf numFmtId="3" fontId="25" fillId="0" borderId="33" xfId="0" applyNumberFormat="1" applyFont="1" applyBorder="1" applyAlignment="1" applyProtection="1">
      <alignment vertical="top" wrapText="1"/>
      <protection locked="0"/>
    </xf>
    <xf numFmtId="167" fontId="6" fillId="0" borderId="60" xfId="3" applyNumberFormat="1" applyFont="1" applyFill="1" applyBorder="1" applyAlignment="1" applyProtection="1">
      <alignment horizontal="center" vertical="top"/>
      <protection locked="0"/>
    </xf>
    <xf numFmtId="3" fontId="25" fillId="0" borderId="34" xfId="4" applyNumberFormat="1" applyFont="1" applyFill="1" applyBorder="1" applyAlignment="1" applyProtection="1">
      <alignment horizontal="center" vertical="top"/>
      <protection locked="0"/>
    </xf>
    <xf numFmtId="3" fontId="25" fillId="0" borderId="60" xfId="4" applyNumberFormat="1" applyFont="1" applyFill="1" applyBorder="1" applyAlignment="1" applyProtection="1">
      <alignment vertical="top"/>
      <protection locked="0"/>
    </xf>
    <xf numFmtId="9" fontId="6" fillId="0" borderId="0" xfId="2" applyFont="1"/>
    <xf numFmtId="3" fontId="6" fillId="0" borderId="34" xfId="3" quotePrefix="1" applyNumberFormat="1" applyFont="1" applyBorder="1" applyAlignment="1">
      <alignment horizontal="right"/>
    </xf>
    <xf numFmtId="166" fontId="6" fillId="0" borderId="0" xfId="3" applyFont="1" applyAlignment="1" applyProtection="1">
      <alignment vertical="top"/>
    </xf>
    <xf numFmtId="167" fontId="6" fillId="0" borderId="0" xfId="3" applyNumberFormat="1" applyFont="1" applyAlignment="1" applyProtection="1">
      <alignment vertical="top"/>
    </xf>
    <xf numFmtId="0" fontId="16" fillId="0" borderId="33" xfId="0" applyFont="1" applyFill="1" applyBorder="1"/>
    <xf numFmtId="3" fontId="0" fillId="0" borderId="0" xfId="0" applyNumberFormat="1" applyAlignment="1">
      <alignment vertical="center"/>
    </xf>
    <xf numFmtId="4" fontId="13" fillId="0" borderId="61" xfId="3" applyNumberFormat="1" applyBorder="1" applyAlignment="1" applyProtection="1">
      <alignment vertical="top"/>
      <protection locked="0"/>
    </xf>
    <xf numFmtId="3" fontId="6" fillId="0" borderId="32" xfId="0" applyNumberFormat="1" applyFont="1" applyBorder="1" applyAlignment="1" applyProtection="1">
      <alignment vertical="top" wrapText="1"/>
      <protection locked="0"/>
    </xf>
    <xf numFmtId="0" fontId="6" fillId="0" borderId="42" xfId="0" applyFont="1" applyBorder="1" applyAlignment="1" applyProtection="1">
      <alignment horizontal="center" vertical="center" wrapText="1"/>
      <protection locked="0"/>
    </xf>
    <xf numFmtId="0" fontId="6" fillId="0" borderId="40" xfId="0" applyFont="1" applyFill="1" applyBorder="1" applyAlignment="1" applyProtection="1">
      <alignment horizontal="center" vertical="center" wrapText="1"/>
      <protection locked="0"/>
    </xf>
    <xf numFmtId="0" fontId="6" fillId="0" borderId="40" xfId="0" applyFont="1" applyBorder="1" applyAlignment="1">
      <alignment vertical="center"/>
    </xf>
    <xf numFmtId="0" fontId="6" fillId="0" borderId="43" xfId="0" applyFont="1" applyBorder="1" applyAlignment="1" applyProtection="1">
      <alignment horizontal="center" vertical="center" wrapText="1"/>
      <protection locked="0"/>
    </xf>
    <xf numFmtId="0" fontId="18" fillId="2" borderId="88" xfId="0" applyFont="1" applyFill="1" applyBorder="1" applyAlignment="1">
      <alignment vertical="top" wrapText="1"/>
    </xf>
    <xf numFmtId="0" fontId="2" fillId="2" borderId="0" xfId="0" applyFont="1" applyFill="1" applyBorder="1" applyAlignment="1">
      <alignment vertical="top" wrapText="1"/>
    </xf>
    <xf numFmtId="167" fontId="2" fillId="9" borderId="80" xfId="0" applyNumberFormat="1" applyFont="1" applyFill="1" applyBorder="1"/>
    <xf numFmtId="0" fontId="2" fillId="2" borderId="89" xfId="0" applyFont="1" applyFill="1" applyBorder="1" applyAlignment="1">
      <alignment vertical="top" wrapText="1"/>
    </xf>
    <xf numFmtId="0" fontId="2" fillId="5" borderId="34" xfId="0" applyFont="1" applyFill="1" applyBorder="1" applyAlignment="1">
      <alignment vertical="top" wrapText="1"/>
    </xf>
    <xf numFmtId="0" fontId="2" fillId="2" borderId="34" xfId="0" applyFont="1" applyFill="1" applyBorder="1" applyAlignment="1">
      <alignment vertical="top" wrapText="1"/>
    </xf>
    <xf numFmtId="167" fontId="2" fillId="7" borderId="34" xfId="3" applyNumberFormat="1" applyFont="1" applyFill="1" applyBorder="1"/>
    <xf numFmtId="0" fontId="2" fillId="2" borderId="34" xfId="0" applyFont="1" applyFill="1" applyBorder="1" applyAlignment="1">
      <alignment vertical="center" wrapText="1"/>
    </xf>
    <xf numFmtId="167" fontId="2" fillId="7" borderId="34" xfId="3" applyNumberFormat="1" applyFont="1" applyFill="1" applyBorder="1" applyAlignment="1">
      <alignment vertical="center"/>
    </xf>
    <xf numFmtId="0" fontId="2" fillId="5" borderId="34" xfId="0" applyFont="1" applyFill="1" applyBorder="1" applyAlignment="1">
      <alignment vertical="center" wrapText="1"/>
    </xf>
    <xf numFmtId="166" fontId="2" fillId="10" borderId="36" xfId="3" applyFont="1" applyFill="1" applyBorder="1" applyAlignment="1">
      <alignment horizontal="center"/>
    </xf>
    <xf numFmtId="0" fontId="18" fillId="5" borderId="33" xfId="0" applyFont="1" applyFill="1" applyBorder="1" applyAlignment="1">
      <alignment vertical="top" wrapText="1"/>
    </xf>
    <xf numFmtId="0" fontId="2" fillId="5" borderId="42" xfId="0" applyFont="1" applyFill="1" applyBorder="1" applyAlignment="1">
      <alignment vertical="top" wrapText="1"/>
    </xf>
    <xf numFmtId="0" fontId="18" fillId="2" borderId="33" xfId="0" applyFont="1" applyFill="1" applyBorder="1" applyAlignment="1">
      <alignment vertical="top" wrapText="1"/>
    </xf>
    <xf numFmtId="0" fontId="2" fillId="2" borderId="42" xfId="0" applyFont="1" applyFill="1" applyBorder="1" applyAlignment="1">
      <alignment vertical="top" wrapText="1"/>
    </xf>
    <xf numFmtId="0" fontId="2" fillId="2" borderId="42" xfId="0" applyFont="1" applyFill="1" applyBorder="1" applyAlignment="1">
      <alignment vertical="center" wrapText="1"/>
    </xf>
    <xf numFmtId="0" fontId="6" fillId="0" borderId="42" xfId="0" applyFont="1" applyFill="1" applyBorder="1" applyAlignment="1" applyProtection="1">
      <alignment horizontal="center" vertical="center" wrapText="1"/>
      <protection locked="0"/>
    </xf>
    <xf numFmtId="0" fontId="2" fillId="5" borderId="42" xfId="0" applyFont="1" applyFill="1" applyBorder="1" applyAlignment="1">
      <alignment vertical="center" wrapText="1"/>
    </xf>
    <xf numFmtId="167" fontId="6" fillId="0" borderId="40" xfId="3" applyNumberFormat="1" applyFont="1" applyBorder="1" applyAlignment="1">
      <alignment vertical="center"/>
    </xf>
    <xf numFmtId="0" fontId="5" fillId="0" borderId="0" xfId="0" applyFont="1" applyAlignment="1">
      <alignment horizontal="center" vertical="top"/>
    </xf>
    <xf numFmtId="0" fontId="5" fillId="0" borderId="3" xfId="0" applyFont="1" applyBorder="1" applyAlignment="1">
      <alignment horizontal="left" wrapText="1"/>
    </xf>
    <xf numFmtId="3" fontId="27" fillId="0" borderId="33" xfId="0" applyNumberFormat="1" applyFont="1" applyBorder="1" applyAlignment="1" applyProtection="1">
      <alignment vertical="top" wrapText="1"/>
      <protection locked="0"/>
    </xf>
    <xf numFmtId="3" fontId="27" fillId="0" borderId="34" xfId="0" applyNumberFormat="1" applyFont="1" applyBorder="1" applyAlignment="1">
      <alignment horizontal="left" vertical="top" wrapText="1"/>
    </xf>
    <xf numFmtId="3" fontId="27" fillId="0" borderId="41" xfId="0" applyNumberFormat="1" applyFont="1" applyBorder="1" applyAlignment="1" applyProtection="1">
      <alignment vertical="top" wrapText="1"/>
      <protection locked="0"/>
    </xf>
    <xf numFmtId="167" fontId="2" fillId="0" borderId="20" xfId="3" applyNumberFormat="1" applyFont="1" applyFill="1" applyBorder="1" applyAlignment="1" applyProtection="1">
      <alignment horizontal="left" vertical="center" wrapText="1"/>
    </xf>
    <xf numFmtId="10" fontId="2" fillId="0" borderId="22" xfId="2" applyNumberFormat="1" applyFont="1" applyFill="1" applyBorder="1" applyAlignment="1" applyProtection="1">
      <alignment horizontal="right" vertical="center"/>
    </xf>
    <xf numFmtId="167" fontId="2" fillId="0" borderId="39" xfId="3" applyNumberFormat="1" applyFont="1" applyFill="1" applyBorder="1" applyAlignment="1" applyProtection="1">
      <alignment horizontal="left" vertical="center" wrapText="1"/>
    </xf>
    <xf numFmtId="10" fontId="2" fillId="0" borderId="63" xfId="0" applyNumberFormat="1" applyFont="1" applyFill="1" applyBorder="1" applyAlignment="1" applyProtection="1">
      <alignment horizontal="right"/>
    </xf>
    <xf numFmtId="0" fontId="2" fillId="0" borderId="86" xfId="0" applyFont="1" applyFill="1" applyBorder="1" applyAlignment="1" applyProtection="1">
      <alignment horizontal="center" vertical="top" wrapText="1"/>
    </xf>
    <xf numFmtId="10" fontId="2" fillId="0" borderId="92" xfId="2" applyNumberFormat="1" applyFont="1" applyFill="1" applyBorder="1" applyAlignment="1" applyProtection="1">
      <alignment horizontal="right"/>
    </xf>
    <xf numFmtId="10" fontId="2" fillId="0" borderId="93" xfId="2" applyNumberFormat="1" applyFont="1" applyFill="1" applyBorder="1" applyAlignment="1" applyProtection="1">
      <alignment horizontal="right" vertical="center"/>
    </xf>
    <xf numFmtId="0" fontId="2" fillId="0" borderId="48" xfId="0" applyFont="1" applyFill="1" applyBorder="1" applyAlignment="1" applyProtection="1">
      <alignment horizontal="left" vertical="top" wrapText="1"/>
    </xf>
    <xf numFmtId="167" fontId="0" fillId="0" borderId="20" xfId="3" applyNumberFormat="1" applyFont="1" applyFill="1" applyBorder="1" applyAlignment="1" applyProtection="1">
      <alignment horizontal="left" vertical="center" wrapText="1"/>
    </xf>
    <xf numFmtId="10" fontId="2" fillId="0" borderId="71" xfId="2" applyNumberFormat="1" applyFont="1" applyFill="1" applyBorder="1" applyAlignment="1" applyProtection="1">
      <alignment horizontal="right" vertical="center"/>
    </xf>
    <xf numFmtId="0" fontId="2" fillId="0" borderId="48" xfId="0" applyFont="1" applyFill="1" applyBorder="1" applyAlignment="1" applyProtection="1">
      <alignment horizontal="center" vertical="top" wrapText="1"/>
    </xf>
    <xf numFmtId="10" fontId="2" fillId="0" borderId="79" xfId="2" applyNumberFormat="1" applyFont="1" applyFill="1" applyBorder="1" applyAlignment="1" applyProtection="1">
      <alignment horizontal="right" vertical="center"/>
    </xf>
    <xf numFmtId="0" fontId="2" fillId="0" borderId="75" xfId="0" applyFont="1" applyFill="1" applyBorder="1" applyAlignment="1" applyProtection="1">
      <alignment horizontal="center" vertical="top" wrapText="1"/>
    </xf>
    <xf numFmtId="10" fontId="2" fillId="0" borderId="78" xfId="2" applyNumberFormat="1" applyFont="1" applyFill="1" applyBorder="1" applyAlignment="1" applyProtection="1">
      <alignment horizontal="right"/>
    </xf>
    <xf numFmtId="0" fontId="2" fillId="15" borderId="33" xfId="0" applyFont="1" applyFill="1" applyBorder="1" applyAlignment="1" applyProtection="1">
      <alignment horizontal="center" vertical="top" wrapText="1"/>
    </xf>
    <xf numFmtId="167" fontId="2" fillId="15" borderId="34" xfId="3" applyNumberFormat="1" applyFont="1" applyFill="1" applyBorder="1" applyAlignment="1" applyProtection="1">
      <alignment vertical="top" wrapText="1"/>
    </xf>
    <xf numFmtId="0" fontId="2" fillId="15" borderId="56" xfId="0" applyFont="1" applyFill="1" applyBorder="1" applyAlignment="1" applyProtection="1">
      <alignment horizontal="center" vertical="top" wrapText="1"/>
    </xf>
    <xf numFmtId="10" fontId="2" fillId="15" borderId="40" xfId="2" applyNumberFormat="1" applyFont="1" applyFill="1" applyBorder="1" applyAlignment="1" applyProtection="1">
      <alignment vertical="top" wrapText="1"/>
    </xf>
    <xf numFmtId="10" fontId="2" fillId="16" borderId="94" xfId="2" applyNumberFormat="1" applyFont="1" applyFill="1" applyBorder="1" applyAlignment="1" applyProtection="1">
      <alignment vertical="center"/>
    </xf>
    <xf numFmtId="0" fontId="2" fillId="0" borderId="9" xfId="0" applyFont="1" applyFill="1" applyBorder="1" applyAlignment="1">
      <alignment horizontal="left" vertical="center"/>
    </xf>
    <xf numFmtId="0" fontId="0" fillId="0" borderId="9" xfId="0" applyBorder="1" applyAlignment="1">
      <alignment horizontal="left"/>
    </xf>
    <xf numFmtId="0" fontId="0" fillId="0" borderId="9" xfId="0" applyBorder="1" applyAlignment="1"/>
    <xf numFmtId="0" fontId="0" fillId="0" borderId="15" xfId="0" applyBorder="1" applyAlignment="1">
      <alignment horizontal="left"/>
    </xf>
    <xf numFmtId="0" fontId="2" fillId="5" borderId="34" xfId="0" applyFont="1" applyFill="1" applyBorder="1" applyAlignment="1">
      <alignment horizontal="center" vertical="top" wrapText="1"/>
    </xf>
    <xf numFmtId="169" fontId="2" fillId="5" borderId="34" xfId="0" applyNumberFormat="1" applyFont="1" applyFill="1" applyBorder="1" applyAlignment="1">
      <alignment horizontal="center" vertical="top" wrapText="1"/>
    </xf>
    <xf numFmtId="166" fontId="2" fillId="11" borderId="34" xfId="3" applyFont="1" applyFill="1" applyBorder="1" applyAlignment="1" applyProtection="1">
      <alignment horizontal="center" vertical="top" wrapText="1"/>
    </xf>
    <xf numFmtId="172" fontId="2" fillId="2" borderId="34" xfId="3" applyNumberFormat="1" applyFont="1" applyFill="1" applyBorder="1" applyAlignment="1" applyProtection="1">
      <alignment horizontal="center" vertical="top" wrapText="1"/>
    </xf>
    <xf numFmtId="0" fontId="2" fillId="2" borderId="34" xfId="3" applyNumberFormat="1" applyFont="1" applyFill="1" applyBorder="1" applyAlignment="1" applyProtection="1">
      <alignment horizontal="center" vertical="top" wrapText="1"/>
    </xf>
    <xf numFmtId="0" fontId="2" fillId="2" borderId="34" xfId="0" applyFont="1" applyFill="1" applyBorder="1" applyAlignment="1">
      <alignment horizontal="center" vertical="center"/>
    </xf>
    <xf numFmtId="10" fontId="2" fillId="11" borderId="42" xfId="2" applyNumberFormat="1" applyFont="1" applyFill="1" applyBorder="1" applyAlignment="1" applyProtection="1">
      <alignment horizontal="center" vertical="top" wrapText="1"/>
    </xf>
    <xf numFmtId="0" fontId="2" fillId="11" borderId="42" xfId="0" applyFont="1" applyFill="1" applyBorder="1" applyAlignment="1">
      <alignment horizontal="center" vertical="top" wrapText="1"/>
    </xf>
    <xf numFmtId="0" fontId="2" fillId="5" borderId="33" xfId="0" applyFont="1" applyFill="1" applyBorder="1" applyAlignment="1">
      <alignment horizontal="center" vertical="top" wrapText="1"/>
    </xf>
    <xf numFmtId="0" fontId="2" fillId="2" borderId="33" xfId="0" applyFont="1" applyFill="1" applyBorder="1" applyAlignment="1">
      <alignment horizontal="left" vertical="top" wrapText="1"/>
    </xf>
    <xf numFmtId="0" fontId="9" fillId="0" borderId="95" xfId="0" applyFont="1" applyFill="1" applyBorder="1" applyAlignment="1">
      <alignment horizontal="right" vertical="top"/>
    </xf>
    <xf numFmtId="0" fontId="2" fillId="0" borderId="96" xfId="0" applyFont="1" applyFill="1" applyBorder="1" applyAlignment="1">
      <alignment horizontal="left" vertical="top"/>
    </xf>
    <xf numFmtId="0" fontId="9" fillId="0" borderId="96" xfId="0" applyFont="1" applyFill="1" applyBorder="1" applyAlignment="1">
      <alignment horizontal="left" vertical="top"/>
    </xf>
    <xf numFmtId="0" fontId="0" fillId="0" borderId="96" xfId="0" applyBorder="1" applyAlignment="1">
      <alignment horizontal="left" vertical="top"/>
    </xf>
    <xf numFmtId="0" fontId="9" fillId="0" borderId="95" xfId="0" applyFont="1" applyFill="1" applyBorder="1" applyAlignment="1">
      <alignment horizontal="left" vertical="top"/>
    </xf>
    <xf numFmtId="0" fontId="0" fillId="0" borderId="95" xfId="0" applyBorder="1" applyAlignment="1">
      <alignment horizontal="left" vertical="top"/>
    </xf>
    <xf numFmtId="0" fontId="0" fillId="0" borderId="96" xfId="0" applyBorder="1"/>
    <xf numFmtId="0" fontId="7" fillId="0" borderId="97" xfId="0" applyFont="1" applyFill="1" applyBorder="1" applyAlignment="1">
      <alignment horizontal="left" vertical="center"/>
    </xf>
    <xf numFmtId="0" fontId="2" fillId="0" borderId="80" xfId="0" applyFont="1" applyFill="1" applyBorder="1" applyAlignment="1">
      <alignment horizontal="left" vertical="center"/>
    </xf>
    <xf numFmtId="0" fontId="0" fillId="0" borderId="80" xfId="0" applyBorder="1" applyAlignment="1">
      <alignment horizontal="left"/>
    </xf>
    <xf numFmtId="0" fontId="0" fillId="0" borderId="80" xfId="0" applyBorder="1" applyAlignment="1"/>
    <xf numFmtId="0" fontId="0" fillId="0" borderId="98" xfId="0" applyNumberFormat="1" applyBorder="1" applyAlignment="1"/>
    <xf numFmtId="0" fontId="0" fillId="0" borderId="99" xfId="0" applyBorder="1" applyAlignment="1">
      <alignment horizontal="left" vertical="top"/>
    </xf>
    <xf numFmtId="0" fontId="2" fillId="12" borderId="42" xfId="0" applyFont="1" applyFill="1" applyBorder="1" applyAlignment="1">
      <alignment horizontal="center" vertical="top" wrapText="1"/>
    </xf>
    <xf numFmtId="166" fontId="2" fillId="2" borderId="42" xfId="0" applyNumberFormat="1" applyFont="1" applyFill="1" applyBorder="1" applyAlignment="1">
      <alignment horizontal="center" vertical="center"/>
    </xf>
    <xf numFmtId="166" fontId="6" fillId="12" borderId="42" xfId="0" applyNumberFormat="1" applyFont="1" applyFill="1" applyBorder="1" applyAlignment="1">
      <alignment horizontal="center" vertical="center"/>
    </xf>
    <xf numFmtId="166" fontId="2" fillId="2" borderId="42" xfId="3" applyFont="1" applyFill="1" applyBorder="1" applyAlignment="1" applyProtection="1">
      <alignment horizontal="center" vertical="center" wrapText="1"/>
    </xf>
    <xf numFmtId="166" fontId="6" fillId="12" borderId="43" xfId="0" applyNumberFormat="1" applyFont="1" applyFill="1" applyBorder="1" applyAlignment="1">
      <alignment horizontal="center" vertical="center"/>
    </xf>
    <xf numFmtId="0" fontId="9" fillId="0" borderId="99" xfId="0" applyFont="1" applyFill="1" applyBorder="1" applyAlignment="1">
      <alignment horizontal="left" vertical="top"/>
    </xf>
    <xf numFmtId="166" fontId="2" fillId="2" borderId="33" xfId="3" applyFont="1" applyFill="1" applyBorder="1" applyAlignment="1" applyProtection="1">
      <alignment horizontal="center" vertical="center"/>
    </xf>
    <xf numFmtId="166" fontId="13" fillId="4" borderId="56" xfId="3" applyFill="1" applyBorder="1" applyAlignment="1" applyProtection="1">
      <alignment horizontal="center" vertical="center"/>
    </xf>
    <xf numFmtId="0" fontId="0" fillId="0" borderId="99" xfId="0" applyBorder="1"/>
    <xf numFmtId="0" fontId="2" fillId="11" borderId="60" xfId="0" applyFont="1" applyFill="1" applyBorder="1" applyAlignment="1">
      <alignment horizontal="center" vertical="top" wrapText="1"/>
    </xf>
    <xf numFmtId="0" fontId="0" fillId="0" borderId="97" xfId="0" applyBorder="1" applyAlignment="1">
      <alignment horizontal="left"/>
    </xf>
    <xf numFmtId="0" fontId="0" fillId="0" borderId="98" xfId="0" applyBorder="1" applyAlignment="1"/>
    <xf numFmtId="173" fontId="6" fillId="0" borderId="34" xfId="3" applyNumberFormat="1" applyFont="1" applyBorder="1" applyAlignment="1" applyProtection="1">
      <alignment horizontal="center" vertical="top"/>
      <protection locked="0"/>
    </xf>
    <xf numFmtId="173" fontId="6" fillId="0" borderId="60" xfId="3" applyNumberFormat="1" applyFont="1" applyBorder="1" applyAlignment="1" applyProtection="1">
      <alignment vertical="top"/>
      <protection locked="0"/>
    </xf>
    <xf numFmtId="167" fontId="6" fillId="13" borderId="101" xfId="3" applyNumberFormat="1" applyFont="1" applyFill="1" applyBorder="1" applyAlignment="1" applyProtection="1">
      <alignment vertical="center"/>
    </xf>
    <xf numFmtId="167" fontId="6" fillId="13" borderId="34" xfId="3" applyNumberFormat="1" applyFont="1" applyFill="1" applyBorder="1" applyAlignment="1" applyProtection="1">
      <alignment vertical="center"/>
    </xf>
    <xf numFmtId="167" fontId="6" fillId="3" borderId="34" xfId="3" applyNumberFormat="1" applyFont="1" applyFill="1" applyBorder="1" applyAlignment="1" applyProtection="1">
      <alignment vertical="center"/>
    </xf>
    <xf numFmtId="167" fontId="6" fillId="0" borderId="34" xfId="3" applyNumberFormat="1" applyFont="1" applyFill="1" applyBorder="1" applyAlignment="1" applyProtection="1">
      <alignment vertical="center"/>
      <protection locked="0"/>
    </xf>
    <xf numFmtId="167" fontId="6" fillId="2" borderId="34" xfId="3" applyNumberFormat="1" applyFont="1" applyFill="1" applyBorder="1" applyAlignment="1" applyProtection="1">
      <alignment vertical="center"/>
    </xf>
    <xf numFmtId="0" fontId="2" fillId="4" borderId="40" xfId="0" applyFont="1" applyFill="1" applyBorder="1" applyAlignment="1" applyProtection="1">
      <alignment horizontal="center"/>
    </xf>
    <xf numFmtId="0" fontId="2" fillId="0" borderId="40" xfId="0" applyFont="1" applyFill="1" applyBorder="1" applyAlignment="1" applyProtection="1">
      <alignment horizontal="center"/>
    </xf>
    <xf numFmtId="0" fontId="2" fillId="12" borderId="40" xfId="0" applyFont="1" applyFill="1" applyBorder="1" applyAlignment="1" applyProtection="1">
      <alignment horizontal="center"/>
    </xf>
    <xf numFmtId="0" fontId="2" fillId="12" borderId="43" xfId="0" applyFont="1" applyFill="1" applyBorder="1" applyAlignment="1" applyProtection="1">
      <alignment horizontal="center"/>
    </xf>
    <xf numFmtId="0" fontId="2" fillId="0" borderId="102" xfId="0" applyFont="1" applyFill="1" applyBorder="1" applyAlignment="1" applyProtection="1">
      <alignment horizontal="left" vertical="center" wrapText="1"/>
    </xf>
    <xf numFmtId="167" fontId="6" fillId="0" borderId="73" xfId="3" applyNumberFormat="1" applyFont="1" applyFill="1" applyBorder="1" applyAlignment="1" applyProtection="1">
      <alignment horizontal="center"/>
    </xf>
    <xf numFmtId="0" fontId="2" fillId="5" borderId="52" xfId="0" applyFont="1" applyFill="1" applyBorder="1" applyAlignment="1" applyProtection="1">
      <alignment horizontal="left" vertical="top" wrapText="1"/>
    </xf>
    <xf numFmtId="167" fontId="6" fillId="5" borderId="36" xfId="3" applyNumberFormat="1" applyFont="1" applyFill="1" applyBorder="1" applyAlignment="1" applyProtection="1">
      <alignment vertical="center" wrapText="1"/>
    </xf>
    <xf numFmtId="0" fontId="2" fillId="13" borderId="33" xfId="0" applyFont="1" applyFill="1" applyBorder="1" applyAlignment="1" applyProtection="1">
      <alignment horizontal="left" vertical="top" wrapText="1"/>
    </xf>
    <xf numFmtId="0" fontId="6" fillId="0" borderId="33" xfId="0" applyFont="1" applyBorder="1" applyAlignment="1" applyProtection="1">
      <alignment horizontal="left" vertical="top" wrapText="1"/>
    </xf>
    <xf numFmtId="167" fontId="6" fillId="2" borderId="42" xfId="3" applyNumberFormat="1" applyFont="1" applyFill="1" applyBorder="1" applyAlignment="1" applyProtection="1">
      <alignment vertical="center"/>
    </xf>
    <xf numFmtId="0" fontId="6" fillId="0" borderId="56" xfId="0" applyFont="1" applyBorder="1" applyAlignment="1" applyProtection="1">
      <alignment horizontal="left" vertical="top" wrapText="1"/>
    </xf>
    <xf numFmtId="167" fontId="6" fillId="0" borderId="40" xfId="3" applyNumberFormat="1" applyFont="1" applyFill="1" applyBorder="1" applyAlignment="1" applyProtection="1">
      <alignment vertical="center"/>
      <protection locked="0"/>
    </xf>
    <xf numFmtId="0" fontId="2" fillId="4" borderId="100" xfId="0" applyFont="1" applyFill="1" applyBorder="1" applyAlignment="1" applyProtection="1">
      <alignment horizontal="center"/>
    </xf>
    <xf numFmtId="167" fontId="6" fillId="0" borderId="103" xfId="3" applyNumberFormat="1" applyFont="1" applyFill="1" applyBorder="1" applyAlignment="1" applyProtection="1">
      <alignment horizontal="center"/>
    </xf>
    <xf numFmtId="0" fontId="2" fillId="12" borderId="56" xfId="0" applyFont="1" applyFill="1" applyBorder="1" applyAlignment="1" applyProtection="1">
      <alignment horizontal="center"/>
    </xf>
    <xf numFmtId="167" fontId="6" fillId="0" borderId="102" xfId="3" applyNumberFormat="1" applyFont="1" applyFill="1" applyBorder="1" applyAlignment="1" applyProtection="1">
      <alignment horizontal="center"/>
    </xf>
    <xf numFmtId="0" fontId="6" fillId="0" borderId="0" xfId="0" applyFont="1" applyProtection="1">
      <protection locked="0"/>
    </xf>
    <xf numFmtId="0" fontId="26" fillId="0" borderId="0" xfId="0" applyFont="1" applyBorder="1" applyAlignment="1" applyProtection="1">
      <alignment horizontal="center" vertical="top" wrapText="1"/>
      <protection locked="0"/>
    </xf>
    <xf numFmtId="0" fontId="28" fillId="0" borderId="0" xfId="0" applyFont="1" applyProtection="1">
      <protection locked="0"/>
    </xf>
    <xf numFmtId="0" fontId="2" fillId="17" borderId="73" xfId="0" applyFont="1" applyFill="1" applyBorder="1" applyAlignment="1">
      <alignment horizontal="center"/>
    </xf>
    <xf numFmtId="166" fontId="2" fillId="17" borderId="73" xfId="3" applyFont="1" applyFill="1" applyBorder="1" applyAlignment="1">
      <alignment horizontal="center"/>
    </xf>
    <xf numFmtId="0" fontId="2" fillId="17" borderId="74" xfId="0" applyFont="1" applyFill="1" applyBorder="1" applyAlignment="1">
      <alignment horizontal="center"/>
    </xf>
    <xf numFmtId="0" fontId="2" fillId="17" borderId="102" xfId="0" applyFont="1" applyFill="1" applyBorder="1" applyAlignment="1">
      <alignment horizontal="center"/>
    </xf>
    <xf numFmtId="167" fontId="6" fillId="8" borderId="62" xfId="3" applyNumberFormat="1" applyFont="1" applyFill="1" applyBorder="1"/>
    <xf numFmtId="167" fontId="6" fillId="8" borderId="104" xfId="3" applyNumberFormat="1" applyFont="1" applyFill="1" applyBorder="1"/>
    <xf numFmtId="167" fontId="6" fillId="7" borderId="52" xfId="3" applyNumberFormat="1" applyFont="1" applyFill="1" applyBorder="1"/>
    <xf numFmtId="167" fontId="6" fillId="7" borderId="55" xfId="3" applyNumberFormat="1" applyFont="1" applyFill="1" applyBorder="1"/>
    <xf numFmtId="167" fontId="6" fillId="0" borderId="33" xfId="3" applyNumberFormat="1" applyFont="1" applyBorder="1"/>
    <xf numFmtId="167" fontId="11" fillId="0" borderId="42" xfId="1" applyNumberFormat="1" applyBorder="1" applyAlignment="1" applyProtection="1"/>
    <xf numFmtId="167" fontId="6" fillId="0" borderId="42" xfId="3" applyNumberFormat="1" applyFont="1" applyBorder="1"/>
    <xf numFmtId="167" fontId="6" fillId="0" borderId="56" xfId="3" applyNumberFormat="1" applyFont="1" applyBorder="1"/>
    <xf numFmtId="167" fontId="6" fillId="0" borderId="100" xfId="3" applyNumberFormat="1" applyFont="1" applyBorder="1" applyAlignment="1">
      <alignment wrapText="1"/>
    </xf>
    <xf numFmtId="0" fontId="6" fillId="0" borderId="40" xfId="3" applyNumberFormat="1" applyFont="1" applyBorder="1"/>
    <xf numFmtId="167" fontId="11" fillId="0" borderId="43" xfId="1" applyNumberFormat="1" applyBorder="1" applyAlignment="1" applyProtection="1"/>
    <xf numFmtId="167" fontId="6" fillId="0" borderId="58" xfId="3" applyNumberFormat="1" applyFont="1" applyBorder="1"/>
    <xf numFmtId="167" fontId="6" fillId="0" borderId="90" xfId="3" applyNumberFormat="1" applyFont="1" applyBorder="1" applyAlignment="1">
      <alignment wrapText="1"/>
    </xf>
    <xf numFmtId="167" fontId="6" fillId="0" borderId="59" xfId="3" applyNumberFormat="1" applyFont="1" applyBorder="1"/>
    <xf numFmtId="167" fontId="6" fillId="0" borderId="91" xfId="3" applyNumberFormat="1" applyFont="1" applyBorder="1"/>
    <xf numFmtId="167" fontId="6" fillId="8" borderId="52" xfId="3" applyNumberFormat="1" applyFont="1" applyFill="1" applyBorder="1"/>
    <xf numFmtId="167" fontId="6" fillId="8" borderId="81" xfId="3" applyNumberFormat="1" applyFont="1" applyFill="1" applyBorder="1" applyAlignment="1">
      <alignment wrapText="1"/>
    </xf>
    <xf numFmtId="167" fontId="6" fillId="8" borderId="36" xfId="3" applyNumberFormat="1" applyFont="1" applyFill="1" applyBorder="1"/>
    <xf numFmtId="167" fontId="6" fillId="8" borderId="55" xfId="3" applyNumberFormat="1" applyFont="1" applyFill="1" applyBorder="1"/>
    <xf numFmtId="0" fontId="6" fillId="0" borderId="80" xfId="0" applyFont="1" applyFill="1" applyBorder="1" applyAlignment="1">
      <alignment horizontal="left" vertical="center"/>
    </xf>
    <xf numFmtId="0" fontId="6" fillId="0" borderId="98" xfId="0" applyFont="1" applyFill="1" applyBorder="1" applyAlignment="1">
      <alignment horizontal="left" vertical="center"/>
    </xf>
    <xf numFmtId="0" fontId="29" fillId="0" borderId="51" xfId="0" applyFont="1" applyFill="1" applyBorder="1" applyAlignment="1">
      <alignment horizontal="left" vertical="center"/>
    </xf>
    <xf numFmtId="0" fontId="0" fillId="0" borderId="0" xfId="0" applyNumberFormat="1"/>
    <xf numFmtId="3" fontId="6" fillId="0" borderId="61" xfId="3" applyNumberFormat="1" applyFont="1" applyBorder="1" applyAlignment="1" applyProtection="1">
      <alignment vertical="top"/>
      <protection locked="0"/>
    </xf>
    <xf numFmtId="3" fontId="6" fillId="0" borderId="11" xfId="0" applyNumberFormat="1" applyFont="1" applyBorder="1" applyAlignment="1" applyProtection="1">
      <alignment vertical="top"/>
      <protection locked="0"/>
    </xf>
    <xf numFmtId="3" fontId="6" fillId="0" borderId="34" xfId="0" applyNumberFormat="1" applyFont="1" applyBorder="1" applyAlignment="1">
      <alignment horizontal="left" vertical="top" wrapText="1"/>
    </xf>
    <xf numFmtId="3" fontId="6" fillId="0" borderId="34" xfId="0" applyNumberFormat="1" applyFont="1" applyBorder="1" applyAlignment="1">
      <alignment horizontal="center" vertical="top" wrapText="1"/>
    </xf>
    <xf numFmtId="3" fontId="0" fillId="0" borderId="107" xfId="0" applyNumberFormat="1" applyBorder="1" applyAlignment="1" applyProtection="1">
      <alignment vertical="top"/>
      <protection locked="0"/>
    </xf>
    <xf numFmtId="3" fontId="30" fillId="0" borderId="33" xfId="0" applyNumberFormat="1" applyFont="1" applyBorder="1" applyAlignment="1" applyProtection="1">
      <alignment vertical="top" wrapText="1"/>
      <protection locked="0"/>
    </xf>
    <xf numFmtId="167" fontId="6" fillId="7" borderId="41" xfId="3" applyNumberFormat="1" applyFont="1" applyFill="1" applyBorder="1"/>
    <xf numFmtId="167" fontId="6" fillId="7" borderId="61" xfId="3" applyNumberFormat="1" applyFont="1" applyFill="1" applyBorder="1" applyAlignment="1">
      <alignment wrapText="1"/>
    </xf>
    <xf numFmtId="167" fontId="6" fillId="7" borderId="35" xfId="3" applyNumberFormat="1" applyFont="1" applyFill="1" applyBorder="1"/>
    <xf numFmtId="167" fontId="6" fillId="7" borderId="72" xfId="3" applyNumberFormat="1" applyFont="1" applyFill="1" applyBorder="1"/>
    <xf numFmtId="3" fontId="0" fillId="14" borderId="32" xfId="0" applyNumberFormat="1" applyFill="1" applyBorder="1" applyAlignment="1" applyProtection="1">
      <alignment vertical="top" wrapText="1"/>
      <protection locked="0"/>
    </xf>
    <xf numFmtId="3" fontId="13" fillId="14" borderId="34" xfId="3" applyNumberFormat="1" applyFill="1" applyBorder="1" applyAlignment="1" applyProtection="1">
      <alignment horizontal="center" vertical="top"/>
      <protection locked="0"/>
    </xf>
    <xf numFmtId="3" fontId="13" fillId="14" borderId="60" xfId="3" applyNumberFormat="1" applyFill="1" applyBorder="1" applyAlignment="1" applyProtection="1">
      <alignment vertical="top"/>
      <protection locked="0"/>
    </xf>
    <xf numFmtId="167" fontId="2" fillId="2" borderId="10" xfId="3" applyNumberFormat="1" applyFont="1" applyFill="1" applyBorder="1" applyAlignment="1" applyProtection="1"/>
    <xf numFmtId="3" fontId="30" fillId="0" borderId="41" xfId="0" applyNumberFormat="1" applyFont="1" applyBorder="1" applyAlignment="1" applyProtection="1">
      <alignment vertical="top" wrapText="1"/>
      <protection locked="0"/>
    </xf>
    <xf numFmtId="167" fontId="6" fillId="0" borderId="62" xfId="3" applyNumberFormat="1" applyFont="1" applyBorder="1"/>
    <xf numFmtId="167" fontId="6" fillId="0" borderId="83" xfId="3" applyNumberFormat="1" applyFont="1" applyBorder="1" applyAlignment="1">
      <alignment wrapText="1"/>
    </xf>
    <xf numFmtId="167" fontId="6" fillId="0" borderId="82" xfId="3" applyNumberFormat="1" applyFont="1" applyBorder="1"/>
    <xf numFmtId="167" fontId="6" fillId="0" borderId="104" xfId="3" applyNumberFormat="1" applyFont="1" applyBorder="1"/>
    <xf numFmtId="0" fontId="18" fillId="0" borderId="33" xfId="0" applyFont="1" applyBorder="1" applyAlignment="1">
      <alignment horizontal="left" vertical="center" wrapText="1"/>
    </xf>
    <xf numFmtId="167" fontId="6" fillId="0" borderId="0" xfId="3" applyNumberFormat="1" applyFont="1" applyBorder="1" applyAlignment="1" applyProtection="1">
      <alignment vertical="center"/>
      <protection locked="0"/>
    </xf>
    <xf numFmtId="0" fontId="18" fillId="0" borderId="33" xfId="0" applyFont="1" applyFill="1" applyBorder="1" applyAlignment="1">
      <alignment horizontal="left" vertical="center" wrapText="1"/>
    </xf>
    <xf numFmtId="0" fontId="18" fillId="0" borderId="33" xfId="0" applyFont="1" applyFill="1" applyBorder="1" applyAlignment="1">
      <alignment wrapText="1"/>
    </xf>
    <xf numFmtId="0" fontId="18" fillId="0" borderId="33" xfId="1" applyFont="1" applyFill="1" applyBorder="1" applyAlignment="1" applyProtection="1">
      <alignment wrapText="1"/>
    </xf>
    <xf numFmtId="0" fontId="18" fillId="19" borderId="33" xfId="0" applyFont="1" applyFill="1" applyBorder="1" applyAlignment="1">
      <alignment vertical="top" wrapText="1"/>
    </xf>
    <xf numFmtId="167" fontId="6" fillId="0" borderId="142" xfId="3" applyNumberFormat="1" applyFont="1" applyBorder="1" applyAlignment="1" applyProtection="1">
      <alignment vertical="center"/>
      <protection locked="0"/>
    </xf>
    <xf numFmtId="167" fontId="6" fillId="0" borderId="34" xfId="3" applyNumberFormat="1" applyFont="1" applyBorder="1" applyAlignment="1" applyProtection="1">
      <alignment vertical="top"/>
      <protection locked="0"/>
    </xf>
    <xf numFmtId="3" fontId="13" fillId="0" borderId="34" xfId="3" applyNumberFormat="1" applyBorder="1" applyAlignment="1" applyProtection="1">
      <alignment vertical="top"/>
      <protection locked="0"/>
    </xf>
    <xf numFmtId="3" fontId="30" fillId="18" borderId="11" xfId="0" applyNumberFormat="1" applyFont="1" applyFill="1" applyBorder="1" applyAlignment="1" applyProtection="1">
      <alignment vertical="top" wrapText="1"/>
      <protection locked="0"/>
    </xf>
    <xf numFmtId="3" fontId="6" fillId="18" borderId="32" xfId="0" applyNumberFormat="1" applyFont="1" applyFill="1" applyBorder="1" applyAlignment="1" applyProtection="1">
      <alignment vertical="top" wrapText="1"/>
      <protection locked="0"/>
    </xf>
    <xf numFmtId="3" fontId="13" fillId="18" borderId="34" xfId="3" applyNumberFormat="1" applyFill="1" applyBorder="1" applyAlignment="1" applyProtection="1">
      <alignment horizontal="center" vertical="top"/>
      <protection locked="0"/>
    </xf>
    <xf numFmtId="3" fontId="13" fillId="18" borderId="60" xfId="3" applyNumberFormat="1" applyFill="1" applyBorder="1" applyAlignment="1" applyProtection="1">
      <alignment vertical="top"/>
      <protection locked="0"/>
    </xf>
    <xf numFmtId="0" fontId="6" fillId="18" borderId="34" xfId="0" applyFont="1" applyFill="1" applyBorder="1" applyAlignment="1">
      <alignment vertical="center"/>
    </xf>
    <xf numFmtId="167" fontId="6" fillId="18" borderId="34" xfId="3" applyNumberFormat="1" applyFont="1" applyFill="1" applyBorder="1" applyAlignment="1">
      <alignment vertical="center"/>
    </xf>
    <xf numFmtId="0" fontId="2" fillId="18" borderId="11" xfId="0" applyFont="1" applyFill="1" applyBorder="1" applyAlignment="1" applyProtection="1">
      <alignment horizontal="left" vertical="top" wrapText="1"/>
    </xf>
    <xf numFmtId="167" fontId="2" fillId="18" borderId="20" xfId="3" applyNumberFormat="1" applyFont="1" applyFill="1" applyBorder="1" applyAlignment="1" applyProtection="1">
      <alignment horizontal="left" vertical="center" wrapText="1"/>
    </xf>
    <xf numFmtId="10" fontId="2" fillId="18" borderId="22" xfId="2" applyNumberFormat="1" applyFont="1" applyFill="1" applyBorder="1" applyAlignment="1" applyProtection="1">
      <alignment horizontal="right" vertical="center"/>
    </xf>
    <xf numFmtId="167" fontId="2" fillId="18" borderId="39" xfId="3" applyNumberFormat="1" applyFont="1" applyFill="1" applyBorder="1" applyAlignment="1" applyProtection="1">
      <alignment horizontal="left" vertical="center" wrapText="1"/>
    </xf>
    <xf numFmtId="0" fontId="2" fillId="18" borderId="32" xfId="0" applyFont="1" applyFill="1" applyBorder="1" applyAlignment="1" applyProtection="1">
      <alignment horizontal="center" vertical="top" wrapText="1"/>
    </xf>
    <xf numFmtId="0" fontId="2" fillId="18" borderId="86" xfId="0" applyFont="1" applyFill="1" applyBorder="1" applyAlignment="1" applyProtection="1">
      <alignment horizontal="center" vertical="top" wrapText="1"/>
    </xf>
    <xf numFmtId="10" fontId="2" fillId="18" borderId="92" xfId="2" applyNumberFormat="1" applyFont="1" applyFill="1" applyBorder="1" applyAlignment="1" applyProtection="1">
      <alignment horizontal="right"/>
    </xf>
    <xf numFmtId="10" fontId="2" fillId="18" borderId="93" xfId="2" applyNumberFormat="1" applyFont="1" applyFill="1" applyBorder="1" applyAlignment="1" applyProtection="1">
      <alignment horizontal="right" vertical="center"/>
    </xf>
    <xf numFmtId="3" fontId="30" fillId="18" borderId="33" xfId="0" applyNumberFormat="1" applyFont="1" applyFill="1" applyBorder="1" applyAlignment="1" applyProtection="1">
      <alignment vertical="top" wrapText="1"/>
      <protection locked="0"/>
    </xf>
    <xf numFmtId="166" fontId="2" fillId="21" borderId="42" xfId="0" applyNumberFormat="1" applyFont="1" applyFill="1" applyBorder="1" applyAlignment="1">
      <alignment horizontal="left" vertical="top"/>
    </xf>
    <xf numFmtId="0" fontId="1" fillId="0" borderId="34" xfId="0" applyFont="1" applyFill="1" applyBorder="1" applyAlignment="1" applyProtection="1">
      <alignment horizontal="center" vertical="center" wrapText="1"/>
      <protection locked="0"/>
    </xf>
    <xf numFmtId="167" fontId="1" fillId="8" borderId="34" xfId="3" applyNumberFormat="1" applyFont="1" applyFill="1" applyBorder="1" applyAlignment="1">
      <alignment vertical="center"/>
    </xf>
    <xf numFmtId="167" fontId="1" fillId="0" borderId="0" xfId="0" applyNumberFormat="1" applyFont="1" applyProtection="1"/>
    <xf numFmtId="0" fontId="2" fillId="3" borderId="34" xfId="0" applyFont="1" applyFill="1" applyBorder="1" applyAlignment="1">
      <alignment horizontal="center" vertical="top" wrapText="1"/>
    </xf>
    <xf numFmtId="0" fontId="2" fillId="11" borderId="33" xfId="0" applyFont="1" applyFill="1" applyBorder="1" applyAlignment="1">
      <alignment horizontal="center" vertical="top" wrapText="1"/>
    </xf>
    <xf numFmtId="0" fontId="2" fillId="11" borderId="34" xfId="0" applyFont="1" applyFill="1" applyBorder="1" applyAlignment="1">
      <alignment horizontal="center" vertical="top" wrapText="1"/>
    </xf>
    <xf numFmtId="0" fontId="18" fillId="0" borderId="56" xfId="0" applyFont="1" applyFill="1" applyBorder="1" applyAlignment="1">
      <alignment horizontal="left" vertical="center" wrapText="1"/>
    </xf>
    <xf numFmtId="166" fontId="2" fillId="11" borderId="42" xfId="3" applyFont="1" applyFill="1" applyBorder="1" applyAlignment="1" applyProtection="1">
      <alignment horizontal="center" vertical="top" wrapText="1"/>
    </xf>
    <xf numFmtId="172" fontId="6" fillId="0" borderId="40" xfId="0" applyNumberFormat="1" applyFont="1" applyBorder="1" applyAlignment="1" applyProtection="1">
      <alignment horizontal="center" vertical="top" wrapText="1"/>
      <protection locked="0"/>
    </xf>
    <xf numFmtId="0" fontId="6" fillId="0" borderId="40" xfId="4" applyNumberFormat="1" applyFont="1" applyFill="1" applyBorder="1" applyAlignment="1" applyProtection="1">
      <alignment horizontal="center" vertical="top" wrapText="1"/>
      <protection locked="0"/>
    </xf>
    <xf numFmtId="172" fontId="6" fillId="5" borderId="40" xfId="3" applyNumberFormat="1" applyFont="1" applyFill="1" applyBorder="1" applyAlignment="1" applyProtection="1">
      <alignment horizontal="center" vertical="top" wrapText="1"/>
    </xf>
    <xf numFmtId="166" fontId="13" fillId="2" borderId="43" xfId="3" applyFill="1" applyBorder="1" applyAlignment="1" applyProtection="1">
      <alignment horizontal="center" vertical="center"/>
    </xf>
    <xf numFmtId="167" fontId="6" fillId="3" borderId="40" xfId="3" applyNumberFormat="1" applyFont="1" applyFill="1" applyBorder="1" applyAlignment="1" applyProtection="1">
      <alignment vertical="center"/>
    </xf>
    <xf numFmtId="167" fontId="2" fillId="2" borderId="17" xfId="3" applyNumberFormat="1" applyFont="1" applyFill="1" applyBorder="1" applyAlignment="1" applyProtection="1">
      <alignment horizontal="right" vertical="center" wrapText="1"/>
    </xf>
    <xf numFmtId="167" fontId="2" fillId="0" borderId="17" xfId="3" applyNumberFormat="1" applyFont="1" applyFill="1" applyBorder="1" applyAlignment="1" applyProtection="1">
      <alignment horizontal="right" vertical="center" wrapText="1"/>
      <protection locked="0"/>
    </xf>
    <xf numFmtId="173" fontId="2" fillId="2" borderId="71" xfId="3" applyNumberFormat="1" applyFont="1" applyFill="1" applyBorder="1" applyAlignment="1" applyProtection="1">
      <alignment horizontal="right" vertical="center" wrapText="1"/>
    </xf>
    <xf numFmtId="0" fontId="34" fillId="0" borderId="0" xfId="0" applyFont="1" applyBorder="1" applyAlignment="1">
      <alignment horizontal="center"/>
    </xf>
    <xf numFmtId="0" fontId="34" fillId="0" borderId="90" xfId="0" applyFont="1" applyBorder="1" applyAlignment="1">
      <alignment horizontal="left"/>
    </xf>
    <xf numFmtId="0" fontId="34" fillId="0" borderId="0" xfId="0" applyFont="1" applyAlignment="1">
      <alignment horizontal="center"/>
    </xf>
    <xf numFmtId="0" fontId="34" fillId="0" borderId="3" xfId="0" applyFont="1" applyBorder="1" applyAlignment="1">
      <alignment horizontal="left"/>
    </xf>
    <xf numFmtId="0" fontId="2" fillId="3" borderId="34" xfId="0" applyFont="1" applyFill="1" applyBorder="1" applyAlignment="1">
      <alignment horizontal="center" vertical="top" wrapText="1"/>
    </xf>
    <xf numFmtId="0" fontId="18" fillId="22" borderId="33" xfId="0" applyFont="1" applyFill="1" applyBorder="1" applyAlignment="1">
      <alignment vertical="top" wrapText="1"/>
    </xf>
    <xf numFmtId="0" fontId="2" fillId="22" borderId="34" xfId="0" applyFont="1" applyFill="1" applyBorder="1" applyAlignment="1">
      <alignment vertical="center" wrapText="1"/>
    </xf>
    <xf numFmtId="0" fontId="6" fillId="23" borderId="34" xfId="0" applyFont="1" applyFill="1" applyBorder="1" applyAlignment="1">
      <alignment vertical="center"/>
    </xf>
    <xf numFmtId="167" fontId="2" fillId="23" borderId="34" xfId="3" applyNumberFormat="1" applyFont="1" applyFill="1" applyBorder="1" applyAlignment="1">
      <alignment vertical="center"/>
    </xf>
    <xf numFmtId="0" fontId="6" fillId="23" borderId="42" xfId="0" applyFont="1" applyFill="1" applyBorder="1" applyAlignment="1" applyProtection="1">
      <alignment horizontal="center" vertical="center" wrapText="1"/>
      <protection locked="0"/>
    </xf>
    <xf numFmtId="166" fontId="13" fillId="2" borderId="60" xfId="3" applyFill="1" applyBorder="1" applyAlignment="1" applyProtection="1">
      <alignment horizontal="center" vertical="center"/>
    </xf>
    <xf numFmtId="166" fontId="6" fillId="0" borderId="0" xfId="0" applyNumberFormat="1" applyFont="1"/>
    <xf numFmtId="166" fontId="0" fillId="0" borderId="0" xfId="0" applyNumberFormat="1"/>
    <xf numFmtId="167" fontId="2" fillId="0" borderId="0" xfId="0" applyNumberFormat="1" applyFont="1" applyAlignment="1" applyProtection="1">
      <alignment vertical="top"/>
    </xf>
    <xf numFmtId="167" fontId="0" fillId="0" borderId="0" xfId="0" applyNumberFormat="1" applyFill="1" applyAlignment="1" applyProtection="1">
      <alignment vertical="top"/>
    </xf>
    <xf numFmtId="177" fontId="2" fillId="0" borderId="0" xfId="0" applyNumberFormat="1" applyFont="1" applyAlignment="1" applyProtection="1">
      <alignment vertical="top"/>
    </xf>
    <xf numFmtId="0" fontId="9" fillId="0" borderId="140" xfId="0" applyFont="1" applyFill="1" applyBorder="1" applyAlignment="1" applyProtection="1">
      <alignment vertical="center"/>
    </xf>
    <xf numFmtId="0" fontId="9" fillId="4" borderId="143" xfId="0" applyFont="1" applyFill="1" applyBorder="1" applyAlignment="1" applyProtection="1">
      <alignment horizontal="center" vertical="center"/>
    </xf>
    <xf numFmtId="0" fontId="9" fillId="4" borderId="143" xfId="0" applyFont="1" applyFill="1" applyBorder="1" applyAlignment="1" applyProtection="1">
      <alignment horizontal="right" vertical="center"/>
    </xf>
    <xf numFmtId="168" fontId="9" fillId="4" borderId="144" xfId="0" applyNumberFormat="1" applyFont="1" applyFill="1" applyBorder="1" applyAlignment="1" applyProtection="1">
      <alignment horizontal="left" vertical="center"/>
    </xf>
    <xf numFmtId="0" fontId="9" fillId="4" borderId="146" xfId="0" applyFont="1" applyFill="1" applyBorder="1" applyAlignment="1" applyProtection="1">
      <alignment horizontal="center"/>
    </xf>
    <xf numFmtId="0" fontId="2" fillId="4" borderId="118" xfId="0" applyFont="1" applyFill="1" applyBorder="1" applyAlignment="1" applyProtection="1">
      <alignment horizontal="center" vertical="top" wrapText="1"/>
    </xf>
    <xf numFmtId="0" fontId="2" fillId="2" borderId="147" xfId="0" applyFont="1" applyFill="1" applyBorder="1" applyAlignment="1" applyProtection="1">
      <alignment horizontal="left" vertical="top" wrapText="1"/>
    </xf>
    <xf numFmtId="167" fontId="2" fillId="2" borderId="148" xfId="3" applyNumberFormat="1" applyFont="1" applyFill="1" applyBorder="1" applyAlignment="1" applyProtection="1">
      <alignment horizontal="right" vertical="center" wrapText="1"/>
    </xf>
    <xf numFmtId="0" fontId="6" fillId="0" borderId="48" xfId="0" applyFont="1" applyBorder="1" applyAlignment="1" applyProtection="1">
      <alignment horizontal="left" vertical="top" wrapText="1"/>
    </xf>
    <xf numFmtId="167" fontId="1" fillId="2" borderId="47" xfId="3" applyNumberFormat="1" applyFont="1" applyFill="1" applyBorder="1" applyAlignment="1" applyProtection="1">
      <alignment horizontal="right" vertical="center" wrapText="1"/>
    </xf>
    <xf numFmtId="167" fontId="1" fillId="2" borderId="149" xfId="3" applyNumberFormat="1" applyFont="1" applyFill="1" applyBorder="1" applyAlignment="1" applyProtection="1">
      <alignment horizontal="right" vertical="center" wrapText="1"/>
    </xf>
    <xf numFmtId="0" fontId="6" fillId="0" borderId="150" xfId="0" applyFont="1" applyBorder="1" applyAlignment="1" applyProtection="1">
      <alignment horizontal="left" vertical="top" wrapText="1"/>
    </xf>
    <xf numFmtId="167" fontId="2" fillId="2" borderId="118" xfId="3" applyNumberFormat="1" applyFont="1" applyFill="1" applyBorder="1" applyAlignment="1" applyProtection="1">
      <alignment horizontal="right" vertical="center" wrapText="1"/>
    </xf>
    <xf numFmtId="0" fontId="2" fillId="0" borderId="48" xfId="0" applyFont="1" applyBorder="1" applyAlignment="1" applyProtection="1">
      <alignment horizontal="left" vertical="top" wrapText="1"/>
    </xf>
    <xf numFmtId="0" fontId="2" fillId="3" borderId="40" xfId="0" applyFont="1" applyFill="1" applyBorder="1" applyAlignment="1">
      <alignment horizontal="center" vertical="center" wrapText="1"/>
    </xf>
    <xf numFmtId="3" fontId="1" fillId="0" borderId="32" xfId="0" applyNumberFormat="1" applyFont="1" applyBorder="1" applyAlignment="1" applyProtection="1">
      <alignment vertical="top" wrapText="1"/>
      <protection locked="0"/>
    </xf>
    <xf numFmtId="3" fontId="1" fillId="0" borderId="11" xfId="0" applyNumberFormat="1" applyFont="1" applyBorder="1" applyAlignment="1" applyProtection="1">
      <alignment vertical="top" wrapText="1"/>
      <protection locked="0"/>
    </xf>
    <xf numFmtId="167" fontId="6" fillId="5" borderId="34" xfId="3" applyNumberFormat="1" applyFont="1" applyFill="1" applyBorder="1" applyAlignment="1" applyProtection="1">
      <alignment vertical="center"/>
    </xf>
    <xf numFmtId="167" fontId="6" fillId="0" borderId="94" xfId="3" applyNumberFormat="1" applyFont="1" applyFill="1" applyBorder="1" applyAlignment="1" applyProtection="1">
      <alignment horizontal="center"/>
    </xf>
    <xf numFmtId="167" fontId="6" fillId="5" borderId="55" xfId="3" applyNumberFormat="1" applyFont="1" applyFill="1" applyBorder="1" applyAlignment="1" applyProtection="1">
      <alignment vertical="center" wrapText="1"/>
    </xf>
    <xf numFmtId="167" fontId="6" fillId="13" borderId="42" xfId="3" applyNumberFormat="1" applyFont="1" applyFill="1" applyBorder="1" applyAlignment="1" applyProtection="1">
      <alignment vertical="center"/>
    </xf>
    <xf numFmtId="0" fontId="2" fillId="5" borderId="33" xfId="0" applyFont="1" applyFill="1" applyBorder="1" applyAlignment="1" applyProtection="1">
      <alignment horizontal="left" vertical="top" wrapText="1"/>
    </xf>
    <xf numFmtId="167" fontId="6" fillId="5" borderId="42" xfId="3" applyNumberFormat="1" applyFont="1" applyFill="1" applyBorder="1" applyAlignment="1" applyProtection="1">
      <alignment vertical="center"/>
    </xf>
    <xf numFmtId="167" fontId="6" fillId="2" borderId="40" xfId="3" applyNumberFormat="1" applyFont="1" applyFill="1" applyBorder="1" applyAlignment="1" applyProtection="1">
      <alignment vertical="center"/>
    </xf>
    <xf numFmtId="167" fontId="6" fillId="2" borderId="43" xfId="3" applyNumberFormat="1" applyFont="1" applyFill="1" applyBorder="1" applyAlignment="1" applyProtection="1">
      <alignment vertical="center"/>
    </xf>
    <xf numFmtId="0" fontId="6" fillId="0" borderId="151" xfId="0" applyFont="1" applyBorder="1" applyAlignment="1">
      <alignment horizontal="left" vertical="top" wrapText="1"/>
    </xf>
    <xf numFmtId="0" fontId="1" fillId="0" borderId="105" xfId="0" applyFont="1" applyBorder="1" applyAlignment="1" applyProtection="1">
      <alignment horizontal="left" vertical="top" wrapText="1"/>
      <protection locked="0"/>
    </xf>
    <xf numFmtId="172" fontId="6" fillId="0" borderId="105" xfId="0" applyNumberFormat="1" applyFont="1" applyBorder="1" applyAlignment="1" applyProtection="1">
      <alignment horizontal="center" vertical="center" wrapText="1"/>
      <protection locked="0"/>
    </xf>
    <xf numFmtId="167" fontId="6" fillId="0" borderId="105" xfId="3" applyNumberFormat="1" applyFont="1" applyBorder="1" applyAlignment="1" applyProtection="1">
      <alignment horizontal="center" vertical="center" wrapText="1"/>
      <protection locked="0"/>
    </xf>
    <xf numFmtId="167" fontId="6" fillId="0" borderId="105" xfId="3" applyNumberFormat="1" applyFont="1" applyBorder="1" applyAlignment="1" applyProtection="1">
      <alignment horizontal="right" vertical="center" wrapText="1"/>
      <protection locked="0"/>
    </xf>
    <xf numFmtId="167" fontId="6" fillId="0" borderId="105" xfId="3" applyNumberFormat="1" applyFont="1" applyFill="1" applyBorder="1" applyAlignment="1" applyProtection="1">
      <alignment horizontal="right" vertical="center" wrapText="1"/>
      <protection locked="0"/>
    </xf>
    <xf numFmtId="167" fontId="6" fillId="0" borderId="106" xfId="3" applyNumberFormat="1" applyFont="1" applyBorder="1" applyAlignment="1" applyProtection="1">
      <alignment horizontal="right" vertical="center" wrapText="1"/>
      <protection locked="0"/>
    </xf>
    <xf numFmtId="167" fontId="2" fillId="0" borderId="73" xfId="3" applyNumberFormat="1" applyFont="1" applyFill="1" applyBorder="1" applyAlignment="1">
      <alignment horizontal="left" vertical="center"/>
    </xf>
    <xf numFmtId="167" fontId="2" fillId="0" borderId="74" xfId="3" applyNumberFormat="1" applyFont="1" applyFill="1" applyBorder="1" applyAlignment="1">
      <alignment horizontal="left" vertical="center"/>
    </xf>
    <xf numFmtId="167" fontId="2" fillId="0" borderId="73" xfId="3" applyNumberFormat="1" applyFont="1" applyFill="1" applyBorder="1" applyAlignment="1">
      <alignment wrapText="1"/>
    </xf>
    <xf numFmtId="167" fontId="2" fillId="0" borderId="74" xfId="3" applyNumberFormat="1" applyFont="1" applyFill="1" applyBorder="1" applyAlignment="1">
      <alignment wrapText="1"/>
    </xf>
    <xf numFmtId="167" fontId="2" fillId="6" borderId="73" xfId="3" applyNumberFormat="1" applyFont="1" applyFill="1" applyBorder="1" applyAlignment="1">
      <alignment horizontal="center" vertical="center" wrapText="1"/>
    </xf>
    <xf numFmtId="0" fontId="9" fillId="6" borderId="51" xfId="0" applyFont="1" applyFill="1" applyBorder="1" applyAlignment="1">
      <alignment horizontal="center" vertical="center"/>
    </xf>
    <xf numFmtId="0" fontId="38" fillId="0" borderId="0" xfId="0" applyFont="1" applyAlignment="1">
      <alignment horizontal="center" vertical="center"/>
    </xf>
    <xf numFmtId="0" fontId="38" fillId="0" borderId="0" xfId="0" applyFont="1" applyAlignment="1">
      <alignment horizontal="left" vertical="center"/>
    </xf>
    <xf numFmtId="0" fontId="0" fillId="0" borderId="0" xfId="0" applyAlignment="1">
      <alignment horizontal="center" vertical="center"/>
    </xf>
    <xf numFmtId="0" fontId="38" fillId="0" borderId="0" xfId="0" applyFont="1"/>
    <xf numFmtId="172" fontId="0" fillId="0" borderId="0" xfId="0" applyNumberFormat="1"/>
    <xf numFmtId="0" fontId="41" fillId="0" borderId="152" xfId="0" applyFont="1" applyBorder="1" applyAlignment="1">
      <alignment horizontal="center"/>
    </xf>
    <xf numFmtId="0" fontId="41" fillId="0" borderId="155" xfId="0" applyFont="1" applyBorder="1" applyAlignment="1">
      <alignment horizontal="center"/>
    </xf>
    <xf numFmtId="0" fontId="41" fillId="0" borderId="156" xfId="0" applyFont="1" applyBorder="1" applyAlignment="1">
      <alignment horizontal="center" vertical="center"/>
    </xf>
    <xf numFmtId="172" fontId="41" fillId="0" borderId="156" xfId="0" applyNumberFormat="1" applyFont="1" applyBorder="1" applyAlignment="1">
      <alignment horizontal="center"/>
    </xf>
    <xf numFmtId="0" fontId="41" fillId="0" borderId="157" xfId="0" applyFont="1" applyBorder="1" applyAlignment="1">
      <alignment horizontal="center"/>
    </xf>
    <xf numFmtId="49" fontId="41" fillId="0" borderId="157" xfId="0" applyNumberFormat="1" applyFont="1" applyBorder="1" applyAlignment="1">
      <alignment horizontal="center"/>
    </xf>
    <xf numFmtId="0" fontId="41" fillId="0" borderId="157" xfId="0" applyFont="1" applyBorder="1" applyAlignment="1">
      <alignment horizontal="center" vertical="center"/>
    </xf>
    <xf numFmtId="172" fontId="41" fillId="0" borderId="157" xfId="0" applyNumberFormat="1" applyFont="1" applyBorder="1" applyAlignment="1">
      <alignment horizontal="center"/>
    </xf>
    <xf numFmtId="0" fontId="42" fillId="0" borderId="0" xfId="0" applyFont="1"/>
    <xf numFmtId="0" fontId="44" fillId="0" borderId="162" xfId="0" applyFont="1" applyBorder="1" applyAlignment="1">
      <alignment horizontal="center" vertical="center"/>
    </xf>
    <xf numFmtId="0" fontId="44" fillId="0" borderId="162" xfId="0" applyFont="1" applyBorder="1" applyAlignment="1">
      <alignment horizontal="justify" vertical="center" wrapText="1"/>
    </xf>
    <xf numFmtId="4" fontId="44" fillId="0" borderId="162" xfId="0" applyNumberFormat="1" applyFont="1" applyBorder="1" applyAlignment="1">
      <alignment horizontal="center" vertical="center" wrapText="1"/>
    </xf>
    <xf numFmtId="0" fontId="45" fillId="0" borderId="162" xfId="0" applyFont="1" applyBorder="1" applyAlignment="1">
      <alignment horizontal="center" vertical="center" wrapText="1"/>
    </xf>
    <xf numFmtId="9" fontId="44" fillId="0" borderId="162" xfId="0" applyNumberFormat="1" applyFont="1" applyBorder="1" applyAlignment="1">
      <alignment horizontal="center" vertical="center" wrapText="1"/>
    </xf>
    <xf numFmtId="172" fontId="44" fillId="0" borderId="162" xfId="0" applyNumberFormat="1" applyFont="1" applyBorder="1" applyAlignment="1">
      <alignment horizontal="center" vertical="center" wrapText="1"/>
    </xf>
    <xf numFmtId="0" fontId="44" fillId="0" borderId="162" xfId="0" applyFont="1" applyBorder="1" applyAlignment="1">
      <alignment horizontal="center" vertical="center" wrapText="1"/>
    </xf>
    <xf numFmtId="0" fontId="46" fillId="0" borderId="162" xfId="0" applyFont="1" applyBorder="1" applyAlignment="1">
      <alignment horizontal="center" vertical="center" wrapText="1"/>
    </xf>
    <xf numFmtId="0" fontId="44" fillId="0" borderId="156" xfId="0" applyFont="1" applyBorder="1" applyAlignment="1">
      <alignment horizontal="center" vertical="center"/>
    </xf>
    <xf numFmtId="0" fontId="44" fillId="0" borderId="156" xfId="0" applyFont="1" applyBorder="1" applyAlignment="1">
      <alignment horizontal="justify" vertical="center" wrapText="1"/>
    </xf>
    <xf numFmtId="4" fontId="44" fillId="0" borderId="156" xfId="0" applyNumberFormat="1" applyFont="1" applyBorder="1" applyAlignment="1">
      <alignment horizontal="center" vertical="center" wrapText="1"/>
    </xf>
    <xf numFmtId="0" fontId="44" fillId="0" borderId="156" xfId="0" applyFont="1" applyBorder="1" applyAlignment="1">
      <alignment horizontal="center" vertical="center" wrapText="1"/>
    </xf>
    <xf numFmtId="0" fontId="45" fillId="0" borderId="156" xfId="0" applyFont="1" applyBorder="1" applyAlignment="1">
      <alignment horizontal="center" vertical="center" wrapText="1"/>
    </xf>
    <xf numFmtId="9" fontId="44" fillId="0" borderId="156" xfId="0" applyNumberFormat="1" applyFont="1" applyBorder="1" applyAlignment="1">
      <alignment horizontal="center" vertical="center" wrapText="1"/>
    </xf>
    <xf numFmtId="172" fontId="44" fillId="0" borderId="156" xfId="0" applyNumberFormat="1" applyFont="1" applyBorder="1" applyAlignment="1">
      <alignment horizontal="center" vertical="center" wrapText="1"/>
    </xf>
    <xf numFmtId="0" fontId="46" fillId="0" borderId="156" xfId="0" applyFont="1" applyBorder="1" applyAlignment="1">
      <alignment horizontal="center" vertical="center" wrapText="1"/>
    </xf>
    <xf numFmtId="4" fontId="44" fillId="0" borderId="162" xfId="0" applyNumberFormat="1" applyFont="1" applyBorder="1" applyAlignment="1">
      <alignment horizontal="center" vertical="center"/>
    </xf>
    <xf numFmtId="0" fontId="45" fillId="0" borderId="162" xfId="0" applyFont="1" applyBorder="1" applyAlignment="1">
      <alignment horizontal="center" vertical="center"/>
    </xf>
    <xf numFmtId="0" fontId="44" fillId="0" borderId="162" xfId="0" applyFont="1" applyBorder="1" applyAlignment="1">
      <alignment horizontal="center"/>
    </xf>
    <xf numFmtId="4" fontId="0" fillId="0" borderId="0" xfId="0" applyNumberFormat="1"/>
    <xf numFmtId="0" fontId="46" fillId="0" borderId="162" xfId="0" applyFont="1" applyBorder="1" applyAlignment="1">
      <alignment horizontal="center"/>
    </xf>
    <xf numFmtId="0" fontId="44" fillId="0" borderId="166" xfId="0" applyFont="1" applyBorder="1" applyAlignment="1">
      <alignment horizontal="center" vertical="center"/>
    </xf>
    <xf numFmtId="0" fontId="44" fillId="0" borderId="166" xfId="0" applyFont="1" applyBorder="1" applyAlignment="1">
      <alignment horizontal="justify" vertical="center" wrapText="1"/>
    </xf>
    <xf numFmtId="4" fontId="44" fillId="0" borderId="166" xfId="0" applyNumberFormat="1" applyFont="1" applyBorder="1" applyAlignment="1">
      <alignment horizontal="center" vertical="center"/>
    </xf>
    <xf numFmtId="0" fontId="45" fillId="0" borderId="166" xfId="0" applyFont="1" applyBorder="1" applyAlignment="1">
      <alignment horizontal="center" vertical="center"/>
    </xf>
    <xf numFmtId="9" fontId="44" fillId="0" borderId="166" xfId="0" applyNumberFormat="1" applyFont="1" applyBorder="1" applyAlignment="1">
      <alignment horizontal="center" vertical="center" wrapText="1"/>
    </xf>
    <xf numFmtId="0" fontId="44" fillId="0" borderId="166" xfId="0" applyFont="1" applyBorder="1" applyAlignment="1">
      <alignment horizontal="center" vertical="center" wrapText="1"/>
    </xf>
    <xf numFmtId="0" fontId="41" fillId="0" borderId="154" xfId="0" applyFont="1" applyBorder="1" applyAlignment="1">
      <alignment horizontal="center"/>
    </xf>
    <xf numFmtId="0" fontId="44" fillId="18" borderId="162" xfId="0" applyFont="1" applyFill="1" applyBorder="1" applyAlignment="1">
      <alignment horizontal="justify" vertical="center" wrapText="1"/>
    </xf>
    <xf numFmtId="2" fontId="44" fillId="0" borderId="162" xfId="0" applyNumberFormat="1" applyFont="1" applyBorder="1" applyAlignment="1">
      <alignment horizontal="center" vertical="center"/>
    </xf>
    <xf numFmtId="4" fontId="43" fillId="0" borderId="162" xfId="0" applyNumberFormat="1" applyFont="1" applyBorder="1" applyAlignment="1">
      <alignment horizontal="center"/>
    </xf>
    <xf numFmtId="0" fontId="46" fillId="26" borderId="163" xfId="0" applyFont="1" applyFill="1" applyBorder="1" applyAlignment="1">
      <alignment horizontal="center"/>
    </xf>
    <xf numFmtId="0" fontId="47" fillId="26" borderId="164" xfId="0" applyFont="1" applyFill="1" applyBorder="1" applyAlignment="1">
      <alignment horizontal="center"/>
    </xf>
    <xf numFmtId="1" fontId="46" fillId="26" borderId="164" xfId="0" applyNumberFormat="1" applyFont="1" applyFill="1" applyBorder="1" applyAlignment="1">
      <alignment horizontal="center"/>
    </xf>
    <xf numFmtId="172" fontId="46" fillId="26" borderId="164" xfId="0" applyNumberFormat="1" applyFont="1" applyFill="1" applyBorder="1"/>
    <xf numFmtId="0" fontId="46" fillId="26" borderId="164" xfId="0" applyFont="1" applyFill="1" applyBorder="1" applyAlignment="1">
      <alignment horizontal="center"/>
    </xf>
    <xf numFmtId="0" fontId="46" fillId="26" borderId="165" xfId="0" applyFont="1" applyFill="1" applyBorder="1" applyAlignment="1">
      <alignment horizontal="center"/>
    </xf>
    <xf numFmtId="49" fontId="50" fillId="0" borderId="0" xfId="0" applyNumberFormat="1" applyFont="1" applyAlignment="1">
      <alignment horizontal="center" vertical="center"/>
    </xf>
    <xf numFmtId="49" fontId="50" fillId="0" borderId="0" xfId="0" applyNumberFormat="1" applyFont="1" applyAlignment="1">
      <alignment horizontal="center"/>
    </xf>
    <xf numFmtId="0" fontId="50" fillId="0" borderId="0" xfId="0" applyFont="1"/>
    <xf numFmtId="172" fontId="50" fillId="0" borderId="0" xfId="0" applyNumberFormat="1" applyFont="1"/>
    <xf numFmtId="4" fontId="46" fillId="0" borderId="162" xfId="0" applyNumberFormat="1" applyFont="1" applyBorder="1" applyAlignment="1">
      <alignment horizontal="center"/>
    </xf>
    <xf numFmtId="4" fontId="46" fillId="0" borderId="166" xfId="0" applyNumberFormat="1" applyFont="1" applyBorder="1" applyAlignment="1">
      <alignment horizontal="center"/>
    </xf>
    <xf numFmtId="0" fontId="44" fillId="0" borderId="166" xfId="0" applyFont="1" applyBorder="1" applyAlignment="1">
      <alignment horizontal="center" wrapText="1"/>
    </xf>
    <xf numFmtId="0" fontId="45" fillId="0" borderId="166" xfId="0" applyFont="1" applyBorder="1" applyAlignment="1">
      <alignment horizontal="center" vertical="center" wrapText="1"/>
    </xf>
    <xf numFmtId="4" fontId="44" fillId="0" borderId="156" xfId="0" applyNumberFormat="1" applyFont="1" applyBorder="1" applyAlignment="1">
      <alignment horizontal="center" vertical="center"/>
    </xf>
    <xf numFmtId="4" fontId="46" fillId="0" borderId="156" xfId="0" applyNumberFormat="1" applyFont="1" applyBorder="1" applyAlignment="1">
      <alignment horizontal="center"/>
    </xf>
    <xf numFmtId="4" fontId="43" fillId="0" borderId="166" xfId="0" applyNumberFormat="1" applyFont="1" applyBorder="1" applyAlignment="1">
      <alignment horizontal="center"/>
    </xf>
    <xf numFmtId="0" fontId="46" fillId="26" borderId="158" xfId="0" applyFont="1" applyFill="1" applyBorder="1" applyAlignment="1">
      <alignment horizontal="center"/>
    </xf>
    <xf numFmtId="0" fontId="47" fillId="26" borderId="159" xfId="0" applyFont="1" applyFill="1" applyBorder="1" applyAlignment="1">
      <alignment horizontal="center"/>
    </xf>
    <xf numFmtId="1" fontId="46" fillId="26" borderId="159" xfId="0" applyNumberFormat="1" applyFont="1" applyFill="1" applyBorder="1" applyAlignment="1">
      <alignment horizontal="center"/>
    </xf>
    <xf numFmtId="172" fontId="46" fillId="26" borderId="159" xfId="0" applyNumberFormat="1" applyFont="1" applyFill="1" applyBorder="1"/>
    <xf numFmtId="0" fontId="46" fillId="26" borderId="159" xfId="0" applyFont="1" applyFill="1" applyBorder="1" applyAlignment="1">
      <alignment horizontal="center"/>
    </xf>
    <xf numFmtId="0" fontId="46" fillId="26" borderId="160" xfId="0" applyFont="1" applyFill="1" applyBorder="1" applyAlignment="1">
      <alignment horizontal="center"/>
    </xf>
    <xf numFmtId="49" fontId="48" fillId="0" borderId="51" xfId="0" applyNumberFormat="1" applyFont="1" applyBorder="1" applyAlignment="1">
      <alignment horizontal="center" vertical="center"/>
    </xf>
    <xf numFmtId="166" fontId="6" fillId="27" borderId="42" xfId="0" applyNumberFormat="1" applyFont="1" applyFill="1" applyBorder="1" applyAlignment="1">
      <alignment horizontal="center" vertical="center"/>
    </xf>
    <xf numFmtId="166" fontId="13" fillId="28" borderId="33" xfId="3" applyFill="1" applyBorder="1" applyAlignment="1" applyProtection="1">
      <alignment horizontal="center" vertical="center"/>
    </xf>
    <xf numFmtId="166" fontId="13" fillId="27" borderId="42" xfId="3" applyFill="1" applyBorder="1" applyAlignment="1" applyProtection="1">
      <alignment horizontal="center" vertical="center"/>
    </xf>
    <xf numFmtId="0" fontId="2" fillId="29" borderId="34" xfId="0" applyFont="1" applyFill="1" applyBorder="1" applyAlignment="1">
      <alignment horizontal="center" vertical="center"/>
    </xf>
    <xf numFmtId="0" fontId="6" fillId="14" borderId="33" xfId="0" applyFont="1" applyFill="1" applyBorder="1" applyAlignment="1">
      <alignment horizontal="left" vertical="top" wrapText="1"/>
    </xf>
    <xf numFmtId="172" fontId="6" fillId="14" borderId="34" xfId="0" applyNumberFormat="1" applyFont="1" applyFill="1" applyBorder="1" applyAlignment="1" applyProtection="1">
      <alignment horizontal="center" vertical="top" wrapText="1"/>
      <protection locked="0"/>
    </xf>
    <xf numFmtId="0" fontId="6" fillId="14" borderId="34" xfId="4" applyNumberFormat="1" applyFont="1" applyFill="1" applyBorder="1" applyAlignment="1" applyProtection="1">
      <alignment horizontal="center" vertical="top" wrapText="1"/>
      <protection locked="0"/>
    </xf>
    <xf numFmtId="172" fontId="6" fillId="29" borderId="34" xfId="3" applyNumberFormat="1" applyFont="1" applyFill="1" applyBorder="1" applyAlignment="1" applyProtection="1">
      <alignment horizontal="center" vertical="top" wrapText="1"/>
    </xf>
    <xf numFmtId="166" fontId="2" fillId="27" borderId="42" xfId="0" applyNumberFormat="1" applyFont="1" applyFill="1" applyBorder="1" applyAlignment="1">
      <alignment horizontal="center" vertical="center"/>
    </xf>
    <xf numFmtId="164" fontId="0" fillId="0" borderId="0" xfId="0" applyNumberFormat="1"/>
    <xf numFmtId="165" fontId="4" fillId="0" borderId="0" xfId="0" applyNumberFormat="1" applyFont="1" applyBorder="1" applyAlignment="1" applyProtection="1">
      <alignment horizontal="center"/>
      <protection locked="0"/>
    </xf>
    <xf numFmtId="0" fontId="2" fillId="0" borderId="0" xfId="0" applyFont="1" applyBorder="1" applyProtection="1">
      <protection locked="0"/>
    </xf>
    <xf numFmtId="0" fontId="2" fillId="0" borderId="0" xfId="0" applyFont="1" applyAlignment="1" applyProtection="1">
      <alignment horizontal="center"/>
      <protection locked="0"/>
    </xf>
    <xf numFmtId="0" fontId="3" fillId="0" borderId="0" xfId="0" applyFont="1" applyAlignment="1" applyProtection="1">
      <alignment horizontal="center"/>
      <protection locked="0"/>
    </xf>
    <xf numFmtId="0" fontId="31" fillId="0" borderId="0" xfId="0" applyFont="1" applyBorder="1" applyAlignment="1" applyProtection="1">
      <alignment horizontal="center" vertical="center" wrapText="1"/>
      <protection locked="0"/>
    </xf>
    <xf numFmtId="0" fontId="26" fillId="0" borderId="0" xfId="0" applyFont="1" applyBorder="1" applyAlignment="1" applyProtection="1">
      <alignment horizontal="center" vertical="center" wrapText="1"/>
      <protection locked="0"/>
    </xf>
    <xf numFmtId="0" fontId="4" fillId="0" borderId="0" xfId="0" applyFont="1" applyBorder="1" applyAlignment="1">
      <alignment horizontal="center"/>
    </xf>
    <xf numFmtId="3" fontId="2" fillId="0" borderId="114" xfId="0" applyNumberFormat="1" applyFont="1" applyFill="1" applyBorder="1" applyAlignment="1">
      <alignment horizontal="center" vertical="center"/>
    </xf>
    <xf numFmtId="3" fontId="2" fillId="0" borderId="115" xfId="0" applyNumberFormat="1" applyFont="1" applyFill="1" applyBorder="1" applyAlignment="1">
      <alignment horizontal="center" vertical="center"/>
    </xf>
    <xf numFmtId="3" fontId="2" fillId="0" borderId="111" xfId="0" applyNumberFormat="1" applyFont="1" applyBorder="1" applyAlignment="1">
      <alignment horizontal="center" vertical="center"/>
    </xf>
    <xf numFmtId="3" fontId="2" fillId="0" borderId="112" xfId="0" applyNumberFormat="1" applyFont="1" applyBorder="1" applyAlignment="1">
      <alignment horizontal="center" vertical="center"/>
    </xf>
    <xf numFmtId="3" fontId="2" fillId="3" borderId="111" xfId="0" applyNumberFormat="1" applyFont="1" applyFill="1" applyBorder="1" applyAlignment="1">
      <alignment horizontal="left" vertical="center" wrapText="1"/>
    </xf>
    <xf numFmtId="3" fontId="2" fillId="3" borderId="27" xfId="0" applyNumberFormat="1" applyFont="1" applyFill="1" applyBorder="1" applyAlignment="1">
      <alignment horizontal="left" vertical="center" wrapText="1"/>
    </xf>
    <xf numFmtId="3" fontId="2" fillId="3" borderId="113" xfId="0" applyNumberFormat="1" applyFont="1" applyFill="1" applyBorder="1" applyAlignment="1">
      <alignment horizontal="center" vertical="center"/>
    </xf>
    <xf numFmtId="3" fontId="2" fillId="3" borderId="28" xfId="0" applyNumberFormat="1" applyFont="1" applyFill="1" applyBorder="1" applyAlignment="1">
      <alignment horizontal="center" vertical="center"/>
    </xf>
    <xf numFmtId="3" fontId="2" fillId="0" borderId="113" xfId="0" applyNumberFormat="1" applyFont="1" applyFill="1" applyBorder="1" applyAlignment="1">
      <alignment horizontal="center" vertical="center"/>
    </xf>
    <xf numFmtId="3" fontId="2" fillId="0" borderId="28" xfId="0" applyNumberFormat="1" applyFont="1" applyFill="1" applyBorder="1" applyAlignment="1">
      <alignment horizontal="center" vertical="center"/>
    </xf>
    <xf numFmtId="3" fontId="2" fillId="0" borderId="116" xfId="0" applyNumberFormat="1" applyFont="1" applyBorder="1" applyAlignment="1">
      <alignment horizontal="center" vertical="center"/>
    </xf>
    <xf numFmtId="3" fontId="2" fillId="0" borderId="117" xfId="0" applyNumberFormat="1" applyFont="1" applyBorder="1" applyAlignment="1">
      <alignment horizontal="center" vertical="center"/>
    </xf>
    <xf numFmtId="3" fontId="2" fillId="3" borderId="27" xfId="0" applyNumberFormat="1" applyFont="1" applyFill="1" applyBorder="1" applyAlignment="1">
      <alignment horizontal="center" vertical="center"/>
    </xf>
    <xf numFmtId="3" fontId="6" fillId="0" borderId="11" xfId="0" applyNumberFormat="1" applyFont="1" applyBorder="1" applyAlignment="1">
      <alignment horizontal="left" vertical="top" wrapText="1"/>
    </xf>
    <xf numFmtId="3" fontId="2" fillId="3" borderId="111" xfId="0" applyNumberFormat="1" applyFont="1" applyFill="1" applyBorder="1" applyAlignment="1">
      <alignment horizontal="center" vertical="center"/>
    </xf>
    <xf numFmtId="3" fontId="2" fillId="3" borderId="112" xfId="0" applyNumberFormat="1" applyFont="1" applyFill="1" applyBorder="1" applyAlignment="1">
      <alignment horizontal="center" vertical="center"/>
    </xf>
    <xf numFmtId="3" fontId="2" fillId="0" borderId="27" xfId="0" applyNumberFormat="1" applyFont="1" applyBorder="1" applyAlignment="1">
      <alignment horizontal="center" vertical="center"/>
    </xf>
    <xf numFmtId="3" fontId="2" fillId="0" borderId="113" xfId="0" applyNumberFormat="1" applyFont="1" applyBorder="1" applyAlignment="1">
      <alignment horizontal="center" vertical="center"/>
    </xf>
    <xf numFmtId="3" fontId="2" fillId="0" borderId="28" xfId="0" applyNumberFormat="1" applyFont="1" applyBorder="1" applyAlignment="1">
      <alignment horizontal="center" vertical="center"/>
    </xf>
    <xf numFmtId="0" fontId="6" fillId="0" borderId="59" xfId="0" applyFont="1" applyBorder="1" applyAlignment="1" applyProtection="1">
      <alignment horizontal="left" vertical="top" wrapText="1"/>
      <protection locked="0"/>
    </xf>
    <xf numFmtId="0" fontId="6" fillId="0" borderId="82" xfId="0" applyFont="1" applyBorder="1" applyAlignment="1" applyProtection="1">
      <alignment horizontal="left" vertical="top" wrapText="1"/>
      <protection locked="0"/>
    </xf>
    <xf numFmtId="0" fontId="6" fillId="0" borderId="35" xfId="0" applyFont="1" applyBorder="1" applyAlignment="1" applyProtection="1">
      <alignment horizontal="left" vertical="top" wrapText="1"/>
      <protection locked="0"/>
    </xf>
    <xf numFmtId="3" fontId="6" fillId="0" borderId="91" xfId="0" applyNumberFormat="1" applyFont="1" applyBorder="1" applyAlignment="1" applyProtection="1">
      <alignment horizontal="left" vertical="top" wrapText="1"/>
      <protection locked="0"/>
    </xf>
    <xf numFmtId="3" fontId="6" fillId="0" borderId="104" xfId="0" applyNumberFormat="1" applyFont="1" applyBorder="1" applyAlignment="1" applyProtection="1">
      <alignment horizontal="left" vertical="top" wrapText="1"/>
      <protection locked="0"/>
    </xf>
    <xf numFmtId="3" fontId="6" fillId="0" borderId="72" xfId="0" applyNumberFormat="1" applyFont="1" applyBorder="1" applyAlignment="1" applyProtection="1">
      <alignment horizontal="left" vertical="top" wrapText="1"/>
      <protection locked="0"/>
    </xf>
    <xf numFmtId="3" fontId="1" fillId="0" borderId="22" xfId="0" applyNumberFormat="1" applyFont="1" applyBorder="1" applyAlignment="1" applyProtection="1">
      <alignment horizontal="left" vertical="top" wrapText="1"/>
      <protection locked="0"/>
    </xf>
    <xf numFmtId="3" fontId="32" fillId="0" borderId="20" xfId="0" applyNumberFormat="1" applyFont="1" applyBorder="1" applyAlignment="1" applyProtection="1">
      <alignment horizontal="left" vertical="top" wrapText="1"/>
      <protection locked="0"/>
    </xf>
    <xf numFmtId="3" fontId="32" fillId="0" borderId="59" xfId="0" applyNumberFormat="1" applyFont="1" applyBorder="1" applyAlignment="1" applyProtection="1">
      <alignment horizontal="left" vertical="top" wrapText="1"/>
      <protection locked="0"/>
    </xf>
    <xf numFmtId="3" fontId="32" fillId="0" borderId="82" xfId="0" applyNumberFormat="1" applyFont="1" applyBorder="1" applyAlignment="1" applyProtection="1">
      <alignment horizontal="left" vertical="top" wrapText="1"/>
      <protection locked="0"/>
    </xf>
    <xf numFmtId="3" fontId="32" fillId="0" borderId="35" xfId="0" applyNumberFormat="1" applyFont="1" applyBorder="1" applyAlignment="1" applyProtection="1">
      <alignment horizontal="left" vertical="top" wrapText="1"/>
      <protection locked="0"/>
    </xf>
    <xf numFmtId="0" fontId="32" fillId="0" borderId="59" xfId="0" applyFont="1" applyBorder="1" applyAlignment="1" applyProtection="1">
      <alignment horizontal="left" vertical="top" wrapText="1"/>
      <protection locked="0"/>
    </xf>
    <xf numFmtId="0" fontId="32" fillId="0" borderId="82" xfId="0" applyFont="1" applyBorder="1" applyAlignment="1" applyProtection="1">
      <alignment horizontal="left" vertical="top" wrapText="1"/>
      <protection locked="0"/>
    </xf>
    <xf numFmtId="0" fontId="32" fillId="0" borderId="35" xfId="0" applyFont="1" applyBorder="1" applyAlignment="1" applyProtection="1">
      <alignment horizontal="left" vertical="top" wrapText="1"/>
      <protection locked="0"/>
    </xf>
    <xf numFmtId="3" fontId="6" fillId="0" borderId="32" xfId="0" applyNumberFormat="1" applyFont="1" applyBorder="1" applyAlignment="1">
      <alignment horizontal="left" vertical="top" wrapText="1"/>
    </xf>
    <xf numFmtId="3" fontId="6" fillId="0" borderId="13" xfId="0" applyNumberFormat="1" applyFont="1" applyBorder="1" applyAlignment="1">
      <alignment horizontal="left" vertical="top" wrapText="1"/>
    </xf>
    <xf numFmtId="3" fontId="2" fillId="0" borderId="4" xfId="0" applyNumberFormat="1" applyFont="1" applyFill="1" applyBorder="1" applyAlignment="1">
      <alignment horizontal="left" vertical="top" wrapText="1"/>
    </xf>
    <xf numFmtId="3" fontId="2" fillId="3" borderId="6" xfId="0" applyNumberFormat="1" applyFont="1" applyFill="1" applyBorder="1" applyAlignment="1">
      <alignment horizontal="center" vertical="center"/>
    </xf>
    <xf numFmtId="3" fontId="2" fillId="3" borderId="10" xfId="0" applyNumberFormat="1" applyFont="1" applyFill="1" applyBorder="1" applyAlignment="1">
      <alignment horizontal="center" vertical="center"/>
    </xf>
    <xf numFmtId="3" fontId="2" fillId="3" borderId="7" xfId="0" applyNumberFormat="1" applyFont="1" applyFill="1" applyBorder="1" applyAlignment="1">
      <alignment horizontal="center" vertical="center" wrapText="1"/>
    </xf>
    <xf numFmtId="3" fontId="6" fillId="0" borderId="108" xfId="0" applyNumberFormat="1" applyFont="1" applyBorder="1" applyAlignment="1">
      <alignment horizontal="left" vertical="top" wrapText="1"/>
    </xf>
    <xf numFmtId="3" fontId="6" fillId="0" borderId="109" xfId="0" applyNumberFormat="1" applyFont="1" applyBorder="1"/>
    <xf numFmtId="3" fontId="6" fillId="0" borderId="110" xfId="0" applyNumberFormat="1" applyFont="1" applyBorder="1"/>
    <xf numFmtId="3" fontId="6" fillId="18" borderId="86" xfId="0" applyNumberFormat="1" applyFont="1" applyFill="1" applyBorder="1" applyAlignment="1">
      <alignment horizontal="left" vertical="top" wrapText="1"/>
    </xf>
    <xf numFmtId="3" fontId="6" fillId="18" borderId="37" xfId="0" applyNumberFormat="1" applyFont="1" applyFill="1" applyBorder="1" applyAlignment="1">
      <alignment horizontal="left" vertical="top" wrapText="1"/>
    </xf>
    <xf numFmtId="3" fontId="33" fillId="18" borderId="59" xfId="0" applyNumberFormat="1" applyFont="1" applyFill="1" applyBorder="1" applyAlignment="1" applyProtection="1">
      <alignment horizontal="left" vertical="top" wrapText="1"/>
      <protection locked="0"/>
    </xf>
    <xf numFmtId="3" fontId="33" fillId="18" borderId="82" xfId="0" applyNumberFormat="1" applyFont="1" applyFill="1" applyBorder="1" applyAlignment="1" applyProtection="1">
      <alignment horizontal="left" vertical="top" wrapText="1"/>
      <protection locked="0"/>
    </xf>
    <xf numFmtId="3" fontId="33" fillId="18" borderId="35" xfId="0" applyNumberFormat="1" applyFont="1" applyFill="1" applyBorder="1" applyAlignment="1" applyProtection="1">
      <alignment horizontal="left" vertical="top" wrapText="1"/>
      <protection locked="0"/>
    </xf>
    <xf numFmtId="3" fontId="1" fillId="0" borderId="63" xfId="0" applyNumberFormat="1" applyFont="1" applyBorder="1" applyAlignment="1" applyProtection="1">
      <alignment horizontal="left" vertical="top" wrapText="1"/>
      <protection locked="0"/>
    </xf>
    <xf numFmtId="3" fontId="32" fillId="0" borderId="20" xfId="0" applyNumberFormat="1" applyFont="1" applyFill="1" applyBorder="1" applyAlignment="1" applyProtection="1">
      <alignment horizontal="left" vertical="top" wrapText="1"/>
      <protection locked="0"/>
    </xf>
    <xf numFmtId="3" fontId="1" fillId="0" borderId="91" xfId="0" applyNumberFormat="1" applyFont="1" applyBorder="1" applyAlignment="1" applyProtection="1">
      <alignment horizontal="left" vertical="top" wrapText="1"/>
      <protection locked="0"/>
    </xf>
    <xf numFmtId="3" fontId="6" fillId="0" borderId="86" xfId="0" applyNumberFormat="1" applyFont="1" applyBorder="1" applyAlignment="1">
      <alignment horizontal="left" vertical="top" wrapText="1"/>
    </xf>
    <xf numFmtId="3" fontId="6" fillId="0" borderId="37" xfId="0" applyNumberFormat="1" applyFont="1" applyBorder="1" applyAlignment="1">
      <alignment horizontal="left" vertical="top" wrapText="1"/>
    </xf>
    <xf numFmtId="3" fontId="32" fillId="0" borderId="92" xfId="0" applyNumberFormat="1" applyFont="1" applyBorder="1" applyAlignment="1" applyProtection="1">
      <alignment horizontal="left" vertical="top" wrapText="1"/>
      <protection locked="0"/>
    </xf>
    <xf numFmtId="3" fontId="32" fillId="0" borderId="30" xfId="0" applyNumberFormat="1" applyFont="1" applyBorder="1" applyAlignment="1" applyProtection="1">
      <alignment horizontal="left" vertical="top" wrapText="1"/>
      <protection locked="0"/>
    </xf>
    <xf numFmtId="3" fontId="32" fillId="0" borderId="39" xfId="0" applyNumberFormat="1" applyFont="1" applyBorder="1" applyAlignment="1" applyProtection="1">
      <alignment horizontal="left" vertical="top" wrapText="1"/>
      <protection locked="0"/>
    </xf>
    <xf numFmtId="3" fontId="1" fillId="0" borderId="79" xfId="0" applyNumberFormat="1" applyFont="1" applyBorder="1" applyAlignment="1" applyProtection="1">
      <alignment horizontal="left" vertical="top" wrapText="1"/>
      <protection locked="0"/>
    </xf>
    <xf numFmtId="3" fontId="1" fillId="0" borderId="118" xfId="0" applyNumberFormat="1" applyFont="1" applyBorder="1" applyAlignment="1" applyProtection="1">
      <alignment horizontal="left" vertical="top" wrapText="1"/>
      <protection locked="0"/>
    </xf>
    <xf numFmtId="3" fontId="1" fillId="0" borderId="47" xfId="0" applyNumberFormat="1" applyFont="1" applyBorder="1" applyAlignment="1" applyProtection="1">
      <alignment horizontal="left" vertical="top" wrapText="1"/>
      <protection locked="0"/>
    </xf>
    <xf numFmtId="3" fontId="32" fillId="18" borderId="59" xfId="0" applyNumberFormat="1" applyFont="1" applyFill="1" applyBorder="1" applyAlignment="1" applyProtection="1">
      <alignment horizontal="left" vertical="top" wrapText="1"/>
      <protection locked="0"/>
    </xf>
    <xf numFmtId="3" fontId="32" fillId="18" borderId="82" xfId="0" applyNumberFormat="1" applyFont="1" applyFill="1" applyBorder="1" applyAlignment="1" applyProtection="1">
      <alignment horizontal="left" vertical="top" wrapText="1"/>
      <protection locked="0"/>
    </xf>
    <xf numFmtId="3" fontId="32" fillId="18" borderId="35" xfId="0" applyNumberFormat="1" applyFont="1" applyFill="1" applyBorder="1" applyAlignment="1" applyProtection="1">
      <alignment horizontal="left" vertical="top" wrapText="1"/>
      <protection locked="0"/>
    </xf>
    <xf numFmtId="3" fontId="6" fillId="0" borderId="109" xfId="0" applyNumberFormat="1" applyFont="1" applyBorder="1" applyAlignment="1">
      <alignment vertical="top"/>
    </xf>
    <xf numFmtId="3" fontId="6" fillId="0" borderId="110" xfId="0" applyNumberFormat="1" applyFont="1" applyBorder="1" applyAlignment="1">
      <alignment vertical="top"/>
    </xf>
    <xf numFmtId="3" fontId="0" fillId="0" borderId="92" xfId="0" applyNumberFormat="1" applyBorder="1" applyAlignment="1" applyProtection="1">
      <alignment horizontal="left" vertical="top" wrapText="1"/>
      <protection locked="0"/>
    </xf>
    <xf numFmtId="3" fontId="0" fillId="0" borderId="30" xfId="0" applyNumberFormat="1" applyBorder="1" applyAlignment="1" applyProtection="1">
      <alignment horizontal="left" vertical="top" wrapText="1"/>
      <protection locked="0"/>
    </xf>
    <xf numFmtId="3" fontId="0" fillId="0" borderId="39" xfId="0" applyNumberFormat="1" applyBorder="1" applyAlignment="1" applyProtection="1">
      <alignment horizontal="left" vertical="top" wrapText="1"/>
      <protection locked="0"/>
    </xf>
    <xf numFmtId="3" fontId="1" fillId="0" borderId="119" xfId="0" applyNumberFormat="1" applyFont="1" applyBorder="1" applyAlignment="1" applyProtection="1">
      <alignment horizontal="left" vertical="top" wrapText="1"/>
      <protection locked="0"/>
    </xf>
    <xf numFmtId="3" fontId="0" fillId="0" borderId="120" xfId="0" applyNumberFormat="1" applyBorder="1" applyAlignment="1" applyProtection="1">
      <alignment horizontal="left" vertical="top" wrapText="1"/>
      <protection locked="0"/>
    </xf>
    <xf numFmtId="3" fontId="0" fillId="0" borderId="20" xfId="0" applyNumberFormat="1" applyBorder="1" applyAlignment="1" applyProtection="1">
      <alignment horizontal="left" vertical="top" wrapText="1"/>
      <protection locked="0"/>
    </xf>
    <xf numFmtId="3" fontId="1" fillId="0" borderId="20" xfId="0" applyNumberFormat="1" applyFont="1" applyBorder="1" applyAlignment="1" applyProtection="1">
      <alignment horizontal="left" vertical="top" wrapText="1"/>
      <protection locked="0"/>
    </xf>
    <xf numFmtId="3" fontId="6" fillId="0" borderId="20" xfId="0" applyNumberFormat="1" applyFont="1" applyBorder="1" applyAlignment="1" applyProtection="1">
      <alignment horizontal="left" vertical="top" wrapText="1"/>
      <protection locked="0"/>
    </xf>
    <xf numFmtId="0" fontId="32" fillId="0" borderId="59" xfId="0" applyFont="1" applyFill="1" applyBorder="1" applyAlignment="1" applyProtection="1">
      <alignment horizontal="left" vertical="top" wrapText="1"/>
      <protection locked="0"/>
    </xf>
    <xf numFmtId="0" fontId="32" fillId="0" borderId="82" xfId="0" applyFont="1" applyFill="1" applyBorder="1" applyAlignment="1" applyProtection="1">
      <alignment horizontal="left" vertical="top" wrapText="1"/>
      <protection locked="0"/>
    </xf>
    <xf numFmtId="0" fontId="32" fillId="0" borderId="35" xfId="0" applyFont="1" applyFill="1" applyBorder="1" applyAlignment="1" applyProtection="1">
      <alignment horizontal="left" vertical="top" wrapText="1"/>
      <protection locked="0"/>
    </xf>
    <xf numFmtId="3" fontId="6" fillId="0" borderId="109" xfId="0" applyNumberFormat="1" applyFont="1" applyBorder="1" applyAlignment="1">
      <alignment horizontal="left" vertical="top" wrapText="1"/>
    </xf>
    <xf numFmtId="3" fontId="6" fillId="0" borderId="110" xfId="0" applyNumberFormat="1" applyFont="1" applyBorder="1" applyAlignment="1">
      <alignment horizontal="left" vertical="top" wrapText="1"/>
    </xf>
    <xf numFmtId="0" fontId="6" fillId="0" borderId="91" xfId="0" applyFont="1" applyBorder="1" applyAlignment="1" applyProtection="1">
      <alignment horizontal="left" vertical="top" wrapText="1"/>
      <protection locked="0"/>
    </xf>
    <xf numFmtId="0" fontId="6" fillId="0" borderId="104" xfId="0" applyFont="1" applyBorder="1" applyAlignment="1" applyProtection="1">
      <alignment horizontal="left" vertical="top" wrapText="1"/>
      <protection locked="0"/>
    </xf>
    <xf numFmtId="0" fontId="6" fillId="0" borderId="72" xfId="0" applyFont="1" applyBorder="1" applyAlignment="1" applyProtection="1">
      <alignment horizontal="left" vertical="top" wrapText="1"/>
      <protection locked="0"/>
    </xf>
    <xf numFmtId="0" fontId="6" fillId="0" borderId="11" xfId="0" applyFont="1" applyBorder="1" applyAlignment="1">
      <alignment horizontal="left" vertical="top" wrapText="1"/>
    </xf>
    <xf numFmtId="0" fontId="1" fillId="0" borderId="59" xfId="0" applyFont="1" applyBorder="1" applyAlignment="1" applyProtection="1">
      <alignment horizontal="left" vertical="top" wrapText="1"/>
      <protection locked="0"/>
    </xf>
    <xf numFmtId="0" fontId="6" fillId="0" borderId="130" xfId="0" applyFont="1" applyBorder="1" applyAlignment="1">
      <alignment horizontal="left" vertical="top" wrapText="1"/>
    </xf>
    <xf numFmtId="0" fontId="6" fillId="0" borderId="109" xfId="0" applyFont="1" applyBorder="1" applyAlignment="1">
      <alignment horizontal="left" vertical="top" wrapText="1"/>
    </xf>
    <xf numFmtId="0" fontId="6" fillId="0" borderId="110" xfId="0" applyFont="1" applyBorder="1" applyAlignment="1">
      <alignment horizontal="left" vertical="top" wrapText="1"/>
    </xf>
    <xf numFmtId="3" fontId="2" fillId="0" borderId="114" xfId="0" applyNumberFormat="1" applyFont="1" applyFill="1" applyBorder="1" applyAlignment="1">
      <alignment horizontal="center"/>
    </xf>
    <xf numFmtId="3" fontId="2" fillId="0" borderId="115" xfId="0" applyNumberFormat="1" applyFont="1" applyFill="1" applyBorder="1" applyAlignment="1">
      <alignment horizontal="center"/>
    </xf>
    <xf numFmtId="3" fontId="2" fillId="3" borderId="128" xfId="0" applyNumberFormat="1" applyFont="1" applyFill="1" applyBorder="1" applyAlignment="1">
      <alignment horizontal="center" vertical="center" wrapText="1"/>
    </xf>
    <xf numFmtId="3" fontId="2" fillId="3" borderId="129" xfId="0" applyNumberFormat="1" applyFont="1" applyFill="1" applyBorder="1" applyAlignment="1">
      <alignment horizontal="center" vertical="center" wrapText="1"/>
    </xf>
    <xf numFmtId="3" fontId="2" fillId="3" borderId="111" xfId="0" applyNumberFormat="1" applyFont="1" applyFill="1" applyBorder="1" applyAlignment="1">
      <alignment horizontal="center" vertical="center" wrapText="1"/>
    </xf>
    <xf numFmtId="3" fontId="2" fillId="3" borderId="112" xfId="0" applyNumberFormat="1" applyFont="1" applyFill="1" applyBorder="1" applyAlignment="1">
      <alignment horizontal="center" vertical="center" wrapText="1"/>
    </xf>
    <xf numFmtId="3" fontId="2" fillId="0" borderId="114" xfId="0" applyNumberFormat="1" applyFont="1" applyBorder="1" applyAlignment="1">
      <alignment horizontal="center" vertical="top"/>
    </xf>
    <xf numFmtId="3" fontId="2" fillId="0" borderId="126" xfId="0" applyNumberFormat="1" applyFont="1" applyBorder="1" applyAlignment="1">
      <alignment horizontal="center" vertical="top"/>
    </xf>
    <xf numFmtId="3" fontId="2" fillId="3" borderId="125" xfId="0" applyNumberFormat="1" applyFont="1" applyFill="1" applyBorder="1" applyAlignment="1">
      <alignment horizontal="center"/>
    </xf>
    <xf numFmtId="3" fontId="2" fillId="3" borderId="117" xfId="0" applyNumberFormat="1" applyFont="1" applyFill="1" applyBorder="1" applyAlignment="1">
      <alignment horizontal="center"/>
    </xf>
    <xf numFmtId="3" fontId="2" fillId="3" borderId="114" xfId="0" applyNumberFormat="1" applyFont="1" applyFill="1" applyBorder="1" applyAlignment="1">
      <alignment horizontal="center"/>
    </xf>
    <xf numFmtId="3" fontId="2" fillId="3" borderId="126" xfId="0" applyNumberFormat="1" applyFont="1" applyFill="1" applyBorder="1" applyAlignment="1">
      <alignment horizontal="center"/>
    </xf>
    <xf numFmtId="3" fontId="2" fillId="3" borderId="121" xfId="0" applyNumberFormat="1" applyFont="1" applyFill="1" applyBorder="1" applyAlignment="1">
      <alignment horizontal="center" vertical="center"/>
    </xf>
    <xf numFmtId="3" fontId="2" fillId="3" borderId="122" xfId="0" applyNumberFormat="1" applyFont="1" applyFill="1" applyBorder="1" applyAlignment="1">
      <alignment horizontal="center" vertical="center"/>
    </xf>
    <xf numFmtId="3" fontId="2" fillId="3" borderId="123" xfId="0" applyNumberFormat="1" applyFont="1" applyFill="1" applyBorder="1" applyAlignment="1">
      <alignment horizontal="center" vertical="center"/>
    </xf>
    <xf numFmtId="3" fontId="2" fillId="3" borderId="124" xfId="0" applyNumberFormat="1" applyFont="1" applyFill="1" applyBorder="1" applyAlignment="1">
      <alignment horizontal="center" vertical="center"/>
    </xf>
    <xf numFmtId="3" fontId="2" fillId="0" borderId="125" xfId="0" applyNumberFormat="1" applyFont="1" applyBorder="1" applyAlignment="1">
      <alignment horizontal="center"/>
    </xf>
    <xf numFmtId="3" fontId="2" fillId="0" borderId="117" xfId="0" applyNumberFormat="1" applyFont="1" applyBorder="1" applyAlignment="1">
      <alignment horizontal="center"/>
    </xf>
    <xf numFmtId="3" fontId="2" fillId="0" borderId="126" xfId="0" applyNumberFormat="1" applyFont="1" applyFill="1" applyBorder="1" applyAlignment="1">
      <alignment horizontal="center"/>
    </xf>
    <xf numFmtId="3" fontId="2" fillId="0" borderId="125" xfId="0" applyNumberFormat="1" applyFont="1" applyBorder="1" applyAlignment="1">
      <alignment horizontal="center" vertical="top"/>
    </xf>
    <xf numFmtId="3" fontId="2" fillId="0" borderId="127" xfId="0" applyNumberFormat="1" applyFont="1" applyBorder="1" applyAlignment="1">
      <alignment horizontal="center" vertical="top"/>
    </xf>
    <xf numFmtId="0" fontId="7" fillId="0" borderId="132" xfId="0" applyFont="1" applyFill="1" applyBorder="1" applyAlignment="1" applyProtection="1">
      <alignment horizontal="left" vertical="center"/>
    </xf>
    <xf numFmtId="0" fontId="9" fillId="0" borderId="4" xfId="0" applyFont="1" applyFill="1" applyBorder="1" applyAlignment="1" applyProtection="1">
      <alignment horizontal="center"/>
    </xf>
    <xf numFmtId="0" fontId="2" fillId="3" borderId="8" xfId="0" applyFont="1" applyFill="1" applyBorder="1" applyAlignment="1" applyProtection="1">
      <alignment horizontal="right"/>
    </xf>
    <xf numFmtId="0" fontId="2" fillId="5" borderId="133" xfId="0" applyFont="1" applyFill="1" applyBorder="1" applyAlignment="1" applyProtection="1">
      <alignment horizontal="center" vertical="center" wrapText="1"/>
    </xf>
    <xf numFmtId="0" fontId="2" fillId="5" borderId="134" xfId="0" applyFont="1" applyFill="1" applyBorder="1" applyAlignment="1" applyProtection="1">
      <alignment horizontal="center" vertical="top" wrapText="1"/>
    </xf>
    <xf numFmtId="0" fontId="2" fillId="5" borderId="135" xfId="0" applyFont="1" applyFill="1" applyBorder="1" applyAlignment="1" applyProtection="1">
      <alignment horizontal="center" vertical="top" wrapText="1"/>
    </xf>
    <xf numFmtId="0" fontId="2" fillId="5" borderId="136" xfId="0" applyFont="1" applyFill="1" applyBorder="1" applyAlignment="1" applyProtection="1">
      <alignment horizontal="center" vertical="top" wrapText="1"/>
    </xf>
    <xf numFmtId="0" fontId="2" fillId="20" borderId="111" xfId="0" applyFont="1" applyFill="1" applyBorder="1" applyAlignment="1" applyProtection="1">
      <alignment horizontal="center" vertical="center" wrapText="1"/>
    </xf>
    <xf numFmtId="0" fontId="2" fillId="20" borderId="27" xfId="0" applyFont="1" applyFill="1" applyBorder="1" applyAlignment="1" applyProtection="1">
      <alignment horizontal="center" vertical="center" wrapText="1"/>
    </xf>
    <xf numFmtId="0" fontId="2" fillId="20" borderId="28" xfId="0" applyFont="1" applyFill="1" applyBorder="1" applyAlignment="1" applyProtection="1">
      <alignment horizontal="center" vertical="center" wrapText="1"/>
    </xf>
    <xf numFmtId="0" fontId="9" fillId="0" borderId="137" xfId="0" applyFont="1" applyBorder="1" applyAlignment="1" applyProtection="1">
      <alignment horizontal="center"/>
    </xf>
    <xf numFmtId="9" fontId="2" fillId="0" borderId="131" xfId="2" applyNumberFormat="1" applyFont="1" applyFill="1" applyBorder="1" applyAlignment="1" applyProtection="1">
      <alignment horizontal="center" vertical="center"/>
    </xf>
    <xf numFmtId="9" fontId="2" fillId="0" borderId="106" xfId="2" applyNumberFormat="1" applyFont="1" applyFill="1" applyBorder="1" applyAlignment="1" applyProtection="1">
      <alignment horizontal="center" vertical="center"/>
    </xf>
    <xf numFmtId="0" fontId="2" fillId="20" borderId="134" xfId="0" applyFont="1" applyFill="1" applyBorder="1" applyAlignment="1" applyProtection="1">
      <alignment horizontal="center" vertical="top" wrapText="1"/>
    </xf>
    <xf numFmtId="0" fontId="2" fillId="20" borderId="135" xfId="0" applyFont="1" applyFill="1" applyBorder="1" applyAlignment="1" applyProtection="1">
      <alignment horizontal="center" vertical="top" wrapText="1"/>
    </xf>
    <xf numFmtId="0" fontId="2" fillId="20" borderId="136" xfId="0" applyFont="1" applyFill="1" applyBorder="1" applyAlignment="1" applyProtection="1">
      <alignment horizontal="center" vertical="top" wrapText="1"/>
    </xf>
    <xf numFmtId="0" fontId="2" fillId="4" borderId="8" xfId="0" applyFont="1" applyFill="1" applyBorder="1" applyAlignment="1" applyProtection="1">
      <alignment horizontal="right"/>
    </xf>
    <xf numFmtId="0" fontId="2" fillId="11" borderId="33" xfId="0" applyFont="1" applyFill="1" applyBorder="1" applyAlignment="1">
      <alignment horizontal="center" vertical="top" wrapText="1"/>
    </xf>
    <xf numFmtId="0" fontId="2" fillId="11" borderId="34" xfId="0" applyFont="1" applyFill="1" applyBorder="1" applyAlignment="1">
      <alignment horizontal="center" vertical="top" wrapText="1"/>
    </xf>
    <xf numFmtId="0" fontId="2" fillId="3" borderId="34" xfId="0" applyFont="1" applyFill="1" applyBorder="1" applyAlignment="1">
      <alignment horizontal="center" vertical="top" wrapText="1"/>
    </xf>
    <xf numFmtId="14" fontId="9" fillId="0" borderId="96" xfId="0" applyNumberFormat="1" applyFont="1" applyFill="1" applyBorder="1" applyAlignment="1">
      <alignment horizontal="center" vertical="top"/>
    </xf>
    <xf numFmtId="0" fontId="2" fillId="3" borderId="33" xfId="0" applyFont="1" applyFill="1" applyBorder="1" applyAlignment="1">
      <alignment horizontal="center" vertical="center" wrapText="1"/>
    </xf>
    <xf numFmtId="0" fontId="2" fillId="24" borderId="34" xfId="0" applyFont="1" applyFill="1" applyBorder="1" applyAlignment="1">
      <alignment horizontal="center" vertical="top" wrapText="1"/>
    </xf>
    <xf numFmtId="0" fontId="2" fillId="0" borderId="36" xfId="0" applyFont="1" applyFill="1" applyBorder="1" applyAlignment="1" applyProtection="1">
      <alignment horizontal="center"/>
    </xf>
    <xf numFmtId="0" fontId="2" fillId="4" borderId="36" xfId="0" applyFont="1" applyFill="1" applyBorder="1" applyAlignment="1" applyProtection="1">
      <alignment horizontal="center"/>
    </xf>
    <xf numFmtId="0" fontId="2" fillId="4" borderId="81" xfId="0" applyFont="1" applyFill="1" applyBorder="1" applyAlignment="1" applyProtection="1">
      <alignment horizontal="center"/>
    </xf>
    <xf numFmtId="0" fontId="2" fillId="12" borderId="52" xfId="0" applyFont="1" applyFill="1" applyBorder="1" applyAlignment="1" applyProtection="1">
      <alignment horizontal="center"/>
    </xf>
    <xf numFmtId="0" fontId="2" fillId="12" borderId="36" xfId="0" applyFont="1" applyFill="1" applyBorder="1" applyAlignment="1" applyProtection="1">
      <alignment horizontal="center"/>
    </xf>
    <xf numFmtId="0" fontId="2" fillId="12" borderId="55" xfId="0" applyFont="1" applyFill="1" applyBorder="1" applyAlignment="1" applyProtection="1">
      <alignment horizontal="center"/>
    </xf>
    <xf numFmtId="0" fontId="2" fillId="3" borderId="52" xfId="0" applyFont="1" applyFill="1" applyBorder="1" applyAlignment="1" applyProtection="1">
      <alignment horizontal="center" vertical="center" wrapText="1"/>
    </xf>
    <xf numFmtId="0" fontId="2" fillId="3" borderId="56" xfId="0" applyFont="1" applyFill="1" applyBorder="1" applyAlignment="1" applyProtection="1">
      <alignment horizontal="center" vertical="center" wrapText="1"/>
    </xf>
    <xf numFmtId="0" fontId="2" fillId="3" borderId="37" xfId="0" applyFont="1" applyFill="1" applyBorder="1" applyAlignment="1" applyProtection="1">
      <alignment horizontal="center" vertical="center" wrapText="1"/>
    </xf>
    <xf numFmtId="0" fontId="10" fillId="0" borderId="138" xfId="0" applyFont="1" applyBorder="1" applyAlignment="1" applyProtection="1">
      <alignment horizontal="center" vertical="center" wrapText="1"/>
    </xf>
    <xf numFmtId="0" fontId="10" fillId="0" borderId="65" xfId="0" applyFont="1" applyBorder="1" applyAlignment="1" applyProtection="1">
      <alignment horizontal="center" vertical="center"/>
    </xf>
    <xf numFmtId="0" fontId="2" fillId="4" borderId="145" xfId="0" applyFont="1" applyFill="1" applyBorder="1" applyAlignment="1" applyProtection="1">
      <alignment horizontal="center" vertical="top" wrapText="1"/>
    </xf>
    <xf numFmtId="0" fontId="20" fillId="0" borderId="51" xfId="0" applyFont="1" applyFill="1" applyBorder="1" applyAlignment="1">
      <alignment horizontal="left" vertical="top" wrapText="1"/>
    </xf>
    <xf numFmtId="0" fontId="20" fillId="0" borderId="139" xfId="0" applyFont="1" applyFill="1" applyBorder="1" applyAlignment="1">
      <alignment horizontal="left" vertical="top" wrapText="1"/>
    </xf>
    <xf numFmtId="0" fontId="2" fillId="3" borderId="36" xfId="0" applyFont="1" applyFill="1" applyBorder="1" applyAlignment="1">
      <alignment horizontal="center" vertical="center" wrapText="1"/>
    </xf>
    <xf numFmtId="0" fontId="2" fillId="3" borderId="40" xfId="0" applyFont="1" applyFill="1" applyBorder="1" applyAlignment="1">
      <alignment horizontal="center" vertical="center" wrapText="1"/>
    </xf>
    <xf numFmtId="0" fontId="2" fillId="3" borderId="55" xfId="0" applyFont="1" applyFill="1" applyBorder="1" applyAlignment="1">
      <alignment horizontal="center" vertical="center" wrapText="1"/>
    </xf>
    <xf numFmtId="0" fontId="2" fillId="3" borderId="140" xfId="0" applyFont="1" applyFill="1" applyBorder="1" applyAlignment="1">
      <alignment horizontal="center" vertical="center" wrapText="1"/>
    </xf>
    <xf numFmtId="0" fontId="2" fillId="3" borderId="141" xfId="0" applyFont="1" applyFill="1" applyBorder="1" applyAlignment="1">
      <alignment horizontal="center" vertical="center"/>
    </xf>
    <xf numFmtId="0" fontId="2" fillId="3" borderId="52" xfId="0" applyFont="1" applyFill="1" applyBorder="1" applyAlignment="1">
      <alignment horizontal="center" vertical="center"/>
    </xf>
    <xf numFmtId="0" fontId="2" fillId="3" borderId="56" xfId="0" applyFont="1" applyFill="1" applyBorder="1" applyAlignment="1">
      <alignment horizontal="center" vertical="center"/>
    </xf>
    <xf numFmtId="0" fontId="7" fillId="0" borderId="51" xfId="0" applyFont="1" applyFill="1" applyBorder="1" applyAlignment="1">
      <alignment horizontal="left" vertical="center" wrapText="1"/>
    </xf>
    <xf numFmtId="0" fontId="7" fillId="0" borderId="53" xfId="0" applyFont="1" applyFill="1" applyBorder="1" applyAlignment="1">
      <alignment horizontal="left" vertical="center" wrapText="1"/>
    </xf>
    <xf numFmtId="0" fontId="7" fillId="0" borderId="57" xfId="0" applyFont="1" applyFill="1" applyBorder="1" applyAlignment="1">
      <alignment horizontal="left" vertical="center" wrapText="1"/>
    </xf>
    <xf numFmtId="0" fontId="51" fillId="0" borderId="0" xfId="0" applyFont="1"/>
    <xf numFmtId="0" fontId="43" fillId="0" borderId="163" xfId="0" applyFont="1" applyBorder="1" applyAlignment="1">
      <alignment horizontal="right" vertical="center"/>
    </xf>
    <xf numFmtId="0" fontId="43" fillId="0" borderId="165" xfId="0" applyFont="1" applyBorder="1" applyAlignment="1">
      <alignment horizontal="right" vertical="center"/>
    </xf>
    <xf numFmtId="0" fontId="43" fillId="0" borderId="158" xfId="0" applyFont="1" applyBorder="1" applyAlignment="1">
      <alignment horizontal="right" vertical="center"/>
    </xf>
    <xf numFmtId="0" fontId="43" fillId="0" borderId="160" xfId="0" applyFont="1" applyBorder="1" applyAlignment="1">
      <alignment horizontal="right" vertical="center"/>
    </xf>
    <xf numFmtId="0" fontId="43" fillId="25" borderId="95" xfId="0" applyFont="1" applyFill="1" applyBorder="1" applyAlignment="1">
      <alignment horizontal="center" vertical="center"/>
    </xf>
    <xf numFmtId="0" fontId="43" fillId="25" borderId="161" xfId="0" applyFont="1" applyFill="1" applyBorder="1" applyAlignment="1">
      <alignment horizontal="center" vertical="center"/>
    </xf>
    <xf numFmtId="0" fontId="43" fillId="25" borderId="153" xfId="0" applyFont="1" applyFill="1" applyBorder="1" applyAlignment="1">
      <alignment horizontal="center" vertical="center"/>
    </xf>
    <xf numFmtId="0" fontId="43" fillId="0" borderId="156" xfId="0" applyFont="1" applyBorder="1" applyAlignment="1">
      <alignment horizontal="center" vertical="center"/>
    </xf>
    <xf numFmtId="0" fontId="52" fillId="0" borderId="156" xfId="0" applyFont="1" applyBorder="1" applyAlignment="1">
      <alignment horizontal="center" vertical="center"/>
    </xf>
    <xf numFmtId="0" fontId="43" fillId="0" borderId="158" xfId="0" applyFont="1" applyBorder="1" applyAlignment="1">
      <alignment horizontal="center" vertical="center"/>
    </xf>
    <xf numFmtId="0" fontId="43" fillId="0" borderId="159" xfId="0" applyFont="1" applyBorder="1" applyAlignment="1">
      <alignment horizontal="center" vertical="center"/>
    </xf>
    <xf numFmtId="0" fontId="43" fillId="0" borderId="160" xfId="0" applyFont="1" applyBorder="1" applyAlignment="1">
      <alignment horizontal="center" vertical="center"/>
    </xf>
    <xf numFmtId="0" fontId="49" fillId="0" borderId="53" xfId="0" applyFont="1" applyBorder="1" applyAlignment="1">
      <alignment wrapText="1"/>
    </xf>
    <xf numFmtId="0" fontId="49" fillId="0" borderId="54" xfId="0" applyFont="1" applyBorder="1" applyAlignment="1">
      <alignment wrapText="1"/>
    </xf>
    <xf numFmtId="0" fontId="50" fillId="0" borderId="0" xfId="0" applyFont="1" applyBorder="1" applyAlignment="1">
      <alignment wrapText="1"/>
    </xf>
    <xf numFmtId="0" fontId="41" fillId="0" borderId="154" xfId="0" applyFont="1" applyBorder="1" applyAlignment="1">
      <alignment horizontal="center" vertical="center"/>
    </xf>
    <xf numFmtId="0" fontId="41" fillId="0" borderId="155" xfId="0" applyFont="1" applyBorder="1" applyAlignment="1">
      <alignment horizontal="center" vertical="center"/>
    </xf>
    <xf numFmtId="0" fontId="41" fillId="0" borderId="157" xfId="0" applyFont="1" applyBorder="1" applyAlignment="1">
      <alignment horizontal="center" vertical="center"/>
    </xf>
    <xf numFmtId="0" fontId="41" fillId="0" borderId="154" xfId="0" applyFont="1" applyBorder="1" applyAlignment="1">
      <alignment horizontal="center" vertical="top"/>
    </xf>
    <xf numFmtId="0" fontId="41" fillId="0" borderId="155" xfId="0" applyFont="1" applyBorder="1" applyAlignment="1">
      <alignment horizontal="center" vertical="top"/>
    </xf>
    <xf numFmtId="0" fontId="41" fillId="0" borderId="95" xfId="0" applyFont="1" applyBorder="1" applyAlignment="1">
      <alignment horizontal="center" vertical="center"/>
    </xf>
    <xf numFmtId="0" fontId="41" fillId="0" borderId="153" xfId="0" applyFont="1" applyBorder="1" applyAlignment="1">
      <alignment horizontal="center" vertical="center"/>
    </xf>
    <xf numFmtId="0" fontId="38" fillId="0" borderId="0" xfId="0" applyFont="1" applyAlignment="1">
      <alignment horizontal="center" vertical="center"/>
    </xf>
    <xf numFmtId="0" fontId="39" fillId="0" borderId="0" xfId="0" applyFont="1" applyAlignment="1">
      <alignment horizontal="center" vertical="center"/>
    </xf>
    <xf numFmtId="0" fontId="40" fillId="0" borderId="0" xfId="0" applyFont="1" applyAlignment="1">
      <alignment horizontal="center" vertical="center"/>
    </xf>
    <xf numFmtId="0" fontId="41" fillId="0" borderId="152" xfId="0" applyFont="1" applyBorder="1" applyAlignment="1">
      <alignment horizontal="center" vertical="center"/>
    </xf>
    <xf numFmtId="0" fontId="41" fillId="0" borderId="152" xfId="0" applyFont="1" applyBorder="1" applyAlignment="1">
      <alignment horizontal="center" vertical="top"/>
    </xf>
  </cellXfs>
  <cellStyles count="5">
    <cellStyle name="Comma" xfId="3" builtinId="3"/>
    <cellStyle name="Hyperlink" xfId="1" builtinId="8"/>
    <cellStyle name="Normal" xfId="0" builtinId="0"/>
    <cellStyle name="Percent" xfId="2" builtinId="5"/>
    <cellStyle name="Separador de milhares 11 2" xfId="4"/>
  </cellStyles>
  <dxfs count="6">
    <dxf>
      <font>
        <b val="0"/>
        <condense val="0"/>
        <extend val="0"/>
        <color indexed="10"/>
      </font>
    </dxf>
    <dxf>
      <font>
        <b val="0"/>
        <condense val="0"/>
        <extend val="0"/>
        <color indexed="10"/>
      </font>
    </dxf>
    <dxf>
      <font>
        <b/>
        <i val="0"/>
        <strike val="0"/>
        <condense val="0"/>
        <extend val="0"/>
        <color indexed="10"/>
      </font>
    </dxf>
    <dxf>
      <font>
        <b val="0"/>
        <condense val="0"/>
        <extend val="0"/>
        <color indexed="8"/>
      </font>
    </dxf>
    <dxf>
      <font>
        <b/>
        <i val="0"/>
        <condense val="0"/>
        <extend val="0"/>
        <color indexed="10"/>
      </font>
    </dxf>
    <dxf>
      <font>
        <b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23" Type="http://schemas.openxmlformats.org/officeDocument/2006/relationships/customXml" Target="../customXml/item6.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45720</xdr:colOff>
      <xdr:row>7</xdr:row>
      <xdr:rowOff>30480</xdr:rowOff>
    </xdr:from>
    <xdr:to>
      <xdr:col>5</xdr:col>
      <xdr:colOff>365760</xdr:colOff>
      <xdr:row>11</xdr:row>
      <xdr:rowOff>68580</xdr:rowOff>
    </xdr:to>
    <xdr:pic>
      <xdr:nvPicPr>
        <xdr:cNvPr id="1628" name="Imagem 2"/>
        <xdr:cNvPicPr>
          <a:picLocks noChangeAspect="1" noChangeArrowheads="1"/>
        </xdr:cNvPicPr>
      </xdr:nvPicPr>
      <xdr:blipFill>
        <a:blip xmlns:r="http://schemas.openxmlformats.org/officeDocument/2006/relationships" r:embed="rId1" cstate="print"/>
        <a:srcRect/>
        <a:stretch>
          <a:fillRect/>
        </a:stretch>
      </xdr:blipFill>
      <xdr:spPr bwMode="auto">
        <a:xfrm>
          <a:off x="2103120" y="1203960"/>
          <a:ext cx="1821180" cy="70866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114300</xdr:colOff>
      <xdr:row>2</xdr:row>
      <xdr:rowOff>76200</xdr:rowOff>
    </xdr:from>
    <xdr:to>
      <xdr:col>1</xdr:col>
      <xdr:colOff>1882140</xdr:colOff>
      <xdr:row>6</xdr:row>
      <xdr:rowOff>91440</xdr:rowOff>
    </xdr:to>
    <xdr:pic>
      <xdr:nvPicPr>
        <xdr:cNvPr id="2652" name="Imagem 2"/>
        <xdr:cNvPicPr>
          <a:picLocks noChangeAspect="1" noChangeArrowheads="1"/>
        </xdr:cNvPicPr>
      </xdr:nvPicPr>
      <xdr:blipFill>
        <a:blip xmlns:r="http://schemas.openxmlformats.org/officeDocument/2006/relationships" r:embed="rId1" cstate="print"/>
        <a:srcRect/>
        <a:stretch>
          <a:fillRect/>
        </a:stretch>
      </xdr:blipFill>
      <xdr:spPr bwMode="auto">
        <a:xfrm>
          <a:off x="731520" y="411480"/>
          <a:ext cx="1767840" cy="6858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857250</xdr:colOff>
      <xdr:row>2</xdr:row>
      <xdr:rowOff>38100</xdr:rowOff>
    </xdr:to>
    <xdr:pic>
      <xdr:nvPicPr>
        <xdr:cNvPr id="2" name="Imagem 2"/>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152525" cy="4667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3:J56"/>
  <sheetViews>
    <sheetView showGridLines="0" topLeftCell="A7" workbookViewId="0">
      <selection activeCell="K40" sqref="K40"/>
    </sheetView>
  </sheetViews>
  <sheetFormatPr defaultColWidth="9.140625" defaultRowHeight="12.75"/>
  <cols>
    <col min="1" max="1" width="5.140625" customWidth="1"/>
    <col min="2" max="2" width="16" customWidth="1"/>
    <col min="5" max="5" width="13" customWidth="1"/>
    <col min="8" max="8" width="16.140625" customWidth="1"/>
    <col min="9" max="9" width="1.5703125" customWidth="1"/>
  </cols>
  <sheetData>
    <row r="3" spans="1:10">
      <c r="A3" s="1"/>
      <c r="B3" s="1"/>
      <c r="C3" s="1"/>
      <c r="D3" s="1"/>
      <c r="E3" s="1"/>
      <c r="F3" s="1"/>
      <c r="G3" s="1"/>
      <c r="H3" s="1"/>
      <c r="I3" s="1"/>
      <c r="J3" s="1"/>
    </row>
    <row r="4" spans="1:10">
      <c r="A4" s="1"/>
      <c r="B4" s="1"/>
      <c r="C4" s="1"/>
      <c r="D4" s="1"/>
      <c r="E4" s="1"/>
      <c r="F4" s="1"/>
      <c r="G4" s="1"/>
      <c r="H4" s="1"/>
      <c r="I4" s="1"/>
      <c r="J4" s="1"/>
    </row>
    <row r="5" spans="1:10">
      <c r="A5" s="1"/>
      <c r="B5" s="1"/>
      <c r="C5" s="1"/>
      <c r="D5" s="1"/>
      <c r="E5" s="1"/>
      <c r="F5" s="1"/>
      <c r="G5" s="1"/>
      <c r="H5" s="1"/>
      <c r="I5" s="1"/>
      <c r="J5" s="1"/>
    </row>
    <row r="6" spans="1:10">
      <c r="A6" s="1"/>
      <c r="B6" s="1"/>
      <c r="C6" s="1"/>
      <c r="D6" s="1"/>
      <c r="E6" s="1"/>
      <c r="F6" s="1"/>
      <c r="G6" s="1"/>
      <c r="H6" s="1"/>
      <c r="I6" s="1"/>
      <c r="J6" s="1"/>
    </row>
    <row r="7" spans="1:10">
      <c r="A7" s="1"/>
      <c r="B7" s="1"/>
      <c r="C7" s="1"/>
      <c r="D7" s="1"/>
      <c r="E7" s="1"/>
      <c r="F7" s="1"/>
      <c r="G7" s="725"/>
      <c r="H7" s="725"/>
      <c r="I7" s="1"/>
      <c r="J7" s="1"/>
    </row>
    <row r="8" spans="1:10">
      <c r="A8" s="1"/>
      <c r="B8" s="1"/>
      <c r="C8" s="1"/>
      <c r="D8" s="1"/>
      <c r="E8" s="1"/>
      <c r="F8" s="1"/>
      <c r="I8" s="1"/>
      <c r="J8" s="1"/>
    </row>
    <row r="9" spans="1:10">
      <c r="A9" s="1"/>
      <c r="B9" s="1"/>
      <c r="C9" s="1"/>
      <c r="D9" s="1"/>
      <c r="E9" s="1"/>
      <c r="F9" s="1"/>
      <c r="G9" s="1"/>
      <c r="H9" s="1"/>
      <c r="I9" s="1"/>
      <c r="J9" s="1"/>
    </row>
    <row r="10" spans="1:10">
      <c r="A10" s="1"/>
      <c r="B10" s="1"/>
      <c r="C10" s="1"/>
      <c r="D10" s="1"/>
      <c r="E10" s="1"/>
      <c r="F10" s="1"/>
      <c r="G10" s="1"/>
      <c r="H10" s="1"/>
      <c r="I10" s="1"/>
      <c r="J10" s="1"/>
    </row>
    <row r="11" spans="1:10">
      <c r="A11" s="1"/>
      <c r="B11" s="1"/>
      <c r="C11" s="1"/>
      <c r="D11" s="1"/>
      <c r="E11" s="1"/>
      <c r="F11" s="1"/>
      <c r="G11" s="1"/>
      <c r="H11" s="1"/>
      <c r="I11" s="1"/>
      <c r="J11" s="1"/>
    </row>
    <row r="12" spans="1:10">
      <c r="A12" s="1"/>
      <c r="B12" s="1"/>
      <c r="C12" s="1"/>
      <c r="D12" s="1"/>
      <c r="E12" s="1"/>
      <c r="F12" s="1"/>
      <c r="G12" s="1"/>
      <c r="H12" s="1"/>
      <c r="I12" s="1"/>
      <c r="J12" s="1"/>
    </row>
    <row r="13" spans="1:10" ht="18">
      <c r="A13" s="1"/>
      <c r="B13" s="1"/>
      <c r="C13" s="1"/>
      <c r="D13" s="727"/>
      <c r="E13" s="727"/>
      <c r="F13" s="727"/>
      <c r="G13" s="727"/>
      <c r="H13" s="1"/>
      <c r="I13" s="1"/>
      <c r="J13" s="1"/>
    </row>
    <row r="14" spans="1:10">
      <c r="A14" s="1"/>
      <c r="B14" s="1"/>
      <c r="C14" s="1"/>
      <c r="D14" s="1"/>
      <c r="E14" s="1"/>
      <c r="F14" s="1"/>
      <c r="G14" s="1"/>
      <c r="H14" s="1"/>
      <c r="I14" s="1"/>
      <c r="J14" s="1"/>
    </row>
    <row r="15" spans="1:10">
      <c r="A15" s="1"/>
      <c r="B15" s="1"/>
      <c r="C15" s="1"/>
      <c r="D15" s="1"/>
      <c r="E15" s="1"/>
      <c r="F15" s="1"/>
      <c r="G15" s="1"/>
      <c r="H15" s="1"/>
      <c r="I15" s="1"/>
      <c r="J15" s="1"/>
    </row>
    <row r="16" spans="1:10">
      <c r="A16" s="1"/>
      <c r="B16" s="1"/>
      <c r="C16" s="1"/>
      <c r="D16" s="1"/>
      <c r="E16" s="1"/>
      <c r="F16" s="1"/>
      <c r="G16" s="1"/>
      <c r="H16" s="1"/>
      <c r="I16" s="1"/>
      <c r="J16" s="1"/>
    </row>
    <row r="17" spans="1:10">
      <c r="A17" s="1"/>
      <c r="B17" s="1"/>
      <c r="C17" s="1"/>
      <c r="D17" s="1"/>
      <c r="E17" s="1"/>
      <c r="F17" s="1"/>
      <c r="G17" s="1"/>
      <c r="H17" s="1"/>
      <c r="I17" s="1"/>
      <c r="J17" s="1"/>
    </row>
    <row r="18" spans="1:10">
      <c r="A18" s="501"/>
      <c r="B18" s="501"/>
      <c r="C18" s="501"/>
      <c r="D18" s="501"/>
      <c r="E18" s="501"/>
      <c r="F18" s="501"/>
      <c r="G18" s="501"/>
      <c r="H18" s="501"/>
      <c r="I18" s="501"/>
      <c r="J18" s="1"/>
    </row>
    <row r="19" spans="1:10" ht="12.95" customHeight="1">
      <c r="A19" s="729" t="s">
        <v>192</v>
      </c>
      <c r="B19" s="729"/>
      <c r="C19" s="729"/>
      <c r="D19" s="729"/>
      <c r="E19" s="729"/>
      <c r="F19" s="729"/>
      <c r="G19" s="729"/>
      <c r="H19" s="729"/>
      <c r="I19" s="729"/>
      <c r="J19" s="1"/>
    </row>
    <row r="20" spans="1:10" ht="12.75" customHeight="1">
      <c r="A20" s="729"/>
      <c r="B20" s="729"/>
      <c r="C20" s="729"/>
      <c r="D20" s="729"/>
      <c r="E20" s="729"/>
      <c r="F20" s="729"/>
      <c r="G20" s="729"/>
      <c r="H20" s="729"/>
      <c r="I20" s="729"/>
      <c r="J20" s="1"/>
    </row>
    <row r="21" spans="1:10" ht="12.75" customHeight="1">
      <c r="A21" s="729"/>
      <c r="B21" s="729"/>
      <c r="C21" s="729"/>
      <c r="D21" s="729"/>
      <c r="E21" s="729"/>
      <c r="F21" s="729"/>
      <c r="G21" s="729"/>
      <c r="H21" s="729"/>
      <c r="I21" s="729"/>
      <c r="J21" s="1"/>
    </row>
    <row r="22" spans="1:10" ht="34.5" customHeight="1">
      <c r="A22" s="729"/>
      <c r="B22" s="729"/>
      <c r="C22" s="729"/>
      <c r="D22" s="729"/>
      <c r="E22" s="729"/>
      <c r="F22" s="729"/>
      <c r="G22" s="729"/>
      <c r="H22" s="729"/>
      <c r="I22" s="729"/>
      <c r="J22" s="1"/>
    </row>
    <row r="23" spans="1:10" ht="34.5" customHeight="1">
      <c r="A23" s="501"/>
      <c r="B23" s="502"/>
      <c r="C23" s="502"/>
      <c r="D23" s="502"/>
      <c r="E23" s="502"/>
      <c r="F23" s="502"/>
      <c r="G23" s="502"/>
      <c r="H23" s="502"/>
      <c r="I23" s="501"/>
      <c r="J23" s="1"/>
    </row>
    <row r="24" spans="1:10" ht="34.5" customHeight="1">
      <c r="A24" s="501"/>
      <c r="B24" s="502"/>
      <c r="C24" s="502"/>
      <c r="D24" s="502"/>
      <c r="E24" s="502"/>
      <c r="F24" s="502"/>
      <c r="G24" s="502"/>
      <c r="H24" s="502"/>
      <c r="I24" s="501"/>
      <c r="J24" s="1"/>
    </row>
    <row r="25" spans="1:10" ht="18" customHeight="1">
      <c r="A25" s="728" t="s">
        <v>193</v>
      </c>
      <c r="B25" s="728"/>
      <c r="C25" s="728"/>
      <c r="D25" s="728"/>
      <c r="E25" s="728"/>
      <c r="F25" s="728"/>
      <c r="G25" s="728"/>
      <c r="H25" s="728"/>
      <c r="I25" s="728"/>
      <c r="J25" s="1"/>
    </row>
    <row r="26" spans="1:10" ht="18" customHeight="1">
      <c r="A26" s="728"/>
      <c r="B26" s="728"/>
      <c r="C26" s="728"/>
      <c r="D26" s="728"/>
      <c r="E26" s="728"/>
      <c r="F26" s="728"/>
      <c r="G26" s="728"/>
      <c r="H26" s="728"/>
      <c r="I26" s="728"/>
      <c r="J26" s="1"/>
    </row>
    <row r="27" spans="1:10" ht="18" customHeight="1">
      <c r="A27" s="728"/>
      <c r="B27" s="728"/>
      <c r="C27" s="728"/>
      <c r="D27" s="728"/>
      <c r="E27" s="728"/>
      <c r="F27" s="728"/>
      <c r="G27" s="728"/>
      <c r="H27" s="728"/>
      <c r="I27" s="728"/>
      <c r="J27" s="1"/>
    </row>
    <row r="28" spans="1:10" ht="18" customHeight="1">
      <c r="A28" s="728" t="s">
        <v>194</v>
      </c>
      <c r="B28" s="728"/>
      <c r="C28" s="728"/>
      <c r="D28" s="728"/>
      <c r="E28" s="728"/>
      <c r="F28" s="728"/>
      <c r="G28" s="728"/>
      <c r="H28" s="728"/>
      <c r="I28" s="728"/>
      <c r="J28" s="1"/>
    </row>
    <row r="29" spans="1:10">
      <c r="A29" s="503"/>
      <c r="B29" s="503"/>
      <c r="C29" s="503"/>
      <c r="D29" s="503"/>
      <c r="E29" s="503"/>
      <c r="F29" s="503"/>
      <c r="G29" s="503"/>
      <c r="H29" s="503"/>
      <c r="I29" s="503"/>
      <c r="J29" s="1"/>
    </row>
    <row r="30" spans="1:10">
      <c r="A30" s="503"/>
      <c r="B30" s="503"/>
      <c r="C30" s="503"/>
      <c r="D30" s="503"/>
      <c r="E30" s="503"/>
      <c r="F30" s="503"/>
      <c r="G30" s="503"/>
      <c r="H30" s="503"/>
      <c r="I30" s="503"/>
      <c r="J30" s="1"/>
    </row>
    <row r="31" spans="1:10" ht="12.75" customHeight="1">
      <c r="A31" s="728" t="s">
        <v>224</v>
      </c>
      <c r="B31" s="728"/>
      <c r="C31" s="728"/>
      <c r="D31" s="728"/>
      <c r="E31" s="728"/>
      <c r="F31" s="728"/>
      <c r="G31" s="728"/>
      <c r="H31" s="728"/>
      <c r="I31" s="728"/>
      <c r="J31" s="1"/>
    </row>
    <row r="32" spans="1:10" ht="12.75" customHeight="1">
      <c r="A32" s="728"/>
      <c r="B32" s="728"/>
      <c r="C32" s="728"/>
      <c r="D32" s="728"/>
      <c r="E32" s="728"/>
      <c r="F32" s="728"/>
      <c r="G32" s="728"/>
      <c r="H32" s="728"/>
      <c r="I32" s="728"/>
      <c r="J32" s="1"/>
    </row>
    <row r="33" spans="1:10" ht="12.75" customHeight="1">
      <c r="A33" s="728"/>
      <c r="B33" s="728"/>
      <c r="C33" s="728"/>
      <c r="D33" s="728"/>
      <c r="E33" s="728"/>
      <c r="F33" s="728"/>
      <c r="G33" s="728"/>
      <c r="H33" s="728"/>
      <c r="I33" s="728"/>
      <c r="J33" s="1"/>
    </row>
    <row r="34" spans="1:10">
      <c r="A34" s="728"/>
      <c r="B34" s="728"/>
      <c r="C34" s="728"/>
      <c r="D34" s="728"/>
      <c r="E34" s="728"/>
      <c r="F34" s="728"/>
      <c r="G34" s="728"/>
      <c r="H34" s="728"/>
      <c r="I34" s="728"/>
      <c r="J34" s="1"/>
    </row>
    <row r="35" spans="1:10">
      <c r="A35" s="728"/>
      <c r="B35" s="728"/>
      <c r="C35" s="728"/>
      <c r="D35" s="728"/>
      <c r="E35" s="728"/>
      <c r="F35" s="728"/>
      <c r="G35" s="728"/>
      <c r="H35" s="728"/>
      <c r="I35" s="728"/>
      <c r="J35" s="1"/>
    </row>
    <row r="36" spans="1:10">
      <c r="A36" s="503"/>
      <c r="B36" s="503"/>
      <c r="C36" s="503"/>
      <c r="D36" s="503"/>
      <c r="E36" s="503"/>
      <c r="F36" s="503"/>
      <c r="G36" s="503"/>
      <c r="H36" s="503"/>
      <c r="I36" s="503"/>
      <c r="J36" s="1"/>
    </row>
    <row r="37" spans="1:10" ht="18" customHeight="1">
      <c r="A37" s="728"/>
      <c r="B37" s="728"/>
      <c r="C37" s="728"/>
      <c r="D37" s="728"/>
      <c r="E37" s="728"/>
      <c r="F37" s="728"/>
      <c r="G37" s="728"/>
      <c r="H37" s="728"/>
      <c r="I37" s="728"/>
      <c r="J37" s="1"/>
    </row>
    <row r="38" spans="1:10">
      <c r="A38" s="501"/>
      <c r="B38" s="501"/>
      <c r="C38" s="501"/>
      <c r="D38" s="501"/>
      <c r="E38" s="501"/>
      <c r="F38" s="501"/>
      <c r="G38" s="501"/>
      <c r="H38" s="501"/>
      <c r="I38" s="501"/>
      <c r="J38" s="1"/>
    </row>
    <row r="39" spans="1:10">
      <c r="A39" s="501"/>
      <c r="B39" s="726"/>
      <c r="C39" s="726"/>
      <c r="D39" s="726"/>
      <c r="E39" s="726"/>
      <c r="F39" s="726"/>
      <c r="G39" s="726"/>
      <c r="H39" s="726"/>
      <c r="I39" s="501"/>
      <c r="J39" s="1"/>
    </row>
    <row r="40" spans="1:10">
      <c r="A40" s="501"/>
      <c r="B40" s="501"/>
      <c r="C40" s="501"/>
      <c r="D40" s="501"/>
      <c r="E40" s="501"/>
      <c r="F40" s="501"/>
      <c r="G40" s="501"/>
      <c r="H40" s="501"/>
      <c r="I40" s="501"/>
      <c r="J40" s="1"/>
    </row>
    <row r="41" spans="1:10">
      <c r="A41" s="501"/>
      <c r="B41" s="501"/>
      <c r="C41" s="501"/>
      <c r="D41" s="501"/>
      <c r="E41" s="501"/>
      <c r="F41" s="501"/>
      <c r="G41" s="501"/>
      <c r="H41" s="501"/>
      <c r="I41" s="501"/>
      <c r="J41" s="1"/>
    </row>
    <row r="42" spans="1:10">
      <c r="A42" s="501"/>
      <c r="B42" s="501"/>
      <c r="C42" s="501"/>
      <c r="D42" s="501"/>
      <c r="E42" s="501"/>
      <c r="F42" s="501"/>
      <c r="G42" s="501"/>
      <c r="H42" s="501"/>
      <c r="I42" s="501"/>
      <c r="J42" s="1"/>
    </row>
    <row r="43" spans="1:10">
      <c r="A43" s="501"/>
      <c r="B43" s="501"/>
      <c r="C43" s="501"/>
      <c r="D43" s="501"/>
      <c r="E43" s="501"/>
      <c r="F43" s="501"/>
      <c r="G43" s="501"/>
      <c r="H43" s="501"/>
      <c r="I43" s="501"/>
      <c r="J43" s="1"/>
    </row>
    <row r="44" spans="1:10">
      <c r="A44" s="501"/>
      <c r="B44" s="501"/>
      <c r="C44" s="501"/>
      <c r="D44" s="501"/>
      <c r="E44" s="501"/>
      <c r="F44" s="501"/>
      <c r="G44" s="501"/>
      <c r="H44" s="501"/>
      <c r="I44" s="501"/>
      <c r="J44" s="1"/>
    </row>
    <row r="45" spans="1:10" ht="15.75">
      <c r="A45" s="724" t="s">
        <v>312</v>
      </c>
      <c r="B45" s="724"/>
      <c r="C45" s="724"/>
      <c r="D45" s="724"/>
      <c r="E45" s="724"/>
      <c r="F45" s="724"/>
      <c r="G45" s="724"/>
      <c r="H45" s="724"/>
      <c r="I45" s="724"/>
      <c r="J45" s="1"/>
    </row>
    <row r="46" spans="1:10">
      <c r="A46" s="501"/>
      <c r="B46" s="501"/>
      <c r="C46" s="501"/>
      <c r="D46" s="501"/>
      <c r="E46" s="501"/>
      <c r="F46" s="501"/>
      <c r="G46" s="501"/>
      <c r="H46" s="501"/>
      <c r="I46" s="501"/>
      <c r="J46" s="1"/>
    </row>
    <row r="47" spans="1:10">
      <c r="A47" s="1"/>
      <c r="B47" s="1"/>
      <c r="C47" s="1"/>
      <c r="D47" s="1"/>
      <c r="E47" s="1"/>
      <c r="F47" s="1"/>
      <c r="G47" s="1"/>
      <c r="H47" s="1"/>
      <c r="I47" s="1"/>
      <c r="J47" s="1"/>
    </row>
    <row r="48" spans="1:10">
      <c r="A48" s="1"/>
      <c r="B48" s="1"/>
      <c r="C48" s="1"/>
      <c r="D48" s="1"/>
      <c r="E48" s="1"/>
      <c r="F48" s="1"/>
      <c r="G48" s="1"/>
      <c r="H48" s="1"/>
      <c r="I48" s="1"/>
      <c r="J48" s="1"/>
    </row>
    <row r="49" spans="1:10">
      <c r="A49" s="1"/>
      <c r="B49" s="1"/>
      <c r="C49" s="1"/>
      <c r="D49" s="1"/>
      <c r="E49" s="1"/>
      <c r="F49" s="1"/>
      <c r="G49" s="1"/>
      <c r="H49" s="1"/>
      <c r="I49" s="1"/>
      <c r="J49" s="1"/>
    </row>
    <row r="50" spans="1:10">
      <c r="A50" s="1"/>
      <c r="B50" s="1"/>
      <c r="C50" s="1"/>
      <c r="D50" s="1"/>
      <c r="E50" s="1"/>
      <c r="F50" s="1"/>
      <c r="G50" s="1"/>
      <c r="H50" s="1"/>
      <c r="I50" s="1"/>
      <c r="J50" s="1"/>
    </row>
    <row r="51" spans="1:10">
      <c r="A51" s="1"/>
      <c r="B51" s="1"/>
      <c r="C51" s="1"/>
      <c r="D51" s="1"/>
      <c r="E51" s="1"/>
      <c r="F51" s="1"/>
      <c r="G51" s="1"/>
      <c r="H51" s="1"/>
      <c r="I51" s="1"/>
      <c r="J51" s="1"/>
    </row>
    <row r="52" spans="1:10">
      <c r="A52" s="1"/>
      <c r="B52" s="1"/>
      <c r="C52" s="1"/>
      <c r="D52" s="1"/>
      <c r="E52" s="1"/>
      <c r="F52" s="1"/>
      <c r="G52" s="1"/>
      <c r="H52" s="1"/>
      <c r="I52" s="1"/>
      <c r="J52" s="1"/>
    </row>
    <row r="53" spans="1:10">
      <c r="A53" s="1"/>
      <c r="B53" s="1"/>
      <c r="C53" s="1"/>
      <c r="D53" s="1"/>
      <c r="E53" s="1"/>
      <c r="F53" s="1"/>
      <c r="G53" s="1"/>
      <c r="H53" s="1"/>
      <c r="I53" s="1"/>
      <c r="J53" s="1"/>
    </row>
    <row r="54" spans="1:10">
      <c r="A54" s="1"/>
      <c r="B54" s="1"/>
      <c r="C54" s="1"/>
      <c r="D54" s="1"/>
      <c r="E54" s="1"/>
      <c r="F54" s="1"/>
      <c r="G54" s="1"/>
      <c r="H54" s="1"/>
      <c r="I54" s="1"/>
      <c r="J54" s="1"/>
    </row>
    <row r="55" spans="1:10">
      <c r="A55" s="1"/>
      <c r="B55" s="1"/>
      <c r="C55" s="1"/>
      <c r="D55" s="1"/>
      <c r="E55" s="1"/>
      <c r="F55" s="1"/>
      <c r="G55" s="1"/>
      <c r="H55" s="1"/>
      <c r="I55" s="1"/>
      <c r="J55" s="1"/>
    </row>
    <row r="56" spans="1:10">
      <c r="A56" s="1"/>
      <c r="B56" s="1"/>
      <c r="C56" s="1"/>
      <c r="D56" s="1"/>
      <c r="E56" s="1"/>
      <c r="F56" s="1"/>
      <c r="G56" s="1"/>
      <c r="H56" s="1"/>
      <c r="I56" s="1"/>
      <c r="J56" s="1"/>
    </row>
  </sheetData>
  <mergeCells count="9">
    <mergeCell ref="A45:I45"/>
    <mergeCell ref="G7:H7"/>
    <mergeCell ref="B39:H39"/>
    <mergeCell ref="D13:G13"/>
    <mergeCell ref="A28:I28"/>
    <mergeCell ref="A19:I22"/>
    <mergeCell ref="A25:I27"/>
    <mergeCell ref="A31:I35"/>
    <mergeCell ref="A37:I37"/>
  </mergeCells>
  <phoneticPr fontId="0" type="noConversion"/>
  <pageMargins left="0.59055118110236227" right="0.39370078740157483" top="0.98425196850393704" bottom="0.98425196850393704" header="0.51181102362204722" footer="0.51181102362204722"/>
  <pageSetup paperSize="9" scale="95" firstPageNumber="0"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dimension ref="A1:AC46"/>
  <sheetViews>
    <sheetView showGridLines="0" zoomScale="87" zoomScaleNormal="87" workbookViewId="0">
      <pane xSplit="1" ySplit="5" topLeftCell="B25" activePane="bottomRight" state="frozen"/>
      <selection activeCell="B31" sqref="B31:H35"/>
      <selection pane="topRight" activeCell="B31" sqref="B31:H35"/>
      <selection pane="bottomLeft" activeCell="B31" sqref="B31:H35"/>
      <selection pane="bottomRight" activeCell="A33" sqref="A33:G42"/>
    </sheetView>
  </sheetViews>
  <sheetFormatPr defaultColWidth="9.140625" defaultRowHeight="12.75"/>
  <cols>
    <col min="1" max="1" width="40.7109375" style="137" customWidth="1"/>
    <col min="2" max="2" width="12.5703125" style="41" bestFit="1" customWidth="1"/>
    <col min="3" max="3" width="11.5703125" style="41" bestFit="1" customWidth="1"/>
    <col min="4" max="4" width="12.28515625" style="41" bestFit="1" customWidth="1"/>
    <col min="5" max="5" width="13" style="41" bestFit="1" customWidth="1"/>
    <col min="6" max="6" width="12.5703125" style="41" bestFit="1" customWidth="1"/>
    <col min="7" max="7" width="12.28515625" style="41" bestFit="1" customWidth="1"/>
    <col min="8" max="8" width="14" style="41" customWidth="1"/>
    <col min="9" max="9" width="12.5703125" style="41" bestFit="1" customWidth="1"/>
    <col min="10" max="10" width="12.28515625" style="41" bestFit="1" customWidth="1"/>
    <col min="11" max="11" width="12.5703125" style="41" bestFit="1" customWidth="1"/>
    <col min="12" max="12" width="13.85546875" style="41" customWidth="1"/>
    <col min="13" max="13" width="12.28515625" style="41" bestFit="1" customWidth="1"/>
    <col min="14" max="14" width="12.28515625" style="41" customWidth="1"/>
    <col min="15" max="15" width="12.85546875" style="41" customWidth="1"/>
    <col min="16" max="16" width="11.85546875" style="41" bestFit="1" customWidth="1"/>
    <col min="17" max="18" width="11.85546875" style="41" hidden="1" customWidth="1"/>
    <col min="19" max="19" width="12.28515625" style="41" hidden="1" customWidth="1"/>
    <col min="20" max="20" width="13.28515625" style="41" bestFit="1" customWidth="1"/>
    <col min="21" max="21" width="15" style="41" customWidth="1"/>
    <col min="22" max="22" width="12.7109375" style="41" customWidth="1"/>
    <col min="23" max="23" width="0" style="41" hidden="1" customWidth="1"/>
    <col min="24" max="24" width="34.140625" style="106" customWidth="1"/>
    <col min="25" max="25" width="11.28515625" style="41" bestFit="1" customWidth="1"/>
    <col min="26" max="26" width="11.42578125" style="41" bestFit="1" customWidth="1"/>
    <col min="27" max="28" width="11.28515625" style="41" bestFit="1" customWidth="1"/>
    <col min="29" max="29" width="10.28515625" style="41" bestFit="1" customWidth="1"/>
    <col min="30" max="16384" width="9.140625" style="41"/>
  </cols>
  <sheetData>
    <row r="1" spans="1:29" ht="24.75" customHeight="1" thickBot="1">
      <c r="A1" s="136" t="s">
        <v>87</v>
      </c>
      <c r="B1" s="122"/>
      <c r="C1" s="122"/>
      <c r="D1" s="122"/>
      <c r="E1" s="122"/>
      <c r="F1" s="122"/>
      <c r="G1" s="122"/>
      <c r="H1" s="122"/>
      <c r="I1" s="122"/>
      <c r="J1" s="122"/>
      <c r="K1" s="122"/>
      <c r="L1" s="122"/>
      <c r="M1" s="122"/>
      <c r="N1" s="122"/>
      <c r="O1" s="122"/>
      <c r="P1" s="122"/>
      <c r="Q1" s="122"/>
      <c r="R1" s="122"/>
      <c r="S1" s="122"/>
      <c r="T1" s="122"/>
      <c r="U1" s="122"/>
      <c r="V1" s="123"/>
    </row>
    <row r="2" spans="1:29">
      <c r="A2" s="865" t="s">
        <v>91</v>
      </c>
      <c r="B2" s="860" t="s">
        <v>55</v>
      </c>
      <c r="C2" s="860"/>
      <c r="D2" s="860"/>
      <c r="E2" s="859" t="s">
        <v>56</v>
      </c>
      <c r="F2" s="859"/>
      <c r="G2" s="859"/>
      <c r="H2" s="860" t="s">
        <v>57</v>
      </c>
      <c r="I2" s="860"/>
      <c r="J2" s="860"/>
      <c r="K2" s="859" t="s">
        <v>58</v>
      </c>
      <c r="L2" s="859"/>
      <c r="M2" s="859"/>
      <c r="N2" s="860" t="s">
        <v>59</v>
      </c>
      <c r="O2" s="860"/>
      <c r="P2" s="861"/>
      <c r="Q2" s="859" t="s">
        <v>242</v>
      </c>
      <c r="R2" s="859"/>
      <c r="S2" s="859"/>
      <c r="T2" s="862" t="s">
        <v>16</v>
      </c>
      <c r="U2" s="863"/>
      <c r="V2" s="864"/>
    </row>
    <row r="3" spans="1:29" ht="13.5" thickBot="1">
      <c r="A3" s="866"/>
      <c r="B3" s="484" t="s">
        <v>34</v>
      </c>
      <c r="C3" s="484" t="s">
        <v>35</v>
      </c>
      <c r="D3" s="484" t="s">
        <v>62</v>
      </c>
      <c r="E3" s="485" t="s">
        <v>34</v>
      </c>
      <c r="F3" s="485" t="s">
        <v>35</v>
      </c>
      <c r="G3" s="485" t="s">
        <v>62</v>
      </c>
      <c r="H3" s="484" t="s">
        <v>34</v>
      </c>
      <c r="I3" s="484" t="s">
        <v>35</v>
      </c>
      <c r="J3" s="484" t="s">
        <v>62</v>
      </c>
      <c r="K3" s="485" t="s">
        <v>34</v>
      </c>
      <c r="L3" s="485" t="s">
        <v>35</v>
      </c>
      <c r="M3" s="485" t="s">
        <v>62</v>
      </c>
      <c r="N3" s="484" t="s">
        <v>34</v>
      </c>
      <c r="O3" s="484" t="s">
        <v>35</v>
      </c>
      <c r="P3" s="497" t="s">
        <v>62</v>
      </c>
      <c r="Q3" s="485" t="s">
        <v>34</v>
      </c>
      <c r="R3" s="485" t="s">
        <v>35</v>
      </c>
      <c r="S3" s="485" t="s">
        <v>62</v>
      </c>
      <c r="T3" s="499" t="s">
        <v>34</v>
      </c>
      <c r="U3" s="486" t="s">
        <v>35</v>
      </c>
      <c r="V3" s="487" t="s">
        <v>62</v>
      </c>
      <c r="X3" s="265"/>
    </row>
    <row r="4" spans="1:29" s="62" customFormat="1" ht="13.5" thickBot="1">
      <c r="A4" s="488" t="s">
        <v>17</v>
      </c>
      <c r="B4" s="489">
        <f t="shared" ref="B4:T4" si="0">B5+B40</f>
        <v>6315553</v>
      </c>
      <c r="C4" s="489">
        <f t="shared" si="0"/>
        <v>9561811</v>
      </c>
      <c r="D4" s="489">
        <f t="shared" si="0"/>
        <v>15877364</v>
      </c>
      <c r="E4" s="489">
        <f t="shared" si="0"/>
        <v>5037656</v>
      </c>
      <c r="F4" s="489">
        <f t="shared" si="0"/>
        <v>12220217</v>
      </c>
      <c r="G4" s="489">
        <f t="shared" si="0"/>
        <v>17181623</v>
      </c>
      <c r="H4" s="489">
        <f t="shared" si="0"/>
        <v>5116824</v>
      </c>
      <c r="I4" s="489">
        <f t="shared" si="0"/>
        <v>13022962</v>
      </c>
      <c r="J4" s="489">
        <f t="shared" si="0"/>
        <v>17969473</v>
      </c>
      <c r="K4" s="489">
        <f t="shared" si="0"/>
        <v>6075977</v>
      </c>
      <c r="L4" s="489">
        <f t="shared" si="0"/>
        <v>10841996</v>
      </c>
      <c r="M4" s="489">
        <f t="shared" si="0"/>
        <v>16845973</v>
      </c>
      <c r="N4" s="489">
        <f t="shared" si="0"/>
        <v>8254210</v>
      </c>
      <c r="O4" s="489">
        <f t="shared" si="0"/>
        <v>475118</v>
      </c>
      <c r="P4" s="498">
        <f t="shared" si="0"/>
        <v>8729328</v>
      </c>
      <c r="Q4" s="489" t="e">
        <f t="shared" si="0"/>
        <v>#REF!</v>
      </c>
      <c r="R4" s="489" t="e">
        <f t="shared" si="0"/>
        <v>#REF!</v>
      </c>
      <c r="S4" s="489" t="e">
        <f t="shared" si="0"/>
        <v>#REF!</v>
      </c>
      <c r="T4" s="500">
        <f t="shared" si="0"/>
        <v>30538717</v>
      </c>
      <c r="U4" s="500">
        <f t="shared" ref="U4:V4" si="1">U5+U40</f>
        <v>46122104</v>
      </c>
      <c r="V4" s="625">
        <f t="shared" si="1"/>
        <v>76660821</v>
      </c>
      <c r="W4" s="135">
        <f>W5+W40</f>
        <v>36505.15</v>
      </c>
      <c r="X4" s="605"/>
    </row>
    <row r="5" spans="1:29" s="49" customFormat="1" ht="13.5" thickBot="1">
      <c r="A5" s="490" t="s">
        <v>33</v>
      </c>
      <c r="B5" s="491">
        <f>B6+B20+B33</f>
        <v>5914231</v>
      </c>
      <c r="C5" s="491">
        <f t="shared" ref="C5:P5" si="2">C6+C20+C33</f>
        <v>9561811</v>
      </c>
      <c r="D5" s="491">
        <f t="shared" si="2"/>
        <v>15476042</v>
      </c>
      <c r="E5" s="491">
        <f t="shared" si="2"/>
        <v>4636334</v>
      </c>
      <c r="F5" s="491">
        <f t="shared" si="2"/>
        <v>12220217</v>
      </c>
      <c r="G5" s="491">
        <f t="shared" si="2"/>
        <v>16780301</v>
      </c>
      <c r="H5" s="491">
        <f t="shared" si="2"/>
        <v>4657902</v>
      </c>
      <c r="I5" s="491">
        <f t="shared" si="2"/>
        <v>13022962</v>
      </c>
      <c r="J5" s="491">
        <f t="shared" si="2"/>
        <v>17510551</v>
      </c>
      <c r="K5" s="491">
        <f t="shared" si="2"/>
        <v>5617055</v>
      </c>
      <c r="L5" s="491">
        <f t="shared" si="2"/>
        <v>10841996</v>
      </c>
      <c r="M5" s="491">
        <f t="shared" si="2"/>
        <v>16387051</v>
      </c>
      <c r="N5" s="491">
        <f t="shared" si="2"/>
        <v>8125079</v>
      </c>
      <c r="O5" s="491">
        <f t="shared" si="2"/>
        <v>475118</v>
      </c>
      <c r="P5" s="491">
        <f t="shared" si="2"/>
        <v>8600197</v>
      </c>
      <c r="Q5" s="491" t="e">
        <f>Q6+Q20+Q33+#REF!</f>
        <v>#REF!</v>
      </c>
      <c r="R5" s="491" t="e">
        <f>R6+R20+R33+#REF!</f>
        <v>#REF!</v>
      </c>
      <c r="S5" s="491" t="e">
        <f>S6+S20+S33+#REF!</f>
        <v>#REF!</v>
      </c>
      <c r="T5" s="491">
        <f>T6+T20+T33</f>
        <v>28689098</v>
      </c>
      <c r="U5" s="491">
        <f t="shared" ref="U5:V5" si="3">U6+U20+U33</f>
        <v>46122104</v>
      </c>
      <c r="V5" s="626">
        <f t="shared" si="3"/>
        <v>74811202</v>
      </c>
      <c r="W5" s="48">
        <f>V5/2.1/1000</f>
        <v>35624.379999999997</v>
      </c>
      <c r="X5" s="604"/>
    </row>
    <row r="6" spans="1:29" s="49" customFormat="1" ht="36.75" customHeight="1" thickBot="1">
      <c r="A6" s="492" t="str">
        <f>'3_Comp e Produtos'!A6</f>
        <v>COMPONENTE 1: FORTALECIMENTO DA GESTÃO ESTRATÉGICA</v>
      </c>
      <c r="B6" s="480">
        <f>SUM(B7:B19)</f>
        <v>2016713</v>
      </c>
      <c r="C6" s="480">
        <f t="shared" ref="C6:P6" si="4">SUM(C7:C19)</f>
        <v>1331737</v>
      </c>
      <c r="D6" s="480">
        <f t="shared" si="4"/>
        <v>3348450</v>
      </c>
      <c r="E6" s="480">
        <f t="shared" si="4"/>
        <v>838465</v>
      </c>
      <c r="F6" s="480">
        <f t="shared" si="4"/>
        <v>267202</v>
      </c>
      <c r="G6" s="480">
        <f t="shared" si="4"/>
        <v>1105667</v>
      </c>
      <c r="H6" s="480">
        <f t="shared" si="4"/>
        <v>453720</v>
      </c>
      <c r="I6" s="480">
        <f t="shared" si="4"/>
        <v>1216447</v>
      </c>
      <c r="J6" s="480">
        <f t="shared" si="4"/>
        <v>1670167</v>
      </c>
      <c r="K6" s="480">
        <f t="shared" si="4"/>
        <v>546667</v>
      </c>
      <c r="L6" s="480">
        <f t="shared" si="4"/>
        <v>0</v>
      </c>
      <c r="M6" s="480">
        <f t="shared" si="4"/>
        <v>546667</v>
      </c>
      <c r="N6" s="480">
        <f t="shared" si="4"/>
        <v>410000</v>
      </c>
      <c r="O6" s="480">
        <f t="shared" si="4"/>
        <v>0</v>
      </c>
      <c r="P6" s="480">
        <f t="shared" si="4"/>
        <v>410000</v>
      </c>
      <c r="Q6" s="480">
        <f t="shared" ref="Q6:S6" si="5">SUM(Q7:Q16)</f>
        <v>0</v>
      </c>
      <c r="R6" s="480">
        <f t="shared" si="5"/>
        <v>0</v>
      </c>
      <c r="S6" s="480">
        <f t="shared" si="5"/>
        <v>0</v>
      </c>
      <c r="T6" s="480">
        <f>SUM(T7:T19)</f>
        <v>4265565</v>
      </c>
      <c r="U6" s="480">
        <f t="shared" ref="U6:V6" si="6">SUM(U7:U19)</f>
        <v>2815386</v>
      </c>
      <c r="V6" s="627">
        <f t="shared" si="6"/>
        <v>7080951</v>
      </c>
      <c r="W6" s="479">
        <f>SUM(W7:W16)</f>
        <v>2108</v>
      </c>
      <c r="X6" s="606"/>
    </row>
    <row r="7" spans="1:29" s="42" customFormat="1" ht="80.25" customHeight="1">
      <c r="A7" s="493" t="str">
        <f>IF('3_Comp e Produtos'!B7="Sim",'3_Comp e Produtos'!A7,"NÃO SELECIONADO")</f>
        <v>1.1. Plano de ação para a implementação da estratégia para melhorar a defesa jurídica do Estado e o papel da AGU na sustentabilidade jurídica das políticas públicas incluindo a avaliação dos riscos para o Estado (Diretrizes Estratégicas 2008/2015)</v>
      </c>
      <c r="B7" s="481">
        <f>D7-C7</f>
        <v>432000</v>
      </c>
      <c r="C7" s="482">
        <v>257200</v>
      </c>
      <c r="D7" s="481">
        <f>'9_Cronograma Físico'!AM7</f>
        <v>689200</v>
      </c>
      <c r="E7" s="481">
        <f>G7-F7</f>
        <v>0</v>
      </c>
      <c r="F7" s="482">
        <v>0</v>
      </c>
      <c r="G7" s="481">
        <f>'9_Cronograma Físico'!AR7</f>
        <v>0</v>
      </c>
      <c r="H7" s="481">
        <f>J7-I7</f>
        <v>0</v>
      </c>
      <c r="I7" s="482">
        <v>0</v>
      </c>
      <c r="J7" s="481">
        <f>'9_Cronograma Físico'!AW7</f>
        <v>0</v>
      </c>
      <c r="K7" s="481">
        <f>M7-L7</f>
        <v>0</v>
      </c>
      <c r="L7" s="482">
        <v>0</v>
      </c>
      <c r="M7" s="481">
        <f>'9_Cronograma Físico'!BB7</f>
        <v>0</v>
      </c>
      <c r="N7" s="481">
        <f>P7-O7</f>
        <v>0</v>
      </c>
      <c r="O7" s="482">
        <v>0</v>
      </c>
      <c r="P7" s="481">
        <f>'9_Cronograma Físico'!BG7</f>
        <v>0</v>
      </c>
      <c r="Q7" s="481">
        <f>S7-R7</f>
        <v>0</v>
      </c>
      <c r="R7" s="482">
        <v>0</v>
      </c>
      <c r="S7" s="481">
        <f>IF($A7&lt;&gt;"NÃO SELECIONADO",'9_Cronograma Físico'!BG7,0)</f>
        <v>0</v>
      </c>
      <c r="T7" s="483">
        <f>B7+E7+H7+K7+N7+Q7</f>
        <v>432000</v>
      </c>
      <c r="U7" s="483">
        <f>C7+F7+I7+L7+O7+R7</f>
        <v>257200</v>
      </c>
      <c r="V7" s="494">
        <f>D7+G7+J7+M7+P7+S7</f>
        <v>689200</v>
      </c>
      <c r="W7" s="236">
        <f t="shared" ref="W7:W24" si="7">V7/2.1/1000</f>
        <v>328</v>
      </c>
      <c r="X7" s="386"/>
      <c r="Y7" s="386"/>
      <c r="Z7" s="386"/>
      <c r="AA7" s="386"/>
      <c r="AB7" s="386"/>
      <c r="AC7" s="386"/>
    </row>
    <row r="8" spans="1:29" s="42" customFormat="1" ht="25.5">
      <c r="A8" s="493" t="str">
        <f>IF('3_Comp e Produtos'!B8="Sim",'3_Comp e Produtos'!A8,"NÃO SELECIONADO")</f>
        <v>1.2 Monitoramento estratégico dos créditos ativos e riscos para o Estado</v>
      </c>
      <c r="B8" s="481">
        <f t="shared" ref="B8:B42" si="8">D8-C8</f>
        <v>480000</v>
      </c>
      <c r="C8" s="482">
        <v>138000</v>
      </c>
      <c r="D8" s="481">
        <f>'9_Cronograma Físico'!AM8</f>
        <v>618000</v>
      </c>
      <c r="E8" s="481">
        <f t="shared" ref="E8:E19" si="9">G8-F8</f>
        <v>0</v>
      </c>
      <c r="F8" s="482">
        <v>0</v>
      </c>
      <c r="G8" s="481">
        <f>'9_Cronograma Físico'!AR8</f>
        <v>0</v>
      </c>
      <c r="H8" s="481">
        <f t="shared" ref="H8:H32" si="10">J8-I8</f>
        <v>0</v>
      </c>
      <c r="I8" s="482">
        <v>0</v>
      </c>
      <c r="J8" s="481">
        <f>'9_Cronograma Físico'!AW8</f>
        <v>0</v>
      </c>
      <c r="K8" s="481">
        <f t="shared" ref="K8:K32" si="11">M8-L8</f>
        <v>0</v>
      </c>
      <c r="L8" s="482">
        <v>0</v>
      </c>
      <c r="M8" s="481">
        <f>'9_Cronograma Físico'!BB8</f>
        <v>0</v>
      </c>
      <c r="N8" s="481">
        <f t="shared" ref="N8:N38" si="12">P8-O8</f>
        <v>0</v>
      </c>
      <c r="O8" s="482">
        <v>0</v>
      </c>
      <c r="P8" s="481">
        <f>'9_Cronograma Físico'!BG8</f>
        <v>0</v>
      </c>
      <c r="Q8" s="481">
        <f t="shared" ref="Q8:Q16" si="13">S8-R8</f>
        <v>0</v>
      </c>
      <c r="R8" s="482">
        <v>0</v>
      </c>
      <c r="S8" s="481">
        <f>IF($A8&lt;&gt;"NÃO SELECIONADO",'9_Cronograma Físico'!BG8,0)</f>
        <v>0</v>
      </c>
      <c r="T8" s="483">
        <f t="shared" ref="T8:T15" si="14">B8+E8+H8+K8+N8+Q8</f>
        <v>480000</v>
      </c>
      <c r="U8" s="483">
        <f t="shared" ref="U8:U15" si="15">C8+F8+I8+L8+O8+R8</f>
        <v>138000</v>
      </c>
      <c r="V8" s="494">
        <f t="shared" ref="V8:V15" si="16">D8+G8+J8+M8+P8+S8</f>
        <v>618000</v>
      </c>
      <c r="W8" s="236">
        <f t="shared" si="7"/>
        <v>294</v>
      </c>
      <c r="X8" s="386"/>
      <c r="Y8" s="386"/>
      <c r="Z8" s="386"/>
      <c r="AA8" s="386"/>
      <c r="AB8" s="386"/>
      <c r="AC8" s="386"/>
    </row>
    <row r="9" spans="1:29" s="42" customFormat="1" ht="25.5">
      <c r="A9" s="493" t="str">
        <f>IF('3_Comp e Produtos'!B9="Sim",'3_Comp e Produtos'!A9,"NÃO SELECIONADO")</f>
        <v>1.3. Dimensionamento do custo fiscal implícito nos processos contra o Estado</v>
      </c>
      <c r="B9" s="481">
        <f t="shared" si="8"/>
        <v>0</v>
      </c>
      <c r="C9" s="482">
        <v>0</v>
      </c>
      <c r="D9" s="481">
        <f>'9_Cronograma Físico'!AM9</f>
        <v>0</v>
      </c>
      <c r="E9" s="481">
        <f t="shared" si="9"/>
        <v>0</v>
      </c>
      <c r="F9" s="482">
        <v>0</v>
      </c>
      <c r="G9" s="481">
        <f>'9_Cronograma Físico'!AR9</f>
        <v>0</v>
      </c>
      <c r="H9" s="481">
        <f t="shared" si="10"/>
        <v>216000</v>
      </c>
      <c r="I9" s="482">
        <v>0</v>
      </c>
      <c r="J9" s="481">
        <f>'9_Cronograma Físico'!AW9</f>
        <v>216000</v>
      </c>
      <c r="K9" s="481">
        <f t="shared" si="11"/>
        <v>0</v>
      </c>
      <c r="L9" s="482">
        <v>0</v>
      </c>
      <c r="M9" s="481">
        <f>'9_Cronograma Físico'!BB9</f>
        <v>0</v>
      </c>
      <c r="N9" s="481">
        <f t="shared" si="12"/>
        <v>0</v>
      </c>
      <c r="O9" s="482">
        <v>0</v>
      </c>
      <c r="P9" s="481">
        <f>'9_Cronograma Físico'!BG9</f>
        <v>0</v>
      </c>
      <c r="Q9" s="481">
        <f t="shared" si="13"/>
        <v>0</v>
      </c>
      <c r="R9" s="482">
        <v>0</v>
      </c>
      <c r="S9" s="481">
        <f>IF($A9&lt;&gt;"NÃO SELECIONADO",'9_Cronograma Físico'!BG9,0)</f>
        <v>0</v>
      </c>
      <c r="T9" s="483">
        <f t="shared" si="14"/>
        <v>216000</v>
      </c>
      <c r="U9" s="483">
        <f t="shared" si="15"/>
        <v>0</v>
      </c>
      <c r="V9" s="494">
        <f t="shared" si="16"/>
        <v>216000</v>
      </c>
      <c r="W9" s="236">
        <f t="shared" si="7"/>
        <v>103</v>
      </c>
      <c r="X9" s="386"/>
      <c r="Y9" s="386"/>
      <c r="Z9" s="386"/>
      <c r="AA9" s="386"/>
      <c r="AB9" s="386"/>
      <c r="AC9" s="385"/>
    </row>
    <row r="10" spans="1:29" s="42" customFormat="1" ht="25.5">
      <c r="A10" s="493" t="str">
        <f>IF('3_Comp e Produtos'!B10="Sim",'3_Comp e Produtos'!A10,"NÃO SELECIONADO")</f>
        <v>1.4. Sistema de indicadores, metas e avaliação da gestão por resultados</v>
      </c>
      <c r="B10" s="481">
        <f t="shared" si="8"/>
        <v>0</v>
      </c>
      <c r="C10" s="482">
        <v>0</v>
      </c>
      <c r="D10" s="481">
        <f>'9_Cronograma Físico'!AM10</f>
        <v>0</v>
      </c>
      <c r="E10" s="481">
        <f t="shared" si="9"/>
        <v>144000</v>
      </c>
      <c r="F10" s="482">
        <v>112500</v>
      </c>
      <c r="G10" s="481">
        <f>'9_Cronograma Físico'!AR10</f>
        <v>256500</v>
      </c>
      <c r="H10" s="481">
        <f t="shared" si="10"/>
        <v>0</v>
      </c>
      <c r="I10" s="482">
        <v>0</v>
      </c>
      <c r="J10" s="481">
        <f>'9_Cronograma Físico'!AW10</f>
        <v>0</v>
      </c>
      <c r="K10" s="481">
        <f t="shared" si="11"/>
        <v>0</v>
      </c>
      <c r="L10" s="482">
        <v>0</v>
      </c>
      <c r="M10" s="481">
        <f>'9_Cronograma Físico'!BB10</f>
        <v>0</v>
      </c>
      <c r="N10" s="481">
        <f t="shared" si="12"/>
        <v>0</v>
      </c>
      <c r="O10" s="482">
        <v>0</v>
      </c>
      <c r="P10" s="481">
        <f>'9_Cronograma Físico'!BG10</f>
        <v>0</v>
      </c>
      <c r="Q10" s="481">
        <f t="shared" si="13"/>
        <v>0</v>
      </c>
      <c r="R10" s="482">
        <v>0</v>
      </c>
      <c r="S10" s="481">
        <f>IF($A10&lt;&gt;"NÃO SELECIONADO",'9_Cronograma Físico'!BG10,0)</f>
        <v>0</v>
      </c>
      <c r="T10" s="483">
        <f t="shared" si="14"/>
        <v>144000</v>
      </c>
      <c r="U10" s="483">
        <f t="shared" si="15"/>
        <v>112500</v>
      </c>
      <c r="V10" s="494">
        <f t="shared" si="16"/>
        <v>256500</v>
      </c>
      <c r="W10" s="236">
        <f t="shared" si="7"/>
        <v>122</v>
      </c>
      <c r="X10" s="386"/>
      <c r="Y10" s="386"/>
      <c r="Z10" s="386"/>
      <c r="AA10" s="386"/>
      <c r="AB10" s="386"/>
      <c r="AC10" s="385"/>
    </row>
    <row r="11" spans="1:29" s="42" customFormat="1" ht="51">
      <c r="A11" s="493" t="str">
        <f>IF('3_Comp e Produtos'!B11="Sim",'3_Comp e Produtos'!A11,"NÃO SELECIONADO")</f>
        <v>1.5. Ferramenta que permita verificar e monitorar a consistência entre os alinhamentos estratégicos e os resultados operacionais</v>
      </c>
      <c r="B11" s="481">
        <f t="shared" si="8"/>
        <v>0</v>
      </c>
      <c r="C11" s="482">
        <v>0</v>
      </c>
      <c r="D11" s="481">
        <f>'9_Cronograma Físico'!AM11</f>
        <v>0</v>
      </c>
      <c r="E11" s="481">
        <f t="shared" si="9"/>
        <v>0</v>
      </c>
      <c r="F11" s="482">
        <v>0</v>
      </c>
      <c r="G11" s="481">
        <f>'9_Cronograma Físico'!AR11</f>
        <v>0</v>
      </c>
      <c r="H11" s="481">
        <f t="shared" si="10"/>
        <v>0</v>
      </c>
      <c r="I11" s="482">
        <v>605000</v>
      </c>
      <c r="J11" s="481">
        <f>'9_Cronograma Físico'!AW11</f>
        <v>605000</v>
      </c>
      <c r="K11" s="481">
        <f t="shared" si="11"/>
        <v>0</v>
      </c>
      <c r="L11" s="482">
        <v>0</v>
      </c>
      <c r="M11" s="481">
        <f>'9_Cronograma Físico'!BB11</f>
        <v>0</v>
      </c>
      <c r="N11" s="481">
        <f t="shared" si="12"/>
        <v>0</v>
      </c>
      <c r="O11" s="482">
        <v>0</v>
      </c>
      <c r="P11" s="481">
        <f>'9_Cronograma Físico'!BG11</f>
        <v>0</v>
      </c>
      <c r="Q11" s="481">
        <f t="shared" si="13"/>
        <v>0</v>
      </c>
      <c r="R11" s="482">
        <v>0</v>
      </c>
      <c r="S11" s="481">
        <f>IF($A11&lt;&gt;"NÃO SELECIONADO",'9_Cronograma Físico'!BG11,0)</f>
        <v>0</v>
      </c>
      <c r="T11" s="483">
        <f t="shared" si="14"/>
        <v>0</v>
      </c>
      <c r="U11" s="483">
        <f t="shared" si="15"/>
        <v>605000</v>
      </c>
      <c r="V11" s="494">
        <f t="shared" si="16"/>
        <v>605000</v>
      </c>
      <c r="W11" s="236">
        <f t="shared" si="7"/>
        <v>288</v>
      </c>
      <c r="X11" s="386"/>
      <c r="Y11" s="386"/>
      <c r="Z11" s="386"/>
      <c r="AA11" s="385"/>
      <c r="AB11" s="385"/>
      <c r="AC11" s="385"/>
    </row>
    <row r="12" spans="1:29" s="42" customFormat="1" ht="25.5">
      <c r="A12" s="493" t="str">
        <f>IF('3_Comp e Produtos'!B12="Sim",'3_Comp e Produtos'!A12,"NÃO SELECIONADO")</f>
        <v>1.6. Criação de uma unidade de gestão do conhecimento</v>
      </c>
      <c r="B12" s="481">
        <f t="shared" si="8"/>
        <v>36000</v>
      </c>
      <c r="C12" s="482">
        <v>3250</v>
      </c>
      <c r="D12" s="481">
        <f>'9_Cronograma Físico'!AM12</f>
        <v>39250</v>
      </c>
      <c r="E12" s="481">
        <f t="shared" si="9"/>
        <v>0</v>
      </c>
      <c r="F12" s="482">
        <v>0</v>
      </c>
      <c r="G12" s="481">
        <f>'9_Cronograma Físico'!AR12</f>
        <v>0</v>
      </c>
      <c r="H12" s="481">
        <f t="shared" si="10"/>
        <v>0</v>
      </c>
      <c r="I12" s="482">
        <v>0</v>
      </c>
      <c r="J12" s="481">
        <f>'9_Cronograma Físico'!AW12</f>
        <v>0</v>
      </c>
      <c r="K12" s="481">
        <f t="shared" si="11"/>
        <v>0</v>
      </c>
      <c r="L12" s="482">
        <v>0</v>
      </c>
      <c r="M12" s="481">
        <f>'9_Cronograma Físico'!BB12</f>
        <v>0</v>
      </c>
      <c r="N12" s="481">
        <f t="shared" si="12"/>
        <v>0</v>
      </c>
      <c r="O12" s="482">
        <v>0</v>
      </c>
      <c r="P12" s="481">
        <f>'9_Cronograma Físico'!BG12</f>
        <v>0</v>
      </c>
      <c r="Q12" s="481">
        <f t="shared" si="13"/>
        <v>0</v>
      </c>
      <c r="R12" s="482">
        <v>0</v>
      </c>
      <c r="S12" s="481">
        <f>IF($A12&lt;&gt;"NÃO SELECIONADO",'9_Cronograma Físico'!BG12,0)</f>
        <v>0</v>
      </c>
      <c r="T12" s="483">
        <f t="shared" si="14"/>
        <v>36000</v>
      </c>
      <c r="U12" s="483">
        <f t="shared" si="15"/>
        <v>3250</v>
      </c>
      <c r="V12" s="494">
        <f t="shared" si="16"/>
        <v>39250</v>
      </c>
      <c r="W12" s="236">
        <f t="shared" si="7"/>
        <v>19</v>
      </c>
      <c r="X12" s="385"/>
      <c r="Y12" s="385"/>
      <c r="Z12" s="385"/>
      <c r="AA12" s="385"/>
      <c r="AB12" s="385"/>
      <c r="AC12" s="385"/>
    </row>
    <row r="13" spans="1:29" s="42" customFormat="1" ht="25.5">
      <c r="A13" s="493" t="str">
        <f>IF('3_Comp e Produtos'!B13="Sim",'3_Comp e Produtos'!A13,"NÃO SELECIONADO")</f>
        <v>1.7. Instalar uma ferramenta de BI incluindo recursos para Text Mining e Data Mining</v>
      </c>
      <c r="B13" s="481">
        <f t="shared" si="8"/>
        <v>0</v>
      </c>
      <c r="C13" s="482">
        <v>0</v>
      </c>
      <c r="D13" s="481">
        <f>'9_Cronograma Físico'!AM13</f>
        <v>0</v>
      </c>
      <c r="E13" s="481">
        <f t="shared" si="9"/>
        <v>151250</v>
      </c>
      <c r="F13" s="482">
        <v>151250</v>
      </c>
      <c r="G13" s="481">
        <f>'9_Cronograma Físico'!AR13</f>
        <v>302500</v>
      </c>
      <c r="H13" s="481">
        <f t="shared" si="10"/>
        <v>0</v>
      </c>
      <c r="I13" s="482">
        <v>302500</v>
      </c>
      <c r="J13" s="481">
        <f>'9_Cronograma Físico'!AW13</f>
        <v>302500</v>
      </c>
      <c r="K13" s="481">
        <f t="shared" si="11"/>
        <v>0</v>
      </c>
      <c r="L13" s="482">
        <v>0</v>
      </c>
      <c r="M13" s="481">
        <f>'9_Cronograma Físico'!BB13</f>
        <v>0</v>
      </c>
      <c r="N13" s="481">
        <f t="shared" si="12"/>
        <v>0</v>
      </c>
      <c r="O13" s="482">
        <v>0</v>
      </c>
      <c r="P13" s="481">
        <f>'9_Cronograma Físico'!BG13</f>
        <v>0</v>
      </c>
      <c r="Q13" s="481">
        <f t="shared" si="13"/>
        <v>0</v>
      </c>
      <c r="R13" s="482">
        <v>0</v>
      </c>
      <c r="S13" s="481">
        <f>IF($A13&lt;&gt;"NÃO SELECIONADO",'9_Cronograma Físico'!BG13,0)</f>
        <v>0</v>
      </c>
      <c r="T13" s="483">
        <f t="shared" si="14"/>
        <v>151250</v>
      </c>
      <c r="U13" s="483">
        <f t="shared" si="15"/>
        <v>453750</v>
      </c>
      <c r="V13" s="494">
        <f t="shared" si="16"/>
        <v>605000</v>
      </c>
      <c r="W13" s="236">
        <f t="shared" si="7"/>
        <v>288</v>
      </c>
      <c r="X13" s="385"/>
      <c r="Y13" s="385"/>
      <c r="Z13" s="385"/>
      <c r="AA13" s="385"/>
      <c r="AB13" s="385"/>
      <c r="AC13" s="385"/>
    </row>
    <row r="14" spans="1:29" s="42" customFormat="1" ht="18" customHeight="1">
      <c r="A14" s="493" t="str">
        <f>IF('3_Comp e Produtos'!B14="Sim",'3_Comp e Produtos'!A14,"NÃO SELECIONADO")</f>
        <v>1.8. Criação do Escritório de Processos</v>
      </c>
      <c r="B14" s="481">
        <f t="shared" si="8"/>
        <v>36000</v>
      </c>
      <c r="C14" s="482">
        <v>0</v>
      </c>
      <c r="D14" s="481">
        <f>'9_Cronograma Físico'!AM14</f>
        <v>36000</v>
      </c>
      <c r="E14" s="481">
        <f t="shared" si="9"/>
        <v>0</v>
      </c>
      <c r="F14" s="482">
        <v>0</v>
      </c>
      <c r="G14" s="481">
        <f>'9_Cronograma Físico'!AR14</f>
        <v>0</v>
      </c>
      <c r="H14" s="481">
        <f t="shared" si="10"/>
        <v>0</v>
      </c>
      <c r="I14" s="482">
        <v>0</v>
      </c>
      <c r="J14" s="481">
        <f>'9_Cronograma Físico'!AW14</f>
        <v>0</v>
      </c>
      <c r="K14" s="481">
        <f t="shared" si="11"/>
        <v>0</v>
      </c>
      <c r="L14" s="482">
        <v>0</v>
      </c>
      <c r="M14" s="481">
        <f>'9_Cronograma Físico'!BB14</f>
        <v>0</v>
      </c>
      <c r="N14" s="481">
        <f t="shared" si="12"/>
        <v>0</v>
      </c>
      <c r="O14" s="482">
        <v>0</v>
      </c>
      <c r="P14" s="481">
        <f>'9_Cronograma Físico'!BG14</f>
        <v>0</v>
      </c>
      <c r="Q14" s="481">
        <f t="shared" si="13"/>
        <v>0</v>
      </c>
      <c r="R14" s="482">
        <v>0</v>
      </c>
      <c r="S14" s="481">
        <f>IF($A14&lt;&gt;"NÃO SELECIONADO",'9_Cronograma Físico'!BG14,0)</f>
        <v>0</v>
      </c>
      <c r="T14" s="483">
        <f t="shared" si="14"/>
        <v>36000</v>
      </c>
      <c r="U14" s="483">
        <f t="shared" si="15"/>
        <v>0</v>
      </c>
      <c r="V14" s="494">
        <f t="shared" si="16"/>
        <v>36000</v>
      </c>
      <c r="W14" s="236">
        <f t="shared" si="7"/>
        <v>17</v>
      </c>
      <c r="X14" s="385"/>
      <c r="Y14" s="385"/>
      <c r="Z14" s="385"/>
      <c r="AA14" s="385"/>
      <c r="AB14" s="385"/>
      <c r="AC14" s="385"/>
    </row>
    <row r="15" spans="1:29" s="42" customFormat="1" ht="50.25" customHeight="1">
      <c r="A15" s="493" t="str">
        <f>IF('3_Comp e Produtos'!B15="Sim",'3_Comp e Produtos'!A15,"NÃO SELECIONADO")</f>
        <v>1.9. Modelo dinâmico de gerência, controle, otimização, integração e sustentabilidade dos processos operacionais e de gestão</v>
      </c>
      <c r="B15" s="481">
        <f t="shared" si="8"/>
        <v>144000</v>
      </c>
      <c r="C15" s="482">
        <v>692000</v>
      </c>
      <c r="D15" s="481">
        <f>'9_Cronograma Físico'!AM15</f>
        <v>836000</v>
      </c>
      <c r="E15" s="481">
        <f t="shared" si="9"/>
        <v>0</v>
      </c>
      <c r="F15" s="482">
        <v>0</v>
      </c>
      <c r="G15" s="481">
        <f>'9_Cronograma Físico'!AR15</f>
        <v>0</v>
      </c>
      <c r="H15" s="481">
        <f t="shared" si="10"/>
        <v>0</v>
      </c>
      <c r="I15" s="482">
        <v>0</v>
      </c>
      <c r="J15" s="481">
        <f>'9_Cronograma Físico'!AW15</f>
        <v>0</v>
      </c>
      <c r="K15" s="481">
        <f t="shared" si="11"/>
        <v>0</v>
      </c>
      <c r="L15" s="482">
        <v>0</v>
      </c>
      <c r="M15" s="481">
        <f>'9_Cronograma Físico'!BB15</f>
        <v>0</v>
      </c>
      <c r="N15" s="481">
        <f t="shared" si="12"/>
        <v>0</v>
      </c>
      <c r="O15" s="482">
        <v>0</v>
      </c>
      <c r="P15" s="481">
        <f>'9_Cronograma Físico'!BG15</f>
        <v>0</v>
      </c>
      <c r="Q15" s="481">
        <f t="shared" si="13"/>
        <v>0</v>
      </c>
      <c r="R15" s="482">
        <v>0</v>
      </c>
      <c r="S15" s="481">
        <f>IF($A15&lt;&gt;"NÃO SELECIONADO",'9_Cronograma Físico'!BG15,0)</f>
        <v>0</v>
      </c>
      <c r="T15" s="483">
        <f t="shared" si="14"/>
        <v>144000</v>
      </c>
      <c r="U15" s="483">
        <f t="shared" si="15"/>
        <v>692000</v>
      </c>
      <c r="V15" s="494">
        <f t="shared" si="16"/>
        <v>836000</v>
      </c>
      <c r="W15" s="236">
        <f t="shared" si="7"/>
        <v>398</v>
      </c>
      <c r="X15" s="385"/>
      <c r="Y15" s="385"/>
      <c r="Z15" s="385"/>
      <c r="AA15" s="385"/>
      <c r="AB15" s="385"/>
      <c r="AC15" s="385"/>
    </row>
    <row r="16" spans="1:29" s="42" customFormat="1" ht="46.5" customHeight="1">
      <c r="A16" s="493" t="str">
        <f>IF('3_Comp e Produtos'!B16="Sim",'3_Comp e Produtos'!A16,"NÃO SELECIONADO")</f>
        <v>1.10. Unidade responsável pela definição e monitoramento dos projetos institucionais (Escitório de Gestão de Projetos)</v>
      </c>
      <c r="B16" s="481">
        <f t="shared" si="8"/>
        <v>286713</v>
      </c>
      <c r="C16" s="482">
        <v>241287</v>
      </c>
      <c r="D16" s="481">
        <f>'9_Cronograma Físico'!AM16</f>
        <v>528000</v>
      </c>
      <c r="E16" s="481">
        <f t="shared" si="9"/>
        <v>0</v>
      </c>
      <c r="F16" s="482">
        <v>0</v>
      </c>
      <c r="G16" s="481">
        <f>'9_Cronograma Físico'!AR16</f>
        <v>0</v>
      </c>
      <c r="H16" s="481">
        <f t="shared" si="10"/>
        <v>0</v>
      </c>
      <c r="I16" s="482">
        <v>0</v>
      </c>
      <c r="J16" s="481">
        <f>'9_Cronograma Físico'!AW16</f>
        <v>0</v>
      </c>
      <c r="K16" s="481">
        <f t="shared" si="11"/>
        <v>0</v>
      </c>
      <c r="L16" s="482">
        <v>0</v>
      </c>
      <c r="M16" s="481">
        <f>'9_Cronograma Físico'!BB16</f>
        <v>0</v>
      </c>
      <c r="N16" s="481">
        <f t="shared" si="12"/>
        <v>0</v>
      </c>
      <c r="O16" s="482">
        <v>0</v>
      </c>
      <c r="P16" s="481">
        <f>'9_Cronograma Físico'!BG16</f>
        <v>0</v>
      </c>
      <c r="Q16" s="481">
        <f t="shared" si="13"/>
        <v>0</v>
      </c>
      <c r="R16" s="482">
        <v>0</v>
      </c>
      <c r="S16" s="481">
        <f>IF($A16&lt;&gt;"NÃO SELECIONADO",'9_Cronograma Físico'!BG16,0)</f>
        <v>0</v>
      </c>
      <c r="T16" s="483">
        <f>B16+E16+H16+K16+N16+Q16</f>
        <v>286713</v>
      </c>
      <c r="U16" s="483">
        <f>C16+F16+I16+L16+O16+R16</f>
        <v>241287</v>
      </c>
      <c r="V16" s="494">
        <f>D16+G16+J16+M16+P16+S16</f>
        <v>528000</v>
      </c>
      <c r="W16" s="236">
        <f>V16/2.1/1000</f>
        <v>251</v>
      </c>
      <c r="X16" s="385"/>
      <c r="Y16" s="385"/>
      <c r="Z16" s="385"/>
      <c r="AA16" s="385"/>
      <c r="AB16" s="385"/>
      <c r="AC16" s="385"/>
    </row>
    <row r="17" spans="1:29" s="42" customFormat="1" ht="42" customHeight="1">
      <c r="A17" s="493" t="str">
        <f>'3_Comp e Produtos'!A17</f>
        <v>1.11. Política de comunicação das mudanças aos cidadãos, sobre as ações previstas no Projeto, desenhada e implementada</v>
      </c>
      <c r="B17" s="481">
        <f t="shared" si="8"/>
        <v>244583</v>
      </c>
      <c r="C17" s="482">
        <v>0</v>
      </c>
      <c r="D17" s="481">
        <f>'9_Cronograma Físico'!AM17</f>
        <v>244583</v>
      </c>
      <c r="E17" s="481">
        <f t="shared" si="9"/>
        <v>322659</v>
      </c>
      <c r="F17" s="482">
        <v>3452</v>
      </c>
      <c r="G17" s="481">
        <f>'9_Cronograma Físico'!AR17</f>
        <v>326111</v>
      </c>
      <c r="H17" s="481">
        <f t="shared" si="10"/>
        <v>17164</v>
      </c>
      <c r="I17" s="482">
        <v>308947</v>
      </c>
      <c r="J17" s="481">
        <f>'9_Cronograma Físico'!AW17</f>
        <v>326111</v>
      </c>
      <c r="K17" s="481">
        <f t="shared" si="11"/>
        <v>326111</v>
      </c>
      <c r="L17" s="482">
        <v>0</v>
      </c>
      <c r="M17" s="481">
        <f>'9_Cronograma Físico'!BB17</f>
        <v>326111</v>
      </c>
      <c r="N17" s="481">
        <f t="shared" si="12"/>
        <v>244583</v>
      </c>
      <c r="O17" s="482">
        <v>0</v>
      </c>
      <c r="P17" s="481">
        <f>'9_Cronograma Físico'!BG17</f>
        <v>244583</v>
      </c>
      <c r="Q17" s="481"/>
      <c r="R17" s="482"/>
      <c r="S17" s="481"/>
      <c r="T17" s="483">
        <f t="shared" ref="T17:T19" si="17">B17+E17+H17+K17+N17+Q17</f>
        <v>1155100</v>
      </c>
      <c r="U17" s="483">
        <f t="shared" ref="U17:U19" si="18">C17+F17+I17+L17+O17+R17</f>
        <v>312399</v>
      </c>
      <c r="V17" s="494">
        <f t="shared" ref="V17:V19" si="19">D17+G17+J17+M17+P17+S17</f>
        <v>1467499</v>
      </c>
      <c r="W17" s="236"/>
      <c r="X17" s="385"/>
      <c r="Y17" s="385"/>
      <c r="Z17" s="385"/>
      <c r="AA17" s="385"/>
      <c r="AB17" s="385"/>
      <c r="AC17" s="385"/>
    </row>
    <row r="18" spans="1:29" s="42" customFormat="1" ht="44.25" customHeight="1">
      <c r="A18" s="493" t="str">
        <f>'3_Comp e Produtos'!A18</f>
        <v>1.12. Plano de comunicação interna de mudanças desenhado e implementado</v>
      </c>
      <c r="B18" s="481">
        <f t="shared" si="8"/>
        <v>165417</v>
      </c>
      <c r="C18" s="482">
        <v>0</v>
      </c>
      <c r="D18" s="481">
        <f>'9_Cronograma Físico'!AM18</f>
        <v>165417</v>
      </c>
      <c r="E18" s="481">
        <f t="shared" si="9"/>
        <v>220556</v>
      </c>
      <c r="F18" s="482">
        <v>0</v>
      </c>
      <c r="G18" s="481">
        <f>'9_Cronograma Físico'!AR18</f>
        <v>220556</v>
      </c>
      <c r="H18" s="481">
        <f t="shared" si="10"/>
        <v>220556</v>
      </c>
      <c r="I18" s="482">
        <v>0</v>
      </c>
      <c r="J18" s="481">
        <f>'9_Cronograma Físico'!AW18</f>
        <v>220556</v>
      </c>
      <c r="K18" s="481">
        <f t="shared" si="11"/>
        <v>220556</v>
      </c>
      <c r="L18" s="482">
        <v>0</v>
      </c>
      <c r="M18" s="481">
        <f>'9_Cronograma Físico'!BB18</f>
        <v>220556</v>
      </c>
      <c r="N18" s="481">
        <f t="shared" si="12"/>
        <v>165417</v>
      </c>
      <c r="O18" s="482">
        <v>0</v>
      </c>
      <c r="P18" s="481">
        <f>'9_Cronograma Físico'!BG18</f>
        <v>165417</v>
      </c>
      <c r="Q18" s="481"/>
      <c r="R18" s="482"/>
      <c r="S18" s="481"/>
      <c r="T18" s="483">
        <f t="shared" si="17"/>
        <v>992502</v>
      </c>
      <c r="U18" s="483">
        <f t="shared" si="18"/>
        <v>0</v>
      </c>
      <c r="V18" s="494">
        <f t="shared" si="19"/>
        <v>992502</v>
      </c>
      <c r="W18" s="236"/>
      <c r="X18" s="385"/>
      <c r="Y18" s="385"/>
      <c r="Z18" s="385"/>
      <c r="AA18" s="385"/>
      <c r="AB18" s="385"/>
      <c r="AC18" s="385"/>
    </row>
    <row r="19" spans="1:29" s="42" customFormat="1" ht="48" customHeight="1">
      <c r="A19" s="493" t="str">
        <f>'3_Comp e Produtos'!A19</f>
        <v>1.13. Plano de Gestão da Mudança desenhado e implementado</v>
      </c>
      <c r="B19" s="481">
        <f t="shared" si="8"/>
        <v>192000</v>
      </c>
      <c r="C19" s="482">
        <v>0</v>
      </c>
      <c r="D19" s="481">
        <f>'9_Cronograma Físico'!AM19</f>
        <v>192000</v>
      </c>
      <c r="E19" s="481">
        <f t="shared" si="9"/>
        <v>0</v>
      </c>
      <c r="F19" s="482">
        <v>0</v>
      </c>
      <c r="G19" s="481">
        <f>'9_Cronograma Físico'!AR19</f>
        <v>0</v>
      </c>
      <c r="H19" s="481">
        <f t="shared" si="10"/>
        <v>0</v>
      </c>
      <c r="I19" s="482">
        <v>0</v>
      </c>
      <c r="J19" s="481">
        <f>'9_Cronograma Físico'!AW19</f>
        <v>0</v>
      </c>
      <c r="K19" s="481">
        <f t="shared" si="11"/>
        <v>0</v>
      </c>
      <c r="L19" s="482">
        <v>0</v>
      </c>
      <c r="M19" s="481">
        <f>'9_Cronograma Físico'!BB19</f>
        <v>0</v>
      </c>
      <c r="N19" s="481">
        <f t="shared" si="12"/>
        <v>0</v>
      </c>
      <c r="O19" s="482">
        <v>0</v>
      </c>
      <c r="P19" s="481">
        <f>'9_Cronograma Físico'!BG19</f>
        <v>0</v>
      </c>
      <c r="Q19" s="481"/>
      <c r="R19" s="482"/>
      <c r="S19" s="481"/>
      <c r="T19" s="483">
        <f t="shared" si="17"/>
        <v>192000</v>
      </c>
      <c r="U19" s="483">
        <f t="shared" si="18"/>
        <v>0</v>
      </c>
      <c r="V19" s="494">
        <f t="shared" si="19"/>
        <v>192000</v>
      </c>
      <c r="W19" s="236"/>
      <c r="X19" s="385"/>
      <c r="Y19" s="385"/>
      <c r="Z19" s="385"/>
      <c r="AA19" s="385"/>
      <c r="AB19" s="385"/>
      <c r="AC19" s="385"/>
    </row>
    <row r="20" spans="1:29" s="42" customFormat="1" ht="39.75" customHeight="1">
      <c r="A20" s="492" t="str">
        <f>'3_Comp e Produtos'!A20</f>
        <v>COMPONENTE 2: APRIMORAMENTO DA GESTÃO JURÍDICA DA AGU</v>
      </c>
      <c r="B20" s="480">
        <f>SUM(B21:B32)</f>
        <v>3170914</v>
      </c>
      <c r="C20" s="480">
        <f t="shared" ref="C20:J20" si="20">SUM(C21:C32)</f>
        <v>8230074</v>
      </c>
      <c r="D20" s="480">
        <f t="shared" si="20"/>
        <v>11400988</v>
      </c>
      <c r="E20" s="480">
        <f t="shared" si="20"/>
        <v>2907023</v>
      </c>
      <c r="F20" s="480">
        <f t="shared" si="20"/>
        <v>11876765</v>
      </c>
      <c r="G20" s="480">
        <f t="shared" si="20"/>
        <v>14783788</v>
      </c>
      <c r="H20" s="480">
        <f t="shared" si="20"/>
        <v>2524523</v>
      </c>
      <c r="I20" s="480">
        <f t="shared" si="20"/>
        <v>11693265</v>
      </c>
      <c r="J20" s="480">
        <f t="shared" si="20"/>
        <v>14217788</v>
      </c>
      <c r="K20" s="480">
        <f>SUM(K21:K32)</f>
        <v>3447792</v>
      </c>
      <c r="L20" s="480">
        <f t="shared" ref="L20:S20" si="21">SUM(L21:L32)</f>
        <v>10769996</v>
      </c>
      <c r="M20" s="480">
        <f t="shared" si="21"/>
        <v>14217788</v>
      </c>
      <c r="N20" s="480">
        <f t="shared" si="21"/>
        <v>7383781</v>
      </c>
      <c r="O20" s="480">
        <f t="shared" si="21"/>
        <v>475118</v>
      </c>
      <c r="P20" s="480">
        <f t="shared" si="21"/>
        <v>7858899</v>
      </c>
      <c r="Q20" s="480">
        <f t="shared" si="21"/>
        <v>3118504</v>
      </c>
      <c r="R20" s="480">
        <f t="shared" si="21"/>
        <v>4740395</v>
      </c>
      <c r="S20" s="480">
        <f t="shared" si="21"/>
        <v>7858899</v>
      </c>
      <c r="T20" s="480">
        <f>SUM(T21:T32)</f>
        <v>19434033</v>
      </c>
      <c r="U20" s="480">
        <f t="shared" ref="U20:V20" si="22">SUM(U21:U32)</f>
        <v>43045218</v>
      </c>
      <c r="V20" s="627">
        <f t="shared" si="22"/>
        <v>62479251</v>
      </c>
      <c r="W20" s="236"/>
      <c r="X20" s="604"/>
    </row>
    <row r="21" spans="1:29" s="42" customFormat="1" ht="42.75" customHeight="1">
      <c r="A21" s="493" t="str">
        <f>'3_Comp e Produtos'!A21</f>
        <v>2.1. Fluxos de trabalho Contenciosos da Administração Direta modelados e implantados</v>
      </c>
      <c r="B21" s="481">
        <f t="shared" si="8"/>
        <v>552750</v>
      </c>
      <c r="C21" s="482">
        <v>0</v>
      </c>
      <c r="D21" s="481">
        <f>'9_Cronograma Físico'!AM21</f>
        <v>552750</v>
      </c>
      <c r="E21" s="481">
        <f t="shared" ref="E21:E32" si="23">G21-F21</f>
        <v>537000</v>
      </c>
      <c r="F21" s="482">
        <v>200000</v>
      </c>
      <c r="G21" s="481">
        <f>'9_Cronograma Físico'!AR21</f>
        <v>737000</v>
      </c>
      <c r="H21" s="481">
        <f t="shared" si="10"/>
        <v>500500</v>
      </c>
      <c r="I21" s="482">
        <v>236500</v>
      </c>
      <c r="J21" s="481">
        <f>'9_Cronograma Físico'!AW21</f>
        <v>737000</v>
      </c>
      <c r="K21" s="481">
        <f t="shared" si="11"/>
        <v>737000</v>
      </c>
      <c r="L21" s="482">
        <v>0</v>
      </c>
      <c r="M21" s="481">
        <f>'9_Cronograma Físico'!BB21</f>
        <v>737000</v>
      </c>
      <c r="N21" s="481">
        <f t="shared" si="12"/>
        <v>552750</v>
      </c>
      <c r="O21" s="482">
        <v>0</v>
      </c>
      <c r="P21" s="481">
        <f>'9_Cronograma Físico'!BG21</f>
        <v>552750</v>
      </c>
      <c r="Q21" s="481">
        <f t="shared" ref="Q21:Q32" si="24">S21-R21</f>
        <v>552750</v>
      </c>
      <c r="R21" s="482">
        <v>0</v>
      </c>
      <c r="S21" s="481">
        <f>IF($A21&lt;&gt;"NÃO SELECIONADO",'9_Cronograma Físico'!BG21,0)</f>
        <v>552750</v>
      </c>
      <c r="T21" s="483">
        <f>B21+E21+H21+K21+N21</f>
        <v>2880000</v>
      </c>
      <c r="U21" s="483">
        <f t="shared" ref="U21:V21" si="25">C21+F21+I21+L21+O21</f>
        <v>436500</v>
      </c>
      <c r="V21" s="494">
        <f t="shared" si="25"/>
        <v>3316500</v>
      </c>
      <c r="W21" s="48">
        <f t="shared" si="7"/>
        <v>1579.29</v>
      </c>
      <c r="X21" s="118"/>
    </row>
    <row r="22" spans="1:29" s="42" customFormat="1" ht="38.25">
      <c r="A22" s="493" t="str">
        <f>IF('3_Comp e Produtos'!B22="Sim",'3_Comp e Produtos'!A22,"NÃO SELECIONADO")</f>
        <v>2.2. Fluxos de trabalho de Consultoria e Assessoramento Jurídicos na Administração Direta modelados e implantados</v>
      </c>
      <c r="B22" s="481">
        <f t="shared" si="8"/>
        <v>503625</v>
      </c>
      <c r="C22" s="482">
        <v>0</v>
      </c>
      <c r="D22" s="481">
        <f>'9_Cronograma Físico'!AM22</f>
        <v>503625</v>
      </c>
      <c r="E22" s="481">
        <f t="shared" si="23"/>
        <v>629750</v>
      </c>
      <c r="F22" s="482">
        <v>41750</v>
      </c>
      <c r="G22" s="481">
        <f>'9_Cronograma Físico'!AR22</f>
        <v>671500</v>
      </c>
      <c r="H22" s="481">
        <f t="shared" si="10"/>
        <v>571500</v>
      </c>
      <c r="I22" s="482">
        <v>100000</v>
      </c>
      <c r="J22" s="481">
        <f>'9_Cronograma Físico'!AW22</f>
        <v>671500</v>
      </c>
      <c r="K22" s="481">
        <f t="shared" si="11"/>
        <v>671500</v>
      </c>
      <c r="L22" s="482">
        <v>0</v>
      </c>
      <c r="M22" s="481">
        <f>'9_Cronograma Físico'!BB22</f>
        <v>671500</v>
      </c>
      <c r="N22" s="481">
        <f t="shared" si="12"/>
        <v>503625</v>
      </c>
      <c r="O22" s="482">
        <v>0</v>
      </c>
      <c r="P22" s="481">
        <f>'9_Cronograma Físico'!BG22</f>
        <v>503625</v>
      </c>
      <c r="Q22" s="481">
        <f t="shared" si="24"/>
        <v>503625</v>
      </c>
      <c r="R22" s="482">
        <v>0</v>
      </c>
      <c r="S22" s="481">
        <f>IF($A22&lt;&gt;"NÃO SELECIONADO",'9_Cronograma Físico'!BG22,0)</f>
        <v>503625</v>
      </c>
      <c r="T22" s="483">
        <f t="shared" ref="T22:T32" si="26">B22+E22+H22+K22+N22</f>
        <v>2880000</v>
      </c>
      <c r="U22" s="483">
        <f t="shared" ref="U22:U32" si="27">C22+F22+I22+L22+O22</f>
        <v>141750</v>
      </c>
      <c r="V22" s="494">
        <f t="shared" ref="V22:V32" si="28">D22+G22+J22+M22+P22</f>
        <v>3021750</v>
      </c>
      <c r="W22" s="48">
        <f t="shared" si="7"/>
        <v>1438.93</v>
      </c>
      <c r="X22" s="118"/>
    </row>
    <row r="23" spans="1:29" s="42" customFormat="1" ht="38.25">
      <c r="A23" s="493" t="str">
        <f>IF('3_Comp e Produtos'!B24="Sim",'3_Comp e Produtos'!A24,"NÃO SELECIONADO")</f>
        <v>2.3. Plano de estratégias de prevenção abrangente a todos os órgãos da Administração Direta</v>
      </c>
      <c r="B23" s="481">
        <f t="shared" si="8"/>
        <v>63294</v>
      </c>
      <c r="C23" s="482">
        <v>0</v>
      </c>
      <c r="D23" s="481">
        <f>'9_Cronograma Físico'!AM23</f>
        <v>63294</v>
      </c>
      <c r="E23" s="481">
        <f t="shared" si="23"/>
        <v>26588</v>
      </c>
      <c r="F23" s="482">
        <v>100000</v>
      </c>
      <c r="G23" s="481">
        <f>'9_Cronograma Físico'!AR23</f>
        <v>126588</v>
      </c>
      <c r="H23" s="481">
        <f t="shared" si="10"/>
        <v>26588</v>
      </c>
      <c r="I23" s="482">
        <v>100000</v>
      </c>
      <c r="J23" s="481">
        <f>'9_Cronograma Físico'!AW23</f>
        <v>126588</v>
      </c>
      <c r="K23" s="481">
        <f t="shared" si="11"/>
        <v>76588</v>
      </c>
      <c r="L23" s="482">
        <v>50000</v>
      </c>
      <c r="M23" s="481">
        <f>'9_Cronograma Físico'!BB23</f>
        <v>126588</v>
      </c>
      <c r="N23" s="481">
        <f t="shared" si="12"/>
        <v>94941</v>
      </c>
      <c r="O23" s="482">
        <v>0</v>
      </c>
      <c r="P23" s="481">
        <f>'9_Cronograma Físico'!BG23</f>
        <v>94941</v>
      </c>
      <c r="Q23" s="481">
        <f t="shared" si="24"/>
        <v>94941</v>
      </c>
      <c r="R23" s="482">
        <v>0</v>
      </c>
      <c r="S23" s="481">
        <f>IF($A23&lt;&gt;"NÃO SELECIONADO",'9_Cronograma Físico'!BG23,0)</f>
        <v>94941</v>
      </c>
      <c r="T23" s="483">
        <f t="shared" si="26"/>
        <v>287999</v>
      </c>
      <c r="U23" s="483">
        <f t="shared" si="27"/>
        <v>250000</v>
      </c>
      <c r="V23" s="494">
        <f t="shared" si="28"/>
        <v>537999</v>
      </c>
      <c r="W23" s="48">
        <f t="shared" si="7"/>
        <v>256.19</v>
      </c>
      <c r="X23" s="118"/>
    </row>
    <row r="24" spans="1:29" s="42" customFormat="1" ht="51">
      <c r="A24" s="493" t="str">
        <f>IF('3_Comp e Produtos'!B25="Sim",'3_Comp e Produtos'!A25,"NÃO SELECIONADO")</f>
        <v>2.4. Fluxos de trabalho Contenciosos, de Consultoria e Assessoramento Jurídicos na Administração Indireta modelados e implantados</v>
      </c>
      <c r="B24" s="481">
        <f t="shared" si="8"/>
        <v>579000</v>
      </c>
      <c r="C24" s="482">
        <v>0</v>
      </c>
      <c r="D24" s="481">
        <f>'9_Cronograma Físico'!AM24</f>
        <v>579000</v>
      </c>
      <c r="E24" s="481">
        <f t="shared" si="23"/>
        <v>678000</v>
      </c>
      <c r="F24" s="482">
        <v>94000</v>
      </c>
      <c r="G24" s="481">
        <f>'9_Cronograma Físico'!AR24</f>
        <v>772000</v>
      </c>
      <c r="H24" s="481">
        <f t="shared" si="10"/>
        <v>572000</v>
      </c>
      <c r="I24" s="482">
        <v>200000</v>
      </c>
      <c r="J24" s="481">
        <f>'9_Cronograma Físico'!AW24</f>
        <v>772000</v>
      </c>
      <c r="K24" s="481">
        <f t="shared" si="11"/>
        <v>522000</v>
      </c>
      <c r="L24" s="482">
        <v>250000</v>
      </c>
      <c r="M24" s="481">
        <f>'9_Cronograma Físico'!BB24</f>
        <v>772000</v>
      </c>
      <c r="N24" s="481">
        <f t="shared" si="12"/>
        <v>529000</v>
      </c>
      <c r="O24" s="482">
        <v>50000</v>
      </c>
      <c r="P24" s="481">
        <f>'9_Cronograma Físico'!BG24</f>
        <v>579000</v>
      </c>
      <c r="Q24" s="481">
        <f t="shared" si="24"/>
        <v>579000</v>
      </c>
      <c r="R24" s="482">
        <v>0</v>
      </c>
      <c r="S24" s="481">
        <f>IF($A24&lt;&gt;"NÃO SELECIONADO",'9_Cronograma Físico'!BG24,0)</f>
        <v>579000</v>
      </c>
      <c r="T24" s="483">
        <f t="shared" si="26"/>
        <v>2880000</v>
      </c>
      <c r="U24" s="483">
        <f t="shared" si="27"/>
        <v>594000</v>
      </c>
      <c r="V24" s="494">
        <f t="shared" si="28"/>
        <v>3474000</v>
      </c>
      <c r="W24" s="48">
        <f t="shared" si="7"/>
        <v>1654.29</v>
      </c>
      <c r="X24" s="118"/>
    </row>
    <row r="25" spans="1:29" s="42" customFormat="1" ht="38.25">
      <c r="A25" s="493" t="str">
        <f>IF('3_Comp e Produtos'!B30="Sim",'3_Comp e Produtos'!A30,"NÃO SELECIONADO")</f>
        <v>2.5. Plano de estratégias de prevenção abrangente a todos os órgãos da Administração Indireta</v>
      </c>
      <c r="B25" s="481">
        <f t="shared" si="8"/>
        <v>97412</v>
      </c>
      <c r="C25" s="482">
        <v>0</v>
      </c>
      <c r="D25" s="481">
        <f>'9_Cronograma Físico'!AM25</f>
        <v>97412</v>
      </c>
      <c r="E25" s="481">
        <f t="shared" si="23"/>
        <v>94824</v>
      </c>
      <c r="F25" s="482">
        <v>100000</v>
      </c>
      <c r="G25" s="481">
        <f>'9_Cronograma Físico'!AR25</f>
        <v>194824</v>
      </c>
      <c r="H25" s="481">
        <f t="shared" si="10"/>
        <v>94824</v>
      </c>
      <c r="I25" s="482">
        <v>100000</v>
      </c>
      <c r="J25" s="481">
        <f>'9_Cronograma Físico'!AW25</f>
        <v>194824</v>
      </c>
      <c r="K25" s="481">
        <f t="shared" si="11"/>
        <v>40942</v>
      </c>
      <c r="L25" s="482">
        <v>153882</v>
      </c>
      <c r="M25" s="481">
        <f>'9_Cronograma Físico'!BB25</f>
        <v>194824</v>
      </c>
      <c r="N25" s="481">
        <f t="shared" si="12"/>
        <v>0</v>
      </c>
      <c r="O25" s="482">
        <v>146118</v>
      </c>
      <c r="P25" s="481">
        <f>'9_Cronograma Físico'!BG25</f>
        <v>146118</v>
      </c>
      <c r="Q25" s="481">
        <f t="shared" si="24"/>
        <v>106118</v>
      </c>
      <c r="R25" s="482">
        <v>40000</v>
      </c>
      <c r="S25" s="481">
        <f>IF($A25&lt;&gt;"NÃO SELECIONADO",'9_Cronograma Físico'!BG25,0)</f>
        <v>146118</v>
      </c>
      <c r="T25" s="483">
        <f t="shared" si="26"/>
        <v>328002</v>
      </c>
      <c r="U25" s="483">
        <f t="shared" si="27"/>
        <v>500000</v>
      </c>
      <c r="V25" s="494">
        <f t="shared" si="28"/>
        <v>828002</v>
      </c>
      <c r="W25" s="48"/>
      <c r="X25" s="118"/>
    </row>
    <row r="26" spans="1:29" s="42" customFormat="1" ht="25.5">
      <c r="A26" s="493" t="str">
        <f>IF('3_Comp e Produtos'!B31="Sim",'3_Comp e Produtos'!A31,"NÃO SELECIONADO")</f>
        <v>2.6. Métodos Alternativos de Resolução de Conflitos (MARC) definidos e implementados</v>
      </c>
      <c r="B26" s="481">
        <f t="shared" si="8"/>
        <v>121750</v>
      </c>
      <c r="C26" s="482">
        <v>0</v>
      </c>
      <c r="D26" s="481">
        <f>'9_Cronograma Físico'!AM26</f>
        <v>121750</v>
      </c>
      <c r="E26" s="481">
        <f t="shared" si="23"/>
        <v>119833</v>
      </c>
      <c r="F26" s="482">
        <v>42500</v>
      </c>
      <c r="G26" s="481">
        <f>'9_Cronograma Físico'!AR26</f>
        <v>162333</v>
      </c>
      <c r="H26" s="481">
        <f t="shared" si="10"/>
        <v>12333</v>
      </c>
      <c r="I26" s="482">
        <v>150000</v>
      </c>
      <c r="J26" s="481">
        <f>'9_Cronograma Físico'!AW26</f>
        <v>162333</v>
      </c>
      <c r="K26" s="481">
        <f t="shared" si="11"/>
        <v>12333</v>
      </c>
      <c r="L26" s="482">
        <v>150000</v>
      </c>
      <c r="M26" s="481">
        <f>'9_Cronograma Físico'!BB26</f>
        <v>162333</v>
      </c>
      <c r="N26" s="481">
        <f t="shared" si="12"/>
        <v>21750</v>
      </c>
      <c r="O26" s="482">
        <v>100000</v>
      </c>
      <c r="P26" s="481">
        <f>'9_Cronograma Físico'!BG26</f>
        <v>121750</v>
      </c>
      <c r="Q26" s="481">
        <f t="shared" si="24"/>
        <v>121750</v>
      </c>
      <c r="R26" s="482">
        <v>0</v>
      </c>
      <c r="S26" s="481">
        <f>IF($A26&lt;&gt;"NÃO SELECIONADO",'9_Cronograma Físico'!BG26,0)</f>
        <v>121750</v>
      </c>
      <c r="T26" s="483">
        <f t="shared" si="26"/>
        <v>287999</v>
      </c>
      <c r="U26" s="483">
        <f t="shared" si="27"/>
        <v>442500</v>
      </c>
      <c r="V26" s="494">
        <f t="shared" si="28"/>
        <v>730499</v>
      </c>
      <c r="W26" s="48"/>
      <c r="X26" s="118"/>
    </row>
    <row r="27" spans="1:29" s="42" customFormat="1" ht="38.25">
      <c r="A27" s="493" t="str">
        <f>IF('3_Comp e Produtos'!B35="Sim",'3_Comp e Produtos'!A35,"NÃO SELECIONADO")</f>
        <v>2.7. Capacitação contínua de pessoal especializado em gerenciamento e recuperação de créditos</v>
      </c>
      <c r="B27" s="481">
        <f t="shared" si="8"/>
        <v>251833</v>
      </c>
      <c r="C27" s="482">
        <v>0</v>
      </c>
      <c r="D27" s="481">
        <f>'9_Cronograma Físico'!AM27</f>
        <v>251833</v>
      </c>
      <c r="E27" s="481">
        <f t="shared" si="23"/>
        <v>35778</v>
      </c>
      <c r="F27" s="482">
        <v>300000</v>
      </c>
      <c r="G27" s="481">
        <f>'9_Cronograma Físico'!AR27</f>
        <v>335778</v>
      </c>
      <c r="H27" s="481">
        <f t="shared" si="10"/>
        <v>35778</v>
      </c>
      <c r="I27" s="482">
        <v>300000</v>
      </c>
      <c r="J27" s="481">
        <f>'9_Cronograma Físico'!AW27</f>
        <v>335778</v>
      </c>
      <c r="K27" s="481">
        <f t="shared" si="11"/>
        <v>35778</v>
      </c>
      <c r="L27" s="482">
        <v>300000</v>
      </c>
      <c r="M27" s="481">
        <f>'9_Cronograma Físico'!BB27</f>
        <v>335778</v>
      </c>
      <c r="N27" s="481">
        <f t="shared" si="12"/>
        <v>72833</v>
      </c>
      <c r="O27" s="482">
        <v>179000</v>
      </c>
      <c r="P27" s="481">
        <f>'9_Cronograma Físico'!BG27</f>
        <v>251833</v>
      </c>
      <c r="Q27" s="481">
        <f t="shared" si="24"/>
        <v>251833</v>
      </c>
      <c r="R27" s="482">
        <v>0</v>
      </c>
      <c r="S27" s="481">
        <f>IF($A27&lt;&gt;"NÃO SELECIONADO",'9_Cronograma Físico'!BG27,0)</f>
        <v>251833</v>
      </c>
      <c r="T27" s="483">
        <f t="shared" si="26"/>
        <v>432000</v>
      </c>
      <c r="U27" s="483">
        <f t="shared" si="27"/>
        <v>1079000</v>
      </c>
      <c r="V27" s="494">
        <f t="shared" si="28"/>
        <v>1511000</v>
      </c>
      <c r="W27" s="48"/>
      <c r="X27" s="118"/>
    </row>
    <row r="28" spans="1:29" s="42" customFormat="1" ht="38.25">
      <c r="A28" s="493" t="str">
        <f>IF('3_Comp e Produtos'!B36="Sim",'3_Comp e Produtos'!A36,"NÃO SELECIONADO")</f>
        <v xml:space="preserve">2.8. Plano de ação para aprimoramento da integração interinstitucional entre os órgãos responsáveis pela dívida ativa </v>
      </c>
      <c r="B28" s="481">
        <f t="shared" si="8"/>
        <v>468000</v>
      </c>
      <c r="C28" s="482">
        <v>0</v>
      </c>
      <c r="D28" s="481">
        <f>'9_Cronograma Físico'!AM28</f>
        <v>468000</v>
      </c>
      <c r="E28" s="481">
        <f t="shared" si="23"/>
        <v>0</v>
      </c>
      <c r="F28" s="482">
        <v>0</v>
      </c>
      <c r="G28" s="481">
        <f>'9_Cronograma Físico'!AR28</f>
        <v>0</v>
      </c>
      <c r="H28" s="481">
        <f t="shared" si="10"/>
        <v>0</v>
      </c>
      <c r="I28" s="482">
        <v>0</v>
      </c>
      <c r="J28" s="481">
        <f>'9_Cronograma Físico'!AW28</f>
        <v>0</v>
      </c>
      <c r="K28" s="481">
        <f t="shared" si="11"/>
        <v>0</v>
      </c>
      <c r="L28" s="482">
        <v>0</v>
      </c>
      <c r="M28" s="481">
        <f>'9_Cronograma Físico'!BB28</f>
        <v>0</v>
      </c>
      <c r="N28" s="481">
        <f t="shared" si="12"/>
        <v>0</v>
      </c>
      <c r="O28" s="482">
        <v>0</v>
      </c>
      <c r="P28" s="481">
        <f>'9_Cronograma Físico'!BG28</f>
        <v>0</v>
      </c>
      <c r="Q28" s="481">
        <f t="shared" si="24"/>
        <v>0</v>
      </c>
      <c r="R28" s="482">
        <v>0</v>
      </c>
      <c r="S28" s="481">
        <f>IF($A28&lt;&gt;"NÃO SELECIONADO",'9_Cronograma Físico'!BG28,0)</f>
        <v>0</v>
      </c>
      <c r="T28" s="483">
        <f t="shared" si="26"/>
        <v>468000</v>
      </c>
      <c r="U28" s="483">
        <f t="shared" si="27"/>
        <v>0</v>
      </c>
      <c r="V28" s="494">
        <f t="shared" si="28"/>
        <v>468000</v>
      </c>
      <c r="W28" s="48"/>
      <c r="X28" s="118"/>
    </row>
    <row r="29" spans="1:29" s="42" customFormat="1" ht="38.25">
      <c r="A29" s="493" t="str">
        <f>IF('3_Comp e Produtos'!B37="Sim",'3_Comp e Produtos'!A37,"NÃO SELECIONADO")</f>
        <v>2.9. Solução para avaliação de riscos do Estado e inclusões nos sistemas corporativos da AGU</v>
      </c>
      <c r="B29" s="481">
        <f t="shared" si="8"/>
        <v>0</v>
      </c>
      <c r="C29" s="482">
        <v>350000</v>
      </c>
      <c r="D29" s="481">
        <f>'9_Cronograma Físico'!AM29</f>
        <v>350000</v>
      </c>
      <c r="E29" s="481">
        <f t="shared" si="23"/>
        <v>0</v>
      </c>
      <c r="F29" s="482">
        <v>350000</v>
      </c>
      <c r="G29" s="481">
        <f>'9_Cronograma Físico'!AR29</f>
        <v>350000</v>
      </c>
      <c r="H29" s="481">
        <f t="shared" si="10"/>
        <v>0</v>
      </c>
      <c r="I29" s="482">
        <v>0</v>
      </c>
      <c r="J29" s="481">
        <f>'9_Cronograma Físico'!AW29</f>
        <v>0</v>
      </c>
      <c r="K29" s="481">
        <f t="shared" si="11"/>
        <v>0</v>
      </c>
      <c r="L29" s="482">
        <v>0</v>
      </c>
      <c r="M29" s="481">
        <f>'9_Cronograma Físico'!BB29</f>
        <v>0</v>
      </c>
      <c r="N29" s="481">
        <f t="shared" si="12"/>
        <v>0</v>
      </c>
      <c r="O29" s="482">
        <v>0</v>
      </c>
      <c r="P29" s="481">
        <f>'9_Cronograma Físico'!BG29</f>
        <v>0</v>
      </c>
      <c r="Q29" s="481">
        <f t="shared" si="24"/>
        <v>0</v>
      </c>
      <c r="R29" s="482">
        <v>0</v>
      </c>
      <c r="S29" s="481">
        <f>IF($A29&lt;&gt;"NÃO SELECIONADO",'9_Cronograma Físico'!BG29,0)</f>
        <v>0</v>
      </c>
      <c r="T29" s="483">
        <f t="shared" si="26"/>
        <v>0</v>
      </c>
      <c r="U29" s="483">
        <f t="shared" si="27"/>
        <v>700000</v>
      </c>
      <c r="V29" s="494">
        <f t="shared" si="28"/>
        <v>700000</v>
      </c>
      <c r="W29" s="48"/>
      <c r="X29" s="118"/>
    </row>
    <row r="30" spans="1:29" s="42" customFormat="1" ht="38.25">
      <c r="A30" s="493" t="str">
        <f>IF('3_Comp e Produtos'!B38="Sim",'3_Comp e Produtos'!A38,"NÃO SELECIONADO")</f>
        <v xml:space="preserve">2.10. Solução para identificação e facilitação da eliminação dos pagamentos indevidos nos processos contra o Estado </v>
      </c>
      <c r="B30" s="481">
        <f t="shared" si="8"/>
        <v>0</v>
      </c>
      <c r="C30" s="482">
        <v>0</v>
      </c>
      <c r="D30" s="481">
        <f>'9_Cronograma Físico'!AM30</f>
        <v>0</v>
      </c>
      <c r="E30" s="481">
        <f t="shared" si="23"/>
        <v>216000</v>
      </c>
      <c r="F30" s="482">
        <v>0</v>
      </c>
      <c r="G30" s="481">
        <f>'9_Cronograma Físico'!AR30</f>
        <v>216000</v>
      </c>
      <c r="H30" s="481">
        <f t="shared" si="10"/>
        <v>0</v>
      </c>
      <c r="I30" s="482">
        <v>0</v>
      </c>
      <c r="J30" s="481">
        <f>'9_Cronograma Físico'!AW30</f>
        <v>0</v>
      </c>
      <c r="K30" s="481">
        <f t="shared" si="11"/>
        <v>0</v>
      </c>
      <c r="L30" s="482">
        <v>0</v>
      </c>
      <c r="M30" s="481">
        <f>'9_Cronograma Físico'!BB30</f>
        <v>0</v>
      </c>
      <c r="N30" s="481">
        <f t="shared" si="12"/>
        <v>0</v>
      </c>
      <c r="O30" s="482">
        <v>0</v>
      </c>
      <c r="P30" s="481">
        <f>'9_Cronograma Físico'!BG30</f>
        <v>0</v>
      </c>
      <c r="Q30" s="481">
        <f t="shared" si="24"/>
        <v>0</v>
      </c>
      <c r="R30" s="482">
        <v>0</v>
      </c>
      <c r="S30" s="481">
        <f>IF($A30&lt;&gt;"NÃO SELECIONADO",'9_Cronograma Físico'!BG30,0)</f>
        <v>0</v>
      </c>
      <c r="T30" s="483">
        <f t="shared" si="26"/>
        <v>216000</v>
      </c>
      <c r="U30" s="483">
        <f t="shared" si="27"/>
        <v>0</v>
      </c>
      <c r="V30" s="494">
        <f t="shared" si="28"/>
        <v>216000</v>
      </c>
      <c r="W30" s="48"/>
      <c r="X30" s="118"/>
    </row>
    <row r="31" spans="1:29" s="42" customFormat="1" ht="25.5">
      <c r="A31" s="493" t="str">
        <f>IF('3_Comp e Produtos'!B39="Sim",'3_Comp e Produtos'!A39,"NÃO SELECIONADO")</f>
        <v>2.11. Sistema Integrado de Gestão Jurídica da AGU desenvolvido e implantado</v>
      </c>
      <c r="B31" s="481">
        <f t="shared" si="8"/>
        <v>0</v>
      </c>
      <c r="C31" s="482">
        <v>7880074</v>
      </c>
      <c r="D31" s="481">
        <f>'9_Cronograma Físico'!AM31</f>
        <v>7880074</v>
      </c>
      <c r="E31" s="481">
        <f t="shared" si="23"/>
        <v>0</v>
      </c>
      <c r="F31" s="482">
        <v>10506765</v>
      </c>
      <c r="G31" s="481">
        <f>'9_Cronograma Físico'!AR31</f>
        <v>10506765</v>
      </c>
      <c r="H31" s="481">
        <f t="shared" si="10"/>
        <v>0</v>
      </c>
      <c r="I31" s="482">
        <v>10506765</v>
      </c>
      <c r="J31" s="481">
        <f>'9_Cronograma Físico'!AW31</f>
        <v>10506765</v>
      </c>
      <c r="K31" s="481">
        <f t="shared" si="11"/>
        <v>640651</v>
      </c>
      <c r="L31" s="482">
        <v>9866114</v>
      </c>
      <c r="M31" s="481">
        <f>'9_Cronograma Físico'!BB31</f>
        <v>10506765</v>
      </c>
      <c r="N31" s="481">
        <f t="shared" si="12"/>
        <v>5253382</v>
      </c>
      <c r="O31" s="482">
        <v>0</v>
      </c>
      <c r="P31" s="481">
        <f>'9_Cronograma Físico'!BG31</f>
        <v>5253382</v>
      </c>
      <c r="Q31" s="481">
        <f t="shared" si="24"/>
        <v>552987</v>
      </c>
      <c r="R31" s="482">
        <v>4700395</v>
      </c>
      <c r="S31" s="481">
        <f>IF($A31&lt;&gt;"NÃO SELECIONADO",'9_Cronograma Físico'!BG31,0)</f>
        <v>5253382</v>
      </c>
      <c r="T31" s="483">
        <f t="shared" si="26"/>
        <v>5894033</v>
      </c>
      <c r="U31" s="483">
        <f t="shared" si="27"/>
        <v>38759718</v>
      </c>
      <c r="V31" s="494">
        <f t="shared" si="28"/>
        <v>44653751</v>
      </c>
      <c r="W31" s="48"/>
      <c r="X31" s="237"/>
    </row>
    <row r="32" spans="1:29" s="42" customFormat="1" ht="25.5">
      <c r="A32" s="493" t="str">
        <f>IF('3_Comp e Produtos'!B42="Sim",'3_Comp e Produtos'!A42,"NÃO SELECIONADO")</f>
        <v>2.12. Redesenho e implementação dos fluxos de trabalho relativos a cálculos e perícias</v>
      </c>
      <c r="B32" s="481">
        <f t="shared" si="8"/>
        <v>533250</v>
      </c>
      <c r="C32" s="482">
        <v>0</v>
      </c>
      <c r="D32" s="481">
        <f>'9_Cronograma Físico'!AM32</f>
        <v>533250</v>
      </c>
      <c r="E32" s="481">
        <f t="shared" si="23"/>
        <v>569250</v>
      </c>
      <c r="F32" s="482">
        <v>141750</v>
      </c>
      <c r="G32" s="481">
        <f>'9_Cronograma Físico'!AR32</f>
        <v>711000</v>
      </c>
      <c r="H32" s="481">
        <f t="shared" si="10"/>
        <v>711000</v>
      </c>
      <c r="I32" s="482">
        <v>0</v>
      </c>
      <c r="J32" s="481">
        <f>'9_Cronograma Físico'!AW32</f>
        <v>711000</v>
      </c>
      <c r="K32" s="481">
        <f t="shared" si="11"/>
        <v>711000</v>
      </c>
      <c r="L32" s="482">
        <v>0</v>
      </c>
      <c r="M32" s="481">
        <f>'9_Cronograma Físico'!BB32</f>
        <v>711000</v>
      </c>
      <c r="N32" s="481">
        <f t="shared" si="12"/>
        <v>355500</v>
      </c>
      <c r="O32" s="482">
        <v>0</v>
      </c>
      <c r="P32" s="481">
        <f>'9_Cronograma Físico'!BG32</f>
        <v>355500</v>
      </c>
      <c r="Q32" s="481">
        <f t="shared" si="24"/>
        <v>355500</v>
      </c>
      <c r="R32" s="482">
        <v>0</v>
      </c>
      <c r="S32" s="481">
        <f>IF($A32&lt;&gt;"NÃO SELECIONADO",'9_Cronograma Físico'!BG32,0)</f>
        <v>355500</v>
      </c>
      <c r="T32" s="483">
        <f t="shared" si="26"/>
        <v>2880000</v>
      </c>
      <c r="U32" s="483">
        <f t="shared" si="27"/>
        <v>141750</v>
      </c>
      <c r="V32" s="494">
        <f t="shared" si="28"/>
        <v>3021750</v>
      </c>
      <c r="W32" s="48"/>
      <c r="X32" s="237"/>
    </row>
    <row r="33" spans="1:26" s="42" customFormat="1" ht="33.75" customHeight="1">
      <c r="A33" s="492" t="str">
        <f>'3_Comp e Produtos'!A43</f>
        <v>COMPONENTE 3: APRIMORAMENTO DA GESTÃO ADMINISTRATIVA DA AGU</v>
      </c>
      <c r="B33" s="480">
        <f>SUM(B34:B39)</f>
        <v>726604</v>
      </c>
      <c r="C33" s="480">
        <f t="shared" ref="C33:P33" si="29">SUM(C34:C39)</f>
        <v>0</v>
      </c>
      <c r="D33" s="480">
        <f t="shared" si="29"/>
        <v>726604</v>
      </c>
      <c r="E33" s="480">
        <f t="shared" si="29"/>
        <v>890846</v>
      </c>
      <c r="F33" s="480">
        <f t="shared" si="29"/>
        <v>76250</v>
      </c>
      <c r="G33" s="480">
        <f t="shared" si="29"/>
        <v>890846</v>
      </c>
      <c r="H33" s="480">
        <f t="shared" si="29"/>
        <v>1679659</v>
      </c>
      <c r="I33" s="480">
        <f t="shared" si="29"/>
        <v>113250</v>
      </c>
      <c r="J33" s="480">
        <f t="shared" si="29"/>
        <v>1622596</v>
      </c>
      <c r="K33" s="480">
        <f t="shared" si="29"/>
        <v>1622596</v>
      </c>
      <c r="L33" s="480">
        <f t="shared" si="29"/>
        <v>72000</v>
      </c>
      <c r="M33" s="480">
        <f t="shared" si="29"/>
        <v>1622596</v>
      </c>
      <c r="N33" s="480">
        <f t="shared" si="29"/>
        <v>331298</v>
      </c>
      <c r="O33" s="480">
        <f t="shared" si="29"/>
        <v>0</v>
      </c>
      <c r="P33" s="480">
        <f t="shared" si="29"/>
        <v>331298</v>
      </c>
      <c r="Q33" s="480">
        <f t="shared" ref="Q33:S33" si="30">SUM(Q34:Q39)</f>
        <v>331298</v>
      </c>
      <c r="R33" s="480">
        <f t="shared" si="30"/>
        <v>0</v>
      </c>
      <c r="S33" s="480">
        <f t="shared" si="30"/>
        <v>331298</v>
      </c>
      <c r="T33" s="480">
        <f>SUM(T34:T39)</f>
        <v>4989500</v>
      </c>
      <c r="U33" s="480">
        <f>SUM(U34:U39)</f>
        <v>261500</v>
      </c>
      <c r="V33" s="627">
        <f>SUM(V34:V39)</f>
        <v>5251000</v>
      </c>
      <c r="W33" s="236"/>
      <c r="X33" s="604"/>
    </row>
    <row r="34" spans="1:26" s="42" customFormat="1" ht="25.5">
      <c r="A34" s="493" t="str">
        <f>IF('3_Comp e Produtos'!B44="Sim",'3_Comp e Produtos'!A44,"NÃO SELECIONADO")</f>
        <v>3.1. Elaboração do plano estratégico de gestão da Secretaria-Geral</v>
      </c>
      <c r="B34" s="481">
        <f t="shared" si="8"/>
        <v>144000</v>
      </c>
      <c r="C34" s="482">
        <v>0</v>
      </c>
      <c r="D34" s="481">
        <f>'9_Cronograma Físico'!AM34</f>
        <v>144000</v>
      </c>
      <c r="E34" s="481">
        <f>'9_Cronograma Físico'!AR34</f>
        <v>0</v>
      </c>
      <c r="F34" s="482">
        <v>0</v>
      </c>
      <c r="G34" s="481">
        <f>'9_Cronograma Físico'!AR34</f>
        <v>0</v>
      </c>
      <c r="H34" s="481">
        <f>'9_Cronograma Físico'!AW34</f>
        <v>0</v>
      </c>
      <c r="I34" s="482">
        <v>0</v>
      </c>
      <c r="J34" s="481">
        <f>'9_Cronograma Físico'!BB34</f>
        <v>0</v>
      </c>
      <c r="K34" s="481">
        <f>'9_Cronograma Físico'!BB34</f>
        <v>0</v>
      </c>
      <c r="L34" s="482">
        <v>0</v>
      </c>
      <c r="M34" s="481">
        <f>'9_Cronograma Físico'!BB34</f>
        <v>0</v>
      </c>
      <c r="N34" s="481">
        <f t="shared" si="12"/>
        <v>0</v>
      </c>
      <c r="O34" s="482">
        <v>0</v>
      </c>
      <c r="P34" s="481">
        <f>'9_Cronograma Físico'!BG34</f>
        <v>0</v>
      </c>
      <c r="Q34" s="481">
        <f t="shared" ref="Q34:Q39" si="31">S34-R34</f>
        <v>0</v>
      </c>
      <c r="R34" s="482">
        <v>0</v>
      </c>
      <c r="S34" s="481">
        <f>IF($A34&lt;&gt;"NÃO SELECIONADO",'9_Cronograma Físico'!BG34,0)</f>
        <v>0</v>
      </c>
      <c r="T34" s="483">
        <f t="shared" ref="T34" si="32">B34+E34+H34+K34+N34+Q34</f>
        <v>144000</v>
      </c>
      <c r="U34" s="483">
        <f t="shared" ref="U34:U39" si="33">C34+F34+I34+L34+O34+R34</f>
        <v>0</v>
      </c>
      <c r="V34" s="494">
        <f t="shared" ref="V34" si="34">D34+G34+J34+M34+P34+S34</f>
        <v>144000</v>
      </c>
      <c r="W34" s="48"/>
      <c r="X34" s="237"/>
    </row>
    <row r="35" spans="1:26" s="42" customFormat="1" ht="25.5">
      <c r="A35" s="493" t="str">
        <f>IF('3_Comp e Produtos'!B45="Sim",'3_Comp e Produtos'!A45,"NÃO SELECIONADO")</f>
        <v xml:space="preserve">3.2. Reestruturação dos fluxos de trabalho dos processos administrativos </v>
      </c>
      <c r="B35" s="481">
        <f t="shared" si="8"/>
        <v>114000</v>
      </c>
      <c r="C35" s="482">
        <v>0</v>
      </c>
      <c r="D35" s="481">
        <f>'9_Cronograma Físico'!AM35</f>
        <v>114000</v>
      </c>
      <c r="E35" s="481">
        <f>'9_Cronograma Físico'!AR35</f>
        <v>228000</v>
      </c>
      <c r="F35" s="482">
        <v>40000</v>
      </c>
      <c r="G35" s="481">
        <f>'9_Cronograma Físico'!AR35</f>
        <v>228000</v>
      </c>
      <c r="H35" s="481">
        <f>'9_Cronograma Físico'!AW35</f>
        <v>228000</v>
      </c>
      <c r="I35" s="482">
        <v>32000</v>
      </c>
      <c r="J35" s="481">
        <f>'9_Cronograma Físico'!BB35</f>
        <v>228000</v>
      </c>
      <c r="K35" s="481">
        <f>'9_Cronograma Físico'!BB35</f>
        <v>228000</v>
      </c>
      <c r="L35" s="482">
        <v>0</v>
      </c>
      <c r="M35" s="481">
        <f>'9_Cronograma Físico'!BB35</f>
        <v>228000</v>
      </c>
      <c r="N35" s="481">
        <f t="shared" si="12"/>
        <v>114000</v>
      </c>
      <c r="O35" s="482">
        <v>0</v>
      </c>
      <c r="P35" s="481">
        <f>'9_Cronograma Físico'!BG35</f>
        <v>114000</v>
      </c>
      <c r="Q35" s="481">
        <f t="shared" si="31"/>
        <v>114000</v>
      </c>
      <c r="R35" s="482">
        <v>0</v>
      </c>
      <c r="S35" s="481">
        <f>IF($A35&lt;&gt;"NÃO SELECIONADO",'9_Cronograma Físico'!BG35,0)</f>
        <v>114000</v>
      </c>
      <c r="T35" s="483">
        <v>840000</v>
      </c>
      <c r="U35" s="483">
        <f t="shared" si="33"/>
        <v>72000</v>
      </c>
      <c r="V35" s="494">
        <f>SUM(T35:U35)</f>
        <v>912000</v>
      </c>
      <c r="W35" s="48"/>
      <c r="X35" s="118"/>
      <c r="Z35" s="482"/>
    </row>
    <row r="36" spans="1:26" s="42" customFormat="1">
      <c r="A36" s="493" t="str">
        <f>IF('3_Comp e Produtos'!B46="Sim",'3_Comp e Produtos'!A46,"NÃO SELECIONADO")</f>
        <v>3.3. Implementação dos centros de custos</v>
      </c>
      <c r="B36" s="481">
        <f t="shared" si="8"/>
        <v>171188</v>
      </c>
      <c r="C36" s="482">
        <v>0</v>
      </c>
      <c r="D36" s="481">
        <f>'9_Cronograma Físico'!AM36</f>
        <v>171188</v>
      </c>
      <c r="E36" s="481">
        <f>'9_Cronograma Físico'!AR36</f>
        <v>228250</v>
      </c>
      <c r="F36" s="482">
        <v>36250</v>
      </c>
      <c r="G36" s="481">
        <f>'9_Cronograma Físico'!AR36</f>
        <v>228250</v>
      </c>
      <c r="H36" s="481">
        <f>'9_Cronograma Físico'!AW36</f>
        <v>57063</v>
      </c>
      <c r="I36" s="482">
        <v>0</v>
      </c>
      <c r="J36" s="481">
        <f>'9_Cronograma Físico'!BB36</f>
        <v>0</v>
      </c>
      <c r="K36" s="481">
        <f>'9_Cronograma Físico'!BB36</f>
        <v>0</v>
      </c>
      <c r="L36" s="482">
        <v>0</v>
      </c>
      <c r="M36" s="481">
        <f>'9_Cronograma Físico'!BB36</f>
        <v>0</v>
      </c>
      <c r="N36" s="481">
        <f t="shared" si="12"/>
        <v>0</v>
      </c>
      <c r="O36" s="482">
        <v>0</v>
      </c>
      <c r="P36" s="481">
        <f>'9_Cronograma Físico'!BG36</f>
        <v>0</v>
      </c>
      <c r="Q36" s="481">
        <f t="shared" si="31"/>
        <v>0</v>
      </c>
      <c r="R36" s="482">
        <v>0</v>
      </c>
      <c r="S36" s="481">
        <f>IF($A36&lt;&gt;"NÃO SELECIONADO",'9_Cronograma Físico'!BG36,0)</f>
        <v>0</v>
      </c>
      <c r="T36" s="483">
        <v>420250</v>
      </c>
      <c r="U36" s="483">
        <f t="shared" si="33"/>
        <v>36250</v>
      </c>
      <c r="V36" s="494">
        <f t="shared" ref="V36:V39" si="35">SUM(T36:U36)</f>
        <v>456500</v>
      </c>
      <c r="W36" s="48"/>
      <c r="X36" s="118"/>
    </row>
    <row r="37" spans="1:26" s="42" customFormat="1" ht="25.5">
      <c r="A37" s="493" t="str">
        <f>IF('3_Comp e Produtos'!B47="Sim",'3_Comp e Produtos'!A47,"NÃO SELECIONADO")</f>
        <v>3.4. Revisão do modelo de gestão logística territorial e avaliação da implementação</v>
      </c>
      <c r="B37" s="481">
        <f t="shared" si="8"/>
        <v>57063</v>
      </c>
      <c r="C37" s="482">
        <v>0</v>
      </c>
      <c r="D37" s="481">
        <f>'9_Cronograma Físico'!AM37</f>
        <v>57063</v>
      </c>
      <c r="E37" s="481">
        <f>'9_Cronograma Físico'!AR37</f>
        <v>114125</v>
      </c>
      <c r="F37" s="482">
        <v>0</v>
      </c>
      <c r="G37" s="481">
        <f>'9_Cronograma Físico'!AR37</f>
        <v>114125</v>
      </c>
      <c r="H37" s="481">
        <f>'9_Cronograma Físico'!AW37</f>
        <v>114125</v>
      </c>
      <c r="I37" s="482">
        <v>36250</v>
      </c>
      <c r="J37" s="481">
        <f>'9_Cronograma Físico'!BB37</f>
        <v>114125</v>
      </c>
      <c r="K37" s="481">
        <f>'9_Cronograma Físico'!BB37</f>
        <v>114125</v>
      </c>
      <c r="L37" s="482">
        <v>0</v>
      </c>
      <c r="M37" s="481">
        <f>'9_Cronograma Físico'!BB37</f>
        <v>114125</v>
      </c>
      <c r="N37" s="481">
        <f t="shared" si="12"/>
        <v>57063</v>
      </c>
      <c r="O37" s="482">
        <v>0</v>
      </c>
      <c r="P37" s="481">
        <f>'9_Cronograma Físico'!BG37</f>
        <v>57063</v>
      </c>
      <c r="Q37" s="481">
        <f t="shared" si="31"/>
        <v>57063</v>
      </c>
      <c r="R37" s="482">
        <v>0</v>
      </c>
      <c r="S37" s="481">
        <f>IF($A37&lt;&gt;"NÃO SELECIONADO",'9_Cronograma Físico'!BG37,0)</f>
        <v>57063</v>
      </c>
      <c r="T37" s="483">
        <v>420250</v>
      </c>
      <c r="U37" s="483">
        <f t="shared" si="33"/>
        <v>36250</v>
      </c>
      <c r="V37" s="494">
        <f t="shared" si="35"/>
        <v>456500</v>
      </c>
      <c r="W37" s="48"/>
      <c r="X37" s="118"/>
    </row>
    <row r="38" spans="1:26" s="42" customFormat="1" ht="25.5">
      <c r="A38" s="493" t="str">
        <f>IF('3_Comp e Produtos'!B48="Sim",'3_Comp e Produtos'!A48,"NÃO SELECIONADO")</f>
        <v xml:space="preserve">3.5. Implantação de Sistema Integrado de Gestão Administrativa, sincronizado ao SIAFI </v>
      </c>
      <c r="B38" s="481">
        <f t="shared" si="8"/>
        <v>240353</v>
      </c>
      <c r="C38" s="482">
        <v>0</v>
      </c>
      <c r="D38" s="481">
        <f>'9_Cronograma Físico'!AM38</f>
        <v>240353</v>
      </c>
      <c r="E38" s="481">
        <f>'9_Cronograma Físico'!AR38</f>
        <v>320471</v>
      </c>
      <c r="F38" s="482">
        <v>0</v>
      </c>
      <c r="G38" s="481">
        <f>'9_Cronograma Físico'!AR38</f>
        <v>320471</v>
      </c>
      <c r="H38" s="481">
        <f>'9_Cronograma Físico'!AW38</f>
        <v>320471</v>
      </c>
      <c r="I38" s="482">
        <v>45000</v>
      </c>
      <c r="J38" s="481">
        <f>'9_Cronograma Físico'!BB38</f>
        <v>320471</v>
      </c>
      <c r="K38" s="481">
        <f>'9_Cronograma Físico'!BB38</f>
        <v>320471</v>
      </c>
      <c r="L38" s="482">
        <v>0</v>
      </c>
      <c r="M38" s="481">
        <f>'9_Cronograma Físico'!BB38</f>
        <v>320471</v>
      </c>
      <c r="N38" s="481">
        <f t="shared" si="12"/>
        <v>160235</v>
      </c>
      <c r="O38" s="482">
        <v>0</v>
      </c>
      <c r="P38" s="481">
        <f>'9_Cronograma Físico'!BG38</f>
        <v>160235</v>
      </c>
      <c r="Q38" s="481">
        <f t="shared" si="31"/>
        <v>160235</v>
      </c>
      <c r="R38" s="482">
        <v>0</v>
      </c>
      <c r="S38" s="481">
        <f>IF($A38&lt;&gt;"NÃO SELECIONADO",'9_Cronograma Físico'!BG38,0)</f>
        <v>160235</v>
      </c>
      <c r="T38" s="483">
        <v>1317000</v>
      </c>
      <c r="U38" s="483">
        <f t="shared" si="33"/>
        <v>45000</v>
      </c>
      <c r="V38" s="494">
        <f t="shared" si="35"/>
        <v>1362000</v>
      </c>
      <c r="W38" s="48"/>
      <c r="X38" s="118"/>
    </row>
    <row r="39" spans="1:26" s="42" customFormat="1" ht="43.5" customHeight="1" thickBot="1">
      <c r="A39" s="493" t="str">
        <f>IF('3_Comp e Produtos'!B49="Sim",'3_Comp e Produtos'!A49,"NÃO SELECIONADO")</f>
        <v>3.6. Definição conceitual, desenho e implementação do modelo de gestão por competências da AGU</v>
      </c>
      <c r="B39" s="481">
        <f t="shared" si="8"/>
        <v>0</v>
      </c>
      <c r="C39" s="482">
        <v>0</v>
      </c>
      <c r="D39" s="481">
        <f>'9_Cronograma Físico'!AM39</f>
        <v>0</v>
      </c>
      <c r="E39" s="481">
        <f>'9_Cronograma Físico'!AR39</f>
        <v>0</v>
      </c>
      <c r="F39" s="482">
        <v>0</v>
      </c>
      <c r="G39" s="481">
        <f>'9_Cronograma Físico'!AR39</f>
        <v>0</v>
      </c>
      <c r="H39" s="481">
        <f>'9_Cronograma Físico'!AW39</f>
        <v>960000</v>
      </c>
      <c r="I39" s="482">
        <v>0</v>
      </c>
      <c r="J39" s="481">
        <f>'9_Cronograma Físico'!BB39</f>
        <v>960000</v>
      </c>
      <c r="K39" s="481">
        <f>'9_Cronograma Físico'!BB39</f>
        <v>960000</v>
      </c>
      <c r="L39" s="482">
        <v>72000</v>
      </c>
      <c r="M39" s="481">
        <f>'9_Cronograma Físico'!BB39</f>
        <v>960000</v>
      </c>
      <c r="N39" s="481">
        <f>P39-O39</f>
        <v>0</v>
      </c>
      <c r="O39" s="482">
        <v>0</v>
      </c>
      <c r="P39" s="481">
        <f>'9_Cronograma Físico'!BG39</f>
        <v>0</v>
      </c>
      <c r="Q39" s="481">
        <f t="shared" si="31"/>
        <v>0</v>
      </c>
      <c r="R39" s="482">
        <v>0</v>
      </c>
      <c r="S39" s="481">
        <f>IF($A39&lt;&gt;"NÃO SELECIONADO",'9_Cronograma Físico'!BG39,0)</f>
        <v>0</v>
      </c>
      <c r="T39" s="483">
        <v>1848000</v>
      </c>
      <c r="U39" s="483">
        <f t="shared" si="33"/>
        <v>72000</v>
      </c>
      <c r="V39" s="494">
        <f t="shared" si="35"/>
        <v>1920000</v>
      </c>
      <c r="W39" s="48"/>
      <c r="X39" s="118"/>
    </row>
    <row r="40" spans="1:26" s="49" customFormat="1" ht="22.5" customHeight="1">
      <c r="A40" s="628" t="s">
        <v>24</v>
      </c>
      <c r="B40" s="624">
        <f>SUM(B41:B42)</f>
        <v>401322</v>
      </c>
      <c r="C40" s="624">
        <f t="shared" ref="C40:P40" si="36">SUM(C41:C42)</f>
        <v>0</v>
      </c>
      <c r="D40" s="624">
        <f t="shared" si="36"/>
        <v>401322</v>
      </c>
      <c r="E40" s="624">
        <f t="shared" si="36"/>
        <v>401322</v>
      </c>
      <c r="F40" s="624">
        <f t="shared" si="36"/>
        <v>0</v>
      </c>
      <c r="G40" s="624">
        <f t="shared" si="36"/>
        <v>401322</v>
      </c>
      <c r="H40" s="624">
        <f t="shared" si="36"/>
        <v>458922</v>
      </c>
      <c r="I40" s="624">
        <f t="shared" si="36"/>
        <v>0</v>
      </c>
      <c r="J40" s="624">
        <f t="shared" si="36"/>
        <v>458922</v>
      </c>
      <c r="K40" s="624">
        <f t="shared" si="36"/>
        <v>458922</v>
      </c>
      <c r="L40" s="624">
        <f t="shared" si="36"/>
        <v>0</v>
      </c>
      <c r="M40" s="624">
        <f t="shared" si="36"/>
        <v>458922</v>
      </c>
      <c r="N40" s="624">
        <f t="shared" si="36"/>
        <v>129131</v>
      </c>
      <c r="O40" s="624">
        <f t="shared" si="36"/>
        <v>0</v>
      </c>
      <c r="P40" s="624">
        <f t="shared" si="36"/>
        <v>129131</v>
      </c>
      <c r="Q40" s="624">
        <f t="shared" ref="Q40:V40" si="37">SUM(Q41:Q42)</f>
        <v>129131</v>
      </c>
      <c r="R40" s="624">
        <f t="shared" si="37"/>
        <v>0</v>
      </c>
      <c r="S40" s="624">
        <f t="shared" si="37"/>
        <v>129131</v>
      </c>
      <c r="T40" s="624">
        <f>SUM(T41:T42)</f>
        <v>1849619</v>
      </c>
      <c r="U40" s="624">
        <f t="shared" si="37"/>
        <v>0</v>
      </c>
      <c r="V40" s="629">
        <f t="shared" si="37"/>
        <v>1849619</v>
      </c>
      <c r="W40" s="134">
        <f t="shared" ref="W40" si="38">SUM(W41:W42)</f>
        <v>880.77</v>
      </c>
      <c r="X40" s="107"/>
    </row>
    <row r="41" spans="1:26" s="42" customFormat="1">
      <c r="A41" s="493" t="str">
        <f>IF('3_Comp e Produtos'!B53="Sim",'3_Comp e Produtos'!A53,"NÃO SELECIONADO")</f>
        <v>A1 - Gestão do Projeto</v>
      </c>
      <c r="B41" s="481">
        <f t="shared" si="8"/>
        <v>401322</v>
      </c>
      <c r="C41" s="482">
        <v>0</v>
      </c>
      <c r="D41" s="481">
        <f>'9_Cronograma Físico'!AM41</f>
        <v>401322</v>
      </c>
      <c r="E41" s="481">
        <f>'9_Cronograma Físico'!AR41</f>
        <v>401322</v>
      </c>
      <c r="F41" s="482">
        <v>0</v>
      </c>
      <c r="G41" s="481">
        <f>'9_Cronograma Físico'!AR41</f>
        <v>401322</v>
      </c>
      <c r="H41" s="481">
        <f>'9_Cronograma Físico'!AW41</f>
        <v>401322</v>
      </c>
      <c r="I41" s="482">
        <v>0</v>
      </c>
      <c r="J41" s="481">
        <f>'9_Cronograma Físico'!AW41</f>
        <v>401322</v>
      </c>
      <c r="K41" s="481">
        <f>'9_Cronograma Físico'!BB41</f>
        <v>401322</v>
      </c>
      <c r="L41" s="482">
        <v>0</v>
      </c>
      <c r="M41" s="481">
        <f>'9_Cronograma Físico'!BB41</f>
        <v>401322</v>
      </c>
      <c r="N41" s="481">
        <f>P41-O41</f>
        <v>100331</v>
      </c>
      <c r="O41" s="482">
        <v>0</v>
      </c>
      <c r="P41" s="481">
        <f>'9_Cronograma Físico'!BG41</f>
        <v>100331</v>
      </c>
      <c r="Q41" s="481">
        <f t="shared" ref="Q41:Q42" si="39">S41-R41</f>
        <v>100331</v>
      </c>
      <c r="R41" s="482">
        <v>0</v>
      </c>
      <c r="S41" s="481">
        <f>IF($A41&lt;&gt;"NÃO SELECIONADO",'9_Cronograma Físico'!BG41,0)</f>
        <v>100331</v>
      </c>
      <c r="T41" s="483">
        <f t="shared" ref="T41:U42" si="40">N41+K41+H41+E41+B41</f>
        <v>1705619</v>
      </c>
      <c r="U41" s="483">
        <f t="shared" si="40"/>
        <v>0</v>
      </c>
      <c r="V41" s="494">
        <f>P41+M41+J41+G41+D41</f>
        <v>1705619</v>
      </c>
      <c r="W41" s="48">
        <f>V41/2.1/1000</f>
        <v>812.2</v>
      </c>
      <c r="X41" s="118"/>
    </row>
    <row r="42" spans="1:26" s="42" customFormat="1" ht="13.5" thickBot="1">
      <c r="A42" s="495" t="str">
        <f>IF('3_Comp e Produtos'!B54="Sim",'3_Comp e Produtos'!A54,"NÃO SELECIONADO")</f>
        <v>A2 -Avaliação Independente</v>
      </c>
      <c r="B42" s="587">
        <f t="shared" si="8"/>
        <v>0</v>
      </c>
      <c r="C42" s="496">
        <v>0</v>
      </c>
      <c r="D42" s="587">
        <f>'9_Cronograma Físico'!AM42</f>
        <v>0</v>
      </c>
      <c r="E42" s="587">
        <f>'9_Cronograma Físico'!AR42</f>
        <v>0</v>
      </c>
      <c r="F42" s="496">
        <v>0</v>
      </c>
      <c r="G42" s="587">
        <f>'9_Cronograma Físico'!AR42</f>
        <v>0</v>
      </c>
      <c r="H42" s="587">
        <f>'9_Cronograma Físico'!AW42</f>
        <v>57600</v>
      </c>
      <c r="I42" s="496">
        <v>0</v>
      </c>
      <c r="J42" s="587">
        <f>'9_Cronograma Físico'!AW42</f>
        <v>57600</v>
      </c>
      <c r="K42" s="587">
        <f>'9_Cronograma Físico'!BB42</f>
        <v>57600</v>
      </c>
      <c r="L42" s="496">
        <v>0</v>
      </c>
      <c r="M42" s="587">
        <f>'9_Cronograma Físico'!BB42</f>
        <v>57600</v>
      </c>
      <c r="N42" s="587">
        <f>P42-O42</f>
        <v>28800</v>
      </c>
      <c r="O42" s="496">
        <v>0</v>
      </c>
      <c r="P42" s="587">
        <f>'9_Cronograma Físico'!BG42</f>
        <v>28800</v>
      </c>
      <c r="Q42" s="587">
        <f t="shared" si="39"/>
        <v>28800</v>
      </c>
      <c r="R42" s="496">
        <v>0</v>
      </c>
      <c r="S42" s="587">
        <f>IF($A42&lt;&gt;"NÃO SELECIONADO",'9_Cronograma Físico'!BG42,0)</f>
        <v>28800</v>
      </c>
      <c r="T42" s="630">
        <f t="shared" si="40"/>
        <v>144000</v>
      </c>
      <c r="U42" s="630">
        <f t="shared" si="40"/>
        <v>0</v>
      </c>
      <c r="V42" s="631">
        <f>P42+M42+J42+G42+D42</f>
        <v>144000</v>
      </c>
      <c r="W42" s="48">
        <f>V42/2.1/1000</f>
        <v>68.569999999999993</v>
      </c>
      <c r="X42" s="118"/>
    </row>
    <row r="43" spans="1:26">
      <c r="B43" s="235"/>
      <c r="C43" s="235"/>
      <c r="D43" s="235"/>
      <c r="E43" s="235"/>
      <c r="F43" s="235"/>
      <c r="G43" s="235"/>
      <c r="H43" s="235"/>
      <c r="I43" s="235"/>
      <c r="J43" s="235"/>
      <c r="K43" s="235"/>
      <c r="L43" s="235"/>
      <c r="M43" s="235"/>
      <c r="N43" s="235"/>
      <c r="O43" s="235"/>
      <c r="P43" s="235"/>
      <c r="Q43" s="235"/>
      <c r="R43" s="235"/>
      <c r="S43" s="235"/>
      <c r="T43" s="235"/>
      <c r="U43" s="235"/>
      <c r="V43" s="235"/>
      <c r="W43" s="97">
        <f>V43/2.1/1000</f>
        <v>0</v>
      </c>
    </row>
    <row r="44" spans="1:26">
      <c r="D44" s="258"/>
      <c r="T44" s="264"/>
      <c r="U44" s="235"/>
      <c r="V44" s="235"/>
    </row>
    <row r="46" spans="1:26">
      <c r="T46" s="235"/>
    </row>
  </sheetData>
  <sheetProtection selectLockedCells="1" selectUnlockedCells="1"/>
  <mergeCells count="8">
    <mergeCell ref="K2:M2"/>
    <mergeCell ref="N2:P2"/>
    <mergeCell ref="T2:V2"/>
    <mergeCell ref="A2:A3"/>
    <mergeCell ref="B2:D2"/>
    <mergeCell ref="E2:G2"/>
    <mergeCell ref="H2:J2"/>
    <mergeCell ref="Q2:S2"/>
  </mergeCells>
  <phoneticPr fontId="0" type="noConversion"/>
  <pageMargins left="0.39370078740157483" right="0.39370078740157483" top="0.78740157480314965" bottom="0.59055118110236227" header="0.31496062992125984" footer="0.31496062992125984"/>
  <pageSetup paperSize="9" scale="85" firstPageNumber="0" orientation="landscape" r:id="rId1"/>
  <headerFooter>
    <oddHeader>&amp;LBID Modernização da AGU&amp;C
&amp;"Arial,Negrito"PLANO DE AÇÃO E DE INVESTIMENTOS - PAI</oddHeader>
    <oddFooter>&amp;L&amp;D&amp;C&amp;A&amp;R&amp;P / &amp;N</oddFooter>
  </headerFooter>
  <colBreaks count="1" manualBreakCount="1">
    <brk id="10" max="1048575" man="1"/>
  </colBreaks>
</worksheet>
</file>

<file path=xl/worksheets/sheet11.xml><?xml version="1.0" encoding="utf-8"?>
<worksheet xmlns="http://schemas.openxmlformats.org/spreadsheetml/2006/main" xmlns:r="http://schemas.openxmlformats.org/officeDocument/2006/relationships">
  <dimension ref="A1:L45"/>
  <sheetViews>
    <sheetView showGridLines="0" view="pageBreakPreview" zoomScale="70" zoomScaleNormal="85" zoomScaleSheetLayoutView="70" workbookViewId="0">
      <selection activeCell="L9" sqref="L9"/>
    </sheetView>
  </sheetViews>
  <sheetFormatPr defaultColWidth="9" defaultRowHeight="12.75"/>
  <cols>
    <col min="1" max="1" width="75" style="63" customWidth="1"/>
    <col min="2" max="2" width="17" style="63" bestFit="1" customWidth="1"/>
    <col min="3" max="3" width="18.85546875" style="63" bestFit="1" customWidth="1"/>
    <col min="4" max="4" width="16.5703125" style="63" bestFit="1" customWidth="1"/>
    <col min="5" max="6" width="0" style="64" hidden="1" customWidth="1"/>
    <col min="7" max="7" width="14.5703125" style="64" customWidth="1"/>
    <col min="8" max="8" width="12.5703125" style="64" bestFit="1" customWidth="1"/>
    <col min="9" max="10" width="9" style="64"/>
    <col min="11" max="11" width="14" style="64" bestFit="1" customWidth="1"/>
    <col min="12" max="12" width="11.7109375" style="64" bestFit="1" customWidth="1"/>
    <col min="13" max="16384" width="9" style="64"/>
  </cols>
  <sheetData>
    <row r="1" spans="1:8" ht="27" customHeight="1">
      <c r="A1" s="52" t="s">
        <v>88</v>
      </c>
      <c r="B1" s="53"/>
      <c r="C1" s="53"/>
      <c r="D1" s="65" t="s">
        <v>7</v>
      </c>
    </row>
    <row r="2" spans="1:8">
      <c r="A2" s="867" t="s">
        <v>37</v>
      </c>
      <c r="B2" s="124"/>
      <c r="C2" s="125" t="s">
        <v>38</v>
      </c>
      <c r="D2" s="126"/>
      <c r="E2" s="868" t="s">
        <v>39</v>
      </c>
      <c r="F2" s="869" t="s">
        <v>40</v>
      </c>
    </row>
    <row r="3" spans="1:8">
      <c r="A3" s="867"/>
      <c r="B3" s="121" t="s">
        <v>34</v>
      </c>
      <c r="C3" s="127" t="s">
        <v>35</v>
      </c>
      <c r="D3" s="128" t="s">
        <v>16</v>
      </c>
      <c r="E3" s="868"/>
      <c r="F3" s="869"/>
    </row>
    <row r="4" spans="1:8">
      <c r="A4" s="60" t="s">
        <v>18</v>
      </c>
      <c r="B4" s="238">
        <f>SUM(B5:B7)</f>
        <v>1849619</v>
      </c>
      <c r="C4" s="238">
        <f>SUM(C5:C7)</f>
        <v>0</v>
      </c>
      <c r="D4" s="239">
        <f>SUM(B4:C4)</f>
        <v>1849619</v>
      </c>
      <c r="E4" s="66">
        <v>268650</v>
      </c>
      <c r="F4" s="67">
        <f>D4-E4</f>
        <v>1580969</v>
      </c>
    </row>
    <row r="5" spans="1:8">
      <c r="A5" s="61" t="str">
        <f>'3_Comp e Produtos'!A53</f>
        <v>A1 - Gestão do Projeto</v>
      </c>
      <c r="B5" s="240">
        <f>'10_Distribuição por Fonte'!T41</f>
        <v>1705619</v>
      </c>
      <c r="C5" s="241">
        <f>'10_Distribuição por Fonte'!U41</f>
        <v>0</v>
      </c>
      <c r="D5" s="242">
        <f t="shared" ref="D5:D7" si="0">SUM(B5:C5)</f>
        <v>1705619</v>
      </c>
      <c r="E5" s="68"/>
      <c r="F5" s="67"/>
    </row>
    <row r="6" spans="1:8" ht="13.5" thickBot="1">
      <c r="A6" s="102" t="str">
        <f>'3_Comp e Produtos'!A54</f>
        <v>A2 -Avaliação Independente</v>
      </c>
      <c r="B6" s="243">
        <f>'10_Distribuição por Fonte'!T42</f>
        <v>144000</v>
      </c>
      <c r="C6" s="244">
        <f>'10_Distribuição por Fonte'!U42</f>
        <v>0</v>
      </c>
      <c r="D6" s="245">
        <f t="shared" si="0"/>
        <v>144000</v>
      </c>
      <c r="E6" s="68"/>
      <c r="F6" s="67"/>
    </row>
    <row r="7" spans="1:8" ht="13.5" hidden="1" thickBot="1">
      <c r="A7" s="101" t="s">
        <v>30</v>
      </c>
      <c r="B7" s="246">
        <v>0</v>
      </c>
      <c r="C7" s="247"/>
      <c r="D7" s="245">
        <f t="shared" si="0"/>
        <v>0</v>
      </c>
      <c r="E7" s="68"/>
      <c r="F7" s="67"/>
    </row>
    <row r="8" spans="1:8" ht="22.5" customHeight="1">
      <c r="A8" s="60" t="s">
        <v>19</v>
      </c>
      <c r="B8" s="238">
        <f>SUM(B9:B11)</f>
        <v>28689098</v>
      </c>
      <c r="C8" s="238">
        <f>SUM(C9:C11)</f>
        <v>46122104</v>
      </c>
      <c r="D8" s="238">
        <f>SUM(D9:D11)</f>
        <v>74811202</v>
      </c>
      <c r="E8" s="68">
        <v>7856160</v>
      </c>
      <c r="F8" s="67">
        <f>D8-E8</f>
        <v>66955042</v>
      </c>
    </row>
    <row r="9" spans="1:8" ht="22.5" customHeight="1">
      <c r="A9" s="69" t="str">
        <f>'3_Comp e Produtos'!A6</f>
        <v>COMPONENTE 1: FORTALECIMENTO DA GESTÃO ESTRATÉGICA</v>
      </c>
      <c r="B9" s="248">
        <f>'10_Distribuição por Fonte'!T6</f>
        <v>4265565</v>
      </c>
      <c r="C9" s="248">
        <f>'10_Distribuição por Fonte'!U6</f>
        <v>2815386</v>
      </c>
      <c r="D9" s="249">
        <f>SUM(B9:C9)</f>
        <v>7080951</v>
      </c>
      <c r="E9" s="68"/>
      <c r="F9" s="67"/>
    </row>
    <row r="10" spans="1:8" ht="32.25" customHeight="1">
      <c r="A10" s="69" t="str">
        <f>'3_Comp e Produtos'!A20</f>
        <v>COMPONENTE 2: APRIMORAMENTO DA GESTÃO JURÍDICA DA AGU</v>
      </c>
      <c r="B10" s="248">
        <f>'10_Distribuição por Fonte'!T20</f>
        <v>19434033</v>
      </c>
      <c r="C10" s="248">
        <f>'10_Distribuição por Fonte'!U20</f>
        <v>43045218</v>
      </c>
      <c r="D10" s="249">
        <f t="shared" ref="D10:D11" si="1">SUM(B10:C10)</f>
        <v>62479251</v>
      </c>
      <c r="E10" s="68"/>
      <c r="F10" s="67"/>
    </row>
    <row r="11" spans="1:8" ht="30.75" customHeight="1" thickBot="1">
      <c r="A11" s="69" t="str">
        <f>'3_Comp e Produtos'!A43</f>
        <v>COMPONENTE 3: APRIMORAMENTO DA GESTÃO ADMINISTRATIVA DA AGU</v>
      </c>
      <c r="B11" s="248">
        <f>'10_Distribuição por Fonte'!T33</f>
        <v>4989500</v>
      </c>
      <c r="C11" s="248">
        <f>'10_Distribuição por Fonte'!U33</f>
        <v>261500</v>
      </c>
      <c r="D11" s="249">
        <f t="shared" si="1"/>
        <v>5251000</v>
      </c>
      <c r="E11" s="68"/>
      <c r="F11" s="67"/>
    </row>
    <row r="12" spans="1:8" s="72" customFormat="1">
      <c r="A12" s="129" t="s">
        <v>41</v>
      </c>
      <c r="B12" s="255">
        <f>B4+B8</f>
        <v>30538717</v>
      </c>
      <c r="C12" s="255">
        <f>C4+C8</f>
        <v>46122104</v>
      </c>
      <c r="D12" s="256">
        <f>D4+D8</f>
        <v>76660821</v>
      </c>
      <c r="E12" s="251">
        <f>E4+E8</f>
        <v>8124810</v>
      </c>
      <c r="F12" s="252">
        <f>D12-E12</f>
        <v>68536011</v>
      </c>
      <c r="G12" s="253"/>
    </row>
    <row r="13" spans="1:8" s="72" customFormat="1">
      <c r="A13" s="130" t="s">
        <v>44</v>
      </c>
      <c r="B13" s="104">
        <f>B12/D12</f>
        <v>0.4</v>
      </c>
      <c r="C13" s="104">
        <f>C12/D12</f>
        <v>0.6</v>
      </c>
      <c r="D13" s="131"/>
      <c r="E13" s="70"/>
      <c r="F13" s="71"/>
    </row>
    <row r="14" spans="1:8">
      <c r="A14" s="132" t="s">
        <v>20</v>
      </c>
      <c r="B14" s="248">
        <f>B35*1.8</f>
        <v>421285</v>
      </c>
      <c r="C14" s="248">
        <f>C35*1.8</f>
        <v>317896</v>
      </c>
      <c r="D14" s="257">
        <f>SUM(B14:C14)</f>
        <v>739181</v>
      </c>
      <c r="E14" s="68"/>
      <c r="F14" s="67"/>
    </row>
    <row r="15" spans="1:8" ht="13.5" thickBot="1">
      <c r="A15" s="133" t="s">
        <v>21</v>
      </c>
      <c r="B15" s="282"/>
      <c r="C15" s="283"/>
      <c r="D15" s="368">
        <f>C15</f>
        <v>0</v>
      </c>
      <c r="E15" s="68"/>
      <c r="F15" s="67"/>
    </row>
    <row r="16" spans="1:8" s="73" customFormat="1">
      <c r="A16" s="83" t="s">
        <v>22</v>
      </c>
      <c r="B16" s="250">
        <f>B12+B14</f>
        <v>30960002</v>
      </c>
      <c r="C16" s="250">
        <f>C14+C12</f>
        <v>46440000</v>
      </c>
      <c r="D16" s="254">
        <f>D14+D12</f>
        <v>77400002</v>
      </c>
      <c r="E16" s="68"/>
      <c r="F16" s="67"/>
      <c r="G16" s="366"/>
      <c r="H16" s="366"/>
    </row>
    <row r="17" spans="1:12" ht="13.5" thickBot="1">
      <c r="A17" s="74" t="s">
        <v>44</v>
      </c>
      <c r="B17" s="75">
        <f>B16/D16</f>
        <v>0.4</v>
      </c>
      <c r="C17" s="75">
        <f>C16/D16</f>
        <v>0.6</v>
      </c>
      <c r="D17" s="76">
        <v>1</v>
      </c>
      <c r="E17" s="77"/>
      <c r="F17" s="78"/>
      <c r="H17" s="259"/>
    </row>
    <row r="19" spans="1:12">
      <c r="B19" s="103"/>
    </row>
    <row r="20" spans="1:12">
      <c r="B20" s="103"/>
    </row>
    <row r="21" spans="1:12">
      <c r="K21" s="259"/>
    </row>
    <row r="22" spans="1:12" ht="27" customHeight="1">
      <c r="A22" s="607" t="s">
        <v>94</v>
      </c>
      <c r="B22" s="608" t="s">
        <v>50</v>
      </c>
      <c r="C22" s="609" t="s">
        <v>36</v>
      </c>
      <c r="D22" s="610">
        <f>'8_Consolidação Tipo Recurso'!H19</f>
        <v>1.8</v>
      </c>
    </row>
    <row r="23" spans="1:12">
      <c r="A23" s="870" t="s">
        <v>37</v>
      </c>
      <c r="B23" s="79"/>
      <c r="C23" s="80" t="s">
        <v>23</v>
      </c>
      <c r="D23" s="611"/>
    </row>
    <row r="24" spans="1:12">
      <c r="A24" s="870"/>
      <c r="B24" s="81" t="s">
        <v>34</v>
      </c>
      <c r="C24" s="82" t="s">
        <v>35</v>
      </c>
      <c r="D24" s="612" t="s">
        <v>16</v>
      </c>
      <c r="L24" s="261"/>
    </row>
    <row r="25" spans="1:12" ht="19.5" customHeight="1">
      <c r="A25" s="613" t="s">
        <v>18</v>
      </c>
      <c r="B25" s="238">
        <f>SUM(B26:B28)</f>
        <v>1027566</v>
      </c>
      <c r="C25" s="238">
        <f>SUM(C26:C28)</f>
        <v>0</v>
      </c>
      <c r="D25" s="614">
        <f>SUM(B25:C25)</f>
        <v>1027566</v>
      </c>
      <c r="G25" s="259"/>
    </row>
    <row r="26" spans="1:12" ht="18" customHeight="1">
      <c r="A26" s="615" t="str">
        <f>A5</f>
        <v>A1 - Gestão do Projeto</v>
      </c>
      <c r="B26" s="588">
        <f t="shared" ref="B26:C28" si="2">B5/$D$22</f>
        <v>947566</v>
      </c>
      <c r="C26" s="588">
        <f t="shared" si="2"/>
        <v>0</v>
      </c>
      <c r="D26" s="616">
        <f t="shared" ref="D26:D28" si="3">SUM(B26:C26)</f>
        <v>947566</v>
      </c>
      <c r="G26" s="259"/>
    </row>
    <row r="27" spans="1:12" ht="20.25" customHeight="1" thickBot="1">
      <c r="A27" s="615" t="str">
        <f>A6</f>
        <v>A2 -Avaliação Independente</v>
      </c>
      <c r="B27" s="588">
        <f t="shared" si="2"/>
        <v>80000</v>
      </c>
      <c r="C27" s="588">
        <f t="shared" si="2"/>
        <v>0</v>
      </c>
      <c r="D27" s="617">
        <f t="shared" si="3"/>
        <v>80000</v>
      </c>
      <c r="G27" s="259"/>
      <c r="K27" s="260"/>
    </row>
    <row r="28" spans="1:12" ht="13.5" hidden="1" thickBot="1">
      <c r="A28" s="618" t="s">
        <v>30</v>
      </c>
      <c r="B28" s="588">
        <f t="shared" si="2"/>
        <v>0</v>
      </c>
      <c r="C28" s="588">
        <f t="shared" si="2"/>
        <v>0</v>
      </c>
      <c r="D28" s="619">
        <f t="shared" si="3"/>
        <v>0</v>
      </c>
    </row>
    <row r="29" spans="1:12" ht="17.25" customHeight="1">
      <c r="A29" s="613" t="s">
        <v>19</v>
      </c>
      <c r="B29" s="238">
        <f>SUM(B30:B32)</f>
        <v>15938387</v>
      </c>
      <c r="C29" s="238">
        <f t="shared" ref="C29:D29" si="4">SUM(C30:C32)</f>
        <v>25623391</v>
      </c>
      <c r="D29" s="614">
        <f t="shared" si="4"/>
        <v>41561779</v>
      </c>
      <c r="G29" s="259"/>
    </row>
    <row r="30" spans="1:12" ht="25.5" customHeight="1">
      <c r="A30" s="620" t="str">
        <f>A9</f>
        <v>COMPONENTE 1: FORTALECIMENTO DA GESTÃO ESTRATÉGICA</v>
      </c>
      <c r="B30" s="588">
        <f>B9/1.8</f>
        <v>2369758</v>
      </c>
      <c r="C30" s="588">
        <f t="shared" ref="C30:D30" si="5">C9/1.8</f>
        <v>1564103</v>
      </c>
      <c r="D30" s="257">
        <f t="shared" si="5"/>
        <v>3933862</v>
      </c>
      <c r="G30" s="259"/>
    </row>
    <row r="31" spans="1:12" ht="21" customHeight="1">
      <c r="A31" s="620" t="str">
        <f>A10</f>
        <v>COMPONENTE 2: APRIMORAMENTO DA GESTÃO JURÍDICA DA AGU</v>
      </c>
      <c r="B31" s="588">
        <f t="shared" ref="B31:D32" si="6">B10/1.8</f>
        <v>10796685</v>
      </c>
      <c r="C31" s="588">
        <f t="shared" si="6"/>
        <v>23914010</v>
      </c>
      <c r="D31" s="257">
        <f t="shared" si="6"/>
        <v>34710695</v>
      </c>
      <c r="G31" s="259"/>
    </row>
    <row r="32" spans="1:12" ht="36" customHeight="1" thickBot="1">
      <c r="A32" s="620" t="str">
        <f>A11</f>
        <v>COMPONENTE 3: APRIMORAMENTO DA GESTÃO ADMINISTRATIVA DA AGU</v>
      </c>
      <c r="B32" s="588">
        <f t="shared" si="6"/>
        <v>2771944</v>
      </c>
      <c r="C32" s="588">
        <f t="shared" si="6"/>
        <v>145278</v>
      </c>
      <c r="D32" s="257">
        <f t="shared" si="6"/>
        <v>2917222</v>
      </c>
      <c r="G32" s="259"/>
    </row>
    <row r="33" spans="1:7" ht="21" customHeight="1">
      <c r="A33" s="129" t="s">
        <v>41</v>
      </c>
      <c r="B33" s="255">
        <f>B25+B29</f>
        <v>16965953</v>
      </c>
      <c r="C33" s="255">
        <f>C25+C29</f>
        <v>25623391</v>
      </c>
      <c r="D33" s="256">
        <f>D25+D29</f>
        <v>42589345</v>
      </c>
      <c r="G33" s="259"/>
    </row>
    <row r="34" spans="1:7" s="72" customFormat="1" ht="22.5" customHeight="1">
      <c r="A34" s="130" t="s">
        <v>44</v>
      </c>
      <c r="B34" s="104">
        <f>B33/D33</f>
        <v>0.4</v>
      </c>
      <c r="C34" s="104">
        <f>C33/D33</f>
        <v>0.6</v>
      </c>
      <c r="D34" s="131"/>
      <c r="E34" s="70"/>
      <c r="F34" s="71"/>
      <c r="G34" s="253"/>
    </row>
    <row r="35" spans="1:7" ht="18" customHeight="1">
      <c r="A35" s="132" t="s">
        <v>20</v>
      </c>
      <c r="B35" s="589">
        <v>234047</v>
      </c>
      <c r="C35" s="589">
        <v>176609</v>
      </c>
      <c r="D35" s="590">
        <f>D37-D33</f>
        <v>410655</v>
      </c>
      <c r="G35" s="259"/>
    </row>
    <row r="36" spans="1:7" ht="21" customHeight="1" thickBot="1">
      <c r="A36" s="275" t="s">
        <v>21</v>
      </c>
      <c r="B36" s="280">
        <f>B15/$D$22</f>
        <v>0</v>
      </c>
      <c r="C36" s="280">
        <f>C15/$D$22</f>
        <v>0</v>
      </c>
      <c r="D36" s="281">
        <f>C36</f>
        <v>0</v>
      </c>
      <c r="G36" s="259"/>
    </row>
    <row r="37" spans="1:7">
      <c r="A37" s="276" t="s">
        <v>22</v>
      </c>
      <c r="B37" s="255">
        <f>B33+B35</f>
        <v>17200000</v>
      </c>
      <c r="C37" s="255">
        <f>C35+C33</f>
        <v>25800000</v>
      </c>
      <c r="D37" s="256">
        <v>43000000</v>
      </c>
      <c r="G37" s="259"/>
    </row>
    <row r="38" spans="1:7" ht="13.5" thickBot="1">
      <c r="A38" s="277" t="s">
        <v>44</v>
      </c>
      <c r="B38" s="278">
        <f>B37/D37</f>
        <v>0.4</v>
      </c>
      <c r="C38" s="278">
        <f>C37/D37</f>
        <v>0.6</v>
      </c>
      <c r="D38" s="279">
        <v>1</v>
      </c>
      <c r="G38" s="259">
        <f>17200000-B37</f>
        <v>0</v>
      </c>
    </row>
    <row r="39" spans="1:7">
      <c r="A39" s="284"/>
      <c r="B39" s="285"/>
      <c r="C39" s="142"/>
      <c r="D39" s="103"/>
    </row>
    <row r="40" spans="1:7">
      <c r="A40" s="286"/>
      <c r="B40" s="262"/>
      <c r="C40" s="262"/>
      <c r="D40" s="103"/>
    </row>
    <row r="41" spans="1:7">
      <c r="A41" s="286"/>
      <c r="B41" s="142"/>
    </row>
    <row r="42" spans="1:7">
      <c r="A42" s="286"/>
      <c r="B42" s="263"/>
      <c r="C42" s="142"/>
      <c r="D42" s="367"/>
    </row>
    <row r="43" spans="1:7">
      <c r="A43" s="286"/>
      <c r="B43" s="105"/>
    </row>
    <row r="44" spans="1:7">
      <c r="C44" s="263"/>
    </row>
    <row r="45" spans="1:7">
      <c r="B45" s="142"/>
      <c r="C45" s="263"/>
    </row>
  </sheetData>
  <mergeCells count="4">
    <mergeCell ref="A2:A3"/>
    <mergeCell ref="E2:E3"/>
    <mergeCell ref="F2:F3"/>
    <mergeCell ref="A23:A24"/>
  </mergeCells>
  <phoneticPr fontId="0" type="noConversion"/>
  <conditionalFormatting sqref="B25:C25 B4:C4">
    <cfRule type="cellIs" dxfId="1" priority="2" stopIfTrue="1" operator="notEqual">
      <formula>$D$4*"'10_Orçamento Global'.$#REF!$#REF!"</formula>
    </cfRule>
  </conditionalFormatting>
  <conditionalFormatting sqref="B11:C11 B8:C9 C10:C11 C8:D8 B29:D29">
    <cfRule type="cellIs" dxfId="0" priority="3" stopIfTrue="1" operator="notEqual">
      <formula>$D$8*"'10_Orçamento Global'.$#REF!$#REF!"</formula>
    </cfRule>
  </conditionalFormatting>
  <printOptions horizontalCentered="1"/>
  <pageMargins left="0.39370078740157483" right="0.39370078740157483" top="0.78740157480314965" bottom="0.59055118110236227" header="0.31496062992125984" footer="0.31496062992125984"/>
  <pageSetup paperSize="9" scale="77" firstPageNumber="0" orientation="landscape" r:id="rId1"/>
  <headerFooter>
    <oddHeader>&amp;LBID Modernização da AGU&amp;C
&amp;"Arial,Negrito"PLANO DE AÇÃO E DE INVESTIMENTOS - PAI</oddHeader>
    <oddFooter>&amp;L&amp;D&amp;C&amp;A&amp;R&amp;P / &amp;N</oddFooter>
  </headerFooter>
</worksheet>
</file>

<file path=xl/worksheets/sheet12.xml><?xml version="1.0" encoding="utf-8"?>
<worksheet xmlns="http://schemas.openxmlformats.org/spreadsheetml/2006/main" xmlns:r="http://schemas.openxmlformats.org/officeDocument/2006/relationships">
  <sheetPr>
    <tabColor rgb="FFFF0000"/>
  </sheetPr>
  <dimension ref="A1:K40"/>
  <sheetViews>
    <sheetView showGridLines="0" tabSelected="1" topLeftCell="A29" zoomScale="70" zoomScaleNormal="70" workbookViewId="0">
      <selection activeCell="H40" sqref="H40"/>
    </sheetView>
  </sheetViews>
  <sheetFormatPr defaultColWidth="9.140625" defaultRowHeight="12.75"/>
  <cols>
    <col min="1" max="1" width="46.85546875" style="12" customWidth="1"/>
    <col min="2" max="2" width="36.28515625" hidden="1" customWidth="1"/>
    <col min="3" max="3" width="35.5703125" hidden="1" customWidth="1"/>
    <col min="4" max="4" width="10.85546875" customWidth="1"/>
    <col min="5" max="5" width="11.140625" customWidth="1"/>
    <col min="6" max="6" width="13.7109375" customWidth="1"/>
    <col min="7" max="7" width="15" customWidth="1"/>
    <col min="8" max="8" width="14.85546875" customWidth="1"/>
    <col min="9" max="9" width="11.85546875" customWidth="1"/>
    <col min="10" max="10" width="14" customWidth="1"/>
    <col min="11" max="11" width="15.7109375" customWidth="1"/>
  </cols>
  <sheetData>
    <row r="1" spans="1:11" ht="28.5" customHeight="1" thickBot="1">
      <c r="A1" s="529" t="s">
        <v>89</v>
      </c>
      <c r="B1" s="460"/>
      <c r="C1" s="527"/>
      <c r="D1" s="527"/>
      <c r="E1" s="527"/>
      <c r="F1" s="527"/>
      <c r="G1" s="527"/>
      <c r="H1" s="527"/>
      <c r="I1" s="527"/>
      <c r="J1" s="527"/>
      <c r="K1" s="528"/>
    </row>
    <row r="2" spans="1:11" ht="13.5" customHeight="1" thickBot="1">
      <c r="A2" s="876" t="s">
        <v>72</v>
      </c>
      <c r="B2" s="878" t="s">
        <v>4</v>
      </c>
      <c r="C2" s="873" t="s">
        <v>5</v>
      </c>
      <c r="D2" s="873" t="s">
        <v>71</v>
      </c>
      <c r="E2" s="873" t="s">
        <v>54</v>
      </c>
      <c r="F2" s="873" t="s">
        <v>97</v>
      </c>
      <c r="G2" s="873" t="s">
        <v>68</v>
      </c>
      <c r="H2" s="873" t="s">
        <v>67</v>
      </c>
      <c r="I2" s="873"/>
      <c r="J2" s="873" t="s">
        <v>66</v>
      </c>
      <c r="K2" s="875"/>
    </row>
    <row r="3" spans="1:11" ht="13.5" thickBot="1">
      <c r="A3" s="877"/>
      <c r="B3" s="879"/>
      <c r="C3" s="874"/>
      <c r="D3" s="874"/>
      <c r="E3" s="874"/>
      <c r="F3" s="874"/>
      <c r="G3" s="874"/>
      <c r="H3" s="621" t="s">
        <v>62</v>
      </c>
      <c r="I3" s="621" t="s">
        <v>96</v>
      </c>
      <c r="J3" s="621" t="s">
        <v>62</v>
      </c>
      <c r="K3" s="155" t="s">
        <v>65</v>
      </c>
    </row>
    <row r="4" spans="1:11" ht="12" customHeight="1" thickBot="1"/>
    <row r="5" spans="1:11" ht="13.5" hidden="1" thickBot="1"/>
    <row r="6" spans="1:11" ht="26.25" customHeight="1" thickBot="1">
      <c r="A6" s="880" t="str">
        <f>'3_Comp e Produtos'!A6</f>
        <v>COMPONENTE 1: FORTALECIMENTO DA GESTÃO ESTRATÉGICA</v>
      </c>
      <c r="B6" s="881"/>
      <c r="C6" s="881"/>
      <c r="D6" s="881"/>
      <c r="E6" s="882"/>
      <c r="F6" s="639">
        <f>SUM(F7:F17)</f>
        <v>6259950</v>
      </c>
      <c r="G6" s="639">
        <f>SUM(G7:G17)</f>
        <v>4453867</v>
      </c>
      <c r="H6" s="639">
        <f>SUM(H7:H17)</f>
        <v>2854928</v>
      </c>
      <c r="I6" s="639">
        <f t="shared" ref="I6:K6" si="0">SUM(I7:I14)</f>
        <v>0</v>
      </c>
      <c r="J6" s="639">
        <f>SUM(J7:J17)</f>
        <v>1598939</v>
      </c>
      <c r="K6" s="640">
        <f t="shared" si="0"/>
        <v>0</v>
      </c>
    </row>
    <row r="7" spans="1:11" ht="69.75" customHeight="1">
      <c r="A7" s="117" t="str">
        <f>'9_Cronograma Físico'!A7</f>
        <v>1.1. Plano de ação para a implementação da estratégia para melhorar a defesa jurídica do Estado e o papel da AGU na sustentabilidade jurídica das políticas públicas incluindo a avaliação dos riscos para o Estado (Diretrizes Estratégicas 2008/2015)</v>
      </c>
      <c r="B7" s="266" t="str">
        <f>IF($A7&lt;&gt;"NÃO SELECIONADO",'4_Componente 1'!B5,"")</f>
        <v>1. Seleção e Contratação de consultoria para:
(i) Definição da metodologia (prioridades, escopo, capacitação, ferramentas);
(ii) Elaboração do plano de desdobramento estratégico e de implementação da estratégia;
(iii) Proposta de comunicação interna e externa.
2. Entrega e validação do plano de ação.
3. Implementação do plano de ação.</v>
      </c>
      <c r="C7" s="266">
        <f>IF($A7&lt;&gt;"NÃO SELECIONADO",'4_Componente 1'!C5,"")</f>
        <v>0</v>
      </c>
      <c r="D7" s="267">
        <f>'9_Cronograma Físico'!B7</f>
        <v>41000</v>
      </c>
      <c r="E7" s="267">
        <f>IF($A7&lt;&gt;"NÃO SELECIONADO",'9_Cronograma Físico'!D7,"")</f>
        <v>41174</v>
      </c>
      <c r="F7" s="369">
        <f>IF($A7&lt;&gt;"NÃO SELECIONADO",'9_Cronograma Físico'!AC7,"")</f>
        <v>689200</v>
      </c>
      <c r="G7" s="268">
        <f>SUM('9_Cronograma Físico'!AH7:AL7)</f>
        <v>689200</v>
      </c>
      <c r="H7" s="268">
        <f>G7-J7</f>
        <v>432000</v>
      </c>
      <c r="I7" s="268">
        <v>0</v>
      </c>
      <c r="J7" s="370">
        <f>'10_Distribuição por Fonte'!C7+'10_Distribuição por Fonte'!F7</f>
        <v>257200</v>
      </c>
      <c r="K7" s="269">
        <v>0</v>
      </c>
    </row>
    <row r="8" spans="1:11" ht="52.5" customHeight="1">
      <c r="A8" s="143" t="str">
        <f>IF('3_Comp e Produtos'!F8="Sim",'3_Comp e Produtos'!A8,"NÃO SELECIONADO")</f>
        <v>1.2 Monitoramento estratégico dos créditos ativos e riscos para o Estado</v>
      </c>
      <c r="B8" s="153" t="str">
        <f>IF($A8&lt;&gt;"NÃO SELECIONADO",'4_Componente 1'!B10,"")</f>
        <v xml:space="preserve">1. Conclusão do Projeto Lógico dos módulos do sistema Sisdat: pré-inscrição, inscrição, pagamento, parcelamento de créditos;
2. Seleção e Contratação de consultoria para Prospecção de boas práticas em gerenciamento de riscos: (i) para troca de experiências nacionais e internacionais; (ii) análises de viabilidade de implementação de melhorias no sistema existente e integração ao e-AGU; 
3.  Projeto Lógico do Sistema de gestão de riscos elaborado.
</v>
      </c>
      <c r="C8" s="153">
        <f>IF($A8&lt;&gt;"NÃO SELECIONADO",'4_Componente 1'!C10,"")</f>
        <v>0</v>
      </c>
      <c r="D8" s="267">
        <f>IF($A8&lt;&gt;"NÃO SELECIONADO",'9_Cronograma Físico'!B8,"")</f>
        <v>41183</v>
      </c>
      <c r="E8" s="267">
        <f>IF($A8&lt;&gt;"NÃO SELECIONADO",'9_Cronograma Físico'!D8,"")</f>
        <v>41270</v>
      </c>
      <c r="F8" s="369">
        <f>IF($A8&lt;&gt;"NÃO SELECIONADO",'9_Cronograma Físico'!AC8,"")</f>
        <v>618000</v>
      </c>
      <c r="G8" s="268">
        <f>SUM('9_Cronograma Físico'!AH8:AL8)</f>
        <v>618000</v>
      </c>
      <c r="H8" s="268">
        <f t="shared" ref="H8:H14" si="1">G8-J8</f>
        <v>480000</v>
      </c>
      <c r="I8" s="268">
        <v>0</v>
      </c>
      <c r="J8" s="370">
        <f>'10_Distribuição por Fonte'!C8+'10_Distribuição por Fonte'!F8</f>
        <v>138000</v>
      </c>
      <c r="K8" s="269">
        <v>0</v>
      </c>
    </row>
    <row r="9" spans="1:11" ht="57" customHeight="1">
      <c r="A9" s="143" t="str">
        <f>IF('3_Comp e Produtos'!F10="Sim",'3_Comp e Produtos'!A10,"NÃO SELECIONADO")</f>
        <v>1.4. Sistema de indicadores, metas e avaliação da gestão por resultados</v>
      </c>
      <c r="B9" s="153" t="str">
        <f>IF($A9&lt;&gt;"NÃO SELECIONADO",'4_Componente 1'!B20,"")</f>
        <v>1. Seleção e Contratação de consultoria para: 
(i) prospecção de boas práticas nos setores público e privado, incluindo troca de experiências internacionais;
(ii) elaboração dos indicadores e metas de gestão;
(iii) Prospecção de soluções informatizadas.
2. Entrega e validação.</v>
      </c>
      <c r="C9" s="153">
        <f>IF($A9&lt;&gt;"NÃO SELECIONADO",'4_Componente 1'!C20,"")</f>
        <v>0</v>
      </c>
      <c r="D9" s="267">
        <f>IF($A9&lt;&gt;"NÃO SELECIONADO",'9_Cronograma Físico'!B10,"")</f>
        <v>41275</v>
      </c>
      <c r="E9" s="267">
        <f>IF($A9&lt;&gt;"NÃO SELECIONADO",'9_Cronograma Físico'!D10,"")</f>
        <v>41362</v>
      </c>
      <c r="F9" s="369">
        <f>IF($A9&lt;&gt;"NÃO SELECIONADO",'9_Cronograma Físico'!AC10,"")</f>
        <v>256500</v>
      </c>
      <c r="G9" s="268">
        <f>H9+J9</f>
        <v>256500</v>
      </c>
      <c r="H9" s="268">
        <v>144000</v>
      </c>
      <c r="I9" s="268">
        <v>0</v>
      </c>
      <c r="J9" s="370">
        <f>'10_Distribuição por Fonte'!C10+'10_Distribuição por Fonte'!F10</f>
        <v>112500</v>
      </c>
      <c r="K9" s="269">
        <v>0</v>
      </c>
    </row>
    <row r="10" spans="1:11" ht="56.25" customHeight="1">
      <c r="A10" s="143" t="str">
        <f>IF('3_Comp e Produtos'!F12="Sim",'3_Comp e Produtos'!A12,"NÃO SELECIONADO")</f>
        <v>1.6. Criação de uma unidade de gestão do conhecimento</v>
      </c>
      <c r="B10" s="153" t="str">
        <f>IF($A10&lt;&gt;"NÃO SELECIONADO",'4_Componente 1'!B30,"")</f>
        <v>1. Seleção e Contratação de consultoria para: 
(i) Prospecção junto a outros órgãos ou entidades da Administração Pública ou Privada;
(ii) Estabelecimento das competências e da vinculação hierárquica; 
(iii) Definição da estrutura orgânica da unidade; 
(iv) definição dos recursos humanos e materiais necessários. 
2. Entrega e validação
3. Resolução de criação da unidade.</v>
      </c>
      <c r="C10" s="153">
        <f>IF($A10&lt;&gt;"NÃO SELECIONADO",'4_Componente 1'!C30,"")</f>
        <v>0</v>
      </c>
      <c r="D10" s="267">
        <f>IF($A10&lt;&gt;"NÃO SELECIONADO",'9_Cronograma Físico'!B12,"")</f>
        <v>41091</v>
      </c>
      <c r="E10" s="267">
        <f>IF($A10&lt;&gt;"NÃO SELECIONADO",'9_Cronograma Físico'!D12,"")</f>
        <v>41178</v>
      </c>
      <c r="F10" s="369">
        <f>IF($A10&lt;&gt;"NÃO SELECIONADO",'9_Cronograma Físico'!AC12,"")</f>
        <v>39250</v>
      </c>
      <c r="G10" s="268">
        <f>SUM('9_Cronograma Físico'!AH12:AL12)</f>
        <v>39250</v>
      </c>
      <c r="H10" s="268">
        <f t="shared" si="1"/>
        <v>36000</v>
      </c>
      <c r="I10" s="268">
        <v>0</v>
      </c>
      <c r="J10" s="370">
        <f>'10_Distribuição por Fonte'!C12+'10_Distribuição por Fonte'!F12</f>
        <v>3250</v>
      </c>
      <c r="K10" s="269">
        <v>0</v>
      </c>
    </row>
    <row r="11" spans="1:11" ht="54.75" customHeight="1">
      <c r="A11" s="143" t="str">
        <f>IF('3_Comp e Produtos'!F13="Sim",'3_Comp e Produtos'!A13,"NÃO SELECIONADO")</f>
        <v>1.7. Instalar uma ferramenta de BI incluindo recursos para Text Mining e Data Mining</v>
      </c>
      <c r="B11" s="153" t="str">
        <f>IF($A11&lt;&gt;"NÃO SELECIONADO",'4_Componente 1'!B35,"")</f>
        <v>1. Seleção e Contratação de consultoria para: 
(i) Prospecção de ferramentas existentes no mercado.
(ii) Levantamento das necessidades de recursos tecnológicos e técnicos da GTI. 
(iii) Elaboração de termos de referência para a contratação da ferramenta; 
2. Entrega e validação.
3. Aquisição da solução e de recursos tecnológicos necessários (incluindo instalação e capacitação da área de TI). 
4. Instalação e adequação da ferramenta (incluindo a regulamentação de uso). 
5. Avaliação da ferramenta.
6. Capacitação dos servidores.</v>
      </c>
      <c r="C11" s="153">
        <f>IF($A11&lt;&gt;"NÃO SELECIONADO",'4_Componente 1'!C35,"")</f>
        <v>0</v>
      </c>
      <c r="D11" s="267">
        <f>IF($A11&lt;&gt;"NÃO SELECIONADO",'9_Cronograma Físico'!B13,"")</f>
        <v>41275</v>
      </c>
      <c r="E11" s="267">
        <f>IF($A11&lt;&gt;"NÃO SELECIONADO",'9_Cronograma Físico'!D13,"")</f>
        <v>41995</v>
      </c>
      <c r="F11" s="369">
        <f>IF($A11&lt;&gt;"NÃO SELECIONADO",'9_Cronograma Físico'!AC13,"")</f>
        <v>605000</v>
      </c>
      <c r="G11" s="268">
        <f>H11+J11</f>
        <v>302250</v>
      </c>
      <c r="H11" s="268">
        <v>151000</v>
      </c>
      <c r="I11" s="268">
        <v>0</v>
      </c>
      <c r="J11" s="370">
        <f>'10_Distribuição por Fonte'!C13+'10_Distribuição por Fonte'!F13</f>
        <v>151250</v>
      </c>
      <c r="K11" s="269">
        <v>0</v>
      </c>
    </row>
    <row r="12" spans="1:11" ht="47.25" customHeight="1">
      <c r="A12" s="143" t="str">
        <f>IF('3_Comp e Produtos'!F14="Sim",'3_Comp e Produtos'!A14,"NÃO SELECIONADO")</f>
        <v>1.8. Criação do Escritório de Processos</v>
      </c>
      <c r="B12" s="153" t="str">
        <f>IF($A12&lt;&gt;"NÃO SELECIONADO",'4_Componente 1'!B40,"")</f>
        <v>1. Seleção e Contratação de consultoria para:
(i) Prospecção e "Benchmarking";
(ii) Definição das atribuições do Escritório;
(iii) Definição da estrutura do Escritório e sua vinculação;
(iv) Definição dos recursos;
2. Entrega e validação
3. Instituição do Escritório de  Processos</v>
      </c>
      <c r="C12" s="153">
        <f>IF($A12&lt;&gt;"NÃO SELECIONADO",'4_Componente 1'!C40,"")</f>
        <v>0</v>
      </c>
      <c r="D12" s="267">
        <f>IF($A12&lt;&gt;"NÃO SELECIONADO",'9_Cronograma Físico'!B14,"")</f>
        <v>40909</v>
      </c>
      <c r="E12" s="267">
        <f>IF($A12&lt;&gt;"NÃO SELECIONADO",'9_Cronograma Físico'!D14,"")</f>
        <v>40996</v>
      </c>
      <c r="F12" s="369">
        <f>IF($A12&lt;&gt;"NÃO SELECIONADO",'9_Cronograma Físico'!AC14,"")</f>
        <v>36000</v>
      </c>
      <c r="G12" s="268">
        <f>SUM('9_Cronograma Físico'!AH14:AL14)</f>
        <v>36000</v>
      </c>
      <c r="H12" s="268">
        <f t="shared" si="1"/>
        <v>36000</v>
      </c>
      <c r="I12" s="268">
        <v>0</v>
      </c>
      <c r="J12" s="370">
        <f>'10_Distribuição por Fonte'!C14+'10_Distribuição por Fonte'!F14</f>
        <v>0</v>
      </c>
      <c r="K12" s="269">
        <v>0</v>
      </c>
    </row>
    <row r="13" spans="1:11" ht="54.75" customHeight="1">
      <c r="A13" s="143" t="str">
        <f>IF('3_Comp e Produtos'!F15="Sim",'3_Comp e Produtos'!A15,"NÃO SELECIONADO")</f>
        <v>1.9. Modelo dinâmico de gerência, controle, otimização, integração e sustentabilidade dos processos operacionais e de gestão</v>
      </c>
      <c r="B13" s="153" t="str">
        <f>IF($A13&lt;&gt;"NÃO SELECIONADO",'4_Componente 1'!B45,"")</f>
        <v xml:space="preserve">1. Seleção e Contratação de consultoria para: 
(i) Definição da Metodologia; 
(ii) Definição da Ferramenta; 
(iii) Definição do modelo de capacitação; 
(iv) Plano de Implementação gradual 
2. Entrega e validação.
3. Aquisição de ferramenta de modelagem;
4. Implementar metodologia.
5. Avaliação da implementação e sugestões de melhoria.
</v>
      </c>
      <c r="C13" s="153">
        <f>IF($A13&lt;&gt;"NÃO SELECIONADO",'4_Componente 1'!C45,"")</f>
        <v>0</v>
      </c>
      <c r="D13" s="267">
        <f>IF($A13&lt;&gt;"NÃO SELECIONADO",'9_Cronograma Físico'!B15,"")</f>
        <v>40909</v>
      </c>
      <c r="E13" s="267">
        <f>IF($A13&lt;&gt;"NÃO SELECIONADO",'9_Cronograma Físico'!D15,"")</f>
        <v>40996</v>
      </c>
      <c r="F13" s="369">
        <f>IF($A13&lt;&gt;"NÃO SELECIONADO",'9_Cronograma Físico'!AC15,"")</f>
        <v>836000</v>
      </c>
      <c r="G13" s="268">
        <f>SUM('9_Cronograma Físico'!AH15:AL15)</f>
        <v>836000</v>
      </c>
      <c r="H13" s="268">
        <f t="shared" si="1"/>
        <v>144000</v>
      </c>
      <c r="I13" s="268">
        <v>0</v>
      </c>
      <c r="J13" s="370">
        <f>'10_Distribuição por Fonte'!C15+'10_Distribuição por Fonte'!F15</f>
        <v>692000</v>
      </c>
      <c r="K13" s="269">
        <v>0</v>
      </c>
    </row>
    <row r="14" spans="1:11" ht="48.75" customHeight="1">
      <c r="A14" s="143" t="str">
        <f>IF('3_Comp e Produtos'!F16="Sim",'3_Comp e Produtos'!A16,"NÃO SELECIONADO")</f>
        <v>1.10. Unidade responsável pela definição e monitoramento dos projetos institucionais (Escitório de Gestão de Projetos)</v>
      </c>
      <c r="B14" s="153" t="str">
        <f>IF($A14&lt;&gt;"NÃO SELECIONADO",'4_Componente 1'!B65,"")</f>
        <v>1. Seleção e Contratação de consultoria (anos 1 a 5) para: 
(i) Prospecção e identificação de políticas e práticas de gestão de mudanças; 
(ii) Diagnóstico de cultura e clima organizacional e identificação de fatores explicativos do perfil comportamental;
(iii) Proposta de estratégias e mecanismos de incentivo à mudança e prevenção e gestão de possíveis resistências organizacionais;
(iv) Elaboração do plano de implementação das estratégias de gestão de mudanças;
(v) Elaboração de proposta de mecanismo de avaliação contínua de efetividade das estratégias e ações da gestão de mudança.
2. Entrega e validação
3. Seleção e Contratação de consultoria para: 
(i) Implementação das primeiras ações do plano de gestão da mudança.
4. Entrega e validação da política e do plano gestão das mudança.
5. Continuação de consultoria para: 
(i) Implementação do plano das estratégias e iniciativas de mudanças.
6. Entrega e validação
7. Seleção e Contratação de consultoria para: 
(i) Avaliação da implementação e dos resultados das iniciativas de gestão de mudanças;
(ii) Análise das ações e proposta de melhorias nas ações de gestão das mudanças.
8. Entrega e validação da análise das ações e do plano de gestão da mudança.</v>
      </c>
      <c r="C14" s="153">
        <f>IF($A14&lt;&gt;"NÃO SELECIONADO",'4_Componente 1'!C65,"")</f>
        <v>0</v>
      </c>
      <c r="D14" s="267">
        <f>IF($A14&lt;&gt;"NÃO SELECIONADO",'9_Cronograma Físico'!B16,"")</f>
        <v>40909</v>
      </c>
      <c r="E14" s="267">
        <f>IF($A14&lt;&gt;"NÃO SELECIONADO",'9_Cronograma Físico'!D16,"")</f>
        <v>40996</v>
      </c>
      <c r="F14" s="369">
        <f>IF($A14&lt;&gt;"NÃO SELECIONADO",'9_Cronograma Físico'!AC16,"")</f>
        <v>528000</v>
      </c>
      <c r="G14" s="268">
        <f>SUM('9_Cronograma Físico'!AH16:AL16)</f>
        <v>528000</v>
      </c>
      <c r="H14" s="268">
        <f t="shared" si="1"/>
        <v>286713</v>
      </c>
      <c r="I14" s="268">
        <v>0</v>
      </c>
      <c r="J14" s="370">
        <f>'10_Distribuição por Fonte'!C16+'10_Distribuição por Fonte'!F16</f>
        <v>241287</v>
      </c>
      <c r="K14" s="269">
        <v>0</v>
      </c>
    </row>
    <row r="15" spans="1:11" ht="38.25">
      <c r="A15" s="143" t="str">
        <f>IF('3_Comp e Produtos'!F17="Sim",'3_Comp e Produtos'!A17,"NÃO SELECIONADO")</f>
        <v>1.11. Política de comunicação das mudanças aos cidadãos, sobre as ações previstas no Projeto, desenhada e implementada</v>
      </c>
      <c r="B15" s="153">
        <f>IF($A15&lt;&gt;"NÃO SELECIONADO",'4_Componente 1'!B66,"")</f>
        <v>0</v>
      </c>
      <c r="C15" s="153">
        <f>IF($A15&lt;&gt;"NÃO SELECIONADO",'4_Componente 1'!C66,"")</f>
        <v>0</v>
      </c>
      <c r="D15" s="267">
        <f>IF($A15&lt;&gt;"NÃO SELECIONADO",'9_Cronograma Físico'!B17,"")</f>
        <v>41000</v>
      </c>
      <c r="E15" s="267">
        <f>IF($A15&lt;&gt;"NÃO SELECIONADO",'9_Cronograma Físico'!D17,"")</f>
        <v>42620</v>
      </c>
      <c r="F15" s="369">
        <f>IF($A15&lt;&gt;"NÃO SELECIONADO",'9_Cronograma Físico'!AC17,"")</f>
        <v>1467500</v>
      </c>
      <c r="G15" s="268">
        <f>H15+J15</f>
        <v>570694</v>
      </c>
      <c r="H15" s="268">
        <f>244583+322659</f>
        <v>567242</v>
      </c>
      <c r="I15" s="268">
        <v>0</v>
      </c>
      <c r="J15" s="370">
        <f>'10_Distribuição por Fonte'!C17+'10_Distribuição por Fonte'!F17</f>
        <v>3452</v>
      </c>
      <c r="K15" s="269">
        <v>0</v>
      </c>
    </row>
    <row r="16" spans="1:11" ht="36" customHeight="1">
      <c r="A16" s="143" t="str">
        <f>IF('3_Comp e Produtos'!F18="Sim",'3_Comp e Produtos'!A18,"NÃO SELECIONADO")</f>
        <v>1.12. Plano de comunicação interna de mudanças desenhado e implementado</v>
      </c>
      <c r="B16" s="153">
        <f>IF($A16&lt;&gt;"NÃO SELECIONADO",'4_Componente 1'!B67,"")</f>
        <v>0</v>
      </c>
      <c r="C16" s="153">
        <f>IF($A16&lt;&gt;"NÃO SELECIONADO",'4_Componente 1'!C67,"")</f>
        <v>0</v>
      </c>
      <c r="D16" s="267">
        <f>IF($A16&lt;&gt;"NÃO SELECIONADO",'9_Cronograma Físico'!B18,"")</f>
        <v>41000</v>
      </c>
      <c r="E16" s="267">
        <f>IF($A16&lt;&gt;"NÃO SELECIONADO",'9_Cronograma Físico'!D18,"")</f>
        <v>42620</v>
      </c>
      <c r="F16" s="369">
        <f>IF($A16&lt;&gt;"NÃO SELECIONADO",'9_Cronograma Físico'!AC18,"")</f>
        <v>992500</v>
      </c>
      <c r="G16" s="268">
        <f>H16</f>
        <v>385973</v>
      </c>
      <c r="H16" s="268">
        <f>165417+220556</f>
        <v>385973</v>
      </c>
      <c r="I16" s="268">
        <v>0</v>
      </c>
      <c r="J16" s="370">
        <f>'10_Distribuição por Fonte'!C18+'10_Distribuição por Fonte'!F18</f>
        <v>0</v>
      </c>
      <c r="K16" s="269">
        <v>0</v>
      </c>
    </row>
    <row r="17" spans="1:11" ht="49.5" customHeight="1" thickBot="1">
      <c r="A17" s="143" t="str">
        <f>IF('3_Comp e Produtos'!F19="Sim",'3_Comp e Produtos'!A19,"NÃO SELECIONADO")</f>
        <v>1.13. Plano de Gestão da Mudança desenhado e implementado</v>
      </c>
      <c r="B17" s="153">
        <f>IF($A17&lt;&gt;"NÃO SELECIONADO",'4_Componente 1'!B68,"")</f>
        <v>0</v>
      </c>
      <c r="C17" s="153">
        <f>IF($A17&lt;&gt;"NÃO SELECIONADO",'4_Componente 1'!C68,"")</f>
        <v>0</v>
      </c>
      <c r="D17" s="267">
        <f>IF($A17&lt;&gt;"NÃO SELECIONADO",'9_Cronograma Físico'!B19,"")</f>
        <v>40909</v>
      </c>
      <c r="E17" s="267">
        <f>IF($A17&lt;&gt;"NÃO SELECIONADO",'9_Cronograma Físico'!D19,"")</f>
        <v>41083</v>
      </c>
      <c r="F17" s="369">
        <f>IF($A17&lt;&gt;"NÃO SELECIONADO",'9_Cronograma Físico'!AC19,"")</f>
        <v>192000</v>
      </c>
      <c r="G17" s="268">
        <f>SUM('9_Cronograma Físico'!AH19:AL19)</f>
        <v>192000</v>
      </c>
      <c r="H17" s="268">
        <f t="shared" ref="H17" si="2">G17-J17</f>
        <v>192000</v>
      </c>
      <c r="I17" s="268">
        <v>0</v>
      </c>
      <c r="J17" s="370">
        <f>'10_Distribuição por Fonte'!C19+'10_Distribuição por Fonte'!F19</f>
        <v>0</v>
      </c>
      <c r="K17" s="269">
        <v>0</v>
      </c>
    </row>
    <row r="18" spans="1:11" ht="31.5" customHeight="1" thickBot="1">
      <c r="A18" s="880" t="str">
        <f>'3_Comp e Produtos'!A20</f>
        <v>COMPONENTE 2: APRIMORAMENTO DA GESTÃO JURÍDICA DA AGU</v>
      </c>
      <c r="B18" s="881"/>
      <c r="C18" s="881"/>
      <c r="D18" s="881"/>
      <c r="E18" s="882"/>
      <c r="F18" s="639">
        <f>SUM(F19:F30)</f>
        <v>62129250</v>
      </c>
      <c r="G18" s="639">
        <f t="shared" ref="G18:K18" si="3">SUM(G19:G30)</f>
        <v>26184776</v>
      </c>
      <c r="H18" s="639">
        <f t="shared" si="3"/>
        <v>6427937</v>
      </c>
      <c r="I18" s="639">
        <f t="shared" si="3"/>
        <v>0</v>
      </c>
      <c r="J18" s="639">
        <f t="shared" si="3"/>
        <v>19756839</v>
      </c>
      <c r="K18" s="640">
        <f t="shared" si="3"/>
        <v>0</v>
      </c>
    </row>
    <row r="19" spans="1:11" ht="37.5" customHeight="1">
      <c r="A19" s="117" t="str">
        <f>'3_Comp e Produtos'!A21</f>
        <v>2.1. Fluxos de trabalho Contenciosos da Administração Direta modelados e implantados</v>
      </c>
      <c r="B19" s="266" t="str">
        <f>IF($A19&lt;&gt;"NÃO SELECIONADO",'5_Componente 2'!B5,"")</f>
        <v xml:space="preserve">1. Seleção e Contratação de consultoria para: 
(i) Prospecção de boas práticas em modelos de funcionamento contenciosos semelhantes; 
(ii) Diagnóstico das atuais práticas e resultados nos processos contenciosos         
(iii) Mapeamento detalhado dos tipos de processos, atividades e assuntos; 
(iv) Proposta de novo modelo de trabalho;
(v) Proposta de mecanismo de avaliação de resultados; 
(vi) Proposta de plano de implementação gradual.
2. Entrega e validação do documento contendo o novo modelo de trabalho e plano de implementação
3. Seleção e Contratação de consultoria para:                            
(i) Harmonização de conceitos com o judiciário 
(ii) Definição do mecanimso de disseminação do novo modelo de trabalho com formação de multiplicadores
4. Entrega e validação  do documento com análise de desenvolvimento do modelo 
5. Normatização do novo modelo (AGU)
6. Contratação de consultoria para:
(i) Definição das competências necessárias de acordo com o novo modelo de trabalho;
(ii) Mapeamento das competências atuais; 
(iii) Identificação da defasagem; 
(iv) Identificação e definição de necessidades de reciclagem de pessoal; 
(v) Critérios do processo de seleção e promoção indutores dos novos perfis;
(vi) Plano de capacitação.
(vi) Plano de capacitação.
7. Entrega e validação do produto.
8. Implementação do novo modelo.
                          </v>
      </c>
      <c r="C19" s="266">
        <f>IF($A19&lt;&gt;"NÃO SELECIONADO",'5_Componente 2'!C5,"")</f>
        <v>0</v>
      </c>
      <c r="D19" s="267">
        <f>IF($A19&lt;&gt;"NÃO SELECIONADO",'9_Cronograma Físico'!B21,"")</f>
        <v>41000</v>
      </c>
      <c r="E19" s="267">
        <f>IF($A19&lt;&gt;"NÃO SELECIONADO",'9_Cronograma Físico'!D21,"")</f>
        <v>42620</v>
      </c>
      <c r="F19" s="369">
        <f>IF($A19&lt;&gt;"NÃO SELECIONADO",'9_Cronograma Físico'!AC21,"")</f>
        <v>3316500</v>
      </c>
      <c r="G19" s="268">
        <v>1289750</v>
      </c>
      <c r="H19" s="268">
        <v>1089750</v>
      </c>
      <c r="I19" s="268">
        <v>0</v>
      </c>
      <c r="J19" s="370">
        <f>'10_Distribuição por Fonte'!C21+'10_Distribuição por Fonte'!F21</f>
        <v>200000</v>
      </c>
      <c r="K19" s="269">
        <v>0</v>
      </c>
    </row>
    <row r="20" spans="1:11" ht="48" customHeight="1">
      <c r="A20" s="117" t="str">
        <f>IF('3_Comp e Produtos'!F22="Sim",'3_Comp e Produtos'!A22,"NÃO SELECIONADO")</f>
        <v>2.2. Fluxos de trabalho de Consultoria e Assessoramento Jurídicos na Administração Direta modelados e implantados</v>
      </c>
      <c r="B20" s="266" t="str">
        <f>IF($A20&lt;&gt;"NÃO SELECIONADO",'5_Componente 2'!B10,"")</f>
        <v xml:space="preserve">1. Seleção e Contratação de consultoria para: 
(i) Mapeamento das atuais práticas de consultoria e assessoramento da CGU
(ii)  Identificação da defasagem de competências qualitativa e quantitativa; 
(iii) Identificação e categorização de demandas de consultoria e assessoramento na Administração 
(iv Prospecção de experiências exitosas nacionais e internacionais em consultoria e assessoramento jurídicos
(v) Avaliação do atual modelo de consultoria e assessoramento jurídico
(vi) Proposta de novo modelo de consultoria e assessoramento jurídico, 
(vii) Identificação de necessidades de capacitação e disseminação
(viii) Proposta de mecanismo para mensuração de resultados
(iX) Plano de implementação gradual
2. Entrega e validação do documento contendo o novo modelo de trabalho e plano de implementação gradual.  
3. Implementação do piloto do novo modelo de consultoria e assessoramento; Disseminação do novo modelo de trabalho. 
4. Seleção e Contratação de consultoria para avaliação da implementação do piloto e demais etapas da implementação
6. Entrega e validação do documento </v>
      </c>
      <c r="C20" s="266">
        <f>IF($A20&lt;&gt;"NÃO SELECIONADO",'5_Componente 2'!C10,"")</f>
        <v>0</v>
      </c>
      <c r="D20" s="267">
        <f>IF($A20&lt;&gt;"NÃO SELECIONADO",'9_Cronograma Físico'!B22,"")</f>
        <v>41000</v>
      </c>
      <c r="E20" s="267">
        <f>IF($A20&lt;&gt;"NÃO SELECIONADO",'9_Cronograma Físico'!D22,"")</f>
        <v>42620</v>
      </c>
      <c r="F20" s="369">
        <f>IF($A20&lt;&gt;"NÃO SELECIONADO",'9_Cronograma Físico'!AC22,"")</f>
        <v>3021750</v>
      </c>
      <c r="G20" s="268">
        <v>1175125</v>
      </c>
      <c r="H20" s="268">
        <v>1133375</v>
      </c>
      <c r="I20" s="268">
        <v>0</v>
      </c>
      <c r="J20" s="370">
        <f>'10_Distribuição por Fonte'!C22+'10_Distribuição por Fonte'!F22</f>
        <v>41750</v>
      </c>
      <c r="K20" s="269">
        <v>0</v>
      </c>
    </row>
    <row r="21" spans="1:11" ht="35.25" customHeight="1">
      <c r="A21" s="117" t="str">
        <f>IF('3_Comp e Produtos'!F24="Sim",'3_Comp e Produtos'!A24,"NÃO SELECIONADO")</f>
        <v>2.3. Plano de estratégias de prevenção abrangente a todos os órgãos da Administração Direta</v>
      </c>
      <c r="B21" s="266" t="str">
        <f>IF($A21&lt;&gt;"NÃO SELECIONADO",'5_Componente 2'!B15,"")</f>
        <v xml:space="preserve">1. Seleção e Contratação de consultoria para: 
(i) Elaboração de diagnóstico de causas, práticas e rotinas das  de demandas judiciais
(ii) Análise das causas diagnosticadas e proposta de redução de litigiosidade
(iii) Elaboração de plano  de redução de causas geradoras de litigiosidade
(iv) Proposta de mecanismo de mensuração de resultados
2. Entrega e validação do documento contendo o novo modelo de trabalho e plano de implementação gradual.  </v>
      </c>
      <c r="C21" s="266">
        <f>IF($A21&lt;&gt;"NÃO SELECIONADO",'5_Componente 2'!C15,"")</f>
        <v>0</v>
      </c>
      <c r="D21" s="267">
        <f>IF($A21&lt;&gt;"NÃO SELECIONADO",'9_Cronograma Físico'!B23,"")</f>
        <v>41091</v>
      </c>
      <c r="E21" s="267">
        <f>IF($A21&lt;&gt;"NÃO SELECIONADO",'9_Cronograma Físico'!D23,"")</f>
        <v>42621</v>
      </c>
      <c r="F21" s="369">
        <f>IF($A21&lt;&gt;"NÃO SELECIONADO",'9_Cronograma Físico'!AC23,"")</f>
        <v>538000</v>
      </c>
      <c r="G21" s="268">
        <v>189882</v>
      </c>
      <c r="H21" s="268">
        <v>89882</v>
      </c>
      <c r="I21" s="268"/>
      <c r="J21" s="370">
        <f>'10_Distribuição por Fonte'!C23+'10_Distribuição por Fonte'!F23</f>
        <v>100000</v>
      </c>
      <c r="K21" s="269">
        <v>0</v>
      </c>
    </row>
    <row r="22" spans="1:11" ht="51.75" customHeight="1">
      <c r="A22" s="117" t="str">
        <f>IF('3_Comp e Produtos'!F25="Sim",'3_Comp e Produtos'!A25,"NÃO SELECIONADO")</f>
        <v>2.4. Fluxos de trabalho Contenciosos, de Consultoria e Assessoramento Jurídicos na Administração Indireta modelados e implantados</v>
      </c>
      <c r="B22" s="266" t="str">
        <f>IF($A22&lt;&gt;"NÃO SELECIONADO",'5_Componente 2'!B20,"")</f>
        <v>1. Seleção e Contratação de consultoria para: 
(i) Prospecção de boas práticas em modelos de funcionamento contenciosos semelhantes; 
(ii) Diagnóstico das atuais práticas e resultados nos processos contenciosos         
(iii) Mapeamento detalhado dos tipos de processos, atividades e assuntos 
(iv) Proposta de mecanismo para mensuração de resultados
(iv) Proposta de aperfeiçoamento para garantir consolidação do modelo de trabalho em implementação
(v) Proposta de plano de implementação, incluindo as ações que facilitem a consolidação do atual processo de reorganização estrutural
2. Entrega e validação do documento contendo o novo modelo de trabalho e plano de implementação. 
3. Seleção e Contratação de consultoria para:
(i) Definição das competências necessárias de acordo com o novo modelo de trabalho;
(ii) Mapeamento das competências atuais; 
(iii) Identificação da defasagem qualitativa e quantitativa; 
(iv) Identificação e definição de necessidades de reciclagem de pessoal; 
(v) Critérios do processo de seleção e promoção indutores dos novos perfis;
(vi) Plano de capacitação.
4. Entrega e validação do produto da consultoria
5. Seleção e Contratação de consultoria para: 
(i) Mapeamento das atuais práticas de consultoria e assessoramento nas autarquias e fundações 
(ii) Identificação e categorização de demandas de consultoria e assessoramento nas autarquias e fundações 
(iii) Prospecção de experiências exitosas nacionais e internacionais em consultoria e assessoramento jurídicos
(iv) Avaliação do atual modelo de consultoria e assessoramento jurídico
(v) Proposta de novo modelo de consultoria e assessoramento jurídico, 
(vi) Identificação de necessidades de capacitação e disseminação
(vii) Proposta de mecanismo para mensuração de resultados
(viii) Plano de implementação
6. Entrega e validação do produto da consultoria.</v>
      </c>
      <c r="C22" s="266">
        <f>IF($A22&lt;&gt;"NÃO SELECIONADO",'5_Componente 2'!C20,"")</f>
        <v>0</v>
      </c>
      <c r="D22" s="267">
        <f>IF($A22&lt;&gt;"NÃO SELECIONADO",'9_Cronograma Físico'!B24,"")</f>
        <v>41000</v>
      </c>
      <c r="E22" s="267">
        <f>IF($A22&lt;&gt;"NÃO SELECIONADO",'9_Cronograma Físico'!D24,"")</f>
        <v>42620</v>
      </c>
      <c r="F22" s="369">
        <f>IF($A22&lt;&gt;"NÃO SELECIONADO",'9_Cronograma Físico'!AC24,"")</f>
        <v>3474000</v>
      </c>
      <c r="G22" s="268">
        <v>1351000</v>
      </c>
      <c r="H22" s="268">
        <v>1257000</v>
      </c>
      <c r="I22" s="268">
        <v>0</v>
      </c>
      <c r="J22" s="370">
        <f>'10_Distribuição por Fonte'!C24+'10_Distribuição por Fonte'!F24</f>
        <v>94000</v>
      </c>
      <c r="K22" s="269">
        <v>0</v>
      </c>
    </row>
    <row r="23" spans="1:11" ht="45" customHeight="1">
      <c r="A23" s="117" t="str">
        <f>IF('3_Comp e Produtos'!F30="Sim",'3_Comp e Produtos'!A30,"NÃO SELECIONADO")</f>
        <v>2.5. Plano de estratégias de prevenção abrangente a todos os órgãos da Administração Indireta</v>
      </c>
      <c r="B23" s="266" t="str">
        <f>IF($A23&lt;&gt;"NÃO SELECIONADO",'5_Componente 2'!B25,"")</f>
        <v xml:space="preserve">1. Seleção e Contratação de consultoria para: 
(i) Elaboração de diagnóstico de causas, práticas e rotinas das autarquias e fundações geradoras  de demandas judiciais
(ii) Análise das causas diagnosticadas e proposta de redução de litigiosidade
(iii) Elaboração de plano  de redução de causas geradoras de litigiosidade
(iv) Proposta de mecanismo de mensuração de resultados
2. Entrega e validação do documento contendo o novo modelo de trabalho e plano de implementação.  </v>
      </c>
      <c r="C23" s="266">
        <f>IF($A23&lt;&gt;"NÃO SELECIONADO",'5_Componente 2'!C25,"")</f>
        <v>0</v>
      </c>
      <c r="D23" s="267">
        <f>IF($A23&lt;&gt;"NÃO SELECIONADO",'9_Cronograma Físico'!B25,"")</f>
        <v>41091</v>
      </c>
      <c r="E23" s="267">
        <f>IF($A23&lt;&gt;"NÃO SELECIONADO",'9_Cronograma Físico'!D25,"")</f>
        <v>42621</v>
      </c>
      <c r="F23" s="369">
        <f>IF($A23&lt;&gt;"NÃO SELECIONADO",'9_Cronograma Físico'!AC25,"")</f>
        <v>828000</v>
      </c>
      <c r="G23" s="268">
        <v>292236</v>
      </c>
      <c r="H23" s="268">
        <v>192236</v>
      </c>
      <c r="I23" s="268">
        <v>0</v>
      </c>
      <c r="J23" s="370">
        <f>'10_Distribuição por Fonte'!C25+'10_Distribuição por Fonte'!F25</f>
        <v>100000</v>
      </c>
      <c r="K23" s="269">
        <v>0</v>
      </c>
    </row>
    <row r="24" spans="1:11" ht="40.5" customHeight="1">
      <c r="A24" s="117" t="str">
        <f>IF('3_Comp e Produtos'!F31="Sim",'3_Comp e Produtos'!A31,"NÃO SELECIONADO")</f>
        <v>2.6. Métodos Alternativos de Resolução de Conflitos (MARC) definidos e implementados</v>
      </c>
      <c r="B24" s="266" t="str">
        <f>IF($A24&lt;&gt;"NÃO SELECIONADO",'5_Componente 2'!B30,"")</f>
        <v xml:space="preserve">1. Seleção e Contratação de consultoria para:
(i) Prospecção de boas práticas e de referências de resolução alternativa de conflitos; (ii)Identificação dos conflitos na Administração Pública Federal que contemple: 
- situações conflituosas existentes; - situações conflituosas em potencial identificadas; - análise comportamental dos gestores de órgãos públicos e cultura organizacional;
(iii) Análise das condicionantes, implicações e possibilidades legais; (iv) Definição do modelo conceitual do MARC;
(v) Diagnóstico do perfil e das necessidades de qualificação da CGU; (vi) Disseminação do modelo conceitual do MARC para a AGU; (vii) Estratégia de implementação com etapas e escopo; (viii) Pesquisa de grau de conhecimento do modelo.
2. Seleção e Contratação de consultoria para:
(i) Elaboração de proposta do modelo de MARC para a APF; (ii) Levantamento das necessidades de alteração de legislação; (iii) Proposta de compatibilização da legislação e normas; (iv) Disseminação do modelo conceitual do MARC na APF.
3. Seleção e Contratação de consultoria para: 
(i) Proposta de modelo de criação de núcleos focais;
(ii) Proposta de criação dos núcleos; (iii) Disseminação do MARC na APF (Minstérios, Autarquias e Fundações Públicas); (iv) Definição critérios e regras decisórias (análise de aplicabilidade e custo x benefício do MARC);
(v) Definição de mecanismo de monitoramento com indicadores e metas de resultados.
Contratação de consultoria para:
(i) Diagnóstico do perfil profissional;
(ii) Desenho do modelo pedagógico
(iii) Plano de implementação;
(iv) Definição do modelo de avaliação do modelo de educação e sensibilização;
(v) Realização de ações de disseminação da cultura do MARC.
4. Realização de ciclos de capacitação.
5. Seleção e Contratação de consultoria para avaliação do primeiro e demais ciclos de capacitação e implementação e sugestões de melhoria.
6. Promoção de parcerias com outras instituições, nacionais ou estrangeiras. (AGU) 
</v>
      </c>
      <c r="C24" s="266">
        <f>IF($A24&lt;&gt;"NÃO SELECIONADO",'5_Componente 2'!C30,"")</f>
        <v>0</v>
      </c>
      <c r="D24" s="267">
        <f>IF($A24&lt;&gt;"NÃO SELECIONADO",'9_Cronograma Físico'!B26,"")</f>
        <v>41000</v>
      </c>
      <c r="E24" s="267">
        <f>IF($A24&lt;&gt;"NÃO SELECIONADO",'9_Cronograma Físico'!D26,"")</f>
        <v>42620</v>
      </c>
      <c r="F24" s="369">
        <f>IF($A24&lt;&gt;"NÃO SELECIONADO",'9_Cronograma Físico'!AC26,"")</f>
        <v>730500</v>
      </c>
      <c r="G24" s="268">
        <v>284083</v>
      </c>
      <c r="H24" s="268">
        <v>241583</v>
      </c>
      <c r="I24" s="268">
        <v>0</v>
      </c>
      <c r="J24" s="370">
        <f>'10_Distribuição por Fonte'!C26+'10_Distribuição por Fonte'!F26</f>
        <v>42500</v>
      </c>
      <c r="K24" s="269">
        <v>0</v>
      </c>
    </row>
    <row r="25" spans="1:11" ht="40.5" customHeight="1">
      <c r="A25" s="117" t="str">
        <f>IF('3_Comp e Produtos'!F35="Sim",'3_Comp e Produtos'!A35,"NÃO SELECIONADO")</f>
        <v>2.7. Capacitação contínua de pessoal especializado em gerenciamento e recuperação de créditos</v>
      </c>
      <c r="B25" s="266" t="str">
        <f>IF($A25&lt;&gt;"NÃO SELECIONADO",'5_Componente 2'!B35,"")</f>
        <v xml:space="preserve">1. Seleção e Contratação de consultoria para:
(i) Identificação das necessidades de capacitação;
(ii) Identificação dos perfis profissionais;
(iii) Elaboração do plano de capacitação contínua com mecanismo de avaliação.
2. Entrega e validação.
3. Implementação da capacitação.
4. Seleção e Contratação de consultoria para avaliação do piloto e demais ciclos de capacitação e sugestões de melhoria
</v>
      </c>
      <c r="C25" s="266">
        <f>IF($A25&lt;&gt;"NÃO SELECIONADO",'5_Componente 2'!C35,"")</f>
        <v>0</v>
      </c>
      <c r="D25" s="267">
        <f>IF($A25&lt;&gt;"NÃO SELECIONADO",'9_Cronograma Físico'!B27,"")</f>
        <v>41000</v>
      </c>
      <c r="E25" s="267">
        <f>IF($A25&lt;&gt;"NÃO SELECIONADO",'9_Cronograma Físico'!D27,"")</f>
        <v>42620</v>
      </c>
      <c r="F25" s="369">
        <f>IF($A25&lt;&gt;"NÃO SELECIONADO",'9_Cronograma Físico'!AC27,"")</f>
        <v>1511000</v>
      </c>
      <c r="G25" s="268">
        <v>587611</v>
      </c>
      <c r="H25" s="268">
        <v>287611</v>
      </c>
      <c r="I25" s="268">
        <v>0</v>
      </c>
      <c r="J25" s="370">
        <f>'10_Distribuição por Fonte'!C27+'10_Distribuição por Fonte'!F27</f>
        <v>300000</v>
      </c>
      <c r="K25" s="269">
        <v>0</v>
      </c>
    </row>
    <row r="26" spans="1:11" ht="48" customHeight="1">
      <c r="A26" s="117" t="str">
        <f>IF('3_Comp e Produtos'!F36="Sim",'3_Comp e Produtos'!A36,"NÃO SELECIONADO")</f>
        <v xml:space="preserve">2.8. Plano de ação para aprimoramento da integração interinstitucional entre os órgãos responsáveis pela dívida ativa </v>
      </c>
      <c r="B26" s="266" t="str">
        <f>IF($A26&lt;&gt;"NÃO SELECIONADO",'5_Componente 2'!B40,"")</f>
        <v xml:space="preserve">1. Seleção e Contratação de consultoria para: 
(i) Identificação de banco de dados úteis para a recuperação do crédito público;
(ii) Desenho dos processos e ferramentas para de acesso aos bancos de dados;
(iii) Definição e implementação de mecanismos e iniciativas para integração interinstitucional.
(iv) Definição do plano de ação para integração progressiva.
(v) Definição do modelo de avaliação continuada.
2. Entrega e validação
3. Implementação
4. Seleção e Contratação de consultoria para avaliação continuada  com sugestões de melhoria
</v>
      </c>
      <c r="C26" s="266">
        <f>IF($A26&lt;&gt;"NÃO SELECIONADO",'5_Componente 2'!C40,"")</f>
        <v>0</v>
      </c>
      <c r="D26" s="267">
        <f>IF($A26&lt;&gt;"NÃO SELECIONADO",'9_Cronograma Físico'!B28,"")</f>
        <v>41000</v>
      </c>
      <c r="E26" s="267">
        <f>IF($A26&lt;&gt;"NÃO SELECIONADO",'9_Cronograma Físico'!D28,"")</f>
        <v>41174</v>
      </c>
      <c r="F26" s="369">
        <f>468000</f>
        <v>468000</v>
      </c>
      <c r="G26" s="268">
        <v>468000</v>
      </c>
      <c r="H26" s="268">
        <v>468000</v>
      </c>
      <c r="I26" s="268">
        <v>0</v>
      </c>
      <c r="J26" s="370">
        <f>'10_Distribuição por Fonte'!C28+'10_Distribuição por Fonte'!F28</f>
        <v>0</v>
      </c>
      <c r="K26" s="269">
        <v>0</v>
      </c>
    </row>
    <row r="27" spans="1:11" ht="43.5" customHeight="1">
      <c r="A27" s="117" t="str">
        <f>IF('3_Comp e Produtos'!F37="Sim",'3_Comp e Produtos'!A37,"NÃO SELECIONADO")</f>
        <v>2.9. Solução para avaliação de riscos do Estado e inclusões nos sistemas corporativos da AGU</v>
      </c>
      <c r="B27" s="266" t="str">
        <f>IF($A27&lt;&gt;"NÃO SELECIONADO",'5_Componente 2'!B45,"")</f>
        <v xml:space="preserve">Projeto Lógico do Sistema de gestão de riscos elaborado e implementado.
1. Seleção e Contratação de consultoria para: 
(i) Prospecção de boas práticas nos setores público e privado;
(ii) Intercâmbio interinstitucional;
(iii) Definição da metodologia de avaliação de riscos;
(iv) Identificação de requisitos e especificações para iinclusão da metodologia nos sistemas corporativos;
(v) Definição do mecanismos de avaliação contínua;
(vi) Identificação dos normativos existentes e de necessidades de adequação;
(vii) Criação de sistemática para atualização dinâmica da classificação de riscos;
(viii) Plano de implementação da metodologia e instalação da ferramenta;
(ix) Definição do plano de capacitação e disseminação.
2. Entrega e validação
3. Implementação
4. Seleção e Contratação de consultoria para avaliação do piloto e demais ciclos e sugestões de melhoria
5. Entrega e validação
6. Adequação dos normativos e manualização (AGU)
7. Capacitação e disseminação.
</v>
      </c>
      <c r="C27" s="266">
        <f>IF($A27&lt;&gt;"NÃO SELECIONADO",'5_Componente 2'!C45,"")</f>
        <v>0</v>
      </c>
      <c r="D27" s="267">
        <f>IF($A27&lt;&gt;"NÃO SELECIONADO",'9_Cronograma Físico'!B29,"")</f>
        <v>41183</v>
      </c>
      <c r="E27" s="267">
        <f>IF($A27&lt;&gt;"NÃO SELECIONADO",'9_Cronograma Físico'!D29,"")</f>
        <v>41357</v>
      </c>
      <c r="F27" s="369">
        <f>350000</f>
        <v>350000</v>
      </c>
      <c r="G27" s="268">
        <v>700000</v>
      </c>
      <c r="H27" s="268">
        <v>350000</v>
      </c>
      <c r="I27" s="268">
        <v>0</v>
      </c>
      <c r="J27" s="370">
        <v>350000</v>
      </c>
      <c r="K27" s="269">
        <v>0</v>
      </c>
    </row>
    <row r="28" spans="1:11" ht="47.25" customHeight="1">
      <c r="A28" s="117" t="str">
        <f>IF('3_Comp e Produtos'!F38="Sim",'3_Comp e Produtos'!A38,"NÃO SELECIONADO")</f>
        <v xml:space="preserve">2.10. Solução para identificação e facilitação da eliminação dos pagamentos indevidos nos processos contra o Estado </v>
      </c>
      <c r="B28" s="266" t="str">
        <f>IF($A28&lt;&gt;"NÃO SELECIONADO",'5_Componente 2'!B50,"")</f>
        <v>1. Seleção e Contratação para:
(i) Mapeamento das causas dos pagamentos indevidos;
(ii) Análise de consistência dos sistemas (eliminação de pagamentos em duplicidade e outros indevidos, confronto/compensação de créditos/débitos)
(iii) Desenho e desenvolvimento do Sistema  Informatizado de Identificação de pagamentos, se necessário.
(iv) Definição do mecanismos de avaliação contínua;
(vi) Identificação dos normativos existentes e de necessidades de adequação;
(vii) Criação de sistemática para atualização dinâmica da identificação de pagamentos;
(viii) Plano de implementação da solução;
(ix) Definição do plano de capacitação e disseminação.
2. Entrega e validação
3. Seleção e Contratação de consultoria para avaliação do piloto e demais ciclos e sugestões de melhoria</v>
      </c>
      <c r="C28" s="266">
        <f>IF($A28&lt;&gt;"NÃO SELECIONADO",'5_Componente 2'!C50,"")</f>
        <v>0</v>
      </c>
      <c r="D28" s="267">
        <f>IF($A28&lt;&gt;"NÃO SELECIONADO",'9_Cronograma Físico'!B30,"")</f>
        <v>41275</v>
      </c>
      <c r="E28" s="267">
        <f>IF($A28&lt;&gt;"NÃO SELECIONADO",'9_Cronograma Físico'!D30,"")</f>
        <v>41449</v>
      </c>
      <c r="F28" s="369">
        <f>IF($A28&lt;&gt;"NÃO SELECIONADO",'9_Cronograma Físico'!AC30,"")</f>
        <v>216000</v>
      </c>
      <c r="G28" s="268">
        <v>216000</v>
      </c>
      <c r="H28" s="268">
        <v>216000</v>
      </c>
      <c r="I28" s="268">
        <v>0</v>
      </c>
      <c r="J28" s="370">
        <f>'10_Distribuição por Fonte'!C30+'10_Distribuição por Fonte'!F30</f>
        <v>0</v>
      </c>
      <c r="K28" s="269">
        <v>0</v>
      </c>
    </row>
    <row r="29" spans="1:11" ht="38.25" customHeight="1">
      <c r="A29" s="117" t="str">
        <f>IF('3_Comp e Produtos'!F39="Sim",'3_Comp e Produtos'!A39,"NÃO SELECIONADO")</f>
        <v>2.11. Sistema Integrado de Gestão Jurídica da AGU desenvolvido e implantado</v>
      </c>
      <c r="B29" s="266" t="str">
        <f>IF($A29&lt;&gt;"NÃO SELECIONADO",'5_Componente 2'!B55,"")</f>
        <v>1. Seleção e Contratação de Consultoria para desenvolvimento, customização e implantação do sistema integrado.
2. Seleção e Contratação de consultoria para:
(i) Prospeção de modelos atuais e gestão documental digitalizada;
(ii) Identificação do volume e características do acervo de documentação a digitalizar;
(iii) Identificação dos trâmites, a tabela temporal dos documentos e dimensionamento;
(iv) Identificação das soluções da TI disponíveis no mercados e análise da sua viabilidade  para AGU;
(v) Definição do acervo documental a digitalizar;
(vi) Elaboração da tabela de temporalidade da atividade finalística;
(vii) Proposta de plano de implementação gradual da digitalização documental, incluindo o dimensionamento da força de trabalho operacional;
(viii) Proposta de plano de implementaçaõ gradual da solução tecnológica;
(ix) Plano de capacitação contínua;
(x) Proposta de mecanismo de avaliação de resultados.
3. Entrega e validação.</v>
      </c>
      <c r="C29" s="266">
        <f>IF($A29&lt;&gt;"NÃO SELECIONADO",'5_Componente 2'!C55,"")</f>
        <v>0</v>
      </c>
      <c r="D29" s="267">
        <f>IF($A29&lt;&gt;"NÃO SELECIONADO",'9_Cronograma Físico'!B31,"")</f>
        <v>41000</v>
      </c>
      <c r="E29" s="267">
        <f>IF($A29&lt;&gt;"NÃO SELECIONADO",'9_Cronograma Físico'!D31,"")</f>
        <v>42530</v>
      </c>
      <c r="F29" s="369">
        <f>IF($A29&lt;&gt;"NÃO SELECIONADO",'9_Cronograma Físico'!AC31,"")</f>
        <v>44653750</v>
      </c>
      <c r="G29" s="268">
        <v>18386839</v>
      </c>
      <c r="H29" s="268">
        <v>0</v>
      </c>
      <c r="I29" s="268">
        <v>0</v>
      </c>
      <c r="J29" s="370">
        <f>10506765+7880074</f>
        <v>18386839</v>
      </c>
      <c r="K29" s="269">
        <v>0</v>
      </c>
    </row>
    <row r="30" spans="1:11" ht="43.5" customHeight="1" thickBot="1">
      <c r="A30" s="117" t="str">
        <f>IF('3_Comp e Produtos'!F42="Sim",'3_Comp e Produtos'!A42,"NÃO SELECIONADO")</f>
        <v>2.12. Redesenho e implementação dos fluxos de trabalho relativos a cálculos e perícias</v>
      </c>
      <c r="B30" s="266" t="str">
        <f>IF($A30&lt;&gt;"NÃO SELECIONADO",'5_Componente 2'!B62,"")</f>
        <v>1. Seleção e Contratação de consultoria para: 
(i) Prospecção de boas práticas em modelos semelhantes; 
(ii) Diagnóstico das atuais práticas e resultados;
(iii) Mapeamento detalhado dos tipos de processos, atividades e assuntos; 
(iv) Identificação das bases de dados existentes que subsidian os cálculos;
(v) Proposta de mecanismo para mensuração de resultados;
(vi) Proposta de redesenho dos fluxos de trabalho;
(vii) Definição das necessidades de reestrutura organizacional e dos perfis profissionais;
(viii) Avaliação da solução atual (SICAP), identificação das novas funcionalidades  e algoritmos de cálculos, e definição das estrategias de atualização/redesenho
(ix) Definição da solução informatizada do novo sistema de cálculo;
(x) Proposta de plano de capacitação contínua;
(xi) Proposta de plano de implementação gradual.
2. Entrega do documento contendo o redesenho e o plano de implementação.
3. Implementação
3. Seleção e Contratação de consultoria para avaliação do piloto e demais ciclos e sugestões de melhoria.
4. Adequação dos normativos (AGU)
5. Capacitação e disseminação</v>
      </c>
      <c r="C30" s="266">
        <f>IF($A30&lt;&gt;"NÃO SELECIONADO",'5_Componente 2'!C62,"")</f>
        <v>0</v>
      </c>
      <c r="D30" s="267">
        <f>IF($A30&lt;&gt;"NÃO SELECIONADO",'9_Cronograma Físico'!B32,"")</f>
        <v>41000</v>
      </c>
      <c r="E30" s="267">
        <f>IF($A30&lt;&gt;"NÃO SELECIONADO",'9_Cronograma Físico'!D32,"")</f>
        <v>42530</v>
      </c>
      <c r="F30" s="369">
        <f>IF($A30&lt;&gt;"NÃO SELECIONADO",'9_Cronograma Físico'!AC32,"")</f>
        <v>3021750</v>
      </c>
      <c r="G30" s="268">
        <v>1244250</v>
      </c>
      <c r="H30" s="268">
        <v>1102500</v>
      </c>
      <c r="I30" s="268">
        <v>0</v>
      </c>
      <c r="J30" s="370">
        <f>'10_Distribuição por Fonte'!C32+'10_Distribuição por Fonte'!F32</f>
        <v>141750</v>
      </c>
      <c r="K30" s="269">
        <v>0</v>
      </c>
    </row>
    <row r="31" spans="1:11" ht="33" customHeight="1" thickBot="1">
      <c r="A31" s="880" t="str">
        <f>'3_Comp e Produtos'!A43</f>
        <v>COMPONENTE 3: APRIMORAMENTO DA GESTÃO ADMINISTRATIVA DA AGU</v>
      </c>
      <c r="B31" s="881"/>
      <c r="C31" s="881"/>
      <c r="D31" s="881"/>
      <c r="E31" s="882"/>
      <c r="F31" s="639">
        <f>SUM(F32:F36)</f>
        <v>3331000</v>
      </c>
      <c r="G31" s="639">
        <f t="shared" ref="G31:K31" si="4">SUM(G32:G36)</f>
        <v>1577650</v>
      </c>
      <c r="H31" s="639">
        <f t="shared" si="4"/>
        <v>1501400</v>
      </c>
      <c r="I31" s="639">
        <f t="shared" si="4"/>
        <v>0</v>
      </c>
      <c r="J31" s="639">
        <f t="shared" si="4"/>
        <v>76250</v>
      </c>
      <c r="K31" s="640">
        <f t="shared" si="4"/>
        <v>0</v>
      </c>
    </row>
    <row r="32" spans="1:11" ht="25.5" customHeight="1">
      <c r="A32" s="117" t="str">
        <f>IF('3_Comp e Produtos'!F44="Sim",'3_Comp e Produtos'!A44,"NÃO SELECIONADO")</f>
        <v>3.1. Elaboração do plano estratégico de gestão da Secretaria-Geral</v>
      </c>
      <c r="B32" s="266" t="str">
        <f>IF($A32&lt;&gt;"NÃO SELECIONADO",'6_Componente 3'!B5,"")</f>
        <v>1. Seleção e Contratação de consultoria para:
(i) Diagnóstico SWOT da SGAGU;
(ii) Desdobramento das diretrizes estratégicas institucionais;
(iii) Definição dos desafios;
(iv) Objetivos e Diretrizes estratégicas para a SGAGU.
2. Entrega e Validação.</v>
      </c>
      <c r="C32" s="266">
        <f>IF($A32&lt;&gt;"NÃO SELECIONADO",'6_Componente 3'!C5,"")</f>
        <v>0</v>
      </c>
      <c r="D32" s="267">
        <f>IF($A32&lt;&gt;"NÃO SELECIONADO",'9_Cronograma Físico'!B34,"")</f>
        <v>40909</v>
      </c>
      <c r="E32" s="267">
        <f>IF($A32&lt;&gt;"NÃO SELECIONADO",'9_Cronograma Físico'!D34,"")</f>
        <v>40996</v>
      </c>
      <c r="F32" s="369">
        <f>IF($A32&lt;&gt;"NÃO SELECIONADO",'9_Cronograma Físico'!AC34,"")</f>
        <v>144000</v>
      </c>
      <c r="G32" s="268">
        <f>H32+J32</f>
        <v>144000</v>
      </c>
      <c r="H32" s="268">
        <v>144000</v>
      </c>
      <c r="I32" s="268"/>
      <c r="J32" s="370">
        <f>'10_Distribuição por Fonte'!C34+'10_Distribuição por Fonte'!F34</f>
        <v>0</v>
      </c>
      <c r="K32" s="269">
        <v>0</v>
      </c>
    </row>
    <row r="33" spans="1:11" ht="25.5" customHeight="1">
      <c r="A33" s="117" t="str">
        <f>IF('3_Comp e Produtos'!F45="Sim",'3_Comp e Produtos'!A45,"NÃO SELECIONADO")</f>
        <v xml:space="preserve">3.2. Reestruturação dos fluxos de trabalho dos processos administrativos </v>
      </c>
      <c r="B33" s="266" t="str">
        <f>IF($A33&lt;&gt;"NÃO SELECIONADO",'6_Componente 3'!B10,"")</f>
        <v>1. Seleção e Contratação de consultoria para:
(i) Diagnóstico, definição e descrição do conjunto de macro-processos que concretizam o cumprimento das funções legais e diretrizes estratégicas da SGAGU; 
(ii)  Revisão/redefinição dos processos de gestão interna; (iii) Identificação dos principais resultados e estabelecimento ou revisão de indicadores de desempenho para os macroprocessos, permitindo seu acompanhamento e avaliação; (iv) Requisitos para os sistemas informatizados; (v) Plano de implementação de reestruturação de processos; (vi) Proposta de capacitação e disseminação; (vii) Proposta de mecanismo de avaliação contínua.
2. Entrega e Validação
3. Seleção e Contratação de consultoria para:
(i) Implementação do piloto de plano reestruturação de processos e demais etapas do ciclo.
(ii) Capacitação contínua e disseminação
4. Entrega e validação
5. Seleção e Contratação de consultoria para avaliação do piloto do processo reestruturado e demais ciclos de implementação com sugestões de melhoria.</v>
      </c>
      <c r="C33" s="266">
        <f>IF($A33&lt;&gt;"NÃO SELECIONADO",'6_Componente 3'!C10,"")</f>
        <v>0</v>
      </c>
      <c r="D33" s="267">
        <f>IF($A33&lt;&gt;"NÃO SELECIONADO",'9_Cronograma Físico'!B35,"")</f>
        <v>41091</v>
      </c>
      <c r="E33" s="267">
        <f>IF($A33&lt;&gt;"NÃO SELECIONADO",'9_Cronograma Físico'!D35,"")</f>
        <v>42531</v>
      </c>
      <c r="F33" s="369">
        <f>IF($A33&lt;&gt;"NÃO SELECIONADO",'9_Cronograma Físico'!AC35,"")</f>
        <v>912000</v>
      </c>
      <c r="G33" s="268">
        <f t="shared" ref="G33:G36" si="5">H33+J33</f>
        <v>344000</v>
      </c>
      <c r="H33" s="268">
        <f>101333+202667</f>
        <v>304000</v>
      </c>
      <c r="I33" s="268"/>
      <c r="J33" s="370">
        <f>'10_Distribuição por Fonte'!C35+'10_Distribuição por Fonte'!F35</f>
        <v>40000</v>
      </c>
      <c r="K33" s="269">
        <v>0</v>
      </c>
    </row>
    <row r="34" spans="1:11" ht="25.5" customHeight="1">
      <c r="A34" s="117" t="str">
        <f>IF('3_Comp e Produtos'!F46="Sim",'3_Comp e Produtos'!A46,"NÃO SELECIONADO")</f>
        <v>3.3. Implementação dos centros de custos</v>
      </c>
      <c r="B34" s="266" t="str">
        <f>IF($A34&lt;&gt;"NÃO SELECIONADO",'6_Componente 3'!B15,"")</f>
        <v>1. Seleção e Contratação de consultoria para:
(i) Prospecção de experiências e boas práticas de funcionamento de centros de custos; 
(ii) Identificação, mapeamento dos centros de atividades;
(iii) Identificação de bens e serviços a serem incorporados nos centros de custos;
(iv) Definição dos centros de custos;
(v) Análise dos requisitos e impactos das mudanças nos registros contábeis e nos sistemas de gestão.
(vi) Proposta de plano de implementação gradual para transformação de centro de atividades em centro de custos.
(vii) Proposta de capacitação continuada e disseminação
(viii) Definição de mecanismo de avaliação contínua
2. Entrega do documento de proposta de modelo de centros de custos
3. Seleção e Contratação de consultoria para: 
(i) Implementação piloto; 
(ii) Capacitação e disseminação
4. Entrega e validação.
5. Seleção e Contratação de consultoria para avaliação do piloto e demais ciclos de implementação com sugestões de melhoria.
6. Entrega e validação</v>
      </c>
      <c r="C34" s="266">
        <f>IF($A34&lt;&gt;"NÃO SELECIONADO",'6_Componente 3'!C15,"")</f>
        <v>0</v>
      </c>
      <c r="D34" s="267">
        <f>IF($A34&lt;&gt;"NÃO SELECIONADO",'9_Cronograma Físico'!B36,"")</f>
        <v>41000</v>
      </c>
      <c r="E34" s="267">
        <f>IF($A34&lt;&gt;"NÃO SELECIONADO",'9_Cronograma Físico'!D36,"")</f>
        <v>41720</v>
      </c>
      <c r="F34" s="369">
        <f>IF($A34&lt;&gt;"NÃO SELECIONADO",'9_Cronograma Físico'!AC36,"")</f>
        <v>456500</v>
      </c>
      <c r="G34" s="268">
        <f>H34+J34</f>
        <v>435688</v>
      </c>
      <c r="H34" s="268">
        <f>228250+171188</f>
        <v>399438</v>
      </c>
      <c r="I34" s="268"/>
      <c r="J34" s="370">
        <f>'10_Distribuição por Fonte'!C36+'10_Distribuição por Fonte'!F36</f>
        <v>36250</v>
      </c>
      <c r="K34" s="269">
        <v>0</v>
      </c>
    </row>
    <row r="35" spans="1:11" ht="25.5" customHeight="1">
      <c r="A35" s="117" t="str">
        <f>IF('3_Comp e Produtos'!F47="Sim",'3_Comp e Produtos'!A47,"NÃO SELECIONADO")</f>
        <v>3.4. Revisão do modelo de gestão logística territorial e avaliação da implementação</v>
      </c>
      <c r="B35" s="266" t="str">
        <f>IF($A35&lt;&gt;"NÃO SELECIONADO",'6_Componente 3'!B20,"")</f>
        <v>1. Seleção e Contratação de consultoria para:
(i) Prospecção de experiências e boas práticas de gestão de logística territorial;
(ii) Mapeamento e análise dos atuais procedimentos das unidades;
(iii) Elaboração de proposta de padronização de procedimentos; 
(iv) Definição de perfis de responsabilidades, alçada e abrangência;
(v) Definição de normatização de procedimentos;
(vi) Elaboração de plano gradual de implementação;
(vii) Proposta de plano de capacitação contínua;
(viii) Definição de mecanismo de avaliação contínua.
2. Entrega de documento com proposta de novo modelo de gestão logística territorial.
3. Seleção e Contratação de consultoria para: 
(i) Implementação piloto; 
(ii) Capacitação e disseminação
4. Entrega e validação.
5. Seleção e Contratação de consultoria para avaliação do piloto e demais ciclos de implementação com sugestões de melhoria.
6. Entrega e validação</v>
      </c>
      <c r="C35" s="266">
        <f>IF($A35&lt;&gt;"NÃO SELECIONADO",'6_Componente 3'!C20,"")</f>
        <v>0</v>
      </c>
      <c r="D35" s="267">
        <f>IF($A35&lt;&gt;"NÃO SELECIONADO",'9_Cronograma Físico'!B37,"")</f>
        <v>41091</v>
      </c>
      <c r="E35" s="267">
        <f>IF($A35&lt;&gt;"NÃO SELECIONADO",'9_Cronograma Físico'!D37,"")</f>
        <v>42531</v>
      </c>
      <c r="F35" s="369">
        <f>IF($A35&lt;&gt;"NÃO SELECIONADO",'9_Cronograma Físico'!AC37,"")</f>
        <v>456500</v>
      </c>
      <c r="G35" s="268">
        <f t="shared" si="5"/>
        <v>152166</v>
      </c>
      <c r="H35" s="268">
        <f>50722+101444</f>
        <v>152166</v>
      </c>
      <c r="I35" s="268"/>
      <c r="J35" s="370">
        <f>'10_Distribuição por Fonte'!C37+'10_Distribuição por Fonte'!F37</f>
        <v>0</v>
      </c>
      <c r="K35" s="269">
        <v>0</v>
      </c>
    </row>
    <row r="36" spans="1:11" ht="33.75" customHeight="1" thickBot="1">
      <c r="A36" s="117" t="str">
        <f>IF('3_Comp e Produtos'!F48="Sim",'3_Comp e Produtos'!A48,"NÃO SELECIONADO")</f>
        <v xml:space="preserve">3.5. Implantação de Sistema Integrado de Gestão Administrativa, sincronizado ao SIAFI </v>
      </c>
      <c r="B36" s="266" t="str">
        <f>IF($A36&lt;&gt;"NÃO SELECIONADO",'6_Componente 3'!B25,"")</f>
        <v xml:space="preserve">1. Seleção e Contratação de consultoria para (anos 1 e 2):
(i) Prospecção de experiências e referências de sistemas de gestão administrativa.
(ii) Mapeamento e análise dos atuais procedimentos e fluxos de trabalho administrativos na AGU;
(iii) Elaboração de proposta de padronização de procedimentos e fluxos de trabalhos; 
(iv) Definição dos fluxos de informação para controle gerencial;
(v) Definição de perfis de responsabilidades, alçada e abrangência;
(vi) Definição de normatização de procedimentos e fluxos de trabalho;
2. Entrega e validação de documento com proposta de novo modelo integrado de gestão administrativa.
3. Seleção e Contratação de consultoria para (anos 3 a 5):
(i) Instalação da plataforma tecnológica dos aplicativos
(ii) Análise funcional dos procedimentos definidos de acordo com a priorização;
(iii) Desenvolvimento dos aplicativos de acordo com os novos procedimentos;
(iv) Teste e homologação dos aplicativos; 
(v) Instalação dos aplicativos em ambiente de produção.
(vi) Capacitação de pessoal e disseminação
4. Entrega e validação de documento 
5. Seleção e Contratação de consultoria para avaliação contínua do estágio de desenvolvimento sistema e proposta de melhoria.
</v>
      </c>
      <c r="C36" s="266">
        <f>IF($A36&lt;&gt;"NÃO SELECIONADO",'6_Componente 3'!C25,"")</f>
        <v>0</v>
      </c>
      <c r="D36" s="267">
        <f>IF($A36&lt;&gt;"NÃO SELECIONADO",'9_Cronograma Físico'!B38,"")</f>
        <v>41000</v>
      </c>
      <c r="E36" s="267">
        <f>IF($A36&lt;&gt;"NÃO SELECIONADO",'9_Cronograma Físico'!D38,"")</f>
        <v>42530</v>
      </c>
      <c r="F36" s="369">
        <f>IF($A36&lt;&gt;"NÃO SELECIONADO",'9_Cronograma Físico'!AC38,"")</f>
        <v>1362000</v>
      </c>
      <c r="G36" s="268">
        <f t="shared" si="5"/>
        <v>501796</v>
      </c>
      <c r="H36" s="268">
        <f>215059+286737</f>
        <v>501796</v>
      </c>
      <c r="I36" s="268"/>
      <c r="J36" s="370">
        <f>'10_Distribuição por Fonte'!C38+'10_Distribuição por Fonte'!F38</f>
        <v>0</v>
      </c>
      <c r="K36" s="269">
        <v>0</v>
      </c>
    </row>
    <row r="37" spans="1:11" ht="27.75" customHeight="1" thickBot="1">
      <c r="A37" s="871" t="str">
        <f>'3_Comp e Produtos'!A52</f>
        <v>ADMINISTRAÇÃO</v>
      </c>
      <c r="B37" s="872"/>
      <c r="C37" s="371"/>
      <c r="D37" s="371"/>
      <c r="E37" s="371"/>
      <c r="F37" s="641">
        <f t="shared" ref="F37:K37" si="6">SUM(F38:F38)</f>
        <v>1705620</v>
      </c>
      <c r="G37" s="641">
        <f t="shared" si="6"/>
        <v>802644</v>
      </c>
      <c r="H37" s="641">
        <f t="shared" si="6"/>
        <v>802644</v>
      </c>
      <c r="I37" s="641">
        <f t="shared" si="6"/>
        <v>0</v>
      </c>
      <c r="J37" s="641">
        <f t="shared" si="6"/>
        <v>0</v>
      </c>
      <c r="K37" s="642">
        <f t="shared" si="6"/>
        <v>0</v>
      </c>
    </row>
    <row r="38" spans="1:11" ht="35.25" customHeight="1" thickBot="1">
      <c r="A38" s="632" t="str">
        <f>IF('3_Comp e Produtos'!F53="Sim",'3_Comp e Produtos'!A53,"NÃO SELECIONADO")</f>
        <v>A1 - Gestão do Projeto</v>
      </c>
      <c r="B38" s="633" t="str">
        <f>IF($A38&lt;&gt;"NÃO SELECIONADO",'7_ADM'!B5,"")</f>
        <v>1. Seleção e Contratação de Técnicos Especialistas em Gestão de Projetos financiados por organismos internacionais (1 Adm.Financeiro, 1 em Aquisições e Contratações, 1 em Monitoramento e Avaliação).
2. Seleção e Contratação de Especialista em TIC.
3. Desenvolvimento de Modulo de Gestão Contabil, física e financeira do Programa.
4. Aquisição de Kits multimídia.
5. Capacitação da Equipe.</v>
      </c>
      <c r="C38" s="633">
        <f>IF($A38&lt;&gt;"NÃO SELECIONADO",'7_ADM'!C5,"")</f>
        <v>0</v>
      </c>
      <c r="D38" s="634">
        <f>IF($A38&lt;&gt;"NÃO SELECIONADO",'9_Cronograma Físico'!B41,"")</f>
        <v>40909</v>
      </c>
      <c r="E38" s="634">
        <f>IF($A38&lt;&gt;"NÃO SELECIONADO",'9_Cronograma Físico'!D41,"")</f>
        <v>42439</v>
      </c>
      <c r="F38" s="635">
        <f>IF($A38&lt;&gt;"NÃO SELECIONADO",'9_Cronograma Físico'!AC41,"")</f>
        <v>1705620</v>
      </c>
      <c r="G38" s="636">
        <f>H38+J38</f>
        <v>802644</v>
      </c>
      <c r="H38" s="636">
        <f>401322+401322</f>
        <v>802644</v>
      </c>
      <c r="I38" s="636"/>
      <c r="J38" s="637">
        <f>'10_Distribuição por Fonte'!C41+'10_Distribuição por Fonte'!F41</f>
        <v>0</v>
      </c>
      <c r="K38" s="638">
        <v>0</v>
      </c>
    </row>
    <row r="39" spans="1:11" ht="26.25" customHeight="1" thickBot="1">
      <c r="A39" s="272" t="s">
        <v>48</v>
      </c>
      <c r="B39" s="156"/>
      <c r="C39" s="271" t="s">
        <v>73</v>
      </c>
      <c r="D39" s="157" t="s">
        <v>320</v>
      </c>
      <c r="E39" s="158"/>
      <c r="F39" s="273">
        <f>F37+F31+F18+F6</f>
        <v>73425820</v>
      </c>
      <c r="G39" s="273">
        <f t="shared" ref="G39:K39" si="7">G37+G31+G18+G6</f>
        <v>33018937</v>
      </c>
      <c r="H39" s="643">
        <f t="shared" si="7"/>
        <v>11586909</v>
      </c>
      <c r="I39" s="273">
        <f t="shared" si="7"/>
        <v>0</v>
      </c>
      <c r="J39" s="273">
        <f t="shared" si="7"/>
        <v>21432028</v>
      </c>
      <c r="K39" s="274">
        <f t="shared" si="7"/>
        <v>0</v>
      </c>
    </row>
    <row r="40" spans="1:11" ht="27.75" customHeight="1" thickBot="1">
      <c r="A40" s="644" t="s">
        <v>48</v>
      </c>
      <c r="B40" s="156"/>
      <c r="C40" s="271" t="s">
        <v>74</v>
      </c>
      <c r="D40" s="157" t="s">
        <v>23</v>
      </c>
      <c r="E40" s="158"/>
      <c r="F40" s="273">
        <f>F39/1.8</f>
        <v>40792122</v>
      </c>
      <c r="G40" s="273">
        <f t="shared" ref="G40:K40" si="8">G39/1.8</f>
        <v>18343854</v>
      </c>
      <c r="H40" s="643">
        <f t="shared" si="8"/>
        <v>6437172</v>
      </c>
      <c r="I40" s="273">
        <f t="shared" si="8"/>
        <v>0</v>
      </c>
      <c r="J40" s="273">
        <f t="shared" si="8"/>
        <v>11906682</v>
      </c>
      <c r="K40" s="274">
        <f t="shared" si="8"/>
        <v>0</v>
      </c>
    </row>
  </sheetData>
  <mergeCells count="13">
    <mergeCell ref="A37:B37"/>
    <mergeCell ref="D2:D3"/>
    <mergeCell ref="J2:K2"/>
    <mergeCell ref="A2:A3"/>
    <mergeCell ref="B2:B3"/>
    <mergeCell ref="C2:C3"/>
    <mergeCell ref="G2:G3"/>
    <mergeCell ref="F2:F3"/>
    <mergeCell ref="H2:I2"/>
    <mergeCell ref="E2:E3"/>
    <mergeCell ref="A18:E18"/>
    <mergeCell ref="A31:E31"/>
    <mergeCell ref="A6:E6"/>
  </mergeCells>
  <phoneticPr fontId="0" type="noConversion"/>
  <printOptions horizontalCentered="1"/>
  <pageMargins left="0.39370078740157483" right="0.39370078740157483" top="0.78740157480314965" bottom="0.59055118110236227" header="0.31496062992125984" footer="0.31496062992125984"/>
  <pageSetup paperSize="9" scale="75" orientation="landscape" r:id="rId1"/>
  <headerFooter>
    <oddHeader>&amp;LBID Modernização da AGU&amp;C
&amp;"Arial,Negrito"PLANO DE AÇÃO E DE INVESTIMENTOS - PAI</oddHeader>
    <oddFooter>&amp;L&amp;D&amp;C&amp;A&amp;R&amp;P / &amp;N</oddFooter>
  </headerFooter>
  <legacyDrawing r:id="rId2"/>
</worksheet>
</file>

<file path=xl/worksheets/sheet13.xml><?xml version="1.0" encoding="utf-8"?>
<worksheet xmlns="http://schemas.openxmlformats.org/spreadsheetml/2006/main" xmlns:r="http://schemas.openxmlformats.org/officeDocument/2006/relationships">
  <dimension ref="A1:N69"/>
  <sheetViews>
    <sheetView workbookViewId="0">
      <selection activeCell="L61" sqref="L61"/>
    </sheetView>
  </sheetViews>
  <sheetFormatPr defaultRowHeight="12.75"/>
  <cols>
    <col min="1" max="1" width="5.28515625" customWidth="1"/>
    <col min="2" max="2" width="70.42578125" customWidth="1"/>
    <col min="3" max="3" width="14.42578125" customWidth="1"/>
    <col min="4" max="4" width="9.140625" customWidth="1"/>
    <col min="5" max="6" width="8" customWidth="1"/>
    <col min="7" max="7" width="7.28515625" customWidth="1"/>
    <col min="8" max="8" width="9.140625" style="649"/>
    <col min="9" max="9" width="8.28515625" style="649" customWidth="1"/>
    <col min="10" max="10" width="5.85546875" customWidth="1"/>
    <col min="11" max="11" width="20.28515625" customWidth="1"/>
    <col min="13" max="13" width="11.7109375" bestFit="1" customWidth="1"/>
  </cols>
  <sheetData>
    <row r="1" spans="1:14" ht="15">
      <c r="A1" s="906" t="s">
        <v>321</v>
      </c>
      <c r="B1" s="906"/>
      <c r="C1" s="906"/>
      <c r="D1" s="906"/>
      <c r="E1" s="906"/>
      <c r="F1" s="906"/>
      <c r="G1" s="906"/>
      <c r="H1" s="906"/>
      <c r="I1" s="906"/>
      <c r="J1" s="906"/>
      <c r="K1" s="906"/>
    </row>
    <row r="2" spans="1:14" ht="18.75">
      <c r="A2" s="907" t="s">
        <v>224</v>
      </c>
      <c r="B2" s="907"/>
      <c r="C2" s="907"/>
      <c r="D2" s="907"/>
      <c r="E2" s="907"/>
      <c r="F2" s="907"/>
      <c r="G2" s="907"/>
      <c r="H2" s="907"/>
      <c r="I2" s="907"/>
      <c r="J2" s="907"/>
      <c r="K2" s="907"/>
    </row>
    <row r="3" spans="1:14" ht="15">
      <c r="A3" s="908" t="s">
        <v>322</v>
      </c>
      <c r="B3" s="908"/>
      <c r="C3" s="908"/>
      <c r="D3" s="908"/>
      <c r="E3" s="908"/>
      <c r="F3" s="908"/>
      <c r="G3" s="908"/>
      <c r="H3" s="908"/>
      <c r="I3" s="908"/>
      <c r="J3" s="908"/>
      <c r="K3" s="908"/>
    </row>
    <row r="4" spans="1:14" ht="15">
      <c r="A4" s="906" t="s">
        <v>323</v>
      </c>
      <c r="B4" s="906"/>
      <c r="C4" s="906"/>
      <c r="D4" s="906"/>
      <c r="E4" s="906"/>
      <c r="F4" s="906"/>
      <c r="G4" s="906"/>
      <c r="H4" s="906"/>
      <c r="I4" s="906"/>
      <c r="J4" s="906"/>
      <c r="K4" s="906"/>
    </row>
    <row r="5" spans="1:14" ht="15">
      <c r="A5" s="645"/>
      <c r="B5" s="646" t="s">
        <v>381</v>
      </c>
      <c r="C5" s="647"/>
      <c r="D5" s="647"/>
      <c r="E5" s="647"/>
      <c r="F5" s="647"/>
      <c r="G5" s="647"/>
      <c r="H5" s="647"/>
      <c r="I5" s="647"/>
      <c r="J5" s="647"/>
      <c r="K5" s="647"/>
    </row>
    <row r="6" spans="1:14" ht="15">
      <c r="A6" s="645"/>
      <c r="B6" s="648" t="s">
        <v>382</v>
      </c>
      <c r="C6" s="647"/>
      <c r="D6" s="647"/>
      <c r="E6" s="647"/>
      <c r="F6" s="647"/>
      <c r="G6" s="647"/>
      <c r="H6" s="647"/>
      <c r="I6" s="647"/>
      <c r="J6" s="647"/>
      <c r="K6" s="647"/>
    </row>
    <row r="7" spans="1:14" ht="15">
      <c r="A7" s="645"/>
      <c r="B7" s="648" t="s">
        <v>324</v>
      </c>
      <c r="C7" s="647"/>
      <c r="D7" s="647"/>
      <c r="E7" s="647"/>
      <c r="F7" s="647"/>
      <c r="G7" s="647"/>
      <c r="H7" s="647"/>
      <c r="I7" s="647"/>
      <c r="J7" s="647"/>
      <c r="K7" s="647"/>
    </row>
    <row r="8" spans="1:14" ht="13.5" thickBot="1"/>
    <row r="9" spans="1:14">
      <c r="A9" s="909" t="s">
        <v>325</v>
      </c>
      <c r="B9" s="909" t="s">
        <v>326</v>
      </c>
      <c r="C9" s="650" t="s">
        <v>327</v>
      </c>
      <c r="D9" s="650" t="s">
        <v>328</v>
      </c>
      <c r="E9" s="910" t="s">
        <v>329</v>
      </c>
      <c r="F9" s="904" t="s">
        <v>330</v>
      </c>
      <c r="G9" s="905"/>
      <c r="H9" s="904" t="s">
        <v>331</v>
      </c>
      <c r="I9" s="905"/>
      <c r="J9" s="902" t="s">
        <v>332</v>
      </c>
      <c r="K9" s="899" t="s">
        <v>333</v>
      </c>
    </row>
    <row r="10" spans="1:14">
      <c r="A10" s="900"/>
      <c r="B10" s="900"/>
      <c r="C10" s="651" t="s">
        <v>403</v>
      </c>
      <c r="D10" s="651" t="s">
        <v>334</v>
      </c>
      <c r="E10" s="903"/>
      <c r="F10" s="652" t="s">
        <v>34</v>
      </c>
      <c r="G10" s="652" t="s">
        <v>35</v>
      </c>
      <c r="H10" s="653" t="s">
        <v>335</v>
      </c>
      <c r="I10" s="653" t="s">
        <v>336</v>
      </c>
      <c r="J10" s="903"/>
      <c r="K10" s="900"/>
    </row>
    <row r="11" spans="1:14" ht="15.75">
      <c r="A11" s="901"/>
      <c r="B11" s="901"/>
      <c r="C11" s="654" t="s">
        <v>402</v>
      </c>
      <c r="D11" s="655" t="s">
        <v>337</v>
      </c>
      <c r="E11" s="655" t="s">
        <v>338</v>
      </c>
      <c r="F11" s="656" t="s">
        <v>339</v>
      </c>
      <c r="G11" s="656" t="s">
        <v>339</v>
      </c>
      <c r="H11" s="657" t="s">
        <v>340</v>
      </c>
      <c r="I11" s="657" t="s">
        <v>341</v>
      </c>
      <c r="J11" s="655" t="s">
        <v>342</v>
      </c>
      <c r="K11" s="901"/>
      <c r="N11" s="658"/>
    </row>
    <row r="12" spans="1:14" ht="13.5" thickBot="1">
      <c r="A12" s="893" t="s">
        <v>343</v>
      </c>
      <c r="B12" s="894"/>
      <c r="C12" s="894"/>
      <c r="D12" s="894"/>
      <c r="E12" s="894"/>
      <c r="F12" s="894"/>
      <c r="G12" s="894"/>
      <c r="H12" s="894"/>
      <c r="I12" s="894"/>
      <c r="J12" s="894"/>
      <c r="K12" s="895"/>
    </row>
    <row r="13" spans="1:14">
      <c r="A13" s="888" t="s">
        <v>98</v>
      </c>
      <c r="B13" s="889"/>
      <c r="C13" s="889"/>
      <c r="D13" s="889"/>
      <c r="E13" s="889"/>
      <c r="F13" s="889"/>
      <c r="G13" s="889"/>
      <c r="H13" s="889"/>
      <c r="I13" s="889"/>
      <c r="J13" s="889"/>
      <c r="K13" s="890"/>
    </row>
    <row r="14" spans="1:14" ht="51">
      <c r="A14" s="659">
        <v>1.1000000000000001</v>
      </c>
      <c r="B14" s="660" t="s">
        <v>344</v>
      </c>
      <c r="C14" s="661">
        <f>432000/1.8</f>
        <v>240000</v>
      </c>
      <c r="D14" s="661" t="s">
        <v>345</v>
      </c>
      <c r="E14" s="662" t="s">
        <v>346</v>
      </c>
      <c r="F14" s="663">
        <v>1</v>
      </c>
      <c r="G14" s="663">
        <v>0</v>
      </c>
      <c r="H14" s="664">
        <v>41000</v>
      </c>
      <c r="I14" s="664">
        <v>41153</v>
      </c>
      <c r="J14" s="665" t="s">
        <v>347</v>
      </c>
      <c r="K14" s="666"/>
    </row>
    <row r="15" spans="1:14" ht="51">
      <c r="A15" s="659">
        <v>1.2</v>
      </c>
      <c r="B15" s="660" t="s">
        <v>348</v>
      </c>
      <c r="C15" s="661">
        <f>216000/1.8</f>
        <v>120000</v>
      </c>
      <c r="D15" s="665" t="s">
        <v>349</v>
      </c>
      <c r="E15" s="662" t="s">
        <v>346</v>
      </c>
      <c r="F15" s="663">
        <v>1</v>
      </c>
      <c r="G15" s="663">
        <v>0</v>
      </c>
      <c r="H15" s="664">
        <v>41184</v>
      </c>
      <c r="I15" s="664">
        <v>41244</v>
      </c>
      <c r="J15" s="665" t="s">
        <v>347</v>
      </c>
      <c r="K15" s="666"/>
    </row>
    <row r="16" spans="1:14" ht="25.5">
      <c r="A16" s="659">
        <v>1.3</v>
      </c>
      <c r="B16" s="660" t="s">
        <v>350</v>
      </c>
      <c r="C16" s="661">
        <f>216000/1.8</f>
        <v>120000</v>
      </c>
      <c r="D16" s="665" t="s">
        <v>349</v>
      </c>
      <c r="E16" s="662" t="s">
        <v>346</v>
      </c>
      <c r="F16" s="663">
        <v>1</v>
      </c>
      <c r="G16" s="663">
        <v>0</v>
      </c>
      <c r="H16" s="664">
        <v>41002</v>
      </c>
      <c r="I16" s="664">
        <v>41061</v>
      </c>
      <c r="J16" s="665" t="s">
        <v>347</v>
      </c>
      <c r="K16" s="666"/>
    </row>
    <row r="17" spans="1:13">
      <c r="A17" s="659">
        <v>1.4</v>
      </c>
      <c r="B17" s="660" t="s">
        <v>351</v>
      </c>
      <c r="C17" s="661">
        <f>48000/1.8</f>
        <v>26666.67</v>
      </c>
      <c r="D17" s="665" t="s">
        <v>352</v>
      </c>
      <c r="E17" s="662" t="s">
        <v>346</v>
      </c>
      <c r="F17" s="663">
        <v>1</v>
      </c>
      <c r="G17" s="663">
        <v>0</v>
      </c>
      <c r="H17" s="664">
        <v>41003</v>
      </c>
      <c r="I17" s="664">
        <v>41061</v>
      </c>
      <c r="J17" s="665" t="s">
        <v>347</v>
      </c>
      <c r="K17" s="666"/>
    </row>
    <row r="18" spans="1:13" ht="25.5">
      <c r="A18" s="659">
        <v>1.5</v>
      </c>
      <c r="B18" s="660" t="s">
        <v>353</v>
      </c>
      <c r="C18" s="661">
        <f>144000/1.8</f>
        <v>80000</v>
      </c>
      <c r="D18" s="665" t="s">
        <v>352</v>
      </c>
      <c r="E18" s="662" t="s">
        <v>346</v>
      </c>
      <c r="F18" s="663">
        <v>1</v>
      </c>
      <c r="G18" s="663">
        <v>0</v>
      </c>
      <c r="H18" s="664">
        <v>41279</v>
      </c>
      <c r="I18" s="664">
        <v>41334</v>
      </c>
      <c r="J18" s="665" t="s">
        <v>347</v>
      </c>
      <c r="K18" s="666"/>
    </row>
    <row r="19" spans="1:13" ht="21" customHeight="1">
      <c r="A19" s="659">
        <v>1.6</v>
      </c>
      <c r="B19" s="660" t="s">
        <v>354</v>
      </c>
      <c r="C19" s="661">
        <f>36000/1.8</f>
        <v>20000</v>
      </c>
      <c r="D19" s="665" t="s">
        <v>352</v>
      </c>
      <c r="E19" s="662" t="s">
        <v>346</v>
      </c>
      <c r="F19" s="663">
        <v>1</v>
      </c>
      <c r="G19" s="663">
        <v>0</v>
      </c>
      <c r="H19" s="664">
        <v>41096</v>
      </c>
      <c r="I19" s="664">
        <v>41153</v>
      </c>
      <c r="J19" s="665" t="s">
        <v>347</v>
      </c>
      <c r="K19" s="666"/>
    </row>
    <row r="20" spans="1:13" ht="25.5">
      <c r="A20" s="659">
        <v>1.7</v>
      </c>
      <c r="B20" s="660" t="s">
        <v>355</v>
      </c>
      <c r="C20" s="661">
        <f>36000/1.8</f>
        <v>20000</v>
      </c>
      <c r="D20" s="665" t="s">
        <v>352</v>
      </c>
      <c r="E20" s="662" t="s">
        <v>346</v>
      </c>
      <c r="F20" s="663">
        <v>1</v>
      </c>
      <c r="G20" s="663">
        <v>0</v>
      </c>
      <c r="H20" s="664">
        <v>40915</v>
      </c>
      <c r="I20" s="664">
        <v>40969</v>
      </c>
      <c r="J20" s="665" t="s">
        <v>347</v>
      </c>
      <c r="K20" s="666"/>
    </row>
    <row r="21" spans="1:13" ht="57" customHeight="1">
      <c r="A21" s="659">
        <v>1.8</v>
      </c>
      <c r="B21" s="660" t="s">
        <v>356</v>
      </c>
      <c r="C21" s="661">
        <v>98000</v>
      </c>
      <c r="D21" s="665" t="s">
        <v>349</v>
      </c>
      <c r="E21" s="662" t="s">
        <v>346</v>
      </c>
      <c r="F21" s="663">
        <v>1</v>
      </c>
      <c r="G21" s="663">
        <v>0</v>
      </c>
      <c r="H21" s="664">
        <v>40916</v>
      </c>
      <c r="I21" s="664">
        <v>40969</v>
      </c>
      <c r="J21" s="665" t="s">
        <v>347</v>
      </c>
      <c r="K21" s="666"/>
    </row>
    <row r="22" spans="1:13" ht="25.5">
      <c r="A22" s="667">
        <v>1.9</v>
      </c>
      <c r="B22" s="668" t="s">
        <v>357</v>
      </c>
      <c r="C22" s="669">
        <f>72000/1.8</f>
        <v>40000</v>
      </c>
      <c r="D22" s="670" t="s">
        <v>352</v>
      </c>
      <c r="E22" s="671" t="s">
        <v>346</v>
      </c>
      <c r="F22" s="672">
        <v>1</v>
      </c>
      <c r="G22" s="672">
        <v>0</v>
      </c>
      <c r="H22" s="664">
        <v>40917</v>
      </c>
      <c r="I22" s="673">
        <v>40969</v>
      </c>
      <c r="J22" s="670" t="s">
        <v>347</v>
      </c>
      <c r="K22" s="674"/>
    </row>
    <row r="23" spans="1:13" ht="25.5">
      <c r="A23" s="688">
        <v>1.1000000000000001</v>
      </c>
      <c r="B23" s="660" t="s">
        <v>374</v>
      </c>
      <c r="C23" s="675">
        <f>240000+144000/1.8</f>
        <v>320000</v>
      </c>
      <c r="D23" s="659" t="s">
        <v>345</v>
      </c>
      <c r="E23" s="676" t="s">
        <v>346</v>
      </c>
      <c r="F23" s="663">
        <v>1</v>
      </c>
      <c r="G23" s="663">
        <v>0</v>
      </c>
      <c r="H23" s="664">
        <v>41009</v>
      </c>
      <c r="I23" s="664">
        <v>42614</v>
      </c>
      <c r="J23" s="665" t="s">
        <v>347</v>
      </c>
      <c r="K23" s="679"/>
    </row>
    <row r="24" spans="1:13" ht="25.5">
      <c r="A24" s="688">
        <v>1.1100000000000001</v>
      </c>
      <c r="B24" s="660" t="s">
        <v>375</v>
      </c>
      <c r="C24" s="675">
        <f>240000+144000/1.8</f>
        <v>320000</v>
      </c>
      <c r="D24" s="659" t="s">
        <v>345</v>
      </c>
      <c r="E24" s="676" t="s">
        <v>346</v>
      </c>
      <c r="F24" s="663">
        <v>1</v>
      </c>
      <c r="G24" s="663">
        <v>0</v>
      </c>
      <c r="H24" s="664">
        <v>41010</v>
      </c>
      <c r="I24" s="664">
        <v>42430</v>
      </c>
      <c r="J24" s="665" t="s">
        <v>347</v>
      </c>
      <c r="K24" s="679"/>
    </row>
    <row r="25" spans="1:13" ht="26.25" thickBot="1">
      <c r="A25" s="688">
        <v>1.1200000000000001</v>
      </c>
      <c r="B25" s="660" t="s">
        <v>376</v>
      </c>
      <c r="C25" s="675">
        <f>192000/1.8</f>
        <v>106666.67</v>
      </c>
      <c r="D25" s="659" t="s">
        <v>349</v>
      </c>
      <c r="E25" s="676" t="s">
        <v>346</v>
      </c>
      <c r="F25" s="663">
        <v>1</v>
      </c>
      <c r="G25" s="663">
        <v>0</v>
      </c>
      <c r="H25" s="664">
        <v>41011</v>
      </c>
      <c r="I25" s="664" t="s">
        <v>386</v>
      </c>
      <c r="J25" s="665" t="s">
        <v>347</v>
      </c>
      <c r="K25" s="700"/>
    </row>
    <row r="26" spans="1:13">
      <c r="A26" s="888" t="s">
        <v>124</v>
      </c>
      <c r="B26" s="889"/>
      <c r="C26" s="889"/>
      <c r="D26" s="889"/>
      <c r="E26" s="889"/>
      <c r="F26" s="889"/>
      <c r="G26" s="889"/>
      <c r="H26" s="889"/>
      <c r="I26" s="889"/>
      <c r="J26" s="889"/>
      <c r="K26" s="890"/>
    </row>
    <row r="27" spans="1:13" ht="25.5">
      <c r="A27" s="659">
        <v>2.1</v>
      </c>
      <c r="B27" s="660" t="s">
        <v>383</v>
      </c>
      <c r="C27" s="675">
        <f>2304000/1.8</f>
        <v>1280000</v>
      </c>
      <c r="D27" s="659" t="s">
        <v>358</v>
      </c>
      <c r="E27" s="676" t="s">
        <v>346</v>
      </c>
      <c r="F27" s="663">
        <v>1</v>
      </c>
      <c r="G27" s="663">
        <v>0</v>
      </c>
      <c r="H27" s="664">
        <v>41000</v>
      </c>
      <c r="I27" s="664">
        <v>42614</v>
      </c>
      <c r="J27" s="665" t="s">
        <v>347</v>
      </c>
      <c r="K27" s="677"/>
      <c r="M27" s="678"/>
    </row>
    <row r="28" spans="1:13" ht="25.5">
      <c r="A28" s="659">
        <v>2.2000000000000002</v>
      </c>
      <c r="B28" s="660" t="s">
        <v>384</v>
      </c>
      <c r="C28" s="675">
        <f>2304000/1.8</f>
        <v>1280000</v>
      </c>
      <c r="D28" s="659" t="s">
        <v>358</v>
      </c>
      <c r="E28" s="676" t="s">
        <v>346</v>
      </c>
      <c r="F28" s="663">
        <v>1</v>
      </c>
      <c r="G28" s="663">
        <v>0</v>
      </c>
      <c r="H28" s="664">
        <v>41001</v>
      </c>
      <c r="I28" s="664">
        <v>42615</v>
      </c>
      <c r="J28" s="665" t="s">
        <v>347</v>
      </c>
      <c r="K28" s="679"/>
    </row>
    <row r="29" spans="1:13" ht="25.5">
      <c r="A29" s="659">
        <v>2.2999999999999998</v>
      </c>
      <c r="B29" s="660" t="s">
        <v>359</v>
      </c>
      <c r="C29" s="675">
        <f>288000/1.8</f>
        <v>160000</v>
      </c>
      <c r="D29" s="659" t="s">
        <v>349</v>
      </c>
      <c r="E29" s="676" t="s">
        <v>346</v>
      </c>
      <c r="F29" s="663">
        <v>1</v>
      </c>
      <c r="G29" s="663">
        <v>0</v>
      </c>
      <c r="H29" s="664">
        <v>41093</v>
      </c>
      <c r="I29" s="664">
        <v>42616</v>
      </c>
      <c r="J29" s="665" t="s">
        <v>347</v>
      </c>
      <c r="K29" s="679"/>
    </row>
    <row r="30" spans="1:13" ht="26.25" thickBot="1">
      <c r="A30" s="680">
        <v>2.4</v>
      </c>
      <c r="B30" s="681" t="s">
        <v>385</v>
      </c>
      <c r="C30" s="682">
        <f>2304000/1.8</f>
        <v>1280000</v>
      </c>
      <c r="D30" s="680" t="s">
        <v>358</v>
      </c>
      <c r="E30" s="683" t="s">
        <v>346</v>
      </c>
      <c r="F30" s="684">
        <v>1</v>
      </c>
      <c r="G30" s="684">
        <v>0</v>
      </c>
      <c r="H30" s="664">
        <v>41003</v>
      </c>
      <c r="I30" s="664">
        <v>42617</v>
      </c>
      <c r="J30" s="685" t="s">
        <v>347</v>
      </c>
      <c r="K30" s="701"/>
    </row>
    <row r="31" spans="1:13">
      <c r="A31" s="899" t="s">
        <v>325</v>
      </c>
      <c r="B31" s="899" t="s">
        <v>326</v>
      </c>
      <c r="C31" s="650" t="s">
        <v>327</v>
      </c>
      <c r="D31" s="686" t="s">
        <v>328</v>
      </c>
      <c r="E31" s="902" t="s">
        <v>329</v>
      </c>
      <c r="F31" s="904" t="s">
        <v>330</v>
      </c>
      <c r="G31" s="905"/>
      <c r="H31" s="904" t="s">
        <v>331</v>
      </c>
      <c r="I31" s="905"/>
      <c r="J31" s="902" t="s">
        <v>332</v>
      </c>
      <c r="K31" s="899" t="s">
        <v>333</v>
      </c>
    </row>
    <row r="32" spans="1:13">
      <c r="A32" s="900"/>
      <c r="B32" s="900"/>
      <c r="C32" s="651" t="s">
        <v>403</v>
      </c>
      <c r="D32" s="651" t="s">
        <v>334</v>
      </c>
      <c r="E32" s="903"/>
      <c r="F32" s="652" t="s">
        <v>34</v>
      </c>
      <c r="G32" s="652" t="s">
        <v>35</v>
      </c>
      <c r="H32" s="653" t="s">
        <v>335</v>
      </c>
      <c r="I32" s="653" t="s">
        <v>336</v>
      </c>
      <c r="J32" s="903"/>
      <c r="K32" s="900"/>
    </row>
    <row r="33" spans="1:11">
      <c r="A33" s="901"/>
      <c r="B33" s="901"/>
      <c r="C33" s="654" t="s">
        <v>402</v>
      </c>
      <c r="D33" s="655" t="s">
        <v>337</v>
      </c>
      <c r="E33" s="655" t="s">
        <v>338</v>
      </c>
      <c r="F33" s="656" t="s">
        <v>339</v>
      </c>
      <c r="G33" s="656" t="s">
        <v>339</v>
      </c>
      <c r="H33" s="657" t="s">
        <v>340</v>
      </c>
      <c r="I33" s="657" t="s">
        <v>341</v>
      </c>
      <c r="J33" s="655" t="s">
        <v>342</v>
      </c>
      <c r="K33" s="901"/>
    </row>
    <row r="34" spans="1:11" ht="13.5" thickBot="1">
      <c r="A34" s="893" t="s">
        <v>343</v>
      </c>
      <c r="B34" s="894"/>
      <c r="C34" s="894"/>
      <c r="D34" s="894"/>
      <c r="E34" s="894"/>
      <c r="F34" s="894"/>
      <c r="G34" s="894"/>
      <c r="H34" s="894"/>
      <c r="I34" s="894"/>
      <c r="J34" s="894"/>
      <c r="K34" s="895"/>
    </row>
    <row r="35" spans="1:11">
      <c r="A35" s="888" t="s">
        <v>124</v>
      </c>
      <c r="B35" s="889"/>
      <c r="C35" s="889"/>
      <c r="D35" s="889"/>
      <c r="E35" s="889"/>
      <c r="F35" s="889"/>
      <c r="G35" s="889"/>
      <c r="H35" s="889"/>
      <c r="I35" s="889"/>
      <c r="J35" s="889"/>
      <c r="K35" s="890"/>
    </row>
    <row r="36" spans="1:11" ht="25.5">
      <c r="A36" s="659">
        <v>2.5</v>
      </c>
      <c r="B36" s="660" t="s">
        <v>360</v>
      </c>
      <c r="C36" s="675">
        <f>288000/1.8</f>
        <v>160000</v>
      </c>
      <c r="D36" s="659" t="s">
        <v>349</v>
      </c>
      <c r="E36" s="676" t="s">
        <v>346</v>
      </c>
      <c r="F36" s="663">
        <v>1</v>
      </c>
      <c r="G36" s="663">
        <v>0</v>
      </c>
      <c r="H36" s="664">
        <v>41091</v>
      </c>
      <c r="I36" s="664">
        <v>42614</v>
      </c>
      <c r="J36" s="665" t="s">
        <v>347</v>
      </c>
      <c r="K36" s="679"/>
    </row>
    <row r="37" spans="1:11" ht="25.5">
      <c r="A37" s="659">
        <v>2.6</v>
      </c>
      <c r="B37" s="660" t="s">
        <v>361</v>
      </c>
      <c r="C37" s="675">
        <f>288000/1.8</f>
        <v>160000</v>
      </c>
      <c r="D37" s="659" t="s">
        <v>349</v>
      </c>
      <c r="E37" s="676" t="s">
        <v>346</v>
      </c>
      <c r="F37" s="663">
        <v>1</v>
      </c>
      <c r="G37" s="663">
        <v>0</v>
      </c>
      <c r="H37" s="664">
        <v>41001</v>
      </c>
      <c r="I37" s="664">
        <v>42615</v>
      </c>
      <c r="J37" s="665" t="s">
        <v>347</v>
      </c>
      <c r="K37" s="677"/>
    </row>
    <row r="38" spans="1:11" ht="25.5">
      <c r="A38" s="659">
        <v>2.7</v>
      </c>
      <c r="B38" s="660" t="s">
        <v>362</v>
      </c>
      <c r="C38" s="675">
        <f>336000/1.8</f>
        <v>186666.67</v>
      </c>
      <c r="D38" s="659" t="s">
        <v>349</v>
      </c>
      <c r="E38" s="676" t="s">
        <v>346</v>
      </c>
      <c r="F38" s="663">
        <v>1</v>
      </c>
      <c r="G38" s="663">
        <v>0</v>
      </c>
      <c r="H38" s="664">
        <v>41002</v>
      </c>
      <c r="I38" s="664">
        <v>42616</v>
      </c>
      <c r="J38" s="665" t="s">
        <v>347</v>
      </c>
      <c r="K38" s="679"/>
    </row>
    <row r="39" spans="1:11" ht="38.25">
      <c r="A39" s="659">
        <v>2.8</v>
      </c>
      <c r="B39" s="687" t="s">
        <v>363</v>
      </c>
      <c r="C39" s="675">
        <f>432000/1.8</f>
        <v>240000</v>
      </c>
      <c r="D39" s="659" t="s">
        <v>364</v>
      </c>
      <c r="E39" s="676" t="s">
        <v>346</v>
      </c>
      <c r="F39" s="663">
        <v>1</v>
      </c>
      <c r="G39" s="663">
        <v>0</v>
      </c>
      <c r="H39" s="664">
        <v>41003</v>
      </c>
      <c r="I39" s="664">
        <v>41156</v>
      </c>
      <c r="J39" s="665" t="s">
        <v>347</v>
      </c>
      <c r="K39" s="679"/>
    </row>
    <row r="40" spans="1:11" ht="38.25">
      <c r="A40" s="659">
        <v>2.9</v>
      </c>
      <c r="B40" s="687" t="s">
        <v>365</v>
      </c>
      <c r="C40" s="675">
        <v>120000</v>
      </c>
      <c r="D40" s="659" t="s">
        <v>349</v>
      </c>
      <c r="E40" s="676" t="s">
        <v>346</v>
      </c>
      <c r="F40" s="663">
        <v>1</v>
      </c>
      <c r="G40" s="663">
        <v>0</v>
      </c>
      <c r="H40" s="664">
        <v>41187</v>
      </c>
      <c r="I40" s="664">
        <v>41338</v>
      </c>
      <c r="J40" s="665" t="s">
        <v>347</v>
      </c>
      <c r="K40" s="679"/>
    </row>
    <row r="41" spans="1:11" ht="25.5">
      <c r="A41" s="688">
        <v>2.1</v>
      </c>
      <c r="B41" s="660" t="s">
        <v>366</v>
      </c>
      <c r="C41" s="675">
        <v>480000</v>
      </c>
      <c r="D41" s="659" t="s">
        <v>345</v>
      </c>
      <c r="E41" s="676" t="s">
        <v>346</v>
      </c>
      <c r="F41" s="663">
        <v>1</v>
      </c>
      <c r="G41" s="663">
        <v>0</v>
      </c>
      <c r="H41" s="664">
        <v>41280</v>
      </c>
      <c r="I41" s="664">
        <v>41431</v>
      </c>
      <c r="J41" s="665" t="s">
        <v>347</v>
      </c>
      <c r="K41" s="679"/>
    </row>
    <row r="42" spans="1:11" ht="15.75" customHeight="1">
      <c r="A42" s="688">
        <v>2.11</v>
      </c>
      <c r="B42" s="660" t="s">
        <v>367</v>
      </c>
      <c r="C42" s="675">
        <f>2304000/1.8</f>
        <v>1280000</v>
      </c>
      <c r="D42" s="659" t="s">
        <v>358</v>
      </c>
      <c r="E42" s="676" t="s">
        <v>346</v>
      </c>
      <c r="F42" s="663">
        <v>1</v>
      </c>
      <c r="G42" s="663">
        <v>0</v>
      </c>
      <c r="H42" s="664">
        <v>41006</v>
      </c>
      <c r="I42" s="664">
        <v>42528</v>
      </c>
      <c r="J42" s="665" t="s">
        <v>347</v>
      </c>
      <c r="K42" s="679"/>
    </row>
    <row r="43" spans="1:11" ht="26.25" thickBot="1">
      <c r="A43" s="688">
        <v>2.12</v>
      </c>
      <c r="B43" s="660" t="s">
        <v>368</v>
      </c>
      <c r="C43" s="675">
        <f>2304000/1.8</f>
        <v>1280000</v>
      </c>
      <c r="D43" s="659" t="s">
        <v>358</v>
      </c>
      <c r="E43" s="676" t="s">
        <v>346</v>
      </c>
      <c r="F43" s="663">
        <v>1</v>
      </c>
      <c r="G43" s="663">
        <v>0</v>
      </c>
      <c r="H43" s="664">
        <v>41007</v>
      </c>
      <c r="I43" s="664">
        <v>42529</v>
      </c>
      <c r="J43" s="665" t="s">
        <v>347</v>
      </c>
      <c r="K43" s="700"/>
    </row>
    <row r="44" spans="1:11">
      <c r="A44" s="888" t="s">
        <v>187</v>
      </c>
      <c r="B44" s="889"/>
      <c r="C44" s="889"/>
      <c r="D44" s="889"/>
      <c r="E44" s="889"/>
      <c r="F44" s="889"/>
      <c r="G44" s="889"/>
      <c r="H44" s="889"/>
      <c r="I44" s="889"/>
      <c r="J44" s="889"/>
      <c r="K44" s="890"/>
    </row>
    <row r="45" spans="1:11" ht="25.5">
      <c r="A45" s="659">
        <v>3.1</v>
      </c>
      <c r="B45" s="660" t="s">
        <v>369</v>
      </c>
      <c r="C45" s="675">
        <f>144000/1.8</f>
        <v>80000</v>
      </c>
      <c r="D45" s="659" t="s">
        <v>349</v>
      </c>
      <c r="E45" s="676" t="s">
        <v>346</v>
      </c>
      <c r="F45" s="663">
        <v>1</v>
      </c>
      <c r="G45" s="663">
        <v>0</v>
      </c>
      <c r="H45" s="664">
        <v>40909</v>
      </c>
      <c r="I45" s="664">
        <v>40969</v>
      </c>
      <c r="J45" s="665" t="s">
        <v>347</v>
      </c>
      <c r="K45" s="679"/>
    </row>
    <row r="46" spans="1:11" ht="25.5">
      <c r="A46" s="659">
        <v>3.2</v>
      </c>
      <c r="B46" s="660" t="s">
        <v>370</v>
      </c>
      <c r="C46" s="675">
        <f>576000/1.8</f>
        <v>320000</v>
      </c>
      <c r="D46" s="659" t="s">
        <v>358</v>
      </c>
      <c r="E46" s="676" t="s">
        <v>346</v>
      </c>
      <c r="F46" s="663">
        <v>1</v>
      </c>
      <c r="G46" s="663">
        <v>0</v>
      </c>
      <c r="H46" s="664">
        <v>41091</v>
      </c>
      <c r="I46" s="664">
        <v>42705</v>
      </c>
      <c r="J46" s="665" t="s">
        <v>347</v>
      </c>
      <c r="K46" s="679"/>
    </row>
    <row r="47" spans="1:11">
      <c r="A47" s="659">
        <v>3.3</v>
      </c>
      <c r="B47" s="660" t="s">
        <v>371</v>
      </c>
      <c r="C47" s="675">
        <f>288000/1.8</f>
        <v>160000</v>
      </c>
      <c r="D47" s="659" t="s">
        <v>364</v>
      </c>
      <c r="E47" s="676" t="s">
        <v>346</v>
      </c>
      <c r="F47" s="663">
        <v>1</v>
      </c>
      <c r="G47" s="663">
        <v>0</v>
      </c>
      <c r="H47" s="664">
        <v>41001</v>
      </c>
      <c r="I47" s="664">
        <v>41699</v>
      </c>
      <c r="J47" s="665" t="s">
        <v>347</v>
      </c>
      <c r="K47" s="679"/>
    </row>
    <row r="48" spans="1:11" ht="25.5">
      <c r="A48" s="659">
        <v>3.4</v>
      </c>
      <c r="B48" s="660" t="s">
        <v>372</v>
      </c>
      <c r="C48" s="675">
        <f>288000/1.8</f>
        <v>160000</v>
      </c>
      <c r="D48" s="659" t="s">
        <v>364</v>
      </c>
      <c r="E48" s="676" t="s">
        <v>346</v>
      </c>
      <c r="F48" s="663">
        <v>1</v>
      </c>
      <c r="G48" s="663">
        <v>0</v>
      </c>
      <c r="H48" s="664">
        <v>41093</v>
      </c>
      <c r="I48" s="664">
        <v>42705</v>
      </c>
      <c r="J48" s="665" t="s">
        <v>347</v>
      </c>
      <c r="K48" s="679"/>
    </row>
    <row r="49" spans="1:11" ht="25.5">
      <c r="A49" s="659">
        <v>3.5</v>
      </c>
      <c r="B49" s="660" t="s">
        <v>373</v>
      </c>
      <c r="C49" s="675">
        <f>1080000/1.8</f>
        <v>600000</v>
      </c>
      <c r="D49" s="659" t="s">
        <v>358</v>
      </c>
      <c r="E49" s="676" t="s">
        <v>346</v>
      </c>
      <c r="F49" s="663">
        <v>1</v>
      </c>
      <c r="G49" s="663">
        <v>0</v>
      </c>
      <c r="H49" s="664">
        <v>41003</v>
      </c>
      <c r="I49" s="664">
        <v>42705</v>
      </c>
      <c r="J49" s="665" t="s">
        <v>347</v>
      </c>
      <c r="K49" s="700"/>
    </row>
    <row r="50" spans="1:11">
      <c r="A50" s="884" t="s">
        <v>377</v>
      </c>
      <c r="B50" s="885"/>
      <c r="C50" s="689">
        <v>10738000.01</v>
      </c>
      <c r="D50" s="690"/>
      <c r="E50" s="691"/>
      <c r="F50" s="692"/>
      <c r="G50" s="692"/>
      <c r="H50" s="693"/>
      <c r="I50" s="693"/>
      <c r="J50" s="694"/>
      <c r="K50" s="695"/>
    </row>
    <row r="51" spans="1:11" ht="15.75" thickBot="1">
      <c r="A51" s="891" t="s">
        <v>400</v>
      </c>
      <c r="B51" s="892"/>
      <c r="C51" s="892"/>
      <c r="D51" s="892"/>
      <c r="E51" s="892"/>
      <c r="F51" s="892"/>
      <c r="G51" s="892"/>
      <c r="H51" s="892"/>
      <c r="I51" s="892"/>
      <c r="J51" s="892"/>
      <c r="K51" s="892"/>
    </row>
    <row r="52" spans="1:11" ht="12.75" customHeight="1">
      <c r="A52" s="888" t="s">
        <v>98</v>
      </c>
      <c r="B52" s="889"/>
      <c r="C52" s="889"/>
      <c r="D52" s="889"/>
      <c r="E52" s="889"/>
      <c r="F52" s="889"/>
      <c r="G52" s="889"/>
      <c r="H52" s="889"/>
      <c r="I52" s="889"/>
      <c r="J52" s="889"/>
      <c r="K52" s="890"/>
    </row>
    <row r="53" spans="1:11" ht="15" customHeight="1">
      <c r="A53" s="659">
        <v>1.1000000000000001</v>
      </c>
      <c r="B53" s="660" t="s">
        <v>390</v>
      </c>
      <c r="C53" s="661">
        <v>444444.45</v>
      </c>
      <c r="D53" s="661" t="s">
        <v>388</v>
      </c>
      <c r="E53" s="662" t="s">
        <v>346</v>
      </c>
      <c r="F53" s="663">
        <v>0.5</v>
      </c>
      <c r="G53" s="663">
        <v>0.5</v>
      </c>
      <c r="H53" s="664">
        <v>40969</v>
      </c>
      <c r="I53" s="664">
        <v>42522</v>
      </c>
      <c r="J53" s="665" t="s">
        <v>347</v>
      </c>
      <c r="K53" s="666"/>
    </row>
    <row r="54" spans="1:11" ht="25.5">
      <c r="A54" s="659">
        <v>1.2</v>
      </c>
      <c r="B54" s="660" t="s">
        <v>399</v>
      </c>
      <c r="C54" s="661">
        <f>605000/1.8</f>
        <v>336111.11</v>
      </c>
      <c r="D54" s="665" t="s">
        <v>388</v>
      </c>
      <c r="E54" s="662" t="s">
        <v>392</v>
      </c>
      <c r="F54" s="663">
        <v>0</v>
      </c>
      <c r="G54" s="663">
        <v>1</v>
      </c>
      <c r="H54" s="664">
        <v>41275</v>
      </c>
      <c r="I54" s="664">
        <v>41640</v>
      </c>
      <c r="J54" s="665" t="s">
        <v>347</v>
      </c>
      <c r="K54" s="666"/>
    </row>
    <row r="55" spans="1:11" ht="25.5">
      <c r="A55" s="659">
        <v>1.3</v>
      </c>
      <c r="B55" s="660" t="s">
        <v>398</v>
      </c>
      <c r="C55" s="661">
        <f>660000/1.8</f>
        <v>366666.67</v>
      </c>
      <c r="D55" s="665" t="s">
        <v>388</v>
      </c>
      <c r="E55" s="662" t="s">
        <v>392</v>
      </c>
      <c r="F55" s="663">
        <v>0</v>
      </c>
      <c r="G55" s="663">
        <v>1</v>
      </c>
      <c r="H55" s="664">
        <v>40909</v>
      </c>
      <c r="I55" s="664">
        <v>40969</v>
      </c>
      <c r="J55" s="665" t="s">
        <v>347</v>
      </c>
      <c r="K55" s="666"/>
    </row>
    <row r="56" spans="1:11">
      <c r="A56" s="659">
        <v>1.4</v>
      </c>
      <c r="B56" s="660" t="s">
        <v>397</v>
      </c>
      <c r="C56" s="661">
        <f>256000/1.8</f>
        <v>142222.22</v>
      </c>
      <c r="D56" s="665" t="s">
        <v>388</v>
      </c>
      <c r="E56" s="662" t="s">
        <v>392</v>
      </c>
      <c r="F56" s="663">
        <v>0</v>
      </c>
      <c r="G56" s="663">
        <v>1</v>
      </c>
      <c r="H56" s="664">
        <v>40909</v>
      </c>
      <c r="I56" s="664">
        <v>40969</v>
      </c>
      <c r="J56" s="665" t="s">
        <v>347</v>
      </c>
      <c r="K56" s="666"/>
    </row>
    <row r="57" spans="1:11" ht="18.75" customHeight="1" thickBot="1">
      <c r="A57" s="659">
        <v>4.2</v>
      </c>
      <c r="B57" s="660" t="s">
        <v>389</v>
      </c>
      <c r="C57" s="675">
        <f>195000/1.8</f>
        <v>108333.33</v>
      </c>
      <c r="D57" s="661" t="s">
        <v>388</v>
      </c>
      <c r="E57" s="662" t="s">
        <v>346</v>
      </c>
      <c r="F57" s="663">
        <v>0.5</v>
      </c>
      <c r="G57" s="663">
        <v>0.5</v>
      </c>
      <c r="H57" s="664">
        <v>40969</v>
      </c>
      <c r="I57" s="664">
        <v>42522</v>
      </c>
      <c r="J57" s="665" t="s">
        <v>347</v>
      </c>
      <c r="K57" s="700"/>
    </row>
    <row r="58" spans="1:11">
      <c r="A58" s="888" t="s">
        <v>124</v>
      </c>
      <c r="B58" s="889"/>
      <c r="C58" s="889"/>
      <c r="D58" s="889"/>
      <c r="E58" s="889"/>
      <c r="F58" s="889"/>
      <c r="G58" s="889"/>
      <c r="H58" s="889"/>
      <c r="I58" s="889"/>
      <c r="J58" s="889"/>
      <c r="K58" s="890"/>
    </row>
    <row r="59" spans="1:11">
      <c r="A59" s="659">
        <v>2.1</v>
      </c>
      <c r="B59" s="660" t="s">
        <v>390</v>
      </c>
      <c r="C59" s="661">
        <f>600000/1.8</f>
        <v>333333.33</v>
      </c>
      <c r="D59" s="661" t="s">
        <v>388</v>
      </c>
      <c r="E59" s="662" t="s">
        <v>392</v>
      </c>
      <c r="F59" s="663">
        <v>0</v>
      </c>
      <c r="G59" s="663">
        <v>1</v>
      </c>
      <c r="H59" s="664">
        <v>41275</v>
      </c>
      <c r="I59" s="664">
        <v>41334</v>
      </c>
      <c r="J59" s="665" t="s">
        <v>347</v>
      </c>
      <c r="K59" s="666"/>
    </row>
    <row r="60" spans="1:11">
      <c r="A60" s="659">
        <v>2.2000000000000002</v>
      </c>
      <c r="B60" s="660" t="s">
        <v>389</v>
      </c>
      <c r="C60" s="675">
        <f>54000/1.8</f>
        <v>30000</v>
      </c>
      <c r="D60" s="661" t="s">
        <v>396</v>
      </c>
      <c r="E60" s="662" t="s">
        <v>346</v>
      </c>
      <c r="F60" s="663">
        <v>0.5</v>
      </c>
      <c r="G60" s="663">
        <v>0.5</v>
      </c>
      <c r="H60" s="664">
        <v>40969</v>
      </c>
      <c r="I60" s="664">
        <v>42522</v>
      </c>
      <c r="J60" s="665" t="s">
        <v>347</v>
      </c>
      <c r="K60" s="679"/>
    </row>
    <row r="61" spans="1:11">
      <c r="A61" s="659">
        <v>2.2999999999999998</v>
      </c>
      <c r="B61" s="660" t="s">
        <v>395</v>
      </c>
      <c r="C61" s="675">
        <f>700000/1.8</f>
        <v>388888.89</v>
      </c>
      <c r="D61" s="659" t="s">
        <v>388</v>
      </c>
      <c r="E61" s="662" t="s">
        <v>392</v>
      </c>
      <c r="F61" s="663">
        <v>0</v>
      </c>
      <c r="G61" s="663">
        <v>1</v>
      </c>
      <c r="H61" s="664">
        <v>41275</v>
      </c>
      <c r="I61" s="664">
        <v>42522</v>
      </c>
      <c r="J61" s="665" t="s">
        <v>347</v>
      </c>
      <c r="K61" s="679"/>
    </row>
    <row r="62" spans="1:11">
      <c r="A62" s="667">
        <v>2.4</v>
      </c>
      <c r="B62" s="668" t="s">
        <v>394</v>
      </c>
      <c r="C62" s="704">
        <f>2800000/1.8</f>
        <v>1555555.56</v>
      </c>
      <c r="D62" s="667" t="s">
        <v>388</v>
      </c>
      <c r="E62" s="671" t="s">
        <v>392</v>
      </c>
      <c r="F62" s="672">
        <v>0</v>
      </c>
      <c r="G62" s="672">
        <v>1</v>
      </c>
      <c r="H62" s="673">
        <v>40969</v>
      </c>
      <c r="I62" s="673">
        <v>42522</v>
      </c>
      <c r="J62" s="670" t="s">
        <v>347</v>
      </c>
      <c r="K62" s="705"/>
    </row>
    <row r="63" spans="1:11" ht="39" thickBot="1">
      <c r="A63" s="680">
        <v>2.5</v>
      </c>
      <c r="B63" s="681" t="s">
        <v>393</v>
      </c>
      <c r="C63" s="682">
        <f>16250000/2/1.8</f>
        <v>4513888.8899999997</v>
      </c>
      <c r="D63" s="680" t="s">
        <v>388</v>
      </c>
      <c r="E63" s="703" t="s">
        <v>392</v>
      </c>
      <c r="F63" s="684">
        <v>0</v>
      </c>
      <c r="G63" s="684">
        <v>1</v>
      </c>
      <c r="H63" s="664">
        <v>41275</v>
      </c>
      <c r="I63" s="664">
        <v>42522</v>
      </c>
      <c r="J63" s="685" t="s">
        <v>347</v>
      </c>
      <c r="K63" s="702" t="s">
        <v>391</v>
      </c>
    </row>
    <row r="64" spans="1:11" ht="13.5" thickBot="1">
      <c r="A64" s="886" t="s">
        <v>387</v>
      </c>
      <c r="B64" s="887"/>
      <c r="C64" s="706">
        <v>8219444.4500000002</v>
      </c>
      <c r="D64" s="707"/>
      <c r="E64" s="708"/>
      <c r="F64" s="709"/>
      <c r="G64" s="709"/>
      <c r="H64" s="710"/>
      <c r="I64" s="710"/>
      <c r="J64" s="711"/>
      <c r="K64" s="712"/>
    </row>
    <row r="65" spans="1:11" ht="13.5" thickBot="1"/>
    <row r="66" spans="1:11" ht="16.5" thickBot="1">
      <c r="A66" s="713"/>
      <c r="B66" s="896" t="s">
        <v>378</v>
      </c>
      <c r="C66" s="896"/>
      <c r="D66" s="896"/>
      <c r="E66" s="896"/>
      <c r="F66" s="896"/>
      <c r="G66" s="896"/>
      <c r="H66" s="896"/>
      <c r="I66" s="896"/>
      <c r="J66" s="896"/>
      <c r="K66" s="897"/>
    </row>
    <row r="67" spans="1:11" ht="41.25" customHeight="1">
      <c r="A67" s="696" t="s">
        <v>337</v>
      </c>
      <c r="B67" s="898" t="s">
        <v>401</v>
      </c>
      <c r="C67" s="898"/>
      <c r="D67" s="898"/>
      <c r="E67" s="898"/>
      <c r="F67" s="898"/>
      <c r="G67" s="898"/>
      <c r="H67" s="898"/>
      <c r="I67" s="898"/>
      <c r="J67" s="898"/>
      <c r="K67" s="898"/>
    </row>
    <row r="68" spans="1:11">
      <c r="A68" s="697" t="s">
        <v>338</v>
      </c>
      <c r="B68" s="883" t="s">
        <v>379</v>
      </c>
      <c r="C68" s="883"/>
      <c r="D68" s="698"/>
      <c r="E68" s="698"/>
      <c r="F68" s="698"/>
      <c r="G68" s="698"/>
      <c r="H68" s="699"/>
      <c r="I68" s="699"/>
      <c r="J68" s="698"/>
      <c r="K68" s="698"/>
    </row>
    <row r="69" spans="1:11">
      <c r="A69" s="697" t="s">
        <v>342</v>
      </c>
      <c r="B69" s="698" t="s">
        <v>380</v>
      </c>
      <c r="C69" s="698"/>
      <c r="D69" s="698"/>
      <c r="E69" s="698"/>
      <c r="F69" s="698"/>
      <c r="G69" s="698"/>
      <c r="H69" s="699"/>
      <c r="I69" s="699"/>
      <c r="J69" s="698"/>
      <c r="K69" s="698"/>
    </row>
  </sheetData>
  <mergeCells count="32">
    <mergeCell ref="A1:K1"/>
    <mergeCell ref="A2:K2"/>
    <mergeCell ref="A3:K3"/>
    <mergeCell ref="A4:K4"/>
    <mergeCell ref="A9:A11"/>
    <mergeCell ref="B9:B11"/>
    <mergeCell ref="E9:E10"/>
    <mergeCell ref="F9:G9"/>
    <mergeCell ref="H9:I9"/>
    <mergeCell ref="J9:J10"/>
    <mergeCell ref="K9:K11"/>
    <mergeCell ref="A12:K12"/>
    <mergeCell ref="A13:K13"/>
    <mergeCell ref="A26:K26"/>
    <mergeCell ref="A31:A33"/>
    <mergeCell ref="B31:B33"/>
    <mergeCell ref="E31:E32"/>
    <mergeCell ref="F31:G31"/>
    <mergeCell ref="H31:I31"/>
    <mergeCell ref="J31:J32"/>
    <mergeCell ref="K31:K33"/>
    <mergeCell ref="A34:K34"/>
    <mergeCell ref="A35:K35"/>
    <mergeCell ref="A44:K44"/>
    <mergeCell ref="B66:K66"/>
    <mergeCell ref="B67:K67"/>
    <mergeCell ref="B68:C68"/>
    <mergeCell ref="A50:B50"/>
    <mergeCell ref="A64:B64"/>
    <mergeCell ref="A52:K52"/>
    <mergeCell ref="A58:K58"/>
    <mergeCell ref="A51:K51"/>
  </mergeCells>
  <pageMargins left="0.38" right="0.31" top="0.55000000000000004" bottom="0.64" header="0.31496062000000002" footer="0.31496062000000002"/>
  <pageSetup scale="80" orientation="landscape" r:id="rId1"/>
  <headerFooter>
    <oddFooter>&amp;C&amp;P</oddFooter>
  </headerFooter>
  <drawing r:id="rId2"/>
</worksheet>
</file>

<file path=xl/worksheets/sheet2.xml><?xml version="1.0" encoding="utf-8"?>
<worksheet xmlns="http://schemas.openxmlformats.org/spreadsheetml/2006/main" xmlns:r="http://schemas.openxmlformats.org/officeDocument/2006/relationships">
  <dimension ref="A7:B49"/>
  <sheetViews>
    <sheetView showGridLines="0" topLeftCell="A10" workbookViewId="0">
      <selection activeCell="B38" sqref="B38"/>
    </sheetView>
  </sheetViews>
  <sheetFormatPr defaultColWidth="9.140625" defaultRowHeight="12.75"/>
  <cols>
    <col min="1" max="1" width="9" style="2" customWidth="1"/>
    <col min="2" max="2" width="95.140625" customWidth="1"/>
  </cols>
  <sheetData>
    <row r="7" spans="1:2">
      <c r="B7" s="3"/>
    </row>
    <row r="8" spans="1:2">
      <c r="B8" s="3"/>
    </row>
    <row r="9" spans="1:2">
      <c r="B9" s="3"/>
    </row>
    <row r="10" spans="1:2" ht="15">
      <c r="B10" s="4" t="s">
        <v>25</v>
      </c>
    </row>
    <row r="12" spans="1:2" ht="15.75">
      <c r="A12" s="730"/>
      <c r="B12" s="730"/>
    </row>
    <row r="15" spans="1:2">
      <c r="A15" s="5"/>
      <c r="B15" s="1"/>
    </row>
    <row r="16" spans="1:2" ht="15">
      <c r="A16" s="6" t="s">
        <v>26</v>
      </c>
      <c r="B16" s="7" t="s">
        <v>27</v>
      </c>
    </row>
    <row r="17" spans="1:2" ht="15">
      <c r="A17" s="8"/>
      <c r="B17" s="9"/>
    </row>
    <row r="18" spans="1:2" ht="15">
      <c r="A18" s="10">
        <v>1</v>
      </c>
      <c r="B18" s="9" t="s">
        <v>28</v>
      </c>
    </row>
    <row r="19" spans="1:2" ht="15">
      <c r="A19" s="10">
        <v>2</v>
      </c>
      <c r="B19" s="9" t="s">
        <v>29</v>
      </c>
    </row>
    <row r="20" spans="1:2" ht="7.9" customHeight="1">
      <c r="A20" s="10"/>
      <c r="B20" s="7"/>
    </row>
    <row r="21" spans="1:2" ht="15">
      <c r="A21" s="10">
        <v>3</v>
      </c>
      <c r="B21" s="9" t="s">
        <v>250</v>
      </c>
    </row>
    <row r="22" spans="1:2" ht="15">
      <c r="A22" s="10">
        <v>4</v>
      </c>
      <c r="B22" s="9" t="s">
        <v>249</v>
      </c>
    </row>
    <row r="23" spans="1:2" ht="15">
      <c r="A23" s="10">
        <v>5</v>
      </c>
      <c r="B23" s="9" t="s">
        <v>248</v>
      </c>
    </row>
    <row r="24" spans="1:2" ht="15">
      <c r="A24" s="4">
        <v>6</v>
      </c>
      <c r="B24" s="9" t="s">
        <v>247</v>
      </c>
    </row>
    <row r="25" spans="1:2" ht="15">
      <c r="A25" s="4">
        <v>7</v>
      </c>
      <c r="B25" s="11" t="s">
        <v>246</v>
      </c>
    </row>
    <row r="26" spans="1:2" ht="15">
      <c r="A26" s="414">
        <v>8</v>
      </c>
      <c r="B26" s="415" t="s">
        <v>244</v>
      </c>
    </row>
    <row r="27" spans="1:2" ht="15">
      <c r="A27" s="414">
        <v>9</v>
      </c>
      <c r="B27" s="415" t="s">
        <v>245</v>
      </c>
    </row>
    <row r="28" spans="1:2" ht="15">
      <c r="A28" s="4">
        <v>10</v>
      </c>
      <c r="B28" s="11" t="s">
        <v>251</v>
      </c>
    </row>
    <row r="29" spans="1:2" ht="15">
      <c r="A29" s="4">
        <v>11</v>
      </c>
      <c r="B29" s="11" t="s">
        <v>252</v>
      </c>
    </row>
    <row r="30" spans="1:2" ht="15">
      <c r="A30" s="591">
        <v>12</v>
      </c>
      <c r="B30" s="592" t="s">
        <v>253</v>
      </c>
    </row>
    <row r="31" spans="1:2" ht="15">
      <c r="A31" s="593">
        <v>13</v>
      </c>
      <c r="B31" s="594" t="s">
        <v>254</v>
      </c>
    </row>
    <row r="32" spans="1:2">
      <c r="B32" s="12"/>
    </row>
    <row r="33" spans="2:2">
      <c r="B33" s="12"/>
    </row>
    <row r="34" spans="2:2">
      <c r="B34" s="12"/>
    </row>
    <row r="35" spans="2:2">
      <c r="B35" s="12"/>
    </row>
    <row r="36" spans="2:2">
      <c r="B36" s="12"/>
    </row>
    <row r="37" spans="2:2">
      <c r="B37" s="12"/>
    </row>
    <row r="38" spans="2:2">
      <c r="B38" s="12"/>
    </row>
    <row r="39" spans="2:2">
      <c r="B39" s="12"/>
    </row>
    <row r="40" spans="2:2">
      <c r="B40" s="12"/>
    </row>
    <row r="41" spans="2:2">
      <c r="B41" s="12"/>
    </row>
    <row r="42" spans="2:2">
      <c r="B42" s="12"/>
    </row>
    <row r="43" spans="2:2">
      <c r="B43" s="12"/>
    </row>
    <row r="44" spans="2:2">
      <c r="B44" s="12"/>
    </row>
    <row r="45" spans="2:2">
      <c r="B45" s="12"/>
    </row>
    <row r="46" spans="2:2">
      <c r="B46" s="12"/>
    </row>
    <row r="47" spans="2:2">
      <c r="B47" s="12"/>
    </row>
    <row r="48" spans="2:2">
      <c r="B48" s="12"/>
    </row>
    <row r="49" spans="2:2">
      <c r="B49" s="12"/>
    </row>
  </sheetData>
  <mergeCells count="1">
    <mergeCell ref="A12:B12"/>
  </mergeCells>
  <phoneticPr fontId="0" type="noConversion"/>
  <printOptions horizontalCentered="1"/>
  <pageMargins left="0.59055118110236227" right="0.59055118110236227" top="0.59055118110236227" bottom="0.78740157480314965" header="0.51181102362204722" footer="0.51181102362204722"/>
  <pageSetup paperSize="9" scale="85" firstPageNumber="0" orientation="portrait" horizontalDpi="300" verticalDpi="300" r:id="rId1"/>
  <headerFooter alignWithMargins="0">
    <oddFooter>&amp;L&amp;D&amp;C&amp;A&amp;RPág. &amp;P / &amp;N</oddFooter>
  </headerFooter>
  <drawing r:id="rId2"/>
</worksheet>
</file>

<file path=xl/worksheets/sheet3.xml><?xml version="1.0" encoding="utf-8"?>
<worksheet xmlns="http://schemas.openxmlformats.org/spreadsheetml/2006/main" xmlns:r="http://schemas.openxmlformats.org/officeDocument/2006/relationships">
  <dimension ref="A1:K56"/>
  <sheetViews>
    <sheetView showGridLines="0" zoomScaleNormal="100" zoomScaleSheetLayoutView="75" workbookViewId="0">
      <pane ySplit="4" topLeftCell="A5" activePane="bottomLeft" state="frozen"/>
      <selection activeCell="B31" sqref="B31:H35"/>
      <selection pane="bottomLeft" activeCell="E6" sqref="E6"/>
    </sheetView>
  </sheetViews>
  <sheetFormatPr defaultColWidth="4.5703125" defaultRowHeight="12.75"/>
  <cols>
    <col min="1" max="1" width="110.42578125" style="141" customWidth="1"/>
    <col min="2" max="2" width="9.5703125" style="13" customWidth="1"/>
    <col min="3" max="3" width="15.42578125" style="12" hidden="1" customWidth="1"/>
    <col min="4" max="4" width="14.85546875" style="99" bestFit="1" customWidth="1"/>
    <col min="5" max="5" width="15.85546875" style="99" bestFit="1" customWidth="1"/>
    <col min="6" max="6" width="11" style="13" customWidth="1"/>
    <col min="7" max="7" width="5.7109375" style="12" customWidth="1"/>
    <col min="8" max="8" width="36" style="12" hidden="1" customWidth="1"/>
    <col min="9" max="9" width="15.5703125" style="12" hidden="1" customWidth="1"/>
    <col min="10" max="10" width="10.140625" style="12" hidden="1" customWidth="1"/>
    <col min="11" max="11" width="36" style="12" hidden="1" customWidth="1"/>
    <col min="12" max="16384" width="4.5703125" style="12"/>
  </cols>
  <sheetData>
    <row r="1" spans="1:11" ht="13.5" thickBot="1">
      <c r="A1" s="147"/>
      <c r="B1" s="377" t="s">
        <v>79</v>
      </c>
      <c r="C1" s="148"/>
      <c r="D1" s="149" t="s">
        <v>70</v>
      </c>
      <c r="E1" s="150">
        <v>1.8</v>
      </c>
      <c r="F1" s="151"/>
    </row>
    <row r="2" spans="1:11" ht="16.5" thickBot="1">
      <c r="A2" s="139" t="s">
        <v>84</v>
      </c>
      <c r="B2" s="145"/>
      <c r="C2" s="145"/>
      <c r="D2" s="144"/>
      <c r="E2" s="144"/>
      <c r="F2" s="146"/>
    </row>
    <row r="3" spans="1:11" ht="13.5" customHeight="1" thickBot="1">
      <c r="A3" s="395" t="s">
        <v>80</v>
      </c>
      <c r="B3" s="396"/>
      <c r="C3" s="144"/>
      <c r="D3" s="397">
        <f>D5+D52</f>
        <v>42589344</v>
      </c>
      <c r="E3" s="397">
        <f>E5+E52</f>
        <v>76660820</v>
      </c>
      <c r="F3" s="398"/>
      <c r="H3" s="293"/>
      <c r="I3" s="293"/>
      <c r="J3" s="293"/>
      <c r="K3" s="293"/>
    </row>
    <row r="4" spans="1:11" ht="12.75" customHeight="1" thickBot="1">
      <c r="A4" s="140" t="s">
        <v>31</v>
      </c>
      <c r="B4" s="100" t="s">
        <v>32</v>
      </c>
      <c r="C4" s="98"/>
      <c r="D4" s="405" t="s">
        <v>23</v>
      </c>
      <c r="E4" s="405" t="s">
        <v>38</v>
      </c>
      <c r="F4" s="152" t="s">
        <v>69</v>
      </c>
      <c r="H4" s="507" t="s">
        <v>78</v>
      </c>
      <c r="I4" s="505" t="s">
        <v>76</v>
      </c>
      <c r="J4" s="504" t="s">
        <v>75</v>
      </c>
      <c r="K4" s="506" t="s">
        <v>77</v>
      </c>
    </row>
    <row r="5" spans="1:11" ht="13.5" customHeight="1" thickBot="1">
      <c r="A5" s="406" t="s">
        <v>33</v>
      </c>
      <c r="B5" s="399"/>
      <c r="C5" s="85"/>
      <c r="D5" s="322">
        <f>D6+D20+D43</f>
        <v>41561777</v>
      </c>
      <c r="E5" s="322">
        <f>E6+E20+E43</f>
        <v>74811200</v>
      </c>
      <c r="F5" s="407"/>
      <c r="H5" s="508"/>
      <c r="I5" s="295"/>
      <c r="J5" s="294"/>
      <c r="K5" s="509"/>
    </row>
    <row r="6" spans="1:11" ht="12.75" customHeight="1">
      <c r="A6" s="408" t="s">
        <v>98</v>
      </c>
      <c r="B6" s="400"/>
      <c r="C6" s="85">
        <f>COUNTIF(C7:C53,"verdadeiro")</f>
        <v>0</v>
      </c>
      <c r="D6" s="401">
        <f>SUM(D7:D19)</f>
        <v>3933861</v>
      </c>
      <c r="E6" s="401">
        <f>SUM(E7:E19)</f>
        <v>7080950</v>
      </c>
      <c r="F6" s="409"/>
      <c r="H6" s="510"/>
      <c r="I6" s="289"/>
      <c r="J6" s="290"/>
      <c r="K6" s="511"/>
    </row>
    <row r="7" spans="1:11" ht="24">
      <c r="A7" s="552" t="s">
        <v>195</v>
      </c>
      <c r="B7" s="372" t="s">
        <v>2</v>
      </c>
      <c r="C7" s="373" t="b">
        <f t="shared" ref="C7:C16" si="0">AND(OR(ISBLANK(A7),A7=" ",A7="  "),B7="Sim")</f>
        <v>0</v>
      </c>
      <c r="D7" s="374">
        <f t="shared" ref="D7:D51" si="1">E7/E$1</f>
        <v>382889</v>
      </c>
      <c r="E7" s="564">
        <f>'4_Componente 1'!A9</f>
        <v>689200</v>
      </c>
      <c r="F7" s="391" t="s">
        <v>2</v>
      </c>
      <c r="H7" s="512"/>
      <c r="I7" s="291"/>
      <c r="J7" s="375"/>
      <c r="K7" s="513"/>
    </row>
    <row r="8" spans="1:11">
      <c r="A8" s="553" t="s">
        <v>256</v>
      </c>
      <c r="B8" s="372" t="s">
        <v>2</v>
      </c>
      <c r="C8" s="373" t="b">
        <f t="shared" si="0"/>
        <v>0</v>
      </c>
      <c r="D8" s="374">
        <f t="shared" si="1"/>
        <v>343333</v>
      </c>
      <c r="E8" s="564">
        <f>'4_Componente 1'!A14</f>
        <v>618000</v>
      </c>
      <c r="F8" s="391" t="s">
        <v>2</v>
      </c>
      <c r="H8" s="512"/>
      <c r="I8" s="291"/>
      <c r="J8" s="375"/>
      <c r="K8" s="513"/>
    </row>
    <row r="9" spans="1:11">
      <c r="A9" s="554" t="s">
        <v>261</v>
      </c>
      <c r="B9" s="372" t="s">
        <v>2</v>
      </c>
      <c r="C9" s="373" t="b">
        <f t="shared" si="0"/>
        <v>0</v>
      </c>
      <c r="D9" s="374">
        <f t="shared" si="1"/>
        <v>120000</v>
      </c>
      <c r="E9" s="564">
        <f>'4_Componente 1'!A19</f>
        <v>216000</v>
      </c>
      <c r="F9" s="391" t="s">
        <v>2</v>
      </c>
      <c r="H9" s="512"/>
      <c r="I9" s="291"/>
      <c r="J9" s="375"/>
      <c r="K9" s="513"/>
    </row>
    <row r="10" spans="1:11">
      <c r="A10" s="553" t="s">
        <v>196</v>
      </c>
      <c r="B10" s="372" t="s">
        <v>2</v>
      </c>
      <c r="C10" s="373" t="b">
        <f t="shared" si="0"/>
        <v>0</v>
      </c>
      <c r="D10" s="374">
        <f t="shared" si="1"/>
        <v>142500</v>
      </c>
      <c r="E10" s="564">
        <f>'4_Componente 1'!A24</f>
        <v>256500</v>
      </c>
      <c r="F10" s="391" t="s">
        <v>2</v>
      </c>
      <c r="H10" s="512"/>
      <c r="I10" s="291"/>
      <c r="J10" s="375"/>
      <c r="K10" s="513"/>
    </row>
    <row r="11" spans="1:11">
      <c r="A11" s="552" t="s">
        <v>197</v>
      </c>
      <c r="B11" s="372" t="s">
        <v>2</v>
      </c>
      <c r="C11" s="373" t="b">
        <f t="shared" si="0"/>
        <v>0</v>
      </c>
      <c r="D11" s="374">
        <f t="shared" si="1"/>
        <v>336111</v>
      </c>
      <c r="E11" s="564">
        <f>'4_Componente 1'!A29</f>
        <v>605000</v>
      </c>
      <c r="F11" s="391" t="s">
        <v>2</v>
      </c>
      <c r="H11" s="512"/>
      <c r="I11" s="291"/>
      <c r="J11" s="376"/>
      <c r="K11" s="513"/>
    </row>
    <row r="12" spans="1:11">
      <c r="A12" s="552" t="s">
        <v>198</v>
      </c>
      <c r="B12" s="372" t="s">
        <v>2</v>
      </c>
      <c r="C12" s="373" t="b">
        <f t="shared" si="0"/>
        <v>0</v>
      </c>
      <c r="D12" s="374">
        <f t="shared" si="1"/>
        <v>21806</v>
      </c>
      <c r="E12" s="564">
        <f>'4_Componente 1'!A34</f>
        <v>39250</v>
      </c>
      <c r="F12" s="391" t="s">
        <v>2</v>
      </c>
      <c r="H12" s="512"/>
      <c r="I12" s="291"/>
      <c r="J12" s="292"/>
      <c r="K12" s="514"/>
    </row>
    <row r="13" spans="1:11">
      <c r="A13" s="552" t="s">
        <v>257</v>
      </c>
      <c r="B13" s="372" t="s">
        <v>2</v>
      </c>
      <c r="C13" s="373" t="b">
        <f t="shared" si="0"/>
        <v>0</v>
      </c>
      <c r="D13" s="374">
        <f t="shared" si="1"/>
        <v>336111</v>
      </c>
      <c r="E13" s="564">
        <f>'4_Componente 1'!A39</f>
        <v>605000</v>
      </c>
      <c r="F13" s="391" t="s">
        <v>2</v>
      </c>
      <c r="H13" s="512"/>
      <c r="I13" s="291"/>
      <c r="J13" s="292"/>
      <c r="K13" s="514"/>
    </row>
    <row r="14" spans="1:11">
      <c r="A14" s="552" t="s">
        <v>199</v>
      </c>
      <c r="B14" s="372" t="s">
        <v>2</v>
      </c>
      <c r="C14" s="373" t="b">
        <f t="shared" si="0"/>
        <v>0</v>
      </c>
      <c r="D14" s="374">
        <f t="shared" si="1"/>
        <v>20000</v>
      </c>
      <c r="E14" s="564">
        <f>'4_Componente 1'!A44</f>
        <v>36000</v>
      </c>
      <c r="F14" s="391" t="s">
        <v>2</v>
      </c>
      <c r="H14" s="512"/>
      <c r="I14" s="291"/>
      <c r="J14" s="292"/>
      <c r="K14" s="514"/>
    </row>
    <row r="15" spans="1:11">
      <c r="A15" s="552" t="s">
        <v>258</v>
      </c>
      <c r="B15" s="372" t="s">
        <v>2</v>
      </c>
      <c r="C15" s="373" t="b">
        <f t="shared" si="0"/>
        <v>0</v>
      </c>
      <c r="D15" s="374">
        <f t="shared" si="1"/>
        <v>464444</v>
      </c>
      <c r="E15" s="564">
        <f>'4_Componente 1'!A49</f>
        <v>836000</v>
      </c>
      <c r="F15" s="391" t="s">
        <v>2</v>
      </c>
      <c r="H15" s="512"/>
      <c r="I15" s="291"/>
      <c r="J15" s="292"/>
      <c r="K15" s="514"/>
    </row>
    <row r="16" spans="1:11" ht="13.5" thickBot="1">
      <c r="A16" s="552" t="s">
        <v>200</v>
      </c>
      <c r="B16" s="372" t="s">
        <v>2</v>
      </c>
      <c r="C16" s="373" t="b">
        <f t="shared" si="0"/>
        <v>0</v>
      </c>
      <c r="D16" s="374">
        <f t="shared" si="1"/>
        <v>293333</v>
      </c>
      <c r="E16" s="564">
        <f>'4_Componente 1'!A54</f>
        <v>528000</v>
      </c>
      <c r="F16" s="391" t="s">
        <v>2</v>
      </c>
      <c r="H16" s="512"/>
      <c r="I16" s="291"/>
      <c r="J16" s="292"/>
      <c r="K16" s="514"/>
    </row>
    <row r="17" spans="1:11" ht="12.75" customHeight="1">
      <c r="A17" s="550" t="s">
        <v>301</v>
      </c>
      <c r="B17" s="372" t="s">
        <v>2</v>
      </c>
      <c r="C17" s="373"/>
      <c r="D17" s="374">
        <f>E17/E1</f>
        <v>815278</v>
      </c>
      <c r="E17" s="564">
        <f>'4_Componente 1'!A59</f>
        <v>1467500</v>
      </c>
      <c r="F17" s="391" t="s">
        <v>2</v>
      </c>
      <c r="H17" s="510"/>
      <c r="I17" s="289"/>
      <c r="J17" s="290"/>
      <c r="K17" s="511"/>
    </row>
    <row r="18" spans="1:11" ht="12.75" customHeight="1">
      <c r="A18" s="550" t="s">
        <v>302</v>
      </c>
      <c r="B18" s="372" t="s">
        <v>2</v>
      </c>
      <c r="C18" s="563"/>
      <c r="D18" s="374">
        <f>E18/E1</f>
        <v>551389</v>
      </c>
      <c r="E18" s="564">
        <f>'4_Componente 1'!A64</f>
        <v>992500</v>
      </c>
      <c r="F18" s="411" t="s">
        <v>2</v>
      </c>
      <c r="H18" s="537"/>
      <c r="I18" s="538"/>
      <c r="J18" s="539"/>
      <c r="K18" s="540"/>
    </row>
    <row r="19" spans="1:11">
      <c r="A19" s="550" t="s">
        <v>303</v>
      </c>
      <c r="B19" s="372" t="s">
        <v>2</v>
      </c>
      <c r="C19" s="373"/>
      <c r="D19" s="374">
        <f>E19/E1</f>
        <v>106667</v>
      </c>
      <c r="E19" s="564">
        <f>'4_Componente 1'!A69</f>
        <v>192000</v>
      </c>
      <c r="F19" s="391" t="s">
        <v>2</v>
      </c>
      <c r="H19" s="512"/>
      <c r="I19" s="291"/>
      <c r="J19" s="325"/>
      <c r="K19" s="513"/>
    </row>
    <row r="20" spans="1:11">
      <c r="A20" s="596" t="s">
        <v>124</v>
      </c>
      <c r="B20" s="597"/>
      <c r="C20" s="598">
        <f>COUNTIF(C22:C91,"verdadeiro")</f>
        <v>0</v>
      </c>
      <c r="D20" s="599">
        <f>SUM(D21:D42)</f>
        <v>34710694</v>
      </c>
      <c r="E20" s="599">
        <f>SUM(E21:E42)</f>
        <v>62479250</v>
      </c>
      <c r="F20" s="600" t="s">
        <v>243</v>
      </c>
      <c r="H20" s="512"/>
      <c r="I20" s="291"/>
      <c r="J20" s="384"/>
      <c r="K20" s="513"/>
    </row>
    <row r="21" spans="1:11">
      <c r="A21" s="555" t="s">
        <v>309</v>
      </c>
      <c r="B21" s="372" t="s">
        <v>2</v>
      </c>
      <c r="C21" s="563"/>
      <c r="D21" s="374">
        <f>E21/E1</f>
        <v>1842500</v>
      </c>
      <c r="E21" s="564">
        <f>'5_Componente 2'!A9</f>
        <v>3316500</v>
      </c>
      <c r="F21" s="411" t="s">
        <v>2</v>
      </c>
      <c r="H21" s="512"/>
      <c r="I21" s="291"/>
      <c r="J21" s="325"/>
      <c r="K21" s="513"/>
    </row>
    <row r="22" spans="1:11">
      <c r="A22" s="555" t="s">
        <v>310</v>
      </c>
      <c r="B22" s="372" t="s">
        <v>2</v>
      </c>
      <c r="C22" s="373" t="b">
        <f t="shared" ref="C22:C38" si="2">AND(OR(ISBLANK(A22),A22=" ",A22="  "),B22="Sim")</f>
        <v>0</v>
      </c>
      <c r="D22" s="374">
        <f t="shared" si="1"/>
        <v>1678750</v>
      </c>
      <c r="E22" s="564">
        <f>'5_Componente 2'!A14</f>
        <v>3021750</v>
      </c>
      <c r="F22" s="411" t="s">
        <v>2</v>
      </c>
      <c r="H22" s="512"/>
      <c r="I22" s="291"/>
      <c r="J22" s="325"/>
      <c r="K22" s="513"/>
    </row>
    <row r="23" spans="1:11" hidden="1">
      <c r="A23" s="387" t="s">
        <v>126</v>
      </c>
      <c r="B23" s="372"/>
      <c r="C23" s="373" t="b">
        <f t="shared" si="2"/>
        <v>0</v>
      </c>
      <c r="D23" s="374">
        <f t="shared" si="1"/>
        <v>0</v>
      </c>
      <c r="E23" s="564">
        <v>0</v>
      </c>
      <c r="F23" s="411" t="s">
        <v>243</v>
      </c>
      <c r="H23" s="512"/>
      <c r="I23" s="291"/>
      <c r="J23" s="325"/>
      <c r="K23" s="513"/>
    </row>
    <row r="24" spans="1:11">
      <c r="A24" s="555" t="s">
        <v>259</v>
      </c>
      <c r="B24" s="372" t="s">
        <v>2</v>
      </c>
      <c r="C24" s="373" t="b">
        <f t="shared" si="2"/>
        <v>0</v>
      </c>
      <c r="D24" s="374">
        <f t="shared" si="1"/>
        <v>298889</v>
      </c>
      <c r="E24" s="564">
        <f>'5_Componente 2'!A19</f>
        <v>538000</v>
      </c>
      <c r="F24" s="391" t="s">
        <v>2</v>
      </c>
      <c r="H24" s="512"/>
      <c r="I24" s="291"/>
      <c r="J24" s="292"/>
      <c r="K24" s="514"/>
    </row>
    <row r="25" spans="1:11" ht="13.5" customHeight="1">
      <c r="A25" s="555" t="s">
        <v>311</v>
      </c>
      <c r="B25" s="372" t="s">
        <v>2</v>
      </c>
      <c r="C25" s="373" t="b">
        <f t="shared" si="2"/>
        <v>0</v>
      </c>
      <c r="D25" s="374">
        <f t="shared" si="1"/>
        <v>1930000</v>
      </c>
      <c r="E25" s="564">
        <f>'5_Componente 2'!A24</f>
        <v>3474000</v>
      </c>
      <c r="F25" s="391" t="s">
        <v>2</v>
      </c>
      <c r="H25" s="512"/>
      <c r="I25" s="291"/>
      <c r="J25" s="292"/>
      <c r="K25" s="514"/>
    </row>
    <row r="26" spans="1:11" hidden="1">
      <c r="A26" s="138" t="s">
        <v>127</v>
      </c>
      <c r="B26" s="575"/>
      <c r="C26" s="373" t="b">
        <f t="shared" si="2"/>
        <v>0</v>
      </c>
      <c r="D26" s="374">
        <f t="shared" si="1"/>
        <v>0</v>
      </c>
      <c r="E26" s="564">
        <v>0</v>
      </c>
      <c r="F26" s="391" t="s">
        <v>243</v>
      </c>
      <c r="H26" s="512"/>
      <c r="I26" s="291"/>
      <c r="J26" s="292"/>
      <c r="K26" s="514"/>
    </row>
    <row r="27" spans="1:11" hidden="1">
      <c r="A27" s="138" t="s">
        <v>128</v>
      </c>
      <c r="B27" s="575"/>
      <c r="C27" s="373" t="b">
        <f t="shared" si="2"/>
        <v>0</v>
      </c>
      <c r="D27" s="374">
        <f t="shared" si="1"/>
        <v>0</v>
      </c>
      <c r="E27" s="564">
        <v>0</v>
      </c>
      <c r="F27" s="391" t="s">
        <v>243</v>
      </c>
      <c r="H27" s="512"/>
      <c r="I27" s="291"/>
      <c r="J27" s="292"/>
      <c r="K27" s="514"/>
    </row>
    <row r="28" spans="1:11" hidden="1">
      <c r="A28" s="138" t="s">
        <v>129</v>
      </c>
      <c r="B28" s="575"/>
      <c r="C28" s="373" t="b">
        <f t="shared" si="2"/>
        <v>0</v>
      </c>
      <c r="D28" s="374">
        <f t="shared" si="1"/>
        <v>0</v>
      </c>
      <c r="E28" s="564">
        <v>0</v>
      </c>
      <c r="F28" s="391" t="s">
        <v>243</v>
      </c>
      <c r="H28" s="512"/>
      <c r="I28" s="291"/>
      <c r="J28" s="292"/>
      <c r="K28" s="514"/>
    </row>
    <row r="29" spans="1:11" hidden="1">
      <c r="A29" s="138" t="s">
        <v>130</v>
      </c>
      <c r="B29" s="575"/>
      <c r="C29" s="373" t="b">
        <f t="shared" si="2"/>
        <v>0</v>
      </c>
      <c r="D29" s="374">
        <f t="shared" si="1"/>
        <v>0</v>
      </c>
      <c r="E29" s="564">
        <v>0</v>
      </c>
      <c r="F29" s="391" t="s">
        <v>243</v>
      </c>
      <c r="H29" s="512"/>
      <c r="I29" s="291"/>
      <c r="J29" s="292"/>
      <c r="K29" s="514"/>
    </row>
    <row r="30" spans="1:11">
      <c r="A30" s="555" t="s">
        <v>262</v>
      </c>
      <c r="B30" s="575" t="s">
        <v>2</v>
      </c>
      <c r="C30" s="373" t="b">
        <f t="shared" si="2"/>
        <v>0</v>
      </c>
      <c r="D30" s="374">
        <f t="shared" si="1"/>
        <v>460000</v>
      </c>
      <c r="E30" s="564">
        <f>'5_Componente 2'!A29</f>
        <v>828000</v>
      </c>
      <c r="F30" s="391" t="s">
        <v>2</v>
      </c>
      <c r="H30" s="512"/>
      <c r="I30" s="291"/>
      <c r="J30" s="292"/>
      <c r="K30" s="514"/>
    </row>
    <row r="31" spans="1:11">
      <c r="A31" s="555" t="s">
        <v>260</v>
      </c>
      <c r="B31" s="575" t="s">
        <v>2</v>
      </c>
      <c r="C31" s="373"/>
      <c r="D31" s="374">
        <f t="shared" si="1"/>
        <v>405833</v>
      </c>
      <c r="E31" s="564">
        <f>'5_Componente 2'!A34</f>
        <v>730500</v>
      </c>
      <c r="F31" s="391" t="s">
        <v>2</v>
      </c>
      <c r="H31" s="512"/>
      <c r="I31" s="291"/>
      <c r="J31" s="292"/>
      <c r="K31" s="514"/>
    </row>
    <row r="32" spans="1:11" hidden="1">
      <c r="A32" s="138" t="s">
        <v>131</v>
      </c>
      <c r="B32" s="575"/>
      <c r="C32" s="373" t="b">
        <f t="shared" si="2"/>
        <v>0</v>
      </c>
      <c r="D32" s="374">
        <f t="shared" si="1"/>
        <v>0</v>
      </c>
      <c r="E32" s="564">
        <v>0</v>
      </c>
      <c r="F32" s="391" t="s">
        <v>243</v>
      </c>
      <c r="H32" s="512"/>
      <c r="I32" s="291"/>
      <c r="J32" s="292"/>
      <c r="K32" s="514"/>
    </row>
    <row r="33" spans="1:11" hidden="1">
      <c r="A33" s="138" t="s">
        <v>132</v>
      </c>
      <c r="B33" s="575"/>
      <c r="C33" s="373" t="b">
        <f t="shared" si="2"/>
        <v>0</v>
      </c>
      <c r="D33" s="374">
        <f t="shared" si="1"/>
        <v>0</v>
      </c>
      <c r="E33" s="564">
        <v>0</v>
      </c>
      <c r="F33" s="391" t="s">
        <v>243</v>
      </c>
      <c r="H33" s="512"/>
      <c r="I33" s="291"/>
      <c r="J33" s="292"/>
      <c r="K33" s="514"/>
    </row>
    <row r="34" spans="1:11" hidden="1">
      <c r="A34" s="138" t="s">
        <v>133</v>
      </c>
      <c r="B34" s="575"/>
      <c r="C34" s="373"/>
      <c r="D34" s="374">
        <f t="shared" si="1"/>
        <v>0</v>
      </c>
      <c r="E34" s="564">
        <v>0</v>
      </c>
      <c r="F34" s="391" t="s">
        <v>243</v>
      </c>
      <c r="H34" s="512"/>
      <c r="I34" s="291"/>
      <c r="J34" s="292"/>
      <c r="K34" s="514"/>
    </row>
    <row r="35" spans="1:11">
      <c r="A35" s="555" t="s">
        <v>134</v>
      </c>
      <c r="B35" s="575" t="s">
        <v>2</v>
      </c>
      <c r="C35" s="373"/>
      <c r="D35" s="374">
        <f t="shared" si="1"/>
        <v>839444</v>
      </c>
      <c r="E35" s="564">
        <f>'5_Componente 2'!A39</f>
        <v>1511000</v>
      </c>
      <c r="F35" s="391" t="s">
        <v>2</v>
      </c>
      <c r="H35" s="512"/>
      <c r="I35" s="291"/>
      <c r="J35" s="292"/>
      <c r="K35" s="514"/>
    </row>
    <row r="36" spans="1:11">
      <c r="A36" s="555" t="s">
        <v>135</v>
      </c>
      <c r="B36" s="575" t="s">
        <v>2</v>
      </c>
      <c r="C36" s="373"/>
      <c r="D36" s="374">
        <f t="shared" si="1"/>
        <v>260000</v>
      </c>
      <c r="E36" s="564">
        <f>'5_Componente 2'!A44</f>
        <v>468000</v>
      </c>
      <c r="F36" s="391" t="s">
        <v>2</v>
      </c>
      <c r="H36" s="512"/>
      <c r="I36" s="291"/>
      <c r="J36" s="292"/>
      <c r="K36" s="514"/>
    </row>
    <row r="37" spans="1:11">
      <c r="A37" s="555" t="s">
        <v>255</v>
      </c>
      <c r="B37" s="575" t="s">
        <v>2</v>
      </c>
      <c r="C37" s="373"/>
      <c r="D37" s="374">
        <f t="shared" si="1"/>
        <v>388889</v>
      </c>
      <c r="E37" s="564">
        <f>'5_Componente 2'!A49</f>
        <v>700000</v>
      </c>
      <c r="F37" s="391" t="s">
        <v>2</v>
      </c>
      <c r="H37" s="512"/>
      <c r="I37" s="291"/>
      <c r="J37" s="292"/>
      <c r="K37" s="514"/>
    </row>
    <row r="38" spans="1:11">
      <c r="A38" s="555" t="s">
        <v>263</v>
      </c>
      <c r="B38" s="575" t="s">
        <v>2</v>
      </c>
      <c r="C38" s="373" t="b">
        <f t="shared" si="2"/>
        <v>0</v>
      </c>
      <c r="D38" s="374">
        <f t="shared" si="1"/>
        <v>120000</v>
      </c>
      <c r="E38" s="564">
        <f>'5_Componente 2'!A54</f>
        <v>216000</v>
      </c>
      <c r="F38" s="391" t="s">
        <v>2</v>
      </c>
      <c r="H38" s="512"/>
      <c r="I38" s="291"/>
      <c r="J38" s="292"/>
      <c r="K38" s="514"/>
    </row>
    <row r="39" spans="1:11">
      <c r="A39" s="555" t="s">
        <v>136</v>
      </c>
      <c r="B39" s="575" t="s">
        <v>2</v>
      </c>
      <c r="C39" s="373"/>
      <c r="D39" s="374">
        <f t="shared" si="1"/>
        <v>24807639</v>
      </c>
      <c r="E39" s="564">
        <f>'5_Componente 2'!A61</f>
        <v>44653750</v>
      </c>
      <c r="F39" s="391" t="s">
        <v>2</v>
      </c>
      <c r="H39" s="519"/>
      <c r="I39" s="520"/>
      <c r="J39" s="521"/>
      <c r="K39" s="522"/>
    </row>
    <row r="40" spans="1:11" ht="24" hidden="1">
      <c r="A40" s="138" t="s">
        <v>137</v>
      </c>
      <c r="B40" s="575"/>
      <c r="C40" s="373"/>
      <c r="D40" s="374">
        <f t="shared" si="1"/>
        <v>0</v>
      </c>
      <c r="E40" s="564">
        <v>0</v>
      </c>
      <c r="F40" s="391" t="s">
        <v>243</v>
      </c>
      <c r="H40" s="519"/>
      <c r="I40" s="520"/>
      <c r="J40" s="521"/>
      <c r="K40" s="522"/>
    </row>
    <row r="41" spans="1:11" ht="24" hidden="1">
      <c r="A41" s="138" t="s">
        <v>138</v>
      </c>
      <c r="B41" s="575"/>
      <c r="C41" s="373"/>
      <c r="D41" s="374">
        <f t="shared" si="1"/>
        <v>0</v>
      </c>
      <c r="E41" s="564">
        <v>0</v>
      </c>
      <c r="F41" s="391" t="s">
        <v>243</v>
      </c>
      <c r="H41" s="519"/>
      <c r="I41" s="520"/>
      <c r="J41" s="521"/>
      <c r="K41" s="522"/>
    </row>
    <row r="42" spans="1:11">
      <c r="A42" s="550" t="s">
        <v>264</v>
      </c>
      <c r="B42" s="575" t="s">
        <v>2</v>
      </c>
      <c r="C42" s="373"/>
      <c r="D42" s="374">
        <f t="shared" si="1"/>
        <v>1678750</v>
      </c>
      <c r="E42" s="564">
        <f>'5_Componente 2'!A66</f>
        <v>3021750</v>
      </c>
      <c r="F42" s="411" t="s">
        <v>2</v>
      </c>
      <c r="H42" s="546"/>
      <c r="I42" s="547"/>
      <c r="J42" s="548"/>
      <c r="K42" s="549"/>
    </row>
    <row r="43" spans="1:11">
      <c r="A43" s="408" t="s">
        <v>187</v>
      </c>
      <c r="B43" s="402"/>
      <c r="C43" s="373"/>
      <c r="D43" s="403">
        <f t="shared" ref="D43" si="3">E43/E$1</f>
        <v>2917222</v>
      </c>
      <c r="E43" s="401">
        <f>SUM(E44:E49)</f>
        <v>5251000</v>
      </c>
      <c r="F43" s="410"/>
      <c r="H43" s="546"/>
      <c r="I43" s="547"/>
      <c r="J43" s="548"/>
      <c r="K43" s="549"/>
    </row>
    <row r="44" spans="1:11">
      <c r="A44" s="550" t="s">
        <v>265</v>
      </c>
      <c r="B44" s="372" t="s">
        <v>2</v>
      </c>
      <c r="C44" s="373"/>
      <c r="D44" s="374">
        <f t="shared" si="1"/>
        <v>80000</v>
      </c>
      <c r="E44" s="564">
        <f>'6_Componente 3'!A9</f>
        <v>144000</v>
      </c>
      <c r="F44" s="391" t="s">
        <v>2</v>
      </c>
      <c r="H44" s="546"/>
      <c r="I44" s="547"/>
      <c r="J44" s="548"/>
      <c r="K44" s="549"/>
    </row>
    <row r="45" spans="1:11">
      <c r="A45" s="550" t="s">
        <v>266</v>
      </c>
      <c r="B45" s="372" t="s">
        <v>2</v>
      </c>
      <c r="C45" s="373"/>
      <c r="D45" s="374">
        <f t="shared" si="1"/>
        <v>506667</v>
      </c>
      <c r="E45" s="564">
        <f>'6_Componente 3'!A14</f>
        <v>912000</v>
      </c>
      <c r="F45" s="391" t="s">
        <v>2</v>
      </c>
      <c r="H45" s="546"/>
      <c r="I45" s="547"/>
      <c r="J45" s="548"/>
      <c r="K45" s="549"/>
    </row>
    <row r="46" spans="1:11">
      <c r="A46" s="550" t="s">
        <v>188</v>
      </c>
      <c r="B46" s="372" t="s">
        <v>2</v>
      </c>
      <c r="C46" s="373"/>
      <c r="D46" s="374">
        <f t="shared" si="1"/>
        <v>253611</v>
      </c>
      <c r="E46" s="564">
        <f>'6_Componente 3'!A19</f>
        <v>456500</v>
      </c>
      <c r="F46" s="391" t="s">
        <v>2</v>
      </c>
      <c r="H46" s="546"/>
      <c r="I46" s="547"/>
      <c r="J46" s="548"/>
      <c r="K46" s="549"/>
    </row>
    <row r="47" spans="1:11">
      <c r="A47" s="550" t="s">
        <v>267</v>
      </c>
      <c r="B47" s="372" t="s">
        <v>2</v>
      </c>
      <c r="C47" s="373"/>
      <c r="D47" s="374">
        <f t="shared" si="1"/>
        <v>253611</v>
      </c>
      <c r="E47" s="564">
        <f>'6_Componente 3'!A24</f>
        <v>456500</v>
      </c>
      <c r="F47" s="391" t="s">
        <v>2</v>
      </c>
      <c r="H47" s="546"/>
      <c r="I47" s="547"/>
      <c r="J47" s="548"/>
      <c r="K47" s="549"/>
    </row>
    <row r="48" spans="1:11">
      <c r="A48" s="550" t="s">
        <v>268</v>
      </c>
      <c r="B48" s="372" t="s">
        <v>2</v>
      </c>
      <c r="C48" s="373"/>
      <c r="D48" s="374">
        <f t="shared" si="1"/>
        <v>756667</v>
      </c>
      <c r="E48" s="564">
        <f>'6_Componente 3'!A31</f>
        <v>1362000</v>
      </c>
      <c r="F48" s="391" t="s">
        <v>2</v>
      </c>
      <c r="H48" s="546"/>
      <c r="I48" s="547"/>
      <c r="J48" s="548"/>
      <c r="K48" s="549"/>
    </row>
    <row r="49" spans="1:11" ht="13.5" thickBot="1">
      <c r="A49" s="550" t="s">
        <v>189</v>
      </c>
      <c r="B49" s="372" t="s">
        <v>2</v>
      </c>
      <c r="C49" s="373"/>
      <c r="D49" s="374">
        <f t="shared" si="1"/>
        <v>1066667</v>
      </c>
      <c r="E49" s="564">
        <f>'6_Componente 3'!A36</f>
        <v>1920000</v>
      </c>
      <c r="F49" s="391" t="s">
        <v>2</v>
      </c>
      <c r="H49" s="546"/>
      <c r="I49" s="547"/>
      <c r="J49" s="548"/>
      <c r="K49" s="549"/>
    </row>
    <row r="50" spans="1:11" hidden="1">
      <c r="A50" s="138" t="s">
        <v>190</v>
      </c>
      <c r="B50" s="372"/>
      <c r="C50" s="373"/>
      <c r="D50" s="374">
        <f t="shared" si="1"/>
        <v>0</v>
      </c>
      <c r="E50" s="564">
        <v>0</v>
      </c>
      <c r="F50" s="391" t="s">
        <v>243</v>
      </c>
      <c r="H50" s="546"/>
      <c r="I50" s="547"/>
      <c r="J50" s="548"/>
      <c r="K50" s="549"/>
    </row>
    <row r="51" spans="1:11" hidden="1">
      <c r="A51" s="138" t="s">
        <v>191</v>
      </c>
      <c r="B51" s="372"/>
      <c r="C51" s="373"/>
      <c r="D51" s="374">
        <f t="shared" si="1"/>
        <v>0</v>
      </c>
      <c r="E51" s="564">
        <v>0</v>
      </c>
      <c r="F51" s="391" t="s">
        <v>243</v>
      </c>
      <c r="H51" s="546"/>
      <c r="I51" s="547"/>
      <c r="J51" s="548"/>
      <c r="K51" s="549"/>
    </row>
    <row r="52" spans="1:11" ht="12.75" customHeight="1">
      <c r="A52" s="406" t="s">
        <v>24</v>
      </c>
      <c r="B52" s="404"/>
      <c r="C52" s="373"/>
      <c r="D52" s="576">
        <f>E52/E$1</f>
        <v>1027567</v>
      </c>
      <c r="E52" s="576">
        <f>SUM(E53:E54)</f>
        <v>1849620</v>
      </c>
      <c r="F52" s="412"/>
      <c r="H52" s="523"/>
      <c r="I52" s="524"/>
      <c r="J52" s="525"/>
      <c r="K52" s="526"/>
    </row>
    <row r="53" spans="1:11">
      <c r="A53" s="552" t="s">
        <v>63</v>
      </c>
      <c r="B53" s="372" t="s">
        <v>2</v>
      </c>
      <c r="C53" s="373" t="b">
        <f>AND(OR(ISBLANK(A53),A53=" ",A53="  "),B53="Sim")</f>
        <v>0</v>
      </c>
      <c r="D53" s="374">
        <f>E53/E$1</f>
        <v>947567</v>
      </c>
      <c r="E53" s="374">
        <f>'7_ADM'!A14</f>
        <v>1705620</v>
      </c>
      <c r="F53" s="391" t="s">
        <v>2</v>
      </c>
      <c r="H53" s="512"/>
      <c r="I53" s="291"/>
      <c r="J53" s="325"/>
      <c r="K53" s="513"/>
    </row>
    <row r="54" spans="1:11" ht="13.5" thickBot="1">
      <c r="A54" s="581" t="s">
        <v>93</v>
      </c>
      <c r="B54" s="392" t="s">
        <v>2</v>
      </c>
      <c r="C54" s="393" t="b">
        <f>AND(OR(ISBLANK(A54),A54=" ",A54="  "),B54="Sim")</f>
        <v>0</v>
      </c>
      <c r="D54" s="413">
        <f>E54/E$1</f>
        <v>80000</v>
      </c>
      <c r="E54" s="413">
        <f>'7_ADM'!A25</f>
        <v>144000</v>
      </c>
      <c r="F54" s="394" t="s">
        <v>2</v>
      </c>
      <c r="H54" s="515"/>
      <c r="I54" s="516"/>
      <c r="J54" s="517"/>
      <c r="K54" s="518"/>
    </row>
    <row r="56" spans="1:11">
      <c r="G56" s="383"/>
    </row>
  </sheetData>
  <phoneticPr fontId="0" type="noConversion"/>
  <conditionalFormatting sqref="F53:F54 B53:B54 B44:B51 F44:F51 B7:B42 F7:F42">
    <cfRule type="cellIs" dxfId="5" priority="8" stopIfTrue="1" operator="equal">
      <formula>"Sim"</formula>
    </cfRule>
  </conditionalFormatting>
  <dataValidations count="1">
    <dataValidation type="list" allowBlank="1" showErrorMessage="1" sqref="B53:B54 F53:F54 F7:F51 B7:B19 B21:B51">
      <formula1>"Sim,Não"</formula1>
      <formula2>0</formula2>
    </dataValidation>
  </dataValidations>
  <printOptions horizontalCentered="1"/>
  <pageMargins left="0.23622047244094491" right="0.39370078740157483" top="0.59055118110236227" bottom="0.62992125984251968" header="0.31496062992125984" footer="0.31496062992125984"/>
  <pageSetup paperSize="9" scale="85" firstPageNumber="0" orientation="landscape" r:id="rId1"/>
  <headerFooter>
    <oddHeader>&amp;LBID Modernização da AGU&amp;C
&amp;"Arial,Negrito"PLANO DE AÇÃO E DE INVESTIMENTOS - PAI</oddHeader>
    <oddFooter>&amp;L&amp;D&amp;C&amp;A&amp;R&amp;P / &amp;N</oddFooter>
  </headerFooter>
  <legacyDrawing r:id="rId2"/>
</worksheet>
</file>

<file path=xl/worksheets/sheet4.xml><?xml version="1.0" encoding="utf-8"?>
<worksheet xmlns="http://schemas.openxmlformats.org/spreadsheetml/2006/main" xmlns:r="http://schemas.openxmlformats.org/officeDocument/2006/relationships">
  <dimension ref="A1:BG80"/>
  <sheetViews>
    <sheetView showGridLines="0" zoomScaleNormal="100" zoomScaleSheetLayoutView="85" workbookViewId="0">
      <pane xSplit="2" ySplit="4" topLeftCell="C26" activePane="bottomRight" state="frozen"/>
      <selection activeCell="B31" sqref="B31:H35"/>
      <selection pane="topRight" activeCell="B31" sqref="B31:H35"/>
      <selection pane="bottomLeft" activeCell="B31" sqref="B31:H35"/>
      <selection pane="bottomRight" activeCell="B65" sqref="B65:B69"/>
    </sheetView>
  </sheetViews>
  <sheetFormatPr defaultColWidth="9.140625" defaultRowHeight="12.75"/>
  <cols>
    <col min="1" max="1" width="30.7109375" style="217" customWidth="1"/>
    <col min="2" max="2" width="42.7109375" style="169" customWidth="1"/>
    <col min="3" max="3" width="26.5703125" style="169" customWidth="1"/>
    <col min="4" max="4" width="31.28515625" style="169" customWidth="1"/>
    <col min="5" max="5" width="10.7109375" style="219" customWidth="1"/>
    <col min="6" max="6" width="10.7109375" style="218" customWidth="1"/>
    <col min="7" max="7" width="12.7109375" style="169" customWidth="1"/>
    <col min="8" max="8" width="26.140625" style="169" customWidth="1"/>
    <col min="9" max="9" width="6.7109375" style="219" customWidth="1"/>
    <col min="10" max="10" width="8.140625" style="218" bestFit="1" customWidth="1"/>
    <col min="11" max="11" width="14.7109375" style="169" customWidth="1"/>
    <col min="12" max="12" width="26.140625" style="174" customWidth="1"/>
    <col min="13" max="13" width="6.7109375" style="219" customWidth="1"/>
    <col min="14" max="14" width="10.7109375" style="218" customWidth="1"/>
    <col min="15" max="15" width="12.7109375" style="94" customWidth="1"/>
    <col min="16" max="16" width="28.7109375" style="169" customWidth="1"/>
    <col min="17" max="17" width="7.5703125" style="219" bestFit="1" customWidth="1"/>
    <col min="18" max="18" width="10.7109375" style="218" customWidth="1"/>
    <col min="19" max="19" width="11.5703125" style="94" bestFit="1" customWidth="1"/>
    <col min="20" max="20" width="27.85546875" style="169" customWidth="1"/>
    <col min="21" max="21" width="6.7109375" style="219" customWidth="1"/>
    <col min="22" max="22" width="10.7109375" style="218" customWidth="1"/>
    <col min="23" max="23" width="10" style="94" customWidth="1"/>
    <col min="24" max="16384" width="9.140625" style="169"/>
  </cols>
  <sheetData>
    <row r="1" spans="1:59" ht="13.5" thickBot="1">
      <c r="A1" s="161" t="s">
        <v>85</v>
      </c>
      <c r="B1" s="162"/>
      <c r="C1" s="163"/>
      <c r="D1" s="163"/>
      <c r="E1" s="166"/>
      <c r="F1" s="164"/>
      <c r="G1" s="165"/>
      <c r="H1" s="165"/>
      <c r="I1" s="166"/>
      <c r="J1" s="167"/>
      <c r="K1" s="165"/>
      <c r="L1" s="168"/>
      <c r="M1" s="166"/>
      <c r="N1" s="167"/>
      <c r="O1" s="27"/>
      <c r="P1" s="165"/>
      <c r="Q1" s="166"/>
      <c r="R1" s="167"/>
      <c r="S1" s="27"/>
      <c r="T1" s="165"/>
      <c r="U1" s="166"/>
      <c r="V1" s="167"/>
      <c r="W1" s="27"/>
    </row>
    <row r="2" spans="1:59" s="174" customFormat="1" ht="13.5" thickBot="1">
      <c r="A2" s="766" t="s">
        <v>98</v>
      </c>
      <c r="B2" s="766"/>
      <c r="C2" s="170"/>
      <c r="D2" s="170"/>
      <c r="E2" s="172"/>
      <c r="F2" s="171"/>
      <c r="G2" s="170"/>
      <c r="H2" s="170"/>
      <c r="I2" s="172"/>
      <c r="J2" s="171"/>
      <c r="K2" s="170"/>
      <c r="L2" s="170"/>
      <c r="M2" s="172"/>
      <c r="N2" s="171"/>
      <c r="O2" s="88"/>
      <c r="P2" s="170"/>
      <c r="Q2" s="172"/>
      <c r="R2" s="171"/>
      <c r="S2" s="88"/>
      <c r="T2" s="299"/>
      <c r="U2" s="300"/>
      <c r="V2" s="301"/>
      <c r="W2" s="302"/>
      <c r="X2" s="173"/>
      <c r="Y2" s="173"/>
      <c r="Z2" s="173"/>
      <c r="AA2" s="173"/>
      <c r="AB2" s="173"/>
      <c r="AC2" s="173"/>
      <c r="AD2" s="173"/>
      <c r="AE2" s="173"/>
      <c r="AF2" s="173"/>
      <c r="AG2" s="173"/>
      <c r="AH2" s="173"/>
      <c r="AI2" s="173"/>
      <c r="AJ2" s="173"/>
      <c r="AK2" s="173"/>
      <c r="AL2" s="173"/>
      <c r="AM2" s="173"/>
      <c r="AN2" s="173"/>
      <c r="AO2" s="173"/>
      <c r="AP2" s="173"/>
      <c r="AQ2" s="173"/>
      <c r="AR2" s="173"/>
      <c r="AS2" s="173"/>
      <c r="AT2" s="173"/>
      <c r="AU2" s="173"/>
      <c r="AV2" s="173"/>
      <c r="AW2" s="173"/>
      <c r="AX2" s="173"/>
      <c r="AY2" s="173"/>
      <c r="AZ2" s="173"/>
      <c r="BA2" s="173"/>
      <c r="BB2" s="173"/>
      <c r="BC2" s="173"/>
      <c r="BD2" s="173"/>
      <c r="BE2" s="173"/>
      <c r="BF2" s="173"/>
      <c r="BG2" s="173"/>
    </row>
    <row r="3" spans="1:59" s="388" customFormat="1" ht="13.5" thickBot="1">
      <c r="A3" s="767" t="s">
        <v>3</v>
      </c>
      <c r="B3" s="768" t="s">
        <v>4</v>
      </c>
      <c r="C3" s="769" t="s">
        <v>5</v>
      </c>
      <c r="D3" s="733" t="s">
        <v>6</v>
      </c>
      <c r="E3" s="747"/>
      <c r="F3" s="748" t="s">
        <v>7</v>
      </c>
      <c r="G3" s="749"/>
      <c r="H3" s="745" t="s">
        <v>8</v>
      </c>
      <c r="I3" s="746"/>
      <c r="J3" s="737" t="s">
        <v>7</v>
      </c>
      <c r="K3" s="738"/>
      <c r="L3" s="733" t="s">
        <v>9</v>
      </c>
      <c r="M3" s="734"/>
      <c r="N3" s="739" t="s">
        <v>7</v>
      </c>
      <c r="O3" s="740"/>
      <c r="P3" s="735" t="s">
        <v>81</v>
      </c>
      <c r="Q3" s="736"/>
      <c r="R3" s="737" t="s">
        <v>7</v>
      </c>
      <c r="S3" s="743"/>
      <c r="T3" s="741" t="s">
        <v>82</v>
      </c>
      <c r="U3" s="742"/>
      <c r="V3" s="731" t="s">
        <v>7</v>
      </c>
      <c r="W3" s="732"/>
    </row>
    <row r="4" spans="1:59" ht="13.5" thickBot="1">
      <c r="A4" s="767"/>
      <c r="B4" s="768"/>
      <c r="C4" s="769"/>
      <c r="D4" s="175" t="s">
        <v>10</v>
      </c>
      <c r="E4" s="176" t="s">
        <v>11</v>
      </c>
      <c r="F4" s="176" t="s">
        <v>0</v>
      </c>
      <c r="G4" s="177" t="s">
        <v>62</v>
      </c>
      <c r="H4" s="178" t="s">
        <v>12</v>
      </c>
      <c r="I4" s="179" t="s">
        <v>1</v>
      </c>
      <c r="J4" s="179" t="s">
        <v>0</v>
      </c>
      <c r="K4" s="180" t="s">
        <v>62</v>
      </c>
      <c r="L4" s="175" t="s">
        <v>13</v>
      </c>
      <c r="M4" s="176" t="s">
        <v>14</v>
      </c>
      <c r="N4" s="176" t="s">
        <v>0</v>
      </c>
      <c r="O4" s="177" t="s">
        <v>62</v>
      </c>
      <c r="P4" s="178" t="s">
        <v>13</v>
      </c>
      <c r="Q4" s="179" t="s">
        <v>14</v>
      </c>
      <c r="R4" s="179" t="s">
        <v>0</v>
      </c>
      <c r="S4" s="180" t="s">
        <v>62</v>
      </c>
      <c r="T4" s="296" t="s">
        <v>15</v>
      </c>
      <c r="U4" s="297" t="s">
        <v>14</v>
      </c>
      <c r="V4" s="297" t="s">
        <v>0</v>
      </c>
      <c r="W4" s="298" t="s">
        <v>62</v>
      </c>
    </row>
    <row r="5" spans="1:59" ht="51.75" thickBot="1">
      <c r="A5" s="765" t="str">
        <f>IF('3_Comp e Produtos'!B7="Sim",'3_Comp e Produtos'!A7,"NÃO SELECIONADO")</f>
        <v>1.1. Plano de ação para a implementação da estratégia para melhorar a defesa jurídica do Estado e o papel da AGU na sustentabilidade jurídica das políticas públicas incluindo a avaliação dos riscos para o Estado (Diretrizes Estratégicas 2008/2015)</v>
      </c>
      <c r="B5" s="758" t="s">
        <v>286</v>
      </c>
      <c r="C5" s="754"/>
      <c r="D5" s="181"/>
      <c r="E5" s="330"/>
      <c r="F5" s="231"/>
      <c r="G5" s="229">
        <f>IF($A$5&lt;&gt;"NÃO SELECIONADO",E5*F5,0)</f>
        <v>0</v>
      </c>
      <c r="H5" s="183" t="s">
        <v>104</v>
      </c>
      <c r="I5" s="330">
        <f>3*180</f>
        <v>540</v>
      </c>
      <c r="J5" s="311">
        <v>800</v>
      </c>
      <c r="K5" s="229">
        <f>IF($A$5&lt;&gt;"NÃO SELECIONADO",I5*J5,0)</f>
        <v>432000</v>
      </c>
      <c r="L5" s="183"/>
      <c r="M5" s="223"/>
      <c r="N5" s="184"/>
      <c r="O5" s="229">
        <f>IF($A$5&lt;&gt;"NÃO SELECIONADO",M5*N5,0)</f>
        <v>0</v>
      </c>
      <c r="P5" s="181" t="s">
        <v>101</v>
      </c>
      <c r="Q5" s="225">
        <v>360</v>
      </c>
      <c r="R5" s="389">
        <v>20</v>
      </c>
      <c r="S5" s="229">
        <f>IF($A$5&lt;&gt;"NÃO SELECIONADO",Q5*R5,0)</f>
        <v>7200</v>
      </c>
      <c r="T5" s="390" t="s">
        <v>99</v>
      </c>
      <c r="U5" s="225">
        <v>120</v>
      </c>
      <c r="V5" s="187">
        <v>1000</v>
      </c>
      <c r="W5" s="229">
        <f>IF($A$5&lt;&gt;"NÃO SELECIONADO",U5*V5,0)</f>
        <v>120000</v>
      </c>
    </row>
    <row r="6" spans="1:59" ht="13.5" thickBot="1">
      <c r="A6" s="765"/>
      <c r="B6" s="759"/>
      <c r="C6" s="754"/>
      <c r="D6" s="189"/>
      <c r="E6" s="330"/>
      <c r="F6" s="231"/>
      <c r="G6" s="229">
        <f>IF($A$5&lt;&gt;"NÃO SELECIONADO",E6*F6,0)</f>
        <v>0</v>
      </c>
      <c r="H6" s="181"/>
      <c r="I6" s="330"/>
      <c r="J6" s="311"/>
      <c r="K6" s="229">
        <f>IF($A$5&lt;&gt;"NÃO SELECIONADO",I6*J6,0)</f>
        <v>0</v>
      </c>
      <c r="L6" s="190"/>
      <c r="M6" s="221"/>
      <c r="N6" s="185"/>
      <c r="O6" s="229">
        <f>IF($A$5&lt;&gt;"NÃO SELECIONADO",M6*N6,0)</f>
        <v>0</v>
      </c>
      <c r="P6" s="191" t="s">
        <v>102</v>
      </c>
      <c r="Q6" s="221">
        <v>2</v>
      </c>
      <c r="R6" s="185">
        <v>20000</v>
      </c>
      <c r="S6" s="229">
        <f>IF($A$5&lt;&gt;"NÃO SELECIONADO",Q6*R6,0)</f>
        <v>40000</v>
      </c>
      <c r="T6" s="321" t="s">
        <v>100</v>
      </c>
      <c r="U6" s="221">
        <v>360</v>
      </c>
      <c r="V6" s="185">
        <v>250</v>
      </c>
      <c r="W6" s="229">
        <f>IF($A$5&lt;&gt;"NÃO SELECIONADO",U6*V6,0)</f>
        <v>90000</v>
      </c>
    </row>
    <row r="7" spans="1:59" ht="13.5" thickBot="1">
      <c r="A7" s="765"/>
      <c r="B7" s="759"/>
      <c r="C7" s="754"/>
      <c r="D7" s="189"/>
      <c r="E7" s="330"/>
      <c r="F7" s="231"/>
      <c r="G7" s="229">
        <f>IF($A$5&lt;&gt;"NÃO SELECIONADO",E7*F7,0)</f>
        <v>0</v>
      </c>
      <c r="H7" s="193"/>
      <c r="I7" s="326"/>
      <c r="J7" s="231"/>
      <c r="K7" s="229">
        <f>IF($A$5&lt;&gt;"NÃO SELECIONADO",I7*J7,0)</f>
        <v>0</v>
      </c>
      <c r="L7" s="190"/>
      <c r="M7" s="221"/>
      <c r="N7" s="185"/>
      <c r="O7" s="229">
        <f>IF($A$5&lt;&gt;"NÃO SELECIONADO",M7*N7,0)</f>
        <v>0</v>
      </c>
      <c r="P7" s="191"/>
      <c r="Q7" s="221"/>
      <c r="R7" s="185"/>
      <c r="S7" s="229">
        <f>IF($A$5&lt;&gt;"NÃO SELECIONADO",Q7*R7,0)</f>
        <v>0</v>
      </c>
      <c r="T7" s="190"/>
      <c r="U7" s="221"/>
      <c r="V7" s="185"/>
      <c r="W7" s="229">
        <f>IF($A$5&lt;&gt;"NÃO SELECIONADO",U7*V7,0)</f>
        <v>0</v>
      </c>
    </row>
    <row r="8" spans="1:59" ht="22.5" customHeight="1">
      <c r="A8" s="765"/>
      <c r="B8" s="759"/>
      <c r="C8" s="754"/>
      <c r="D8" s="324"/>
      <c r="E8" s="326"/>
      <c r="F8" s="231"/>
      <c r="G8" s="229">
        <f>IF($A$5&lt;&gt;"NÃO SELECIONADO",E8*F8,0)</f>
        <v>0</v>
      </c>
      <c r="H8" s="193"/>
      <c r="I8" s="326"/>
      <c r="J8" s="231"/>
      <c r="K8" s="229">
        <f>IF($A$5&lt;&gt;"NÃO SELECIONADO",I8*J8,0)</f>
        <v>0</v>
      </c>
      <c r="L8" s="190"/>
      <c r="M8" s="221"/>
      <c r="N8" s="185"/>
      <c r="O8" s="229">
        <f>IF($A$5&lt;&gt;"NÃO SELECIONADO",M8*N8,0)</f>
        <v>0</v>
      </c>
      <c r="P8" s="191"/>
      <c r="Q8" s="221"/>
      <c r="R8" s="185"/>
      <c r="S8" s="229">
        <f>IF($A$5&lt;&gt;"NÃO SELECIONADO",Q8*R8,0)</f>
        <v>0</v>
      </c>
      <c r="T8" s="192"/>
      <c r="U8" s="221"/>
      <c r="V8" s="185"/>
      <c r="W8" s="229">
        <f>IF($A$5&lt;&gt;"NÃO SELECIONADO",U8*V8,0)</f>
        <v>0</v>
      </c>
    </row>
    <row r="9" spans="1:59">
      <c r="A9" s="317">
        <f>IF(A5&lt;&gt;"NÃO SELECIONADO",SUM(G5:G9)+SUM(K5:K9)+SUM(O5:O9)+SUM(S5:S9)+SUM(W5:W9),0)</f>
        <v>689200</v>
      </c>
      <c r="B9" s="760"/>
      <c r="C9" s="755"/>
      <c r="D9" s="363"/>
      <c r="E9" s="326"/>
      <c r="F9" s="231"/>
      <c r="G9" s="229">
        <f>IF($A$5&lt;&gt;"NÃO SELECIONADO",E9*F9,0)</f>
        <v>0</v>
      </c>
      <c r="H9" s="193"/>
      <c r="I9" s="326"/>
      <c r="J9" s="231"/>
      <c r="K9" s="229">
        <f>IF($A$5&lt;&gt;"NÃO SELECIONADO",I9*J9,0)</f>
        <v>0</v>
      </c>
      <c r="L9" s="190"/>
      <c r="M9" s="221"/>
      <c r="N9" s="185"/>
      <c r="O9" s="229">
        <f>IF($A$5&lt;&gt;"NÃO SELECIONADO",M9*N9,0)</f>
        <v>0</v>
      </c>
      <c r="P9" s="191"/>
      <c r="Q9" s="221"/>
      <c r="R9" s="185"/>
      <c r="S9" s="229">
        <f>IF($A$5&lt;&gt;"NÃO SELECIONADO",Q9*R9,0)</f>
        <v>0</v>
      </c>
      <c r="T9" s="192"/>
      <c r="U9" s="221"/>
      <c r="V9" s="185"/>
      <c r="W9" s="229">
        <f>IF($A$5&lt;&gt;"NÃO SELECIONADO",U9*V9,0)</f>
        <v>0</v>
      </c>
    </row>
    <row r="10" spans="1:59" ht="63.75">
      <c r="A10" s="773" t="str">
        <f>IF('3_Comp e Produtos'!B8="Sim",'3_Comp e Produtos'!A8,"NÃO SELECIONADO")</f>
        <v>1.2 Monitoramento estratégico dos créditos ativos e riscos para o Estado</v>
      </c>
      <c r="B10" s="775" t="s">
        <v>287</v>
      </c>
      <c r="C10" s="754"/>
      <c r="D10" s="416"/>
      <c r="E10" s="326"/>
      <c r="F10" s="231"/>
      <c r="G10" s="230">
        <f>IF($A$10&lt;&gt;"NÃO SELECIONADO",E10*F10,0)</f>
        <v>0</v>
      </c>
      <c r="H10" s="189" t="s">
        <v>146</v>
      </c>
      <c r="I10" s="326">
        <v>270</v>
      </c>
      <c r="J10" s="231">
        <v>800</v>
      </c>
      <c r="K10" s="230">
        <f>IF($A$10&lt;&gt;"NÃO SELECIONADO",I10*J10,0)</f>
        <v>216000</v>
      </c>
      <c r="L10" s="536"/>
      <c r="M10" s="326"/>
      <c r="N10" s="328"/>
      <c r="O10" s="230">
        <f>IF($A$10&lt;&gt;"NÃO SELECIONADO",M10*N10,0)</f>
        <v>0</v>
      </c>
      <c r="P10" s="191"/>
      <c r="Q10" s="221"/>
      <c r="R10" s="185"/>
      <c r="S10" s="230">
        <f>IF($A$10&lt;&gt;"NÃO SELECIONADO",Q10*R10,0)</f>
        <v>0</v>
      </c>
      <c r="T10" s="390" t="s">
        <v>106</v>
      </c>
      <c r="U10" s="225">
        <v>9</v>
      </c>
      <c r="V10" s="187">
        <v>3000</v>
      </c>
      <c r="W10" s="230">
        <f>IF($A$10&lt;&gt;"NÃO SELECIONADO",U10*V10,0)</f>
        <v>27000</v>
      </c>
    </row>
    <row r="11" spans="1:59" ht="51">
      <c r="A11" s="774"/>
      <c r="B11" s="776"/>
      <c r="C11" s="754"/>
      <c r="D11" s="189"/>
      <c r="E11" s="326"/>
      <c r="F11" s="231"/>
      <c r="G11" s="230">
        <f>IF($A$10&lt;&gt;"NÃO SELECIONADO",E11*F11,0)</f>
        <v>0</v>
      </c>
      <c r="H11" s="189" t="s">
        <v>103</v>
      </c>
      <c r="I11" s="326">
        <v>270</v>
      </c>
      <c r="J11" s="231">
        <v>800</v>
      </c>
      <c r="K11" s="230">
        <f>IF($A$10&lt;&gt;"NÃO SELECIONADO",I11*J11,0)</f>
        <v>216000</v>
      </c>
      <c r="L11" s="536"/>
      <c r="M11" s="326"/>
      <c r="N11" s="328"/>
      <c r="O11" s="230">
        <f>IF($A$10&lt;&gt;"NÃO SELECIONADO",M11*N11,0)</f>
        <v>0</v>
      </c>
      <c r="P11" s="191"/>
      <c r="Q11" s="221"/>
      <c r="R11" s="185"/>
      <c r="S11" s="230">
        <f>IF($A$10&lt;&gt;"NÃO SELECIONADO",Q11*R11,0)</f>
        <v>0</v>
      </c>
      <c r="T11" s="321" t="s">
        <v>108</v>
      </c>
      <c r="U11" s="221">
        <v>7</v>
      </c>
      <c r="V11" s="185">
        <v>3000</v>
      </c>
      <c r="W11" s="230">
        <f>IF($A$10&lt;&gt;"NÃO SELECIONADO",U11*V11,0)</f>
        <v>21000</v>
      </c>
    </row>
    <row r="12" spans="1:59" ht="38.25">
      <c r="A12" s="774"/>
      <c r="B12" s="776"/>
      <c r="C12" s="754"/>
      <c r="D12" s="316"/>
      <c r="E12" s="326"/>
      <c r="F12" s="231"/>
      <c r="G12" s="230">
        <f>IF($A$10&lt;&gt;"NÃO SELECIONADO",E12*F12,0)</f>
        <v>0</v>
      </c>
      <c r="H12" s="189" t="s">
        <v>105</v>
      </c>
      <c r="I12" s="220">
        <v>30</v>
      </c>
      <c r="J12" s="531">
        <v>1600</v>
      </c>
      <c r="K12" s="230">
        <f>IF($A$10&lt;&gt;"NÃO SELECIONADO",I12*J12,0)</f>
        <v>48000</v>
      </c>
      <c r="L12" s="189"/>
      <c r="M12" s="326"/>
      <c r="N12" s="328"/>
      <c r="O12" s="230">
        <f>IF($A$10&lt;&gt;"NÃO SELECIONADO",M12*N12,0)</f>
        <v>0</v>
      </c>
      <c r="P12" s="191"/>
      <c r="Q12" s="221"/>
      <c r="R12" s="185"/>
      <c r="S12" s="230">
        <f>IF($A$10&lt;&gt;"NÃO SELECIONADO",Q12*R12,0)</f>
        <v>0</v>
      </c>
      <c r="T12" s="390" t="s">
        <v>107</v>
      </c>
      <c r="U12" s="221">
        <v>45</v>
      </c>
      <c r="V12" s="185">
        <v>1000</v>
      </c>
      <c r="W12" s="230">
        <f>IF($A$10&lt;&gt;"NÃO SELECIONADO",U12*V12,0)</f>
        <v>45000</v>
      </c>
    </row>
    <row r="13" spans="1:59" ht="15" customHeight="1">
      <c r="A13" s="774"/>
      <c r="B13" s="776"/>
      <c r="C13" s="754"/>
      <c r="D13" s="316"/>
      <c r="E13" s="326"/>
      <c r="F13" s="231"/>
      <c r="G13" s="230">
        <f>IF($A$10&lt;&gt;"NÃO SELECIONADO",E13*F13,0)</f>
        <v>0</v>
      </c>
      <c r="H13" s="189"/>
      <c r="I13" s="326"/>
      <c r="J13" s="231"/>
      <c r="K13" s="230">
        <f>IF($A$10&lt;&gt;"NÃO SELECIONADO",I13*J13,0)</f>
        <v>0</v>
      </c>
      <c r="L13" s="193"/>
      <c r="M13" s="326"/>
      <c r="N13" s="329"/>
      <c r="O13" s="230">
        <f>IF($A$10&lt;&gt;"NÃO SELECIONADO",M13*N13,0)</f>
        <v>0</v>
      </c>
      <c r="P13" s="191"/>
      <c r="Q13" s="221"/>
      <c r="R13" s="185"/>
      <c r="S13" s="230">
        <f>IF($A$10&lt;&gt;"NÃO SELECIONADO",Q13*R13,0)</f>
        <v>0</v>
      </c>
      <c r="T13" s="321" t="s">
        <v>109</v>
      </c>
      <c r="U13" s="221">
        <v>45</v>
      </c>
      <c r="V13" s="185">
        <v>1000</v>
      </c>
      <c r="W13" s="230">
        <f>IF($A$10&lt;&gt;"NÃO SELECIONADO",U13*V13,0)</f>
        <v>45000</v>
      </c>
    </row>
    <row r="14" spans="1:59">
      <c r="A14" s="317">
        <f>IF(A10&lt;&gt;"NÃO SELECIONADO",SUM(G10:G14)+SUM(K10:K14)+SUM(O10:O14)+SUM(S10:S14)+SUM(W10:W14),0)</f>
        <v>618000</v>
      </c>
      <c r="B14" s="777"/>
      <c r="C14" s="755"/>
      <c r="D14" s="316"/>
      <c r="E14" s="326"/>
      <c r="F14" s="231"/>
      <c r="G14" s="230">
        <f>IF($A$10&lt;&gt;"NÃO SELECIONADO",E14*F14,0)</f>
        <v>0</v>
      </c>
      <c r="H14" s="191"/>
      <c r="I14" s="221"/>
      <c r="J14" s="185"/>
      <c r="K14" s="230">
        <f>IF($A$10&lt;&gt;"NÃO SELECIONADO",I14*J14,0)</f>
        <v>0</v>
      </c>
      <c r="L14" s="193"/>
      <c r="M14" s="221"/>
      <c r="N14" s="185"/>
      <c r="O14" s="230">
        <f>IF($A$10&lt;&gt;"NÃO SELECIONADO",M14*N14,0)</f>
        <v>0</v>
      </c>
      <c r="P14" s="191"/>
      <c r="Q14" s="221"/>
      <c r="R14" s="185"/>
      <c r="S14" s="230">
        <f>IF($A$10&lt;&gt;"NÃO SELECIONADO",Q14*R14,0)</f>
        <v>0</v>
      </c>
      <c r="T14" s="192"/>
      <c r="U14" s="221"/>
      <c r="V14" s="185"/>
      <c r="W14" s="230">
        <f>IF($A$10&lt;&gt;"NÃO SELECIONADO",U14*V14,0)</f>
        <v>0</v>
      </c>
    </row>
    <row r="15" spans="1:59" ht="51">
      <c r="A15" s="770" t="str">
        <f>IF('3_Comp e Produtos'!B9="Sim",'3_Comp e Produtos'!A9,"NÃO SELECIONADO")</f>
        <v>1.3. Dimensionamento do custo fiscal implícito nos processos contra o Estado</v>
      </c>
      <c r="B15" s="758" t="s">
        <v>288</v>
      </c>
      <c r="C15" s="753"/>
      <c r="D15" s="416"/>
      <c r="E15" s="330"/>
      <c r="F15" s="364"/>
      <c r="G15" s="230">
        <f>IF($A$15&lt;&gt;"NÃO SELECIONADO",E15*F15,0)</f>
        <v>0</v>
      </c>
      <c r="H15" s="189" t="s">
        <v>147</v>
      </c>
      <c r="I15" s="330">
        <f>3*90</f>
        <v>270</v>
      </c>
      <c r="J15" s="353">
        <v>800</v>
      </c>
      <c r="K15" s="230">
        <f>IF($A$15&lt;&gt;"NÃO SELECIONADO",I15*J15,0)</f>
        <v>216000</v>
      </c>
      <c r="L15" s="189"/>
      <c r="M15" s="330"/>
      <c r="N15" s="353"/>
      <c r="O15" s="230">
        <f>IF($A$15&lt;&gt;"NÃO SELECIONADO",M15*N15,0)</f>
        <v>0</v>
      </c>
      <c r="P15" s="417"/>
      <c r="Q15" s="201"/>
      <c r="R15" s="202"/>
      <c r="S15" s="230">
        <f>IF($A$15&lt;&gt;"NÃO SELECIONADO",Q15*R15,0)</f>
        <v>0</v>
      </c>
      <c r="T15" s="418"/>
      <c r="U15" s="222"/>
      <c r="V15" s="477"/>
      <c r="W15" s="230">
        <f>IF($A$15&lt;&gt;"NÃO SELECIONADO",U15*V15,0)</f>
        <v>0</v>
      </c>
    </row>
    <row r="16" spans="1:59">
      <c r="A16" s="771"/>
      <c r="B16" s="759"/>
      <c r="C16" s="754"/>
      <c r="D16" s="416"/>
      <c r="E16" s="326"/>
      <c r="F16" s="351"/>
      <c r="G16" s="230">
        <f>IF($A$15&lt;&gt;"NÃO SELECIONADO",E16*F16,0)</f>
        <v>0</v>
      </c>
      <c r="H16" s="203"/>
      <c r="I16" s="196"/>
      <c r="J16" s="204"/>
      <c r="K16" s="230">
        <f>IF($A$15&lt;&gt;"NÃO SELECIONADO",I16*J16,0)</f>
        <v>0</v>
      </c>
      <c r="L16" s="197"/>
      <c r="M16" s="198"/>
      <c r="N16" s="199"/>
      <c r="O16" s="230">
        <f>IF($A$15&lt;&gt;"NÃO SELECIONADO",M16*N16,0)</f>
        <v>0</v>
      </c>
      <c r="P16" s="200"/>
      <c r="Q16" s="201"/>
      <c r="R16" s="202"/>
      <c r="S16" s="230">
        <f>IF($A$15&lt;&gt;"NÃO SELECIONADO",Q16*R16,0)</f>
        <v>0</v>
      </c>
      <c r="T16" s="418"/>
      <c r="U16" s="222"/>
      <c r="V16" s="478"/>
      <c r="W16" s="230">
        <f>IF($A$15&lt;&gt;"NÃO SELECIONADO",U16*V16,0)</f>
        <v>0</v>
      </c>
    </row>
    <row r="17" spans="1:23">
      <c r="A17" s="771"/>
      <c r="B17" s="759"/>
      <c r="C17" s="754"/>
      <c r="D17" s="189"/>
      <c r="E17" s="326"/>
      <c r="F17" s="351"/>
      <c r="G17" s="230">
        <f>IF($A$15&lt;&gt;"NÃO SELECIONADO",E17*F17,0)</f>
        <v>0</v>
      </c>
      <c r="H17" s="203"/>
      <c r="I17" s="196"/>
      <c r="J17" s="204"/>
      <c r="K17" s="230">
        <f>IF($A$15&lt;&gt;"NÃO SELECIONADO",I17*J17,0)</f>
        <v>0</v>
      </c>
      <c r="L17" s="197"/>
      <c r="M17" s="198"/>
      <c r="N17" s="199"/>
      <c r="O17" s="230">
        <f>IF($A$15&lt;&gt;"NÃO SELECIONADO",M17*N17,0)</f>
        <v>0</v>
      </c>
      <c r="P17" s="200"/>
      <c r="Q17" s="201"/>
      <c r="R17" s="202"/>
      <c r="S17" s="230">
        <f>IF($A$15&lt;&gt;"NÃO SELECIONADO",Q17*R17,0)</f>
        <v>0</v>
      </c>
      <c r="T17" s="205"/>
      <c r="U17" s="222"/>
      <c r="V17" s="478"/>
      <c r="W17" s="230">
        <f>IF($A$15&lt;&gt;"NÃO SELECIONADO",U17*V17,0)</f>
        <v>0</v>
      </c>
    </row>
    <row r="18" spans="1:23">
      <c r="A18" s="772"/>
      <c r="B18" s="759"/>
      <c r="C18" s="754"/>
      <c r="D18" s="324"/>
      <c r="E18" s="326"/>
      <c r="F18" s="351"/>
      <c r="G18" s="230">
        <f>IF($A$15&lt;&gt;"NÃO SELECIONADO",E18*F18,0)</f>
        <v>0</v>
      </c>
      <c r="H18" s="206"/>
      <c r="I18" s="222"/>
      <c r="J18" s="194"/>
      <c r="K18" s="230">
        <f>IF($A$15&lt;&gt;"NÃO SELECIONADO",I18*J18,0)</f>
        <v>0</v>
      </c>
      <c r="L18" s="197"/>
      <c r="M18" s="198"/>
      <c r="N18" s="199"/>
      <c r="O18" s="230">
        <f>IF($A$15&lt;&gt;"NÃO SELECIONADO",M18*N18,0)</f>
        <v>0</v>
      </c>
      <c r="P18" s="207"/>
      <c r="Q18" s="208"/>
      <c r="R18" s="209"/>
      <c r="S18" s="230">
        <f>IF($A$15&lt;&gt;"NÃO SELECIONADO",Q18*R18,0)</f>
        <v>0</v>
      </c>
      <c r="T18" s="205"/>
      <c r="U18" s="222"/>
      <c r="V18" s="478"/>
      <c r="W18" s="230">
        <f>IF($A$15&lt;&gt;"NÃO SELECIONADO",U18*V18,0)</f>
        <v>0</v>
      </c>
    </row>
    <row r="19" spans="1:23">
      <c r="A19" s="317">
        <f>IF(A15&lt;&gt;"NÃO SELECIONADO",SUM(G15:G19)+SUM(K15:K19)+SUM(O15:O19)+SUM(S15:S19)+SUM(W15:W19),0)</f>
        <v>216000</v>
      </c>
      <c r="B19" s="760"/>
      <c r="C19" s="755"/>
      <c r="D19" s="324"/>
      <c r="E19" s="326"/>
      <c r="F19" s="351"/>
      <c r="G19" s="230">
        <f>IF($A$15&lt;&gt;"NÃO SELECIONADO",E19*F19,0)</f>
        <v>0</v>
      </c>
      <c r="H19" s="191"/>
      <c r="I19" s="221"/>
      <c r="J19" s="185"/>
      <c r="K19" s="230">
        <f>IF($A$15&lt;&gt;"NÃO SELECIONADO",I19*J19,0)</f>
        <v>0</v>
      </c>
      <c r="L19" s="197"/>
      <c r="M19" s="198"/>
      <c r="N19" s="199"/>
      <c r="O19" s="230">
        <f>IF($A$15&lt;&gt;"NÃO SELECIONADO",M19*N19,0)</f>
        <v>0</v>
      </c>
      <c r="P19" s="193"/>
      <c r="Q19" s="221"/>
      <c r="R19" s="185"/>
      <c r="S19" s="230">
        <f>IF($A$15&lt;&gt;"NÃO SELECIONADO",Q19*R19,0)</f>
        <v>0</v>
      </c>
      <c r="T19" s="205"/>
      <c r="U19" s="222"/>
      <c r="V19" s="478"/>
      <c r="W19" s="230">
        <f>IF($A$15&lt;&gt;"NÃO SELECIONADO",U19*V19,0)</f>
        <v>0</v>
      </c>
    </row>
    <row r="20" spans="1:23" ht="25.5">
      <c r="A20" s="744" t="str">
        <f>IF('3_Comp e Produtos'!B10="Sim",'3_Comp e Produtos'!A10,"NÃO SELECIONADO")</f>
        <v>1.4. Sistema de indicadores, metas e avaliação da gestão por resultados</v>
      </c>
      <c r="B20" s="758" t="s">
        <v>289</v>
      </c>
      <c r="C20" s="753"/>
      <c r="D20" s="189"/>
      <c r="E20" s="326"/>
      <c r="F20" s="351"/>
      <c r="G20" s="230">
        <f>IF($A$20&lt;&gt;"NÃO SELECIONADO",E20*F20,0)</f>
        <v>0</v>
      </c>
      <c r="H20" s="189" t="s">
        <v>149</v>
      </c>
      <c r="I20" s="352">
        <v>90</v>
      </c>
      <c r="J20" s="353">
        <v>800</v>
      </c>
      <c r="K20" s="230">
        <f>IF($A$20&lt;&gt;"NÃO SELECIONADO",I20*J20,0)</f>
        <v>72000</v>
      </c>
      <c r="L20" s="226"/>
      <c r="M20" s="227"/>
      <c r="N20" s="228"/>
      <c r="O20" s="230">
        <f>IF($A$20&lt;&gt;"NÃO SELECIONADO",M20*N20,0)</f>
        <v>0</v>
      </c>
      <c r="P20" s="533" t="s">
        <v>110</v>
      </c>
      <c r="Q20" s="534">
        <v>3</v>
      </c>
      <c r="R20" s="534">
        <v>20000</v>
      </c>
      <c r="S20" s="230">
        <f>IF($A$20&lt;&gt;"NÃO SELECIONADO",Q20*R20,0)</f>
        <v>60000</v>
      </c>
      <c r="T20" s="181" t="s">
        <v>111</v>
      </c>
      <c r="U20" s="220">
        <v>3</v>
      </c>
      <c r="V20" s="477">
        <v>1000</v>
      </c>
      <c r="W20" s="230">
        <f>IF($A$20&lt;&gt;"NÃO SELECIONADO",U20*V20,0)</f>
        <v>3000</v>
      </c>
    </row>
    <row r="21" spans="1:23">
      <c r="A21" s="744"/>
      <c r="B21" s="759"/>
      <c r="C21" s="754"/>
      <c r="D21" s="324"/>
      <c r="E21" s="326"/>
      <c r="F21" s="351"/>
      <c r="G21" s="230">
        <f>IF($A$20&lt;&gt;"NÃO SELECIONADO",E21*F21,0)</f>
        <v>0</v>
      </c>
      <c r="H21" s="318" t="s">
        <v>148</v>
      </c>
      <c r="I21" s="222">
        <v>90</v>
      </c>
      <c r="J21" s="194">
        <v>800</v>
      </c>
      <c r="K21" s="230">
        <f>IF($A$20&lt;&gt;"NÃO SELECIONADO",I21*J21,0)</f>
        <v>72000</v>
      </c>
      <c r="L21" s="226"/>
      <c r="M21" s="227"/>
      <c r="N21" s="228"/>
      <c r="O21" s="230">
        <f>IF($A$20&lt;&gt;"NÃO SELECIONADO",M21*N21,0)</f>
        <v>0</v>
      </c>
      <c r="P21" s="200"/>
      <c r="Q21" s="201"/>
      <c r="R21" s="202"/>
      <c r="S21" s="230">
        <f>IF($A$20&lt;&gt;"NÃO SELECIONADO",Q21*R21,0)</f>
        <v>0</v>
      </c>
      <c r="T21" s="181" t="s">
        <v>112</v>
      </c>
      <c r="U21" s="220">
        <v>30</v>
      </c>
      <c r="V21" s="478">
        <v>250</v>
      </c>
      <c r="W21" s="230">
        <f>IF($A$20&lt;&gt;"NÃO SELECIONADO",U21*V21,0)</f>
        <v>7500</v>
      </c>
    </row>
    <row r="22" spans="1:23" ht="25.5">
      <c r="A22" s="744"/>
      <c r="B22" s="759"/>
      <c r="C22" s="754"/>
      <c r="D22" s="324"/>
      <c r="E22" s="326"/>
      <c r="F22" s="351"/>
      <c r="G22" s="230">
        <f>IF($A$20&lt;&gt;"NÃO SELECIONADO",E22*F22,0)</f>
        <v>0</v>
      </c>
      <c r="H22" s="195"/>
      <c r="I22" s="222"/>
      <c r="J22" s="194"/>
      <c r="K22" s="230">
        <f>IF($A$20&lt;&gt;"NÃO SELECIONADO",I22*J22,0)</f>
        <v>0</v>
      </c>
      <c r="L22" s="226"/>
      <c r="M22" s="227"/>
      <c r="N22" s="228"/>
      <c r="O22" s="230">
        <f>IF($A$20&lt;&gt;"NÃO SELECIONADO",M22*N22,0)</f>
        <v>0</v>
      </c>
      <c r="P22" s="200"/>
      <c r="Q22" s="201"/>
      <c r="R22" s="202"/>
      <c r="S22" s="230">
        <f>IF($A$20&lt;&gt;"NÃO SELECIONADO",Q22*R22,0)</f>
        <v>0</v>
      </c>
      <c r="T22" s="390" t="s">
        <v>113</v>
      </c>
      <c r="U22" s="222">
        <v>24</v>
      </c>
      <c r="V22" s="194">
        <v>1000</v>
      </c>
      <c r="W22" s="230">
        <f>IF($A$20&lt;&gt;"NÃO SELECIONADO",U22*V22,0)</f>
        <v>24000</v>
      </c>
    </row>
    <row r="23" spans="1:23" ht="15.75" customHeight="1">
      <c r="A23" s="744"/>
      <c r="B23" s="759"/>
      <c r="C23" s="754"/>
      <c r="D23" s="189"/>
      <c r="E23" s="326"/>
      <c r="F23" s="351"/>
      <c r="G23" s="230">
        <f>IF($A$20&lt;&gt;"NÃO SELECIONADO",E23*F23,0)</f>
        <v>0</v>
      </c>
      <c r="H23" s="191"/>
      <c r="I23" s="221"/>
      <c r="J23" s="185"/>
      <c r="K23" s="230">
        <f>IF($A$20&lt;&gt;"NÃO SELECIONADO",I23*J23,0)</f>
        <v>0</v>
      </c>
      <c r="L23" s="226"/>
      <c r="M23" s="227"/>
      <c r="N23" s="228"/>
      <c r="O23" s="230">
        <f>IF($A$20&lt;&gt;"NÃO SELECIONADO",M23*N23,0)</f>
        <v>0</v>
      </c>
      <c r="P23" s="207"/>
      <c r="Q23" s="201"/>
      <c r="R23" s="202"/>
      <c r="S23" s="230">
        <f>IF($A$20&lt;&gt;"NÃO SELECIONADO",Q23*R23,0)</f>
        <v>0</v>
      </c>
      <c r="T23" s="189" t="s">
        <v>114</v>
      </c>
      <c r="U23" s="222">
        <f>24*3</f>
        <v>72</v>
      </c>
      <c r="V23" s="194">
        <v>250</v>
      </c>
      <c r="W23" s="230">
        <f>IF($A$20&lt;&gt;"NÃO SELECIONADO",U23*V23,0)</f>
        <v>18000</v>
      </c>
    </row>
    <row r="24" spans="1:23">
      <c r="A24" s="317">
        <f>IF(A20&lt;&gt;"NÃO SELECIONADO",SUM(G20:G24)+SUM(K20:K24)+SUM(O20:O24)+SUM(S20:S24)+SUM(W20:W24),0)</f>
        <v>256500</v>
      </c>
      <c r="B24" s="760"/>
      <c r="C24" s="755"/>
      <c r="D24" s="193"/>
      <c r="E24" s="350"/>
      <c r="F24" s="351"/>
      <c r="G24" s="230">
        <f>IF($A$20&lt;&gt;"NÃO SELECIONADO",E24*F24,0)</f>
        <v>0</v>
      </c>
      <c r="H24" s="191"/>
      <c r="I24" s="221"/>
      <c r="J24" s="185"/>
      <c r="K24" s="230">
        <f>IF($A$20&lt;&gt;"NÃO SELECIONADO",I24*J24,0)</f>
        <v>0</v>
      </c>
      <c r="L24" s="226"/>
      <c r="M24" s="227"/>
      <c r="N24" s="228"/>
      <c r="O24" s="230">
        <f>IF($A$20&lt;&gt;"NÃO SELECIONADO",M24*N24,0)</f>
        <v>0</v>
      </c>
      <c r="P24" s="193"/>
      <c r="Q24" s="221"/>
      <c r="R24" s="185"/>
      <c r="S24" s="230">
        <f>IF($A$20&lt;&gt;"NÃO SELECIONADO",Q24*R24,0)</f>
        <v>0</v>
      </c>
      <c r="T24" s="205"/>
      <c r="U24" s="222"/>
      <c r="V24" s="194"/>
      <c r="W24" s="230">
        <f>IF($A$20&lt;&gt;"NÃO SELECIONADO",U24*V24,0)</f>
        <v>0</v>
      </c>
    </row>
    <row r="25" spans="1:23">
      <c r="A25" s="744" t="str">
        <f>IF('3_Comp e Produtos'!B11="Sim",'3_Comp e Produtos'!A11,"NÃO SELECIONADO")</f>
        <v>1.5. Ferramenta que permita verificar e monitorar a consistência entre os alinhamentos estratégicos e os resultados operacionais</v>
      </c>
      <c r="B25" s="761" t="s">
        <v>300</v>
      </c>
      <c r="C25" s="750"/>
      <c r="D25" s="378" t="s">
        <v>116</v>
      </c>
      <c r="E25" s="326">
        <v>160</v>
      </c>
      <c r="F25" s="231">
        <v>1000</v>
      </c>
      <c r="G25" s="230">
        <f>IF($A$25&lt;&gt;"NÃO SELECIONADO",E25*F25,0)</f>
        <v>160000</v>
      </c>
      <c r="H25" s="379"/>
      <c r="I25" s="352"/>
      <c r="J25" s="353"/>
      <c r="K25" s="230">
        <f>IF($A$25&lt;&gt;"NÃO SELECIONADO",I25*J25,0)</f>
        <v>0</v>
      </c>
      <c r="L25" s="379" t="s">
        <v>115</v>
      </c>
      <c r="M25" s="222">
        <v>80</v>
      </c>
      <c r="N25" s="380">
        <v>5000</v>
      </c>
      <c r="O25" s="230">
        <f>IF($A$25&lt;&gt;"NÃO SELECIONADO",M25*N25,0)</f>
        <v>400000</v>
      </c>
      <c r="P25" s="379"/>
      <c r="Q25" s="381"/>
      <c r="R25" s="382"/>
      <c r="S25" s="230">
        <f>IF($A$25&lt;&gt;"NÃO SELECIONADO",Q25*R25,0)</f>
        <v>0</v>
      </c>
      <c r="T25" s="321"/>
      <c r="U25" s="347"/>
      <c r="V25" s="348"/>
      <c r="W25" s="230">
        <f>IF($A$25&lt;&gt;"NÃO SELECIONADO",U25*V25,0)</f>
        <v>0</v>
      </c>
    </row>
    <row r="26" spans="1:23" ht="25.5">
      <c r="A26" s="744"/>
      <c r="B26" s="762"/>
      <c r="C26" s="751"/>
      <c r="D26" s="193"/>
      <c r="E26" s="326"/>
      <c r="F26" s="331"/>
      <c r="G26" s="230">
        <f>IF($A$25&lt;&gt;"NÃO SELECIONADO",E26*F26,0)</f>
        <v>0</v>
      </c>
      <c r="H26" s="191"/>
      <c r="I26" s="221"/>
      <c r="J26" s="185"/>
      <c r="K26" s="230">
        <f>IF($A$25&lt;&gt;"NÃO SELECIONADO",I26*J26,0)</f>
        <v>0</v>
      </c>
      <c r="L26" s="379" t="s">
        <v>117</v>
      </c>
      <c r="M26" s="222">
        <v>90</v>
      </c>
      <c r="N26" s="194">
        <v>500</v>
      </c>
      <c r="O26" s="230">
        <f>IF($A$25&lt;&gt;"NÃO SELECIONADO",M26*N26,0)</f>
        <v>45000</v>
      </c>
      <c r="P26" s="320"/>
      <c r="Q26" s="221"/>
      <c r="R26" s="185"/>
      <c r="S26" s="230">
        <f>IF($A$25&lt;&gt;"NÃO SELECIONADO",Q26*R26,0)</f>
        <v>0</v>
      </c>
      <c r="T26" s="346"/>
      <c r="U26" s="347"/>
      <c r="V26" s="348"/>
      <c r="W26" s="230">
        <f>IF($A$25&lt;&gt;"NÃO SELECIONADO",U26*V26,0)</f>
        <v>0</v>
      </c>
    </row>
    <row r="27" spans="1:23">
      <c r="A27" s="744"/>
      <c r="B27" s="762"/>
      <c r="C27" s="751"/>
      <c r="D27" s="186"/>
      <c r="E27" s="326"/>
      <c r="F27" s="332"/>
      <c r="G27" s="230">
        <f>IF($A$25&lt;&gt;"NÃO SELECIONADO",E27*F27,0)</f>
        <v>0</v>
      </c>
      <c r="H27" s="191"/>
      <c r="I27" s="221"/>
      <c r="J27" s="185"/>
      <c r="K27" s="230">
        <f>IF($A$25&lt;&gt;"NÃO SELECIONADO",I27*J27,0)</f>
        <v>0</v>
      </c>
      <c r="L27" s="318"/>
      <c r="M27" s="222"/>
      <c r="N27" s="194"/>
      <c r="O27" s="230">
        <f>IF($A$25&lt;&gt;"NÃO SELECIONADO",M27*N27,0)</f>
        <v>0</v>
      </c>
      <c r="P27" s="189"/>
      <c r="Q27" s="221"/>
      <c r="R27" s="185"/>
      <c r="S27" s="230">
        <f>IF($A$25&lt;&gt;"NÃO SELECIONADO",Q27*R27,0)</f>
        <v>0</v>
      </c>
      <c r="T27" s="192"/>
      <c r="U27" s="221"/>
      <c r="V27" s="185"/>
      <c r="W27" s="230">
        <f>IF($A$25&lt;&gt;"NÃO SELECIONADO",U27*V27,0)</f>
        <v>0</v>
      </c>
    </row>
    <row r="28" spans="1:23" ht="22.5" customHeight="1">
      <c r="A28" s="744"/>
      <c r="B28" s="762"/>
      <c r="C28" s="751"/>
      <c r="D28" s="193"/>
      <c r="E28" s="326"/>
      <c r="F28" s="319"/>
      <c r="G28" s="230">
        <f>IF($A$25&lt;&gt;"NÃO SELECIONADO",E28*F28,0)</f>
        <v>0</v>
      </c>
      <c r="H28" s="191"/>
      <c r="I28" s="221"/>
      <c r="J28" s="185"/>
      <c r="K28" s="230">
        <f>IF($A$25&lt;&gt;"NÃO SELECIONADO",I28*J28,0)</f>
        <v>0</v>
      </c>
      <c r="L28" s="195"/>
      <c r="M28" s="222"/>
      <c r="N28" s="194"/>
      <c r="O28" s="230">
        <f>IF($A$25&lt;&gt;"NÃO SELECIONADO",M28*N28,0)</f>
        <v>0</v>
      </c>
      <c r="P28" s="320"/>
      <c r="Q28" s="221"/>
      <c r="R28" s="185"/>
      <c r="S28" s="230">
        <f>IF($A$25&lt;&gt;"NÃO SELECIONADO",Q28*R28,0)</f>
        <v>0</v>
      </c>
      <c r="T28" s="192"/>
      <c r="U28" s="221"/>
      <c r="V28" s="185"/>
      <c r="W28" s="230">
        <f>IF($A$25&lt;&gt;"NÃO SELECIONADO",U28*V28,0)</f>
        <v>0</v>
      </c>
    </row>
    <row r="29" spans="1:23">
      <c r="A29" s="287">
        <f>IF(A25&lt;&gt;"NÃO SELECIONADO",SUM(G25:G29)+SUM(K25:K29)+SUM(O25:O29)+SUM(S25:S29)+SUM(W25:W29),0)</f>
        <v>605000</v>
      </c>
      <c r="B29" s="763"/>
      <c r="C29" s="752"/>
      <c r="D29" s="186"/>
      <c r="E29" s="326"/>
      <c r="F29" s="332"/>
      <c r="G29" s="230">
        <f>IF($A$25&lt;&gt;"NÃO SELECIONADO",E29*F29,0)</f>
        <v>0</v>
      </c>
      <c r="H29" s="191"/>
      <c r="I29" s="221"/>
      <c r="J29" s="185"/>
      <c r="K29" s="230">
        <f>IF($A$25&lt;&gt;"NÃO SELECIONADO",I29*J29,0)</f>
        <v>0</v>
      </c>
      <c r="L29" s="195"/>
      <c r="M29" s="222"/>
      <c r="N29" s="194"/>
      <c r="O29" s="230">
        <f>IF($A$25&lt;&gt;"NÃO SELECIONADO",M29*N29,0)</f>
        <v>0</v>
      </c>
      <c r="P29" s="189"/>
      <c r="Q29" s="221"/>
      <c r="R29" s="185"/>
      <c r="S29" s="230">
        <f>IF($A$25&lt;&gt;"NÃO SELECIONADO",Q29*R29,0)</f>
        <v>0</v>
      </c>
      <c r="T29" s="192"/>
      <c r="U29" s="221"/>
      <c r="V29" s="185"/>
      <c r="W29" s="230">
        <f>IF($A$25&lt;&gt;"NÃO SELECIONADO",U29*V29,0)</f>
        <v>0</v>
      </c>
    </row>
    <row r="30" spans="1:23" ht="18.75" customHeight="1">
      <c r="A30" s="744" t="str">
        <f>IF('3_Comp e Produtos'!B12="Sim",'3_Comp e Produtos'!A12,"NÃO SELECIONADO")</f>
        <v>1.6. Criação de uma unidade de gestão do conhecimento</v>
      </c>
      <c r="B30" s="757" t="s">
        <v>290</v>
      </c>
      <c r="C30" s="756"/>
      <c r="D30" s="193"/>
      <c r="E30" s="221"/>
      <c r="F30" s="185"/>
      <c r="G30" s="230">
        <f>IF($A$30&lt;&gt;"NÃO SELECIONADO",E30*F30,0)</f>
        <v>0</v>
      </c>
      <c r="H30" s="189" t="s">
        <v>118</v>
      </c>
      <c r="I30" s="220">
        <v>45</v>
      </c>
      <c r="J30" s="182">
        <v>800</v>
      </c>
      <c r="K30" s="230">
        <f>IF($A$30&lt;&gt;"NÃO SELECIONADO",I30*J30,0)</f>
        <v>36000</v>
      </c>
      <c r="L30" s="190"/>
      <c r="M30" s="221"/>
      <c r="N30" s="185"/>
      <c r="O30" s="230">
        <f>IF($A$30&lt;&gt;"NÃO SELECIONADO",M30*N30,0)</f>
        <v>0</v>
      </c>
      <c r="P30" s="193"/>
      <c r="Q30" s="221"/>
      <c r="R30" s="185"/>
      <c r="S30" s="230">
        <f>IF($A$30&lt;&gt;"NÃO SELECIONADO",Q30*R30,0)</f>
        <v>0</v>
      </c>
      <c r="T30" s="181" t="s">
        <v>111</v>
      </c>
      <c r="U30" s="221">
        <v>2</v>
      </c>
      <c r="V30" s="185">
        <v>1000</v>
      </c>
      <c r="W30" s="230">
        <f>IF($A$30&lt;&gt;"NÃO SELECIONADO",U30*V30,0)</f>
        <v>2000</v>
      </c>
    </row>
    <row r="31" spans="1:23" ht="18.75" customHeight="1">
      <c r="A31" s="744"/>
      <c r="B31" s="757"/>
      <c r="C31" s="756"/>
      <c r="D31" s="193"/>
      <c r="E31" s="221"/>
      <c r="F31" s="185"/>
      <c r="G31" s="230">
        <f>IF($A$30&lt;&gt;"NÃO SELECIONADO",E31*F31,0)</f>
        <v>0</v>
      </c>
      <c r="H31" s="192"/>
      <c r="I31" s="221"/>
      <c r="J31" s="185"/>
      <c r="K31" s="230">
        <f>IF($A$30&lt;&gt;"NÃO SELECIONADO",I31*J31,0)</f>
        <v>0</v>
      </c>
      <c r="L31" s="190"/>
      <c r="M31" s="221"/>
      <c r="N31" s="185"/>
      <c r="O31" s="230">
        <f>IF($A$30&lt;&gt;"NÃO SELECIONADO",M31*N31,0)</f>
        <v>0</v>
      </c>
      <c r="P31" s="193"/>
      <c r="Q31" s="221"/>
      <c r="R31" s="185"/>
      <c r="S31" s="230">
        <f>IF($A$30&lt;&gt;"NÃO SELECIONADO",Q31*R31,0)</f>
        <v>0</v>
      </c>
      <c r="T31" s="181" t="s">
        <v>112</v>
      </c>
      <c r="U31" s="221">
        <v>5</v>
      </c>
      <c r="V31" s="185">
        <v>250</v>
      </c>
      <c r="W31" s="230">
        <f>IF($A$30&lt;&gt;"NÃO SELECIONADO",U31*V31,0)</f>
        <v>1250</v>
      </c>
    </row>
    <row r="32" spans="1:23" ht="18.75" customHeight="1">
      <c r="A32" s="744"/>
      <c r="B32" s="757"/>
      <c r="C32" s="756"/>
      <c r="D32" s="193"/>
      <c r="E32" s="221"/>
      <c r="F32" s="185"/>
      <c r="G32" s="230">
        <f>IF($A$30&lt;&gt;"NÃO SELECIONADO",E32*F32,0)</f>
        <v>0</v>
      </c>
      <c r="H32" s="192"/>
      <c r="I32" s="221"/>
      <c r="J32" s="185"/>
      <c r="K32" s="230">
        <f>IF($A$30&lt;&gt;"NÃO SELECIONADO",I32*J32,0)</f>
        <v>0</v>
      </c>
      <c r="L32" s="190"/>
      <c r="M32" s="221"/>
      <c r="N32" s="185"/>
      <c r="O32" s="230">
        <f>IF($A$30&lt;&gt;"NÃO SELECIONADO",M32*N32,0)</f>
        <v>0</v>
      </c>
      <c r="P32" s="193"/>
      <c r="Q32" s="221"/>
      <c r="R32" s="185"/>
      <c r="S32" s="230">
        <f>IF($A$30&lt;&gt;"NÃO SELECIONADO",Q32*R32,0)</f>
        <v>0</v>
      </c>
      <c r="T32" s="192"/>
      <c r="U32" s="221"/>
      <c r="V32" s="185"/>
      <c r="W32" s="230">
        <f>IF($A$30&lt;&gt;"NÃO SELECIONADO",U32*V32,0)</f>
        <v>0</v>
      </c>
    </row>
    <row r="33" spans="1:23" ht="40.5" customHeight="1">
      <c r="A33" s="744"/>
      <c r="B33" s="757"/>
      <c r="C33" s="756"/>
      <c r="D33" s="193"/>
      <c r="E33" s="221"/>
      <c r="F33" s="185"/>
      <c r="G33" s="230">
        <f>IF($A$30&lt;&gt;"NÃO SELECIONADO",E33*F33,0)</f>
        <v>0</v>
      </c>
      <c r="H33" s="192"/>
      <c r="I33" s="221"/>
      <c r="J33" s="185"/>
      <c r="K33" s="230">
        <f>IF($A$30&lt;&gt;"NÃO SELECIONADO",I33*J33,0)</f>
        <v>0</v>
      </c>
      <c r="L33" s="190"/>
      <c r="M33" s="221"/>
      <c r="N33" s="185"/>
      <c r="O33" s="230">
        <f>IF($A$30&lt;&gt;"NÃO SELECIONADO",M33*N33,0)</f>
        <v>0</v>
      </c>
      <c r="P33" s="193"/>
      <c r="Q33" s="221"/>
      <c r="R33" s="185"/>
      <c r="S33" s="230">
        <f>IF($A$30&lt;&gt;"NÃO SELECIONADO",Q33*R33,0)</f>
        <v>0</v>
      </c>
      <c r="T33" s="192"/>
      <c r="U33" s="221"/>
      <c r="V33" s="185"/>
      <c r="W33" s="230">
        <f>IF($A$30&lt;&gt;"NÃO SELECIONADO",U33*V33,0)</f>
        <v>0</v>
      </c>
    </row>
    <row r="34" spans="1:23" ht="18.75" customHeight="1">
      <c r="A34" s="287">
        <f>IF(A30&lt;&gt;"NÃO SELECIONADO",SUM(G30:G34)+SUM(K30:K34)+SUM(O30:O34)+SUM(S30:S34)+SUM(W30:W34),0)</f>
        <v>39250</v>
      </c>
      <c r="B34" s="757"/>
      <c r="C34" s="756"/>
      <c r="D34" s="193"/>
      <c r="E34" s="221"/>
      <c r="F34" s="185"/>
      <c r="G34" s="230">
        <f>IF($A$30&lt;&gt;"NÃO SELECIONADO",E34*F34,0)</f>
        <v>0</v>
      </c>
      <c r="H34" s="192"/>
      <c r="I34" s="221"/>
      <c r="J34" s="185"/>
      <c r="K34" s="230">
        <f>IF($A$30&lt;&gt;"NÃO SELECIONADO",I34*J34,0)</f>
        <v>0</v>
      </c>
      <c r="L34" s="190"/>
      <c r="M34" s="221"/>
      <c r="N34" s="185"/>
      <c r="O34" s="230">
        <f>IF($A$30&lt;&gt;"NÃO SELECIONADO",M34*N34,0)</f>
        <v>0</v>
      </c>
      <c r="P34" s="193"/>
      <c r="Q34" s="221"/>
      <c r="R34" s="185"/>
      <c r="S34" s="230">
        <f>IF($A$30&lt;&gt;"NÃO SELECIONADO",Q34*R34,0)</f>
        <v>0</v>
      </c>
      <c r="T34" s="192"/>
      <c r="U34" s="221"/>
      <c r="V34" s="185"/>
      <c r="W34" s="230">
        <f>IF($A$30&lt;&gt;"NÃO SELECIONADO",U34*V34,0)</f>
        <v>0</v>
      </c>
    </row>
    <row r="35" spans="1:23" ht="38.25" customHeight="1">
      <c r="A35" s="744" t="str">
        <f>IF('3_Comp e Produtos'!B13="Sim",'3_Comp e Produtos'!A13,"NÃO SELECIONADO")</f>
        <v>1.7. Instalar uma ferramenta de BI incluindo recursos para Text Mining e Data Mining</v>
      </c>
      <c r="B35" s="757" t="s">
        <v>291</v>
      </c>
      <c r="C35" s="756"/>
      <c r="D35" s="378" t="s">
        <v>120</v>
      </c>
      <c r="E35" s="326">
        <v>160</v>
      </c>
      <c r="F35" s="231">
        <v>1000</v>
      </c>
      <c r="G35" s="230">
        <f>IF($A$35&lt;&gt;"NÃO SELECIONADO",E35*F35,0)</f>
        <v>160000</v>
      </c>
      <c r="H35" s="532"/>
      <c r="I35" s="221"/>
      <c r="J35" s="185"/>
      <c r="K35" s="230">
        <f>IF($A$35&lt;&gt;"NÃO SELECIONADO",I35*J35,0)</f>
        <v>0</v>
      </c>
      <c r="L35" s="379" t="s">
        <v>119</v>
      </c>
      <c r="M35" s="222">
        <v>80</v>
      </c>
      <c r="N35" s="380">
        <v>5000</v>
      </c>
      <c r="O35" s="230">
        <f>IF($A$35&lt;&gt;"NÃO SELECIONADO",M35*N35,0)</f>
        <v>400000</v>
      </c>
      <c r="P35" s="193"/>
      <c r="Q35" s="221"/>
      <c r="R35" s="185"/>
      <c r="S35" s="230">
        <f>IF($A$35&lt;&gt;"NÃO SELECIONADO",Q35*R35,0)</f>
        <v>0</v>
      </c>
      <c r="T35" s="181"/>
      <c r="U35" s="221"/>
      <c r="V35" s="185"/>
      <c r="W35" s="230">
        <f>IF($A$35&lt;&gt;"NÃO SELECIONADO",U35*V35,0)</f>
        <v>0</v>
      </c>
    </row>
    <row r="36" spans="1:23" ht="38.25" customHeight="1">
      <c r="A36" s="744"/>
      <c r="B36" s="757"/>
      <c r="C36" s="756"/>
      <c r="D36" s="193"/>
      <c r="E36" s="221"/>
      <c r="F36" s="185"/>
      <c r="G36" s="230">
        <f>IF($A$35&lt;&gt;"NÃO SELECIONADO",E36*F36,0)</f>
        <v>0</v>
      </c>
      <c r="H36" s="192"/>
      <c r="I36" s="221"/>
      <c r="J36" s="185"/>
      <c r="K36" s="230">
        <f>IF($A$35&lt;&gt;"NÃO SELECIONADO",I36*J36,0)</f>
        <v>0</v>
      </c>
      <c r="L36" s="379" t="s">
        <v>117</v>
      </c>
      <c r="M36" s="221">
        <v>90</v>
      </c>
      <c r="N36" s="185">
        <v>500</v>
      </c>
      <c r="O36" s="230">
        <f>IF($A$35&lt;&gt;"NÃO SELECIONADO",M36*N36,0)</f>
        <v>45000</v>
      </c>
      <c r="P36" s="193"/>
      <c r="Q36" s="221"/>
      <c r="R36" s="185"/>
      <c r="S36" s="230">
        <f>IF($A$35&lt;&gt;"NÃO SELECIONADO",Q36*R36,0)</f>
        <v>0</v>
      </c>
      <c r="T36" s="181"/>
      <c r="U36" s="221"/>
      <c r="V36" s="185"/>
      <c r="W36" s="230">
        <f>IF($A$35&lt;&gt;"NÃO SELECIONADO",U36*V36,0)</f>
        <v>0</v>
      </c>
    </row>
    <row r="37" spans="1:23" ht="38.25" customHeight="1">
      <c r="A37" s="744"/>
      <c r="B37" s="757"/>
      <c r="C37" s="756"/>
      <c r="D37" s="193"/>
      <c r="E37" s="221"/>
      <c r="F37" s="185"/>
      <c r="G37" s="230">
        <f>IF($A$35&lt;&gt;"NÃO SELECIONADO",E37*F37,0)</f>
        <v>0</v>
      </c>
      <c r="H37" s="192"/>
      <c r="I37" s="221"/>
      <c r="J37" s="185"/>
      <c r="K37" s="230">
        <f>IF($A$35&lt;&gt;"NÃO SELECIONADO",I37*J37,0)</f>
        <v>0</v>
      </c>
      <c r="L37" s="190"/>
      <c r="M37" s="221"/>
      <c r="N37" s="185"/>
      <c r="O37" s="230">
        <f>IF($A$35&lt;&gt;"NÃO SELECIONADO",M37*N37,0)</f>
        <v>0</v>
      </c>
      <c r="P37" s="193"/>
      <c r="Q37" s="221"/>
      <c r="R37" s="185"/>
      <c r="S37" s="230">
        <f>IF($A$35&lt;&gt;"NÃO SELECIONADO",Q37*R37,0)</f>
        <v>0</v>
      </c>
      <c r="T37" s="192"/>
      <c r="U37" s="221"/>
      <c r="V37" s="185"/>
      <c r="W37" s="230">
        <f>IF($A$35&lt;&gt;"NÃO SELECIONADO",U37*V37,0)</f>
        <v>0</v>
      </c>
    </row>
    <row r="38" spans="1:23" ht="57.75" customHeight="1">
      <c r="A38" s="744"/>
      <c r="B38" s="757"/>
      <c r="C38" s="756"/>
      <c r="D38" s="193"/>
      <c r="E38" s="221"/>
      <c r="F38" s="185"/>
      <c r="G38" s="230">
        <f>IF($A$35&lt;&gt;"NÃO SELECIONADO",E38*F38,0)</f>
        <v>0</v>
      </c>
      <c r="H38" s="192"/>
      <c r="I38" s="221"/>
      <c r="J38" s="185"/>
      <c r="K38" s="230">
        <f>IF($A$35&lt;&gt;"NÃO SELECIONADO",I38*J38,0)</f>
        <v>0</v>
      </c>
      <c r="L38" s="190"/>
      <c r="M38" s="221"/>
      <c r="N38" s="185"/>
      <c r="O38" s="230">
        <f>IF($A$35&lt;&gt;"NÃO SELECIONADO",M38*N38,0)</f>
        <v>0</v>
      </c>
      <c r="P38" s="193"/>
      <c r="Q38" s="221"/>
      <c r="R38" s="185"/>
      <c r="S38" s="230">
        <f>IF($A$35&lt;&gt;"NÃO SELECIONADO",Q38*R38,0)</f>
        <v>0</v>
      </c>
      <c r="T38" s="192"/>
      <c r="U38" s="221"/>
      <c r="V38" s="185"/>
      <c r="W38" s="230">
        <f>IF($A$35&lt;&gt;"NÃO SELECIONADO",U38*V38,0)</f>
        <v>0</v>
      </c>
    </row>
    <row r="39" spans="1:23">
      <c r="A39" s="287">
        <f>IF(A35&lt;&gt;"NÃO SELECIONADO",SUM(G35:G39)+SUM(K35:K39)+SUM(O35:O39)+SUM(S35:S39)+SUM(W35:W39),0)</f>
        <v>605000</v>
      </c>
      <c r="B39" s="757"/>
      <c r="C39" s="756"/>
      <c r="D39" s="193"/>
      <c r="E39" s="221"/>
      <c r="F39" s="185"/>
      <c r="G39" s="230">
        <f>IF($A$35&lt;&gt;"NÃO SELECIONADO",E39*F39,0)</f>
        <v>0</v>
      </c>
      <c r="H39" s="192"/>
      <c r="I39" s="221"/>
      <c r="J39" s="185"/>
      <c r="K39" s="230">
        <f>IF($A$35&lt;&gt;"NÃO SELECIONADO",I39*J39,0)</f>
        <v>0</v>
      </c>
      <c r="L39" s="190"/>
      <c r="M39" s="221"/>
      <c r="N39" s="185"/>
      <c r="O39" s="230">
        <f>IF($A$35&lt;&gt;"NÃO SELECIONADO",M39*N39,0)</f>
        <v>0</v>
      </c>
      <c r="P39" s="193"/>
      <c r="Q39" s="221"/>
      <c r="R39" s="185"/>
      <c r="S39" s="230">
        <f>IF($A$35&lt;&gt;"NÃO SELECIONADO",Q39*R39,0)</f>
        <v>0</v>
      </c>
      <c r="T39" s="192"/>
      <c r="U39" s="221"/>
      <c r="V39" s="185"/>
      <c r="W39" s="230">
        <f>IF($A$35&lt;&gt;"NÃO SELECIONADO",U39*V39,0)</f>
        <v>0</v>
      </c>
    </row>
    <row r="40" spans="1:23" ht="22.5" customHeight="1">
      <c r="A40" s="744" t="str">
        <f>IF('3_Comp e Produtos'!B14="Sim",'3_Comp e Produtos'!A14,"NÃO SELECIONADO")</f>
        <v>1.8. Criação do Escritório de Processos</v>
      </c>
      <c r="B40" s="757" t="s">
        <v>292</v>
      </c>
      <c r="C40" s="756"/>
      <c r="D40" s="378"/>
      <c r="E40" s="326"/>
      <c r="F40" s="231"/>
      <c r="G40" s="230">
        <f>IF($A$40&lt;&gt;"NÃO SELECIONADO",E40*F40,0)</f>
        <v>0</v>
      </c>
      <c r="H40" s="189" t="s">
        <v>150</v>
      </c>
      <c r="I40" s="221">
        <v>45</v>
      </c>
      <c r="J40" s="185">
        <v>800</v>
      </c>
      <c r="K40" s="230">
        <f>IF($A$40&lt;&gt;"NÃO SELECIONADO",I40*J40,0)</f>
        <v>36000</v>
      </c>
      <c r="L40" s="379"/>
      <c r="M40" s="222"/>
      <c r="N40" s="380"/>
      <c r="O40" s="230">
        <f>IF($A$40&lt;&gt;"NÃO SELECIONADO",M40*N40,0)</f>
        <v>0</v>
      </c>
      <c r="P40" s="193"/>
      <c r="Q40" s="221"/>
      <c r="R40" s="185"/>
      <c r="S40" s="230">
        <f>IF($A$40&lt;&gt;"NÃO SELECIONADO",Q40*R40,0)</f>
        <v>0</v>
      </c>
      <c r="T40" s="192"/>
      <c r="U40" s="221"/>
      <c r="V40" s="185"/>
      <c r="W40" s="230">
        <f>IF($A$40&lt;&gt;"NÃO SELECIONADO",U40*V40,0)</f>
        <v>0</v>
      </c>
    </row>
    <row r="41" spans="1:23" ht="22.5" customHeight="1">
      <c r="A41" s="744"/>
      <c r="B41" s="757"/>
      <c r="C41" s="756"/>
      <c r="D41" s="193"/>
      <c r="E41" s="221"/>
      <c r="F41" s="185"/>
      <c r="G41" s="230">
        <f>IF($A$40&lt;&gt;"NÃO SELECIONADO",E41*F41,0)</f>
        <v>0</v>
      </c>
      <c r="H41" s="192"/>
      <c r="I41" s="221"/>
      <c r="J41" s="185"/>
      <c r="K41" s="230">
        <f>IF($A$40&lt;&gt;"NÃO SELECIONADO",I41*J41,0)</f>
        <v>0</v>
      </c>
      <c r="L41" s="379"/>
      <c r="M41" s="222"/>
      <c r="N41" s="194"/>
      <c r="O41" s="230">
        <f>IF($A$40&lt;&gt;"NÃO SELECIONADO",M41*N41,0)</f>
        <v>0</v>
      </c>
      <c r="P41" s="193"/>
      <c r="Q41" s="221"/>
      <c r="R41" s="185"/>
      <c r="S41" s="230">
        <f>IF($A$40&lt;&gt;"NÃO SELECIONADO",Q41*R41,0)</f>
        <v>0</v>
      </c>
      <c r="T41" s="192"/>
      <c r="U41" s="221"/>
      <c r="V41" s="185"/>
      <c r="W41" s="230">
        <f>IF($A$40&lt;&gt;"NÃO SELECIONADO",U41*V41,0)</f>
        <v>0</v>
      </c>
    </row>
    <row r="42" spans="1:23" ht="22.5" customHeight="1">
      <c r="A42" s="744"/>
      <c r="B42" s="757"/>
      <c r="C42" s="756"/>
      <c r="D42" s="193"/>
      <c r="E42" s="221"/>
      <c r="F42" s="185"/>
      <c r="G42" s="230">
        <f>IF($A$40&lt;&gt;"NÃO SELECIONADO",E42*F42,0)</f>
        <v>0</v>
      </c>
      <c r="H42" s="192"/>
      <c r="I42" s="221"/>
      <c r="J42" s="185"/>
      <c r="K42" s="230">
        <f>IF($A$40&lt;&gt;"NÃO SELECIONADO",I42*J42,0)</f>
        <v>0</v>
      </c>
      <c r="L42" s="190"/>
      <c r="M42" s="221"/>
      <c r="N42" s="185"/>
      <c r="O42" s="230">
        <f>IF($A$40&lt;&gt;"NÃO SELECIONADO",M42*N42,0)</f>
        <v>0</v>
      </c>
      <c r="P42" s="193"/>
      <c r="Q42" s="221"/>
      <c r="R42" s="185"/>
      <c r="S42" s="230">
        <f>IF($A$40&lt;&gt;"NÃO SELECIONADO",Q42*R42,0)</f>
        <v>0</v>
      </c>
      <c r="T42" s="192"/>
      <c r="U42" s="221"/>
      <c r="V42" s="185"/>
      <c r="W42" s="230">
        <f>IF($A$40&lt;&gt;"NÃO SELECIONADO",U42*V42,0)</f>
        <v>0</v>
      </c>
    </row>
    <row r="43" spans="1:23">
      <c r="A43" s="744"/>
      <c r="B43" s="757"/>
      <c r="C43" s="756"/>
      <c r="D43" s="193"/>
      <c r="E43" s="221"/>
      <c r="F43" s="185"/>
      <c r="G43" s="230">
        <f>IF($A$40&lt;&gt;"NÃO SELECIONADO",E43*F43,0)</f>
        <v>0</v>
      </c>
      <c r="H43" s="192"/>
      <c r="I43" s="221"/>
      <c r="J43" s="185"/>
      <c r="K43" s="230">
        <f>IF($A$40&lt;&gt;"NÃO SELECIONADO",I43*J43,0)</f>
        <v>0</v>
      </c>
      <c r="L43" s="190"/>
      <c r="M43" s="221"/>
      <c r="N43" s="185"/>
      <c r="O43" s="230">
        <f>IF($A$40&lt;&gt;"NÃO SELECIONADO",M43*N43,0)</f>
        <v>0</v>
      </c>
      <c r="P43" s="193"/>
      <c r="Q43" s="221"/>
      <c r="R43" s="185"/>
      <c r="S43" s="230">
        <f>IF($A$40&lt;&gt;"NÃO SELECIONADO",Q43*R43,0)</f>
        <v>0</v>
      </c>
      <c r="T43" s="192"/>
      <c r="U43" s="221"/>
      <c r="V43" s="185"/>
      <c r="W43" s="230">
        <f>IF($A$40&lt;&gt;"NÃO SELECIONADO",U43*V43,0)</f>
        <v>0</v>
      </c>
    </row>
    <row r="44" spans="1:23">
      <c r="A44" s="287">
        <f>IF(A40&lt;&gt;"NÃO SELECIONADO",SUM(G40:G44)+SUM(K40:K44)+SUM(O40:O44)+SUM(S40:S44)+SUM(W40:W44),0)</f>
        <v>36000</v>
      </c>
      <c r="B44" s="757"/>
      <c r="C44" s="756"/>
      <c r="D44" s="193"/>
      <c r="E44" s="221"/>
      <c r="F44" s="185"/>
      <c r="G44" s="230">
        <f>IF($A$40&lt;&gt;"NÃO SELECIONADO",E44*F44,0)</f>
        <v>0</v>
      </c>
      <c r="H44" s="192"/>
      <c r="I44" s="221"/>
      <c r="J44" s="185"/>
      <c r="K44" s="230">
        <f>IF($A$40&lt;&gt;"NÃO SELECIONADO",I44*J44,0)</f>
        <v>0</v>
      </c>
      <c r="L44" s="190"/>
      <c r="M44" s="221"/>
      <c r="N44" s="185"/>
      <c r="O44" s="230">
        <f>IF($A$40&lt;&gt;"NÃO SELECIONADO",M44*N44,0)</f>
        <v>0</v>
      </c>
      <c r="P44" s="210"/>
      <c r="Q44" s="221"/>
      <c r="R44" s="185"/>
      <c r="S44" s="230">
        <f>IF($A$40&lt;&gt;"NÃO SELECIONADO",Q44*R44,0)</f>
        <v>0</v>
      </c>
      <c r="T44" s="192"/>
      <c r="U44" s="221"/>
      <c r="V44" s="185"/>
      <c r="W44" s="230">
        <f>IF($A$40&lt;&gt;"NÃO SELECIONADO",U44*V44,0)</f>
        <v>0</v>
      </c>
    </row>
    <row r="45" spans="1:23" ht="51">
      <c r="A45" s="764" t="str">
        <f>IF('3_Comp e Produtos'!B15="Sim",'3_Comp e Produtos'!A15,"NÃO SELECIONADO")</f>
        <v>1.9. Modelo dinâmico de gerência, controle, otimização, integração e sustentabilidade dos processos operacionais e de gestão</v>
      </c>
      <c r="B45" s="757" t="s">
        <v>293</v>
      </c>
      <c r="C45" s="778"/>
      <c r="D45" s="205" t="s">
        <v>125</v>
      </c>
      <c r="E45" s="221">
        <v>8</v>
      </c>
      <c r="F45" s="185">
        <v>4000</v>
      </c>
      <c r="G45" s="229">
        <f>IF($A$45&lt;&gt;"NÃO SELECIONADO",E45*F45,0)</f>
        <v>32000</v>
      </c>
      <c r="H45" s="189" t="s">
        <v>121</v>
      </c>
      <c r="I45" s="221">
        <v>180</v>
      </c>
      <c r="J45" s="185">
        <v>800</v>
      </c>
      <c r="K45" s="229">
        <f>IF($A$45&lt;&gt;"NÃO SELECIONADO",I45*J45,0)</f>
        <v>144000</v>
      </c>
      <c r="L45" s="560" t="s">
        <v>115</v>
      </c>
      <c r="M45" s="561">
        <v>100</v>
      </c>
      <c r="N45" s="562">
        <v>5000</v>
      </c>
      <c r="O45" s="230">
        <f>IF($A$45&lt;&gt;"NÃO SELECIONADO",M45*N45,0)</f>
        <v>500000</v>
      </c>
      <c r="P45" s="535"/>
      <c r="Q45" s="221"/>
      <c r="R45" s="185"/>
      <c r="S45" s="229">
        <f>IF($A$45&lt;&gt;"NÃO SELECIONADO",Q45*R45,0)</f>
        <v>0</v>
      </c>
      <c r="T45" s="188"/>
      <c r="U45" s="221"/>
      <c r="V45" s="185"/>
      <c r="W45" s="229">
        <f>IF($A$45&lt;&gt;"NÃO SELECIONADO",U45*V45,0)</f>
        <v>0</v>
      </c>
    </row>
    <row r="46" spans="1:23">
      <c r="A46" s="764"/>
      <c r="B46" s="757"/>
      <c r="C46" s="778"/>
      <c r="D46" s="378" t="s">
        <v>116</v>
      </c>
      <c r="E46" s="326">
        <v>160</v>
      </c>
      <c r="F46" s="231">
        <v>1000</v>
      </c>
      <c r="G46" s="229">
        <f>IF($A$45&lt;&gt;"NÃO SELECIONADO",E46*F46,0)</f>
        <v>160000</v>
      </c>
      <c r="H46" s="192"/>
      <c r="I46" s="221"/>
      <c r="J46" s="185"/>
      <c r="K46" s="229">
        <f>IF($A$45&lt;&gt;"NÃO SELECIONADO",I46*J46,0)</f>
        <v>0</v>
      </c>
      <c r="L46" s="190"/>
      <c r="M46" s="221"/>
      <c r="N46" s="185"/>
      <c r="O46" s="229">
        <f>IF($A$45&lt;&gt;"NÃO SELECIONADO",M46*N46,0)</f>
        <v>0</v>
      </c>
      <c r="P46" s="192"/>
      <c r="Q46" s="221"/>
      <c r="R46" s="185"/>
      <c r="S46" s="229">
        <f>IF($A$45&lt;&gt;"NÃO SELECIONADO",Q46*R46,0)</f>
        <v>0</v>
      </c>
      <c r="T46" s="192"/>
      <c r="U46" s="221"/>
      <c r="V46" s="185"/>
      <c r="W46" s="229">
        <f>IF($A$45&lt;&gt;"NÃO SELECIONADO",U46*V46,0)</f>
        <v>0</v>
      </c>
    </row>
    <row r="47" spans="1:23">
      <c r="A47" s="764"/>
      <c r="B47" s="757"/>
      <c r="C47" s="778"/>
      <c r="D47" s="193"/>
      <c r="E47" s="221"/>
      <c r="F47" s="185"/>
      <c r="G47" s="229">
        <f>IF($A$45&lt;&gt;"NÃO SELECIONADO",E47*F47,0)</f>
        <v>0</v>
      </c>
      <c r="H47" s="192"/>
      <c r="I47" s="221"/>
      <c r="J47" s="185"/>
      <c r="K47" s="229">
        <f>IF($A$45&lt;&gt;"NÃO SELECIONADO",I47*J47,0)</f>
        <v>0</v>
      </c>
      <c r="L47" s="190"/>
      <c r="M47" s="221"/>
      <c r="N47" s="185"/>
      <c r="O47" s="229">
        <f>IF($A$45&lt;&gt;"NÃO SELECIONADO",M47*N47,0)</f>
        <v>0</v>
      </c>
      <c r="P47" s="192"/>
      <c r="Q47" s="221"/>
      <c r="R47" s="185"/>
      <c r="S47" s="229">
        <f>IF($A$45&lt;&gt;"NÃO SELECIONADO",Q47*R47,0)</f>
        <v>0</v>
      </c>
      <c r="T47" s="192"/>
      <c r="U47" s="221"/>
      <c r="V47" s="185"/>
      <c r="W47" s="229">
        <f>IF($A$45&lt;&gt;"NÃO SELECIONADO",U47*V47,0)</f>
        <v>0</v>
      </c>
    </row>
    <row r="48" spans="1:23">
      <c r="A48" s="764"/>
      <c r="B48" s="757"/>
      <c r="C48" s="778"/>
      <c r="D48" s="193"/>
      <c r="E48" s="221"/>
      <c r="F48" s="185"/>
      <c r="G48" s="229">
        <f>IF($A$45&lt;&gt;"NÃO SELECIONADO",E48*F48,0)</f>
        <v>0</v>
      </c>
      <c r="H48" s="192"/>
      <c r="I48" s="221"/>
      <c r="J48" s="185"/>
      <c r="K48" s="229">
        <f>IF($A$45&lt;&gt;"NÃO SELECIONADO",I48*J48,0)</f>
        <v>0</v>
      </c>
      <c r="L48" s="190"/>
      <c r="M48" s="221"/>
      <c r="N48" s="185"/>
      <c r="O48" s="229">
        <f>IF($A$45&lt;&gt;"NÃO SELECIONADO",M48*N48,0)</f>
        <v>0</v>
      </c>
      <c r="P48" s="192"/>
      <c r="Q48" s="221"/>
      <c r="R48" s="185"/>
      <c r="S48" s="229">
        <f>IF($A$45&lt;&gt;"NÃO SELECIONADO",Q48*R48,0)</f>
        <v>0</v>
      </c>
      <c r="T48" s="192"/>
      <c r="U48" s="221"/>
      <c r="V48" s="185"/>
      <c r="W48" s="229">
        <f>IF($A$45&lt;&gt;"NÃO SELECIONADO",U48*V48,0)</f>
        <v>0</v>
      </c>
    </row>
    <row r="49" spans="1:23">
      <c r="A49" s="287">
        <f>IF(A45&lt;&gt;"NÃO SELECIONADO",SUM(G45:G49)+SUM(K45:K49)+SUM(O45:O49)+SUM(S45:S49)+SUM(W45:W49),0)</f>
        <v>836000</v>
      </c>
      <c r="B49" s="757"/>
      <c r="C49" s="778"/>
      <c r="D49" s="193"/>
      <c r="E49" s="221"/>
      <c r="F49" s="185"/>
      <c r="G49" s="229">
        <f>IF($A$45&lt;&gt;"NÃO SELECIONADO",E49*F49,0)</f>
        <v>0</v>
      </c>
      <c r="H49" s="192"/>
      <c r="I49" s="221"/>
      <c r="J49" s="185"/>
      <c r="K49" s="229">
        <f>IF($A$45&lt;&gt;"NÃO SELECIONADO",I49*J49,0)</f>
        <v>0</v>
      </c>
      <c r="L49" s="190"/>
      <c r="M49" s="221"/>
      <c r="N49" s="185"/>
      <c r="O49" s="229">
        <f>IF($A$45&lt;&gt;"NÃO SELECIONADO",M49*N49,0)</f>
        <v>0</v>
      </c>
      <c r="P49" s="192"/>
      <c r="Q49" s="221"/>
      <c r="R49" s="185"/>
      <c r="S49" s="229">
        <f>IF($A$45&lt;&gt;"NÃO SELECIONADO",Q49*R49,0)</f>
        <v>0</v>
      </c>
      <c r="T49" s="192"/>
      <c r="U49" s="221"/>
      <c r="V49" s="185"/>
      <c r="W49" s="229">
        <f>IF($A$45&lt;&gt;"NÃO SELECIONADO",U49*V49,0)</f>
        <v>0</v>
      </c>
    </row>
    <row r="50" spans="1:23" ht="71.25" customHeight="1">
      <c r="A50" s="744" t="str">
        <f>'3_Comp e Produtos'!A16</f>
        <v>1.10. Unidade responsável pela definição e monitoramento dos projetos institucionais (Escitório de Gestão de Projetos)</v>
      </c>
      <c r="B50" s="757" t="s">
        <v>294</v>
      </c>
      <c r="C50" s="756"/>
      <c r="D50" s="378" t="s">
        <v>116</v>
      </c>
      <c r="E50" s="221">
        <v>160</v>
      </c>
      <c r="F50" s="185">
        <v>600</v>
      </c>
      <c r="G50" s="230">
        <f>IF($A$65&lt;&gt;"NÃO SELECIONADO",E50*F50,0)</f>
        <v>96000</v>
      </c>
      <c r="H50" s="189" t="s">
        <v>122</v>
      </c>
      <c r="I50" s="221">
        <v>90</v>
      </c>
      <c r="J50" s="185">
        <v>800</v>
      </c>
      <c r="K50" s="230">
        <f>IF($A$65&lt;&gt;"NÃO SELECIONADO",I50*J50,0)</f>
        <v>72000</v>
      </c>
      <c r="L50" s="190" t="s">
        <v>115</v>
      </c>
      <c r="M50" s="221">
        <v>160</v>
      </c>
      <c r="N50" s="185">
        <v>1000</v>
      </c>
      <c r="O50" s="230">
        <f>IF($A$65&lt;&gt;"NÃO SELECIONADO",M50*N50,0)</f>
        <v>160000</v>
      </c>
      <c r="P50" s="192"/>
      <c r="Q50" s="221"/>
      <c r="R50" s="185"/>
      <c r="S50" s="230">
        <f>IF($A$65&lt;&gt;"NÃO SELECIONADO",Q50*R50,0)</f>
        <v>0</v>
      </c>
      <c r="T50" s="192"/>
      <c r="U50" s="221"/>
      <c r="V50" s="185"/>
      <c r="W50" s="230">
        <f>IF($A$65&lt;&gt;"NÃO SELECIONADO",U50*V50,0)</f>
        <v>0</v>
      </c>
    </row>
    <row r="51" spans="1:23" ht="30.75" customHeight="1">
      <c r="A51" s="744"/>
      <c r="B51" s="757"/>
      <c r="C51" s="756"/>
      <c r="D51" s="193" t="s">
        <v>123</v>
      </c>
      <c r="E51" s="221">
        <v>80</v>
      </c>
      <c r="F51" s="185">
        <v>2500</v>
      </c>
      <c r="G51" s="230">
        <f>IF($A$65&lt;&gt;"NÃO SELECIONADO",E51*F51,0)</f>
        <v>200000</v>
      </c>
      <c r="H51" s="192"/>
      <c r="I51" s="221"/>
      <c r="J51" s="185"/>
      <c r="K51" s="230">
        <f>IF($A$65&lt;&gt;"NÃO SELECIONADO",I51*J51,0)</f>
        <v>0</v>
      </c>
      <c r="L51" s="190"/>
      <c r="M51" s="221"/>
      <c r="N51" s="185"/>
      <c r="O51" s="230">
        <f>IF($A$65&lt;&gt;"NÃO SELECIONADO",M51*N51,0)</f>
        <v>0</v>
      </c>
      <c r="P51" s="192"/>
      <c r="Q51" s="221"/>
      <c r="R51" s="185"/>
      <c r="S51" s="230">
        <f>IF($A$65&lt;&gt;"NÃO SELECIONADO",Q51*R51,0)</f>
        <v>0</v>
      </c>
      <c r="T51" s="192"/>
      <c r="U51" s="221"/>
      <c r="V51" s="185"/>
      <c r="W51" s="230">
        <f>IF($A$65&lt;&gt;"NÃO SELECIONADO",U51*V51,0)</f>
        <v>0</v>
      </c>
    </row>
    <row r="52" spans="1:23" ht="29.25" customHeight="1">
      <c r="A52" s="744"/>
      <c r="B52" s="757"/>
      <c r="C52" s="756"/>
      <c r="D52" s="193"/>
      <c r="E52" s="221"/>
      <c r="F52" s="185"/>
      <c r="G52" s="230">
        <f>IF($A$65&lt;&gt;"NÃO SELECIONADO",E52*F52,0)</f>
        <v>0</v>
      </c>
      <c r="H52" s="192"/>
      <c r="I52" s="221"/>
      <c r="J52" s="185"/>
      <c r="K52" s="230">
        <f>IF($A$65&lt;&gt;"NÃO SELECIONADO",I52*J52,0)</f>
        <v>0</v>
      </c>
      <c r="L52" s="190"/>
      <c r="M52" s="221"/>
      <c r="N52" s="185"/>
      <c r="O52" s="230">
        <f>IF($A$65&lt;&gt;"NÃO SELECIONADO",M52*N52,0)</f>
        <v>0</v>
      </c>
      <c r="P52" s="192"/>
      <c r="Q52" s="221"/>
      <c r="R52" s="185"/>
      <c r="S52" s="230">
        <f>IF($A$65&lt;&gt;"NÃO SELECIONADO",Q52*R52,0)</f>
        <v>0</v>
      </c>
      <c r="T52" s="192"/>
      <c r="U52" s="221"/>
      <c r="V52" s="185"/>
      <c r="W52" s="230">
        <f>IF($A$65&lt;&gt;"NÃO SELECIONADO",U52*V52,0)</f>
        <v>0</v>
      </c>
    </row>
    <row r="53" spans="1:23" ht="25.5" customHeight="1">
      <c r="A53" s="744"/>
      <c r="B53" s="757"/>
      <c r="C53" s="756"/>
      <c r="D53" s="193"/>
      <c r="E53" s="221"/>
      <c r="F53" s="185"/>
      <c r="G53" s="230">
        <f>IF($A$65&lt;&gt;"NÃO SELECIONADO",E53*F53,0)</f>
        <v>0</v>
      </c>
      <c r="H53" s="192"/>
      <c r="I53" s="221"/>
      <c r="J53" s="185"/>
      <c r="K53" s="230">
        <f>IF($A$65&lt;&gt;"NÃO SELECIONADO",I53*J53,0)</f>
        <v>0</v>
      </c>
      <c r="L53" s="190"/>
      <c r="M53" s="221"/>
      <c r="N53" s="185"/>
      <c r="O53" s="230">
        <f>IF($A$65&lt;&gt;"NÃO SELECIONADO",M53*N53,0)</f>
        <v>0</v>
      </c>
      <c r="P53" s="192"/>
      <c r="Q53" s="221"/>
      <c r="R53" s="185"/>
      <c r="S53" s="230">
        <f>IF($A$65&lt;&gt;"NÃO SELECIONADO",Q53*R53,0)</f>
        <v>0</v>
      </c>
      <c r="T53" s="192"/>
      <c r="U53" s="221"/>
      <c r="V53" s="185"/>
      <c r="W53" s="230">
        <f>IF($A$65&lt;&gt;"NÃO SELECIONADO",U53*V53,0)</f>
        <v>0</v>
      </c>
    </row>
    <row r="54" spans="1:23">
      <c r="A54" s="287">
        <f>IF(A50&lt;&gt;"NÃO SELECIONADO",SUM(G50:G54)+SUM(K50:K54)+SUM(O50:O54)+SUM(S50:S54)+SUM(W50:W54),0)</f>
        <v>528000</v>
      </c>
      <c r="B54" s="757"/>
      <c r="C54" s="756"/>
      <c r="D54" s="193"/>
      <c r="E54" s="221"/>
      <c r="F54" s="185"/>
      <c r="G54" s="230">
        <f>IF($A$65&lt;&gt;"NÃO SELECIONADO",E54*F54,0)</f>
        <v>0</v>
      </c>
      <c r="H54" s="192"/>
      <c r="I54" s="221"/>
      <c r="J54" s="185"/>
      <c r="K54" s="230">
        <f>IF($A$65&lt;&gt;"NÃO SELECIONADO",I54*J54,0)</f>
        <v>0</v>
      </c>
      <c r="L54" s="190"/>
      <c r="M54" s="221"/>
      <c r="N54" s="185"/>
      <c r="O54" s="230">
        <f>IF($A$65&lt;&gt;"NÃO SELECIONADO",M54*N54,0)</f>
        <v>0</v>
      </c>
      <c r="P54" s="192"/>
      <c r="Q54" s="221"/>
      <c r="R54" s="185"/>
      <c r="S54" s="230">
        <f>IF($A$65&lt;&gt;"NÃO SELECIONADO",Q54*R54,0)</f>
        <v>0</v>
      </c>
      <c r="T54" s="192"/>
      <c r="U54" s="221"/>
      <c r="V54" s="185"/>
      <c r="W54" s="230">
        <f>IF($A$65&lt;&gt;"NÃO SELECIONADO",U54*V54,0)</f>
        <v>0</v>
      </c>
    </row>
    <row r="55" spans="1:23" ht="62.25" customHeight="1">
      <c r="A55" s="744" t="str">
        <f>'3_Comp e Produtos'!A17</f>
        <v>1.11. Política de comunicação das mudanças aos cidadãos, sobre as ações previstas no Projeto, desenhada e implementada</v>
      </c>
      <c r="B55" s="758" t="s">
        <v>283</v>
      </c>
      <c r="C55" s="754"/>
      <c r="D55" s="181"/>
      <c r="E55" s="330"/>
      <c r="F55" s="231"/>
      <c r="G55" s="229">
        <f>IF($A$5&lt;&gt;"NÃO SELECIONADO",E55*F55,0)</f>
        <v>0</v>
      </c>
      <c r="H55" s="181" t="s">
        <v>213</v>
      </c>
      <c r="I55" s="330">
        <f>2*90</f>
        <v>180</v>
      </c>
      <c r="J55" s="311">
        <v>800</v>
      </c>
      <c r="K55" s="229">
        <f>IF($A$5&lt;&gt;"NÃO SELECIONADO",I55*J55,0)</f>
        <v>144000</v>
      </c>
      <c r="L55" s="183"/>
      <c r="M55" s="223"/>
      <c r="N55" s="184"/>
      <c r="O55" s="229">
        <f>IF($A$5&lt;&gt;"NÃO SELECIONADO",M55*N55,0)</f>
        <v>0</v>
      </c>
      <c r="P55" s="181" t="s">
        <v>216</v>
      </c>
      <c r="Q55" s="225">
        <v>27</v>
      </c>
      <c r="R55" s="389">
        <v>20000</v>
      </c>
      <c r="S55" s="229">
        <f>IF($A$5&lt;&gt;"NÃO SELECIONADO",Q55*R55,0)</f>
        <v>540000</v>
      </c>
      <c r="T55" s="390" t="s">
        <v>218</v>
      </c>
      <c r="U55" s="225">
        <v>150</v>
      </c>
      <c r="V55" s="187">
        <v>1000</v>
      </c>
      <c r="W55" s="229">
        <f>IF($A$5&lt;&gt;"NÃO SELECIONADO",U55*V55,0)</f>
        <v>150000</v>
      </c>
    </row>
    <row r="56" spans="1:23" ht="72.75" customHeight="1">
      <c r="A56" s="744"/>
      <c r="B56" s="759"/>
      <c r="C56" s="754"/>
      <c r="D56" s="189"/>
      <c r="E56" s="330"/>
      <c r="F56" s="231"/>
      <c r="G56" s="229">
        <f>IF($A$5&lt;&gt;"NÃO SELECIONADO",E56*F56,0)</f>
        <v>0</v>
      </c>
      <c r="H56" s="181" t="s">
        <v>214</v>
      </c>
      <c r="I56" s="330">
        <v>300</v>
      </c>
      <c r="J56" s="311">
        <v>800</v>
      </c>
      <c r="K56" s="229">
        <f>IF($A$5&lt;&gt;"NÃO SELECIONADO",I56*J56,0)</f>
        <v>240000</v>
      </c>
      <c r="L56" s="190"/>
      <c r="M56" s="221"/>
      <c r="N56" s="185"/>
      <c r="O56" s="229">
        <f>IF($A$5&lt;&gt;"NÃO SELECIONADO",M56*N56,0)</f>
        <v>0</v>
      </c>
      <c r="P56" s="181" t="s">
        <v>217</v>
      </c>
      <c r="Q56" s="221">
        <v>27000</v>
      </c>
      <c r="R56" s="185">
        <v>5</v>
      </c>
      <c r="S56" s="229">
        <f>IF($A$5&lt;&gt;"NÃO SELECIONADO",Q56*R56,0)</f>
        <v>135000</v>
      </c>
      <c r="T56" s="321" t="s">
        <v>219</v>
      </c>
      <c r="U56" s="221">
        <f>150*3</f>
        <v>450</v>
      </c>
      <c r="V56" s="185">
        <v>250</v>
      </c>
      <c r="W56" s="229">
        <f>IF($A$5&lt;&gt;"NÃO SELECIONADO",U56*V56,0)</f>
        <v>112500</v>
      </c>
    </row>
    <row r="57" spans="1:23" ht="63" customHeight="1">
      <c r="A57" s="744"/>
      <c r="B57" s="759"/>
      <c r="C57" s="754"/>
      <c r="D57" s="189"/>
      <c r="E57" s="330"/>
      <c r="F57" s="231"/>
      <c r="G57" s="229">
        <f>IF($A$5&lt;&gt;"NÃO SELECIONADO",E57*F57,0)</f>
        <v>0</v>
      </c>
      <c r="H57" s="189" t="s">
        <v>215</v>
      </c>
      <c r="I57" s="326">
        <v>120</v>
      </c>
      <c r="J57" s="231">
        <v>800</v>
      </c>
      <c r="K57" s="229">
        <f>IF($A$5&lt;&gt;"NÃO SELECIONADO",I57*J57,0)</f>
        <v>96000</v>
      </c>
      <c r="L57" s="190"/>
      <c r="M57" s="221"/>
      <c r="N57" s="185"/>
      <c r="O57" s="229">
        <f>IF($A$5&lt;&gt;"NÃO SELECIONADO",M57*N57,0)</f>
        <v>0</v>
      </c>
      <c r="P57" s="318" t="s">
        <v>220</v>
      </c>
      <c r="Q57" s="221">
        <v>1</v>
      </c>
      <c r="R57" s="185">
        <v>50000</v>
      </c>
      <c r="S57" s="229">
        <f>IF($A$5&lt;&gt;"NÃO SELECIONADO",Q57*R57,0)</f>
        <v>50000</v>
      </c>
      <c r="T57" s="190"/>
      <c r="U57" s="221"/>
      <c r="V57" s="185"/>
      <c r="W57" s="229">
        <f>IF($A$5&lt;&gt;"NÃO SELECIONADO",U57*V57,0)</f>
        <v>0</v>
      </c>
    </row>
    <row r="58" spans="1:23" ht="75.75" customHeight="1">
      <c r="A58" s="744"/>
      <c r="B58" s="759"/>
      <c r="C58" s="754"/>
      <c r="D58" s="324"/>
      <c r="E58" s="326"/>
      <c r="F58" s="231"/>
      <c r="G58" s="229">
        <f>IF($A$5&lt;&gt;"NÃO SELECIONADO",E58*F58,0)</f>
        <v>0</v>
      </c>
      <c r="H58" s="193"/>
      <c r="I58" s="326"/>
      <c r="J58" s="231"/>
      <c r="K58" s="229">
        <f>IF($A$5&lt;&gt;"NÃO SELECIONADO",I58*J58,0)</f>
        <v>0</v>
      </c>
      <c r="L58" s="190"/>
      <c r="M58" s="221"/>
      <c r="N58" s="185"/>
      <c r="O58" s="229">
        <f>IF($A$5&lt;&gt;"NÃO SELECIONADO",M58*N58,0)</f>
        <v>0</v>
      </c>
      <c r="P58" s="191"/>
      <c r="Q58" s="221"/>
      <c r="R58" s="185"/>
      <c r="S58" s="229">
        <f>IF($A$5&lt;&gt;"NÃO SELECIONADO",Q58*R58,0)</f>
        <v>0</v>
      </c>
      <c r="T58" s="192"/>
      <c r="U58" s="221"/>
      <c r="V58" s="185"/>
      <c r="W58" s="229">
        <f>IF($A$5&lt;&gt;"NÃO SELECIONADO",U58*V58,0)</f>
        <v>0</v>
      </c>
    </row>
    <row r="59" spans="1:23" ht="22.5" customHeight="1">
      <c r="A59" s="287">
        <f>W55+W56+S55+S56+S57+K55+K56+K57</f>
        <v>1467500</v>
      </c>
      <c r="B59" s="760"/>
      <c r="C59" s="755"/>
      <c r="D59" s="363"/>
      <c r="E59" s="326"/>
      <c r="F59" s="231"/>
      <c r="G59" s="229">
        <f>IF($A$5&lt;&gt;"NÃO SELECIONADO",E59*F59,0)</f>
        <v>0</v>
      </c>
      <c r="H59" s="193"/>
      <c r="I59" s="326"/>
      <c r="J59" s="231"/>
      <c r="K59" s="229">
        <f>IF($A$5&lt;&gt;"NÃO SELECIONADO",I59*J59,0)</f>
        <v>0</v>
      </c>
      <c r="L59" s="190"/>
      <c r="M59" s="221"/>
      <c r="N59" s="185"/>
      <c r="O59" s="229">
        <f>IF($A$5&lt;&gt;"NÃO SELECIONADO",M59*N59,0)</f>
        <v>0</v>
      </c>
      <c r="P59" s="191"/>
      <c r="Q59" s="221"/>
      <c r="R59" s="185"/>
      <c r="S59" s="229">
        <f>IF($A$5&lt;&gt;"NÃO SELECIONADO",Q59*R59,0)</f>
        <v>0</v>
      </c>
      <c r="T59" s="192"/>
      <c r="U59" s="221"/>
      <c r="V59" s="185"/>
      <c r="W59" s="229">
        <f>IF($A$5&lt;&gt;"NÃO SELECIONADO",U59*V59,0)</f>
        <v>0</v>
      </c>
    </row>
    <row r="60" spans="1:23" ht="80.25" customHeight="1">
      <c r="A60" s="744" t="str">
        <f>'3_Comp e Produtos'!A18</f>
        <v>1.12. Plano de comunicação interna de mudanças desenhado e implementado</v>
      </c>
      <c r="B60" s="775" t="s">
        <v>284</v>
      </c>
      <c r="C60" s="754"/>
      <c r="D60" s="416"/>
      <c r="E60" s="326"/>
      <c r="F60" s="231"/>
      <c r="G60" s="230">
        <f>IF($A$10&lt;&gt;"NÃO SELECIONADO",E60*F60,0)</f>
        <v>0</v>
      </c>
      <c r="H60" s="181" t="s">
        <v>213</v>
      </c>
      <c r="I60" s="330">
        <f>2*90</f>
        <v>180</v>
      </c>
      <c r="J60" s="311">
        <v>800</v>
      </c>
      <c r="K60" s="230">
        <f>IF($A$10&lt;&gt;"NÃO SELECIONADO",I60*J60,0)</f>
        <v>144000</v>
      </c>
      <c r="L60" s="536"/>
      <c r="M60" s="326"/>
      <c r="N60" s="328"/>
      <c r="O60" s="230">
        <f>IF($A$10&lt;&gt;"NÃO SELECIONADO",M60*N60,0)</f>
        <v>0</v>
      </c>
      <c r="P60" s="181" t="s">
        <v>221</v>
      </c>
      <c r="Q60" s="225">
        <v>8</v>
      </c>
      <c r="R60" s="389">
        <v>20000</v>
      </c>
      <c r="S60" s="230">
        <f>IF($A$10&lt;&gt;"NÃO SELECIONADO",Q60*R60,0)</f>
        <v>160000</v>
      </c>
      <c r="T60" s="390" t="s">
        <v>218</v>
      </c>
      <c r="U60" s="225">
        <v>150</v>
      </c>
      <c r="V60" s="187">
        <v>1000</v>
      </c>
      <c r="W60" s="230">
        <f>IF($A$10&lt;&gt;"NÃO SELECIONADO",U60*V60,0)</f>
        <v>150000</v>
      </c>
    </row>
    <row r="61" spans="1:23" ht="81" customHeight="1">
      <c r="A61" s="744"/>
      <c r="B61" s="776"/>
      <c r="C61" s="754"/>
      <c r="D61" s="189"/>
      <c r="E61" s="326"/>
      <c r="F61" s="231"/>
      <c r="G61" s="230">
        <f>IF($A$10&lt;&gt;"NÃO SELECIONADO",E61*F61,0)</f>
        <v>0</v>
      </c>
      <c r="H61" s="181" t="s">
        <v>214</v>
      </c>
      <c r="I61" s="330">
        <v>300</v>
      </c>
      <c r="J61" s="311">
        <v>800</v>
      </c>
      <c r="K61" s="230">
        <f>IF($A$10&lt;&gt;"NÃO SELECIONADO",I61*J61,0)</f>
        <v>240000</v>
      </c>
      <c r="L61" s="536"/>
      <c r="M61" s="326"/>
      <c r="N61" s="328"/>
      <c r="O61" s="230">
        <f>IF($A$10&lt;&gt;"NÃO SELECIONADO",M61*N61,0)</f>
        <v>0</v>
      </c>
      <c r="P61" s="181" t="s">
        <v>217</v>
      </c>
      <c r="Q61" s="221">
        <v>12000</v>
      </c>
      <c r="R61" s="185">
        <v>5</v>
      </c>
      <c r="S61" s="230">
        <f>IF($A$10&lt;&gt;"NÃO SELECIONADO",Q61*R61,0)</f>
        <v>60000</v>
      </c>
      <c r="T61" s="321" t="s">
        <v>219</v>
      </c>
      <c r="U61" s="221">
        <f>150*3</f>
        <v>450</v>
      </c>
      <c r="V61" s="185">
        <v>250</v>
      </c>
      <c r="W61" s="230">
        <f>IF($A$10&lt;&gt;"NÃO SELECIONADO",U61*V61,0)</f>
        <v>112500</v>
      </c>
    </row>
    <row r="62" spans="1:23" ht="77.25" customHeight="1">
      <c r="A62" s="744"/>
      <c r="B62" s="776"/>
      <c r="C62" s="754"/>
      <c r="D62" s="316"/>
      <c r="E62" s="326"/>
      <c r="F62" s="231"/>
      <c r="G62" s="230">
        <f>IF($A$10&lt;&gt;"NÃO SELECIONADO",E62*F62,0)</f>
        <v>0</v>
      </c>
      <c r="H62" s="189" t="s">
        <v>215</v>
      </c>
      <c r="I62" s="326">
        <v>120</v>
      </c>
      <c r="J62" s="231">
        <v>800</v>
      </c>
      <c r="K62" s="230">
        <f>IF($A$10&lt;&gt;"NÃO SELECIONADO",I62*J62,0)</f>
        <v>96000</v>
      </c>
      <c r="L62" s="189"/>
      <c r="M62" s="326"/>
      <c r="N62" s="328"/>
      <c r="O62" s="230">
        <f>IF($A$10&lt;&gt;"NÃO SELECIONADO",M62*N62,0)</f>
        <v>0</v>
      </c>
      <c r="P62" s="318" t="s">
        <v>222</v>
      </c>
      <c r="Q62" s="221">
        <v>1</v>
      </c>
      <c r="R62" s="185">
        <v>30000</v>
      </c>
      <c r="S62" s="230">
        <f>IF($A$10&lt;&gt;"NÃO SELECIONADO",Q62*R62,0)</f>
        <v>30000</v>
      </c>
      <c r="T62" s="390"/>
      <c r="U62" s="221"/>
      <c r="V62" s="185"/>
      <c r="W62" s="230">
        <f>IF($A$10&lt;&gt;"NÃO SELECIONADO",U62*V62,0)</f>
        <v>0</v>
      </c>
    </row>
    <row r="63" spans="1:23" ht="69.75" customHeight="1">
      <c r="A63" s="744"/>
      <c r="B63" s="776"/>
      <c r="C63" s="754"/>
      <c r="D63" s="316"/>
      <c r="E63" s="326"/>
      <c r="F63" s="231"/>
      <c r="G63" s="230">
        <f>IF($A$10&lt;&gt;"NÃO SELECIONADO",E63*F63,0)</f>
        <v>0</v>
      </c>
      <c r="H63" s="189"/>
      <c r="I63" s="326"/>
      <c r="J63" s="231"/>
      <c r="K63" s="230">
        <f>IF($A$10&lt;&gt;"NÃO SELECIONADO",I63*J63,0)</f>
        <v>0</v>
      </c>
      <c r="L63" s="193"/>
      <c r="M63" s="326"/>
      <c r="N63" s="329"/>
      <c r="O63" s="230">
        <f>IF($A$10&lt;&gt;"NÃO SELECIONADO",M63*N63,0)</f>
        <v>0</v>
      </c>
      <c r="P63" s="191"/>
      <c r="Q63" s="221"/>
      <c r="R63" s="185"/>
      <c r="S63" s="230">
        <f>IF($A$10&lt;&gt;"NÃO SELECIONADO",Q63*R63,0)</f>
        <v>0</v>
      </c>
      <c r="T63" s="321"/>
      <c r="U63" s="221"/>
      <c r="V63" s="185"/>
      <c r="W63" s="230">
        <f>IF($A$10&lt;&gt;"NÃO SELECIONADO",U63*V63,0)</f>
        <v>0</v>
      </c>
    </row>
    <row r="64" spans="1:23" ht="19.5" customHeight="1">
      <c r="A64" s="287">
        <f>K60+K61+K62+S60+S61+S62+W60+W61</f>
        <v>992500</v>
      </c>
      <c r="B64" s="777"/>
      <c r="C64" s="755"/>
      <c r="D64" s="316"/>
      <c r="E64" s="326"/>
      <c r="F64" s="231"/>
      <c r="G64" s="230">
        <f>IF($A$10&lt;&gt;"NÃO SELECIONADO",E64*F64,0)</f>
        <v>0</v>
      </c>
      <c r="H64" s="191"/>
      <c r="I64" s="221"/>
      <c r="J64" s="185"/>
      <c r="K64" s="230">
        <f>IF($A$10&lt;&gt;"NÃO SELECIONADO",I64*J64,0)</f>
        <v>0</v>
      </c>
      <c r="L64" s="193"/>
      <c r="M64" s="221"/>
      <c r="N64" s="185"/>
      <c r="O64" s="230">
        <f>IF($A$10&lt;&gt;"NÃO SELECIONADO",M64*N64,0)</f>
        <v>0</v>
      </c>
      <c r="P64" s="191"/>
      <c r="Q64" s="221"/>
      <c r="R64" s="185"/>
      <c r="S64" s="230">
        <f>IF($A$10&lt;&gt;"NÃO SELECIONADO",Q64*R64,0)</f>
        <v>0</v>
      </c>
      <c r="T64" s="192"/>
      <c r="U64" s="221"/>
      <c r="V64" s="185"/>
      <c r="W64" s="230">
        <f>IF($A$10&lt;&gt;"NÃO SELECIONADO",U64*V64,0)</f>
        <v>0</v>
      </c>
    </row>
    <row r="65" spans="1:23" ht="76.5" customHeight="1">
      <c r="A65" s="744" t="str">
        <f>'3_Comp e Produtos'!A19</f>
        <v>1.13. Plano de Gestão da Mudança desenhado e implementado</v>
      </c>
      <c r="B65" s="758" t="s">
        <v>285</v>
      </c>
      <c r="C65" s="753"/>
      <c r="D65" s="416"/>
      <c r="E65" s="330"/>
      <c r="F65" s="364"/>
      <c r="G65" s="230">
        <f>IF($A$15&lt;&gt;"NÃO SELECIONADO",E65*F65,0)</f>
        <v>0</v>
      </c>
      <c r="H65" s="189" t="s">
        <v>223</v>
      </c>
      <c r="I65" s="330">
        <v>240</v>
      </c>
      <c r="J65" s="353">
        <v>800</v>
      </c>
      <c r="K65" s="230">
        <f>IF($A$15&lt;&gt;"NÃO SELECIONADO",I65*J65,0)</f>
        <v>192000</v>
      </c>
      <c r="L65" s="189"/>
      <c r="M65" s="330"/>
      <c r="N65" s="353"/>
      <c r="O65" s="230">
        <f>IF($A$15&lt;&gt;"NÃO SELECIONADO",M65*N65,0)</f>
        <v>0</v>
      </c>
      <c r="P65" s="417"/>
      <c r="Q65" s="201"/>
      <c r="R65" s="202"/>
      <c r="S65" s="230">
        <f>IF($A$15&lt;&gt;"NÃO SELECIONADO",Q65*R65,0)</f>
        <v>0</v>
      </c>
      <c r="T65" s="418"/>
      <c r="U65" s="222"/>
      <c r="V65" s="477"/>
      <c r="W65" s="230">
        <f>IF($A$15&lt;&gt;"NÃO SELECIONADO",U65*V65,0)</f>
        <v>0</v>
      </c>
    </row>
    <row r="66" spans="1:23" ht="87.75" customHeight="1">
      <c r="A66" s="744"/>
      <c r="B66" s="759"/>
      <c r="C66" s="754"/>
      <c r="D66" s="416"/>
      <c r="E66" s="326"/>
      <c r="F66" s="351"/>
      <c r="G66" s="230">
        <f>IF($A$15&lt;&gt;"NÃO SELECIONADO",E66*F66,0)</f>
        <v>0</v>
      </c>
      <c r="H66" s="203"/>
      <c r="I66" s="196"/>
      <c r="J66" s="204"/>
      <c r="K66" s="230">
        <f>IF($A$15&lt;&gt;"NÃO SELECIONADO",I66*J66,0)</f>
        <v>0</v>
      </c>
      <c r="L66" s="197"/>
      <c r="M66" s="198"/>
      <c r="N66" s="199"/>
      <c r="O66" s="230">
        <f>IF($A$15&lt;&gt;"NÃO SELECIONADO",M66*N66,0)</f>
        <v>0</v>
      </c>
      <c r="P66" s="200"/>
      <c r="Q66" s="201"/>
      <c r="R66" s="202"/>
      <c r="S66" s="230">
        <f>IF($A$15&lt;&gt;"NÃO SELECIONADO",Q66*R66,0)</f>
        <v>0</v>
      </c>
      <c r="T66" s="418"/>
      <c r="U66" s="222"/>
      <c r="V66" s="478"/>
      <c r="W66" s="230">
        <f>IF($A$15&lt;&gt;"NÃO SELECIONADO",U66*V66,0)</f>
        <v>0</v>
      </c>
    </row>
    <row r="67" spans="1:23" ht="77.25" customHeight="1">
      <c r="A67" s="744"/>
      <c r="B67" s="759"/>
      <c r="C67" s="754"/>
      <c r="D67" s="189"/>
      <c r="E67" s="326"/>
      <c r="F67" s="351"/>
      <c r="G67" s="230">
        <f>IF($A$15&lt;&gt;"NÃO SELECIONADO",E67*F67,0)</f>
        <v>0</v>
      </c>
      <c r="H67" s="203"/>
      <c r="I67" s="196"/>
      <c r="J67" s="204"/>
      <c r="K67" s="230">
        <f>IF($A$15&lt;&gt;"NÃO SELECIONADO",I67*J67,0)</f>
        <v>0</v>
      </c>
      <c r="L67" s="197"/>
      <c r="M67" s="198"/>
      <c r="N67" s="199"/>
      <c r="O67" s="230">
        <f>IF($A$15&lt;&gt;"NÃO SELECIONADO",M67*N67,0)</f>
        <v>0</v>
      </c>
      <c r="P67" s="200"/>
      <c r="Q67" s="201"/>
      <c r="R67" s="202"/>
      <c r="S67" s="230">
        <f>IF($A$15&lt;&gt;"NÃO SELECIONADO",Q67*R67,0)</f>
        <v>0</v>
      </c>
      <c r="T67" s="205"/>
      <c r="U67" s="222"/>
      <c r="V67" s="478"/>
      <c r="W67" s="230">
        <f>IF($A$15&lt;&gt;"NÃO SELECIONADO",U67*V67,0)</f>
        <v>0</v>
      </c>
    </row>
    <row r="68" spans="1:23" ht="94.5" customHeight="1">
      <c r="A68" s="744"/>
      <c r="B68" s="759"/>
      <c r="C68" s="754"/>
      <c r="D68" s="324"/>
      <c r="E68" s="326"/>
      <c r="F68" s="351"/>
      <c r="G68" s="230">
        <f>IF($A$15&lt;&gt;"NÃO SELECIONADO",E68*F68,0)</f>
        <v>0</v>
      </c>
      <c r="H68" s="206"/>
      <c r="I68" s="222"/>
      <c r="J68" s="194"/>
      <c r="K68" s="230">
        <f>IF($A$15&lt;&gt;"NÃO SELECIONADO",I68*J68,0)</f>
        <v>0</v>
      </c>
      <c r="L68" s="197"/>
      <c r="M68" s="198"/>
      <c r="N68" s="199"/>
      <c r="O68" s="230">
        <f>IF($A$15&lt;&gt;"NÃO SELECIONADO",M68*N68,0)</f>
        <v>0</v>
      </c>
      <c r="P68" s="207"/>
      <c r="Q68" s="208"/>
      <c r="R68" s="209"/>
      <c r="S68" s="230">
        <f>IF($A$15&lt;&gt;"NÃO SELECIONADO",Q68*R68,0)</f>
        <v>0</v>
      </c>
      <c r="T68" s="205"/>
      <c r="U68" s="222"/>
      <c r="V68" s="478"/>
      <c r="W68" s="230">
        <f>IF($A$15&lt;&gt;"NÃO SELECIONADO",U68*V68,0)</f>
        <v>0</v>
      </c>
    </row>
    <row r="69" spans="1:23" ht="24" customHeight="1" thickBot="1">
      <c r="A69" s="287">
        <f>K65</f>
        <v>192000</v>
      </c>
      <c r="B69" s="760"/>
      <c r="C69" s="755"/>
      <c r="D69" s="324"/>
      <c r="E69" s="326"/>
      <c r="F69" s="351"/>
      <c r="G69" s="230">
        <f>IF($A$15&lt;&gt;"NÃO SELECIONADO",E69*F69,0)</f>
        <v>0</v>
      </c>
      <c r="H69" s="191"/>
      <c r="I69" s="221"/>
      <c r="J69" s="185"/>
      <c r="K69" s="230">
        <f>IF($A$15&lt;&gt;"NÃO SELECIONADO",I69*J69,0)</f>
        <v>0</v>
      </c>
      <c r="L69" s="197"/>
      <c r="M69" s="198"/>
      <c r="N69" s="199"/>
      <c r="O69" s="230">
        <f>IF($A$15&lt;&gt;"NÃO SELECIONADO",M69*N69,0)</f>
        <v>0</v>
      </c>
      <c r="P69" s="193"/>
      <c r="Q69" s="221"/>
      <c r="R69" s="185"/>
      <c r="S69" s="230">
        <f>IF($A$15&lt;&gt;"NÃO SELECIONADO",Q69*R69,0)</f>
        <v>0</v>
      </c>
      <c r="T69" s="205"/>
      <c r="U69" s="222"/>
      <c r="V69" s="478"/>
      <c r="W69" s="230">
        <f>IF($A$15&lt;&gt;"NÃO SELECIONADO",U69*V69,0)</f>
        <v>0</v>
      </c>
    </row>
    <row r="70" spans="1:23" s="288" customFormat="1" ht="13.5" thickBot="1">
      <c r="A70" s="211" t="s">
        <v>16</v>
      </c>
      <c r="B70" s="544">
        <f>A69+A64+A59+A54+A49+A44+A39+A34+A29+A24+A19+A14+A9</f>
        <v>7080950</v>
      </c>
      <c r="C70" s="212"/>
      <c r="D70" s="213"/>
      <c r="E70" s="224"/>
      <c r="F70" s="214"/>
      <c r="G70" s="310">
        <f>SUM(G5:G69)</f>
        <v>808000</v>
      </c>
      <c r="H70" s="215"/>
      <c r="I70" s="224"/>
      <c r="J70" s="214"/>
      <c r="K70" s="310">
        <f>SUM(K5:K69)</f>
        <v>2712000</v>
      </c>
      <c r="L70" s="216"/>
      <c r="M70" s="224"/>
      <c r="N70" s="214"/>
      <c r="O70" s="310">
        <f>SUM(O5:O69)</f>
        <v>1550000</v>
      </c>
      <c r="P70" s="215"/>
      <c r="Q70" s="224"/>
      <c r="R70" s="214"/>
      <c r="S70" s="310">
        <f>SUM(S5:S69)</f>
        <v>1082200</v>
      </c>
      <c r="T70" s="215"/>
      <c r="U70" s="224"/>
      <c r="V70" s="214"/>
      <c r="W70" s="310">
        <f>SUM(W5:W69)</f>
        <v>928750</v>
      </c>
    </row>
    <row r="73" spans="1:23">
      <c r="T73" s="217"/>
    </row>
    <row r="76" spans="1:23">
      <c r="H76" s="217"/>
    </row>
    <row r="79" spans="1:23">
      <c r="G79" s="217"/>
    </row>
    <row r="80" spans="1:23">
      <c r="G80" s="217"/>
      <c r="H80" s="217"/>
    </row>
  </sheetData>
  <mergeCells count="53">
    <mergeCell ref="A60:A63"/>
    <mergeCell ref="A50:A53"/>
    <mergeCell ref="A55:A58"/>
    <mergeCell ref="C45:C49"/>
    <mergeCell ref="B40:B44"/>
    <mergeCell ref="B50:B54"/>
    <mergeCell ref="C50:C54"/>
    <mergeCell ref="B55:B59"/>
    <mergeCell ref="C55:C59"/>
    <mergeCell ref="B60:B64"/>
    <mergeCell ref="C60:C64"/>
    <mergeCell ref="A5:A8"/>
    <mergeCell ref="C20:C24"/>
    <mergeCell ref="A2:B2"/>
    <mergeCell ref="A3:A4"/>
    <mergeCell ref="B3:B4"/>
    <mergeCell ref="C3:C4"/>
    <mergeCell ref="B5:B9"/>
    <mergeCell ref="C5:C9"/>
    <mergeCell ref="A15:A18"/>
    <mergeCell ref="A10:A13"/>
    <mergeCell ref="B10:B14"/>
    <mergeCell ref="A20:A23"/>
    <mergeCell ref="B35:B39"/>
    <mergeCell ref="C35:C39"/>
    <mergeCell ref="C10:C14"/>
    <mergeCell ref="B15:B19"/>
    <mergeCell ref="C15:C19"/>
    <mergeCell ref="C30:C34"/>
    <mergeCell ref="B20:B24"/>
    <mergeCell ref="A65:A68"/>
    <mergeCell ref="H3:I3"/>
    <mergeCell ref="D3:E3"/>
    <mergeCell ref="F3:G3"/>
    <mergeCell ref="C25:C29"/>
    <mergeCell ref="C65:C69"/>
    <mergeCell ref="C40:C44"/>
    <mergeCell ref="A30:A33"/>
    <mergeCell ref="B30:B34"/>
    <mergeCell ref="B65:B69"/>
    <mergeCell ref="A40:A43"/>
    <mergeCell ref="A25:A28"/>
    <mergeCell ref="B25:B29"/>
    <mergeCell ref="B45:B49"/>
    <mergeCell ref="A35:A38"/>
    <mergeCell ref="A45:A48"/>
    <mergeCell ref="V3:W3"/>
    <mergeCell ref="L3:M3"/>
    <mergeCell ref="P3:Q3"/>
    <mergeCell ref="J3:K3"/>
    <mergeCell ref="N3:O3"/>
    <mergeCell ref="T3:U3"/>
    <mergeCell ref="R3:S3"/>
  </mergeCells>
  <phoneticPr fontId="0" type="noConversion"/>
  <printOptions verticalCentered="1"/>
  <pageMargins left="0.39370078740157483" right="0.39370078740157483" top="0.78740157480314965" bottom="0.59055118110236227" header="0.31496062992125984" footer="0.31496062992125984"/>
  <pageSetup paperSize="9" scale="75" firstPageNumber="0" orientation="landscape" r:id="rId1"/>
  <headerFooter>
    <oddHeader>&amp;LBID Modernização da AGU&amp;C
&amp;"Arial,Negrito"PLANO DE AÇÃO E DE INVESTIMENTOS - PAI</oddHeader>
    <oddFooter>&amp;L&amp;D&amp;C&amp;A&amp;R&amp;P / &amp;N</oddFooter>
  </headerFooter>
  <colBreaks count="2" manualBreakCount="2">
    <brk id="7" max="1048575" man="1"/>
    <brk id="15" max="1048575" man="1"/>
  </colBreaks>
  <legacyDrawing r:id="rId2"/>
</worksheet>
</file>

<file path=xl/worksheets/sheet5.xml><?xml version="1.0" encoding="utf-8"?>
<worksheet xmlns="http://schemas.openxmlformats.org/spreadsheetml/2006/main" xmlns:r="http://schemas.openxmlformats.org/officeDocument/2006/relationships">
  <dimension ref="A1:BG102"/>
  <sheetViews>
    <sheetView showGridLines="0" zoomScale="85" zoomScaleNormal="85" zoomScaleSheetLayoutView="85" workbookViewId="0">
      <pane xSplit="2" ySplit="4" topLeftCell="C22" activePane="bottomRight" state="frozen"/>
      <selection activeCell="B31" sqref="B31:H35"/>
      <selection pane="topRight" activeCell="B31" sqref="B31:H35"/>
      <selection pane="bottomLeft" activeCell="B31" sqref="B31:H35"/>
      <selection pane="bottomRight" activeCell="A24" sqref="A24"/>
    </sheetView>
  </sheetViews>
  <sheetFormatPr defaultColWidth="9.140625" defaultRowHeight="12.75"/>
  <cols>
    <col min="1" max="1" width="30.7109375" style="217" customWidth="1"/>
    <col min="2" max="2" width="42.7109375" style="169" customWidth="1"/>
    <col min="3" max="3" width="35.42578125" style="169" customWidth="1"/>
    <col min="4" max="4" width="27.5703125" style="169" customWidth="1"/>
    <col min="5" max="5" width="10.7109375" style="219" customWidth="1"/>
    <col min="6" max="6" width="10.7109375" style="218" customWidth="1"/>
    <col min="7" max="7" width="12.7109375" style="169" customWidth="1"/>
    <col min="8" max="8" width="26.85546875" style="169" customWidth="1"/>
    <col min="9" max="9" width="8" style="219" customWidth="1"/>
    <col min="10" max="10" width="8.140625" style="218" bestFit="1" customWidth="1"/>
    <col min="11" max="11" width="14.140625" style="169" customWidth="1"/>
    <col min="12" max="12" width="26.85546875" style="174" customWidth="1"/>
    <col min="13" max="13" width="8.42578125" style="219" customWidth="1"/>
    <col min="14" max="14" width="10.7109375" style="218" customWidth="1"/>
    <col min="15" max="15" width="12.7109375" style="94" customWidth="1"/>
    <col min="16" max="16" width="26.42578125" style="169" customWidth="1"/>
    <col min="17" max="17" width="7.5703125" style="219" bestFit="1" customWidth="1"/>
    <col min="18" max="18" width="10.7109375" style="218" customWidth="1"/>
    <col min="19" max="19" width="11.5703125" style="94" bestFit="1" customWidth="1"/>
    <col min="20" max="20" width="26.42578125" style="169" customWidth="1"/>
    <col min="21" max="21" width="6.7109375" style="219" customWidth="1"/>
    <col min="22" max="22" width="10.7109375" style="218" customWidth="1"/>
    <col min="23" max="23" width="13.42578125" style="94" customWidth="1"/>
    <col min="24" max="16384" width="9.140625" style="169"/>
  </cols>
  <sheetData>
    <row r="1" spans="1:59" ht="13.5" thickBot="1">
      <c r="A1" s="161" t="s">
        <v>85</v>
      </c>
      <c r="B1" s="162"/>
      <c r="C1" s="163"/>
      <c r="D1" s="163"/>
      <c r="E1" s="166"/>
      <c r="F1" s="164"/>
      <c r="G1" s="165"/>
      <c r="H1" s="165"/>
      <c r="I1" s="166"/>
      <c r="J1" s="167"/>
      <c r="K1" s="165"/>
      <c r="L1" s="168"/>
      <c r="M1" s="166"/>
      <c r="N1" s="167"/>
      <c r="O1" s="27"/>
      <c r="P1" s="165"/>
      <c r="Q1" s="166"/>
      <c r="R1" s="167"/>
      <c r="S1" s="27"/>
      <c r="T1" s="165"/>
      <c r="U1" s="166"/>
      <c r="V1" s="167"/>
      <c r="W1" s="27"/>
    </row>
    <row r="2" spans="1:59" s="174" customFormat="1" ht="13.5" thickBot="1">
      <c r="A2" s="766" t="str">
        <f>'3_Comp e Produtos'!A17</f>
        <v>1.11. Política de comunicação das mudanças aos cidadãos, sobre as ações previstas no Projeto, desenhada e implementada</v>
      </c>
      <c r="B2" s="766"/>
      <c r="C2" s="170"/>
      <c r="D2" s="170"/>
      <c r="E2" s="172"/>
      <c r="F2" s="171"/>
      <c r="G2" s="170"/>
      <c r="H2" s="170"/>
      <c r="I2" s="172"/>
      <c r="J2" s="171"/>
      <c r="K2" s="170"/>
      <c r="L2" s="170"/>
      <c r="M2" s="172"/>
      <c r="N2" s="171"/>
      <c r="O2" s="88"/>
      <c r="P2" s="170"/>
      <c r="Q2" s="172"/>
      <c r="R2" s="171"/>
      <c r="S2" s="88"/>
      <c r="T2" s="299"/>
      <c r="U2" s="300"/>
      <c r="V2" s="301"/>
      <c r="W2" s="302"/>
      <c r="X2" s="173"/>
      <c r="Y2" s="173"/>
      <c r="Z2" s="173"/>
      <c r="AA2" s="173"/>
      <c r="AB2" s="173"/>
      <c r="AC2" s="173"/>
      <c r="AD2" s="173"/>
      <c r="AE2" s="173"/>
      <c r="AF2" s="173"/>
      <c r="AG2" s="173"/>
      <c r="AH2" s="173"/>
      <c r="AI2" s="173"/>
      <c r="AJ2" s="173"/>
      <c r="AK2" s="173"/>
      <c r="AL2" s="173"/>
      <c r="AM2" s="173"/>
      <c r="AN2" s="173"/>
      <c r="AO2" s="173"/>
      <c r="AP2" s="173"/>
      <c r="AQ2" s="173"/>
      <c r="AR2" s="173"/>
      <c r="AS2" s="173"/>
      <c r="AT2" s="173"/>
      <c r="AU2" s="173"/>
      <c r="AV2" s="173"/>
      <c r="AW2" s="173"/>
      <c r="AX2" s="173"/>
      <c r="AY2" s="173"/>
      <c r="AZ2" s="173"/>
      <c r="BA2" s="173"/>
      <c r="BB2" s="173"/>
      <c r="BC2" s="173"/>
      <c r="BD2" s="173"/>
      <c r="BE2" s="173"/>
      <c r="BF2" s="173"/>
      <c r="BG2" s="173"/>
    </row>
    <row r="3" spans="1:59" s="388" customFormat="1" ht="13.5" thickBot="1">
      <c r="A3" s="767" t="s">
        <v>3</v>
      </c>
      <c r="B3" s="768" t="s">
        <v>4</v>
      </c>
      <c r="C3" s="769" t="s">
        <v>5</v>
      </c>
      <c r="D3" s="733" t="s">
        <v>6</v>
      </c>
      <c r="E3" s="747"/>
      <c r="F3" s="748" t="s">
        <v>7</v>
      </c>
      <c r="G3" s="749"/>
      <c r="H3" s="745" t="s">
        <v>8</v>
      </c>
      <c r="I3" s="746"/>
      <c r="J3" s="737" t="s">
        <v>7</v>
      </c>
      <c r="K3" s="738"/>
      <c r="L3" s="733" t="s">
        <v>9</v>
      </c>
      <c r="M3" s="734"/>
      <c r="N3" s="739" t="s">
        <v>7</v>
      </c>
      <c r="O3" s="740"/>
      <c r="P3" s="735" t="s">
        <v>81</v>
      </c>
      <c r="Q3" s="736"/>
      <c r="R3" s="737" t="s">
        <v>7</v>
      </c>
      <c r="S3" s="743"/>
      <c r="T3" s="741" t="s">
        <v>82</v>
      </c>
      <c r="U3" s="742"/>
      <c r="V3" s="731" t="s">
        <v>7</v>
      </c>
      <c r="W3" s="732"/>
    </row>
    <row r="4" spans="1:59" ht="13.5" thickBot="1">
      <c r="A4" s="767"/>
      <c r="B4" s="768"/>
      <c r="C4" s="769"/>
      <c r="D4" s="175" t="s">
        <v>10</v>
      </c>
      <c r="E4" s="176" t="s">
        <v>11</v>
      </c>
      <c r="F4" s="176" t="s">
        <v>0</v>
      </c>
      <c r="G4" s="177" t="s">
        <v>62</v>
      </c>
      <c r="H4" s="178" t="s">
        <v>12</v>
      </c>
      <c r="I4" s="179" t="s">
        <v>1</v>
      </c>
      <c r="J4" s="179" t="s">
        <v>0</v>
      </c>
      <c r="K4" s="180" t="s">
        <v>62</v>
      </c>
      <c r="L4" s="175" t="s">
        <v>13</v>
      </c>
      <c r="M4" s="176" t="s">
        <v>14</v>
      </c>
      <c r="N4" s="176" t="s">
        <v>0</v>
      </c>
      <c r="O4" s="177" t="s">
        <v>62</v>
      </c>
      <c r="P4" s="178" t="s">
        <v>13</v>
      </c>
      <c r="Q4" s="179" t="s">
        <v>14</v>
      </c>
      <c r="R4" s="179" t="s">
        <v>0</v>
      </c>
      <c r="S4" s="180" t="s">
        <v>62</v>
      </c>
      <c r="T4" s="296" t="s">
        <v>15</v>
      </c>
      <c r="U4" s="297" t="s">
        <v>14</v>
      </c>
      <c r="V4" s="297" t="s">
        <v>0</v>
      </c>
      <c r="W4" s="298" t="s">
        <v>62</v>
      </c>
    </row>
    <row r="5" spans="1:59" ht="89.25" customHeight="1" thickBot="1">
      <c r="A5" s="765" t="str">
        <f>'3_Comp e Produtos'!A21</f>
        <v>2.1. Fluxos de trabalho Contenciosos da Administração Direta modelados e implantados</v>
      </c>
      <c r="B5" s="758" t="s">
        <v>295</v>
      </c>
      <c r="C5" s="754"/>
      <c r="D5" s="181"/>
      <c r="E5" s="330"/>
      <c r="F5" s="231"/>
      <c r="G5" s="229">
        <f>IF($A$5&lt;&gt;"NÃO SELECIONADO",E5*F5,0)</f>
        <v>0</v>
      </c>
      <c r="H5" s="181" t="s">
        <v>164</v>
      </c>
      <c r="I5" s="330">
        <f>8*360</f>
        <v>2880</v>
      </c>
      <c r="J5" s="311">
        <v>800</v>
      </c>
      <c r="K5" s="229">
        <f>IF($A$5&lt;&gt;"NÃO SELECIONADO",I5*J5,0)</f>
        <v>2304000</v>
      </c>
      <c r="L5" s="183"/>
      <c r="M5" s="223"/>
      <c r="N5" s="184"/>
      <c r="O5" s="229">
        <f>IF($A$5&lt;&gt;"NÃO SELECIONADO",M5*N5,0)</f>
        <v>0</v>
      </c>
      <c r="P5" s="181"/>
      <c r="Q5" s="225"/>
      <c r="R5" s="389"/>
      <c r="S5" s="229">
        <f>IF($A$5&lt;&gt;"NÃO SELECIONADO",Q5*R5,0)</f>
        <v>0</v>
      </c>
      <c r="T5" s="390" t="s">
        <v>159</v>
      </c>
      <c r="U5" s="225">
        <f>3*8</f>
        <v>24</v>
      </c>
      <c r="V5" s="187">
        <v>1000</v>
      </c>
      <c r="W5" s="229">
        <f>IF($A$5&lt;&gt;"NÃO SELECIONADO",U5*V5,0)</f>
        <v>24000</v>
      </c>
    </row>
    <row r="6" spans="1:59" ht="89.25" customHeight="1" thickBot="1">
      <c r="A6" s="765"/>
      <c r="B6" s="759"/>
      <c r="C6" s="754"/>
      <c r="D6" s="189"/>
      <c r="E6" s="330"/>
      <c r="F6" s="231"/>
      <c r="G6" s="229">
        <f>IF($A$5&lt;&gt;"NÃO SELECIONADO",E6*F6,0)</f>
        <v>0</v>
      </c>
      <c r="H6" s="181" t="s">
        <v>163</v>
      </c>
      <c r="I6" s="330">
        <f>3*60*4</f>
        <v>720</v>
      </c>
      <c r="J6" s="311">
        <v>800</v>
      </c>
      <c r="K6" s="229">
        <f>IF($A$5&lt;&gt;"NÃO SELECIONADO",I6*J6,0)</f>
        <v>576000</v>
      </c>
      <c r="L6" s="190"/>
      <c r="M6" s="221"/>
      <c r="N6" s="185"/>
      <c r="O6" s="229">
        <f>IF($A$5&lt;&gt;"NÃO SELECIONADO",M6*N6,0)</f>
        <v>0</v>
      </c>
      <c r="P6" s="191"/>
      <c r="Q6" s="221"/>
      <c r="R6" s="185"/>
      <c r="S6" s="229">
        <f>IF($A$5&lt;&gt;"NÃO SELECIONADO",Q6*R6,0)</f>
        <v>0</v>
      </c>
      <c r="T6" s="321" t="s">
        <v>160</v>
      </c>
      <c r="U6" s="221">
        <f>24*5</f>
        <v>120</v>
      </c>
      <c r="V6" s="185">
        <v>250</v>
      </c>
      <c r="W6" s="229">
        <f>IF($A$5&lt;&gt;"NÃO SELECIONADO",U6*V6,0)</f>
        <v>30000</v>
      </c>
    </row>
    <row r="7" spans="1:59" ht="89.25" customHeight="1" thickBot="1">
      <c r="A7" s="765"/>
      <c r="B7" s="759"/>
      <c r="C7" s="754"/>
      <c r="D7" s="189"/>
      <c r="E7" s="330"/>
      <c r="F7" s="231"/>
      <c r="G7" s="229">
        <f>IF($A$5&lt;&gt;"NÃO SELECIONADO",E7*F7,0)</f>
        <v>0</v>
      </c>
      <c r="H7" s="193"/>
      <c r="I7" s="326"/>
      <c r="J7" s="231"/>
      <c r="K7" s="229">
        <f>IF($A$5&lt;&gt;"NÃO SELECIONADO",I7*J7,0)</f>
        <v>0</v>
      </c>
      <c r="L7" s="190"/>
      <c r="M7" s="221"/>
      <c r="N7" s="185"/>
      <c r="O7" s="229">
        <f>IF($A$5&lt;&gt;"NÃO SELECIONADO",M7*N7,0)</f>
        <v>0</v>
      </c>
      <c r="P7" s="191"/>
      <c r="Q7" s="221"/>
      <c r="R7" s="185"/>
      <c r="S7" s="229">
        <f>IF($A$5&lt;&gt;"NÃO SELECIONADO",Q7*R7,0)</f>
        <v>0</v>
      </c>
      <c r="T7" s="390" t="s">
        <v>161</v>
      </c>
      <c r="U7" s="225">
        <f>2*85</f>
        <v>170</v>
      </c>
      <c r="V7" s="187">
        <v>1000</v>
      </c>
      <c r="W7" s="229">
        <f>IF($A$5&lt;&gt;"NÃO SELECIONADO",U7*V7,0)</f>
        <v>170000</v>
      </c>
    </row>
    <row r="8" spans="1:59" ht="122.25" customHeight="1">
      <c r="A8" s="765"/>
      <c r="B8" s="759"/>
      <c r="C8" s="754"/>
      <c r="D8" s="324"/>
      <c r="E8" s="326"/>
      <c r="F8" s="231"/>
      <c r="G8" s="229">
        <f>IF($A$5&lt;&gt;"NÃO SELECIONADO",E8*F8,0)</f>
        <v>0</v>
      </c>
      <c r="H8" s="193"/>
      <c r="I8" s="326"/>
      <c r="J8" s="231"/>
      <c r="K8" s="229">
        <f>IF($A$5&lt;&gt;"NÃO SELECIONADO",I8*J8,0)</f>
        <v>0</v>
      </c>
      <c r="L8" s="190"/>
      <c r="M8" s="221"/>
      <c r="N8" s="185"/>
      <c r="O8" s="229">
        <f>IF($A$5&lt;&gt;"NÃO SELECIONADO",M8*N8,0)</f>
        <v>0</v>
      </c>
      <c r="P8" s="191"/>
      <c r="Q8" s="221"/>
      <c r="R8" s="185"/>
      <c r="S8" s="229">
        <f>IF($A$5&lt;&gt;"NÃO SELECIONADO",Q8*R8,0)</f>
        <v>0</v>
      </c>
      <c r="T8" s="321" t="s">
        <v>162</v>
      </c>
      <c r="U8" s="221">
        <f>170*5</f>
        <v>850</v>
      </c>
      <c r="V8" s="185">
        <v>250</v>
      </c>
      <c r="W8" s="229">
        <f>IF($A$5&lt;&gt;"NÃO SELECIONADO",U8*V8,0)</f>
        <v>212500</v>
      </c>
    </row>
    <row r="9" spans="1:59">
      <c r="A9" s="317">
        <f>IF(A5&lt;&gt;"NÃO SELECIONADO",SUM(G5:G9)+SUM(K5:K9)+SUM(O5:O9)+SUM(S5:S9)+SUM(W5:W9),0)</f>
        <v>3316500</v>
      </c>
      <c r="B9" s="760"/>
      <c r="C9" s="755"/>
      <c r="D9" s="363"/>
      <c r="E9" s="326"/>
      <c r="F9" s="231"/>
      <c r="G9" s="229">
        <f>IF($A$5&lt;&gt;"NÃO SELECIONADO",E9*F9,0)</f>
        <v>0</v>
      </c>
      <c r="H9" s="193"/>
      <c r="I9" s="326"/>
      <c r="J9" s="231"/>
      <c r="K9" s="229">
        <f>IF($A$5&lt;&gt;"NÃO SELECIONADO",I9*J9,0)</f>
        <v>0</v>
      </c>
      <c r="L9" s="190"/>
      <c r="M9" s="221"/>
      <c r="N9" s="185"/>
      <c r="O9" s="229">
        <f>IF($A$5&lt;&gt;"NÃO SELECIONADO",M9*N9,0)</f>
        <v>0</v>
      </c>
      <c r="P9" s="191"/>
      <c r="Q9" s="221"/>
      <c r="R9" s="185"/>
      <c r="S9" s="229">
        <f>IF($A$5&lt;&gt;"NÃO SELECIONADO",Q9*R9,0)</f>
        <v>0</v>
      </c>
      <c r="T9" s="192"/>
      <c r="U9" s="221"/>
      <c r="V9" s="185"/>
      <c r="W9" s="229">
        <f>IF($A$5&lt;&gt;"NÃO SELECIONADO",U9*V9,0)</f>
        <v>0</v>
      </c>
    </row>
    <row r="10" spans="1:59" ht="72.75" customHeight="1">
      <c r="A10" s="781" t="str">
        <f>'3_Comp e Produtos'!A22</f>
        <v>2.2. Fluxos de trabalho de Consultoria e Assessoramento Jurídicos na Administração Direta modelados e implantados</v>
      </c>
      <c r="B10" s="789" t="s">
        <v>296</v>
      </c>
      <c r="C10" s="754"/>
      <c r="D10" s="416"/>
      <c r="E10" s="326"/>
      <c r="F10" s="231"/>
      <c r="G10" s="230">
        <f>IF($A$10&lt;&gt;"NÃO SELECIONADO",E10*F10,0)</f>
        <v>0</v>
      </c>
      <c r="H10" s="183" t="s">
        <v>164</v>
      </c>
      <c r="I10" s="330">
        <f>8*360</f>
        <v>2880</v>
      </c>
      <c r="J10" s="311">
        <v>800</v>
      </c>
      <c r="K10" s="230">
        <f>IF($A$10&lt;&gt;"NÃO SELECIONADO",I10*J10,0)</f>
        <v>2304000</v>
      </c>
      <c r="L10" s="416"/>
      <c r="M10" s="326"/>
      <c r="N10" s="328"/>
      <c r="O10" s="230">
        <f>IF($A$10&lt;&gt;"NÃO SELECIONADO",M10*N10,0)</f>
        <v>0</v>
      </c>
      <c r="P10" s="191"/>
      <c r="Q10" s="221"/>
      <c r="R10" s="185"/>
      <c r="S10" s="230">
        <f>IF($A$10&lt;&gt;"NÃO SELECIONADO",Q10*R10,0)</f>
        <v>0</v>
      </c>
      <c r="T10" s="390" t="s">
        <v>153</v>
      </c>
      <c r="U10" s="225">
        <v>9</v>
      </c>
      <c r="V10" s="187">
        <v>1000</v>
      </c>
      <c r="W10" s="230">
        <f>IF($A$10&lt;&gt;"NÃO SELECIONADO",U10*V10,0)</f>
        <v>9000</v>
      </c>
    </row>
    <row r="11" spans="1:59" ht="72.75" customHeight="1">
      <c r="A11" s="782"/>
      <c r="B11" s="790"/>
      <c r="C11" s="754"/>
      <c r="D11" s="189"/>
      <c r="E11" s="326"/>
      <c r="F11" s="231"/>
      <c r="G11" s="230">
        <f>IF($A$10&lt;&gt;"NÃO SELECIONADO",E11*F11,0)</f>
        <v>0</v>
      </c>
      <c r="H11" s="181" t="s">
        <v>163</v>
      </c>
      <c r="I11" s="330">
        <f>3*60*4</f>
        <v>720</v>
      </c>
      <c r="J11" s="311">
        <v>800</v>
      </c>
      <c r="K11" s="230">
        <f>IF($A$10&lt;&gt;"NÃO SELECIONADO",I11*J11,0)</f>
        <v>576000</v>
      </c>
      <c r="L11" s="416"/>
      <c r="M11" s="326"/>
      <c r="N11" s="328"/>
      <c r="O11" s="230">
        <f>IF($A$10&lt;&gt;"NÃO SELECIONADO",M11*N11,0)</f>
        <v>0</v>
      </c>
      <c r="P11" s="191"/>
      <c r="Q11" s="221"/>
      <c r="R11" s="185"/>
      <c r="S11" s="230">
        <f>IF($A$10&lt;&gt;"NÃO SELECIONADO",Q11*R11,0)</f>
        <v>0</v>
      </c>
      <c r="T11" s="321" t="s">
        <v>154</v>
      </c>
      <c r="U11" s="221">
        <v>45</v>
      </c>
      <c r="V11" s="185">
        <v>250</v>
      </c>
      <c r="W11" s="230">
        <f>IF($A$10&lt;&gt;"NÃO SELECIONADO",U11*V11,0)</f>
        <v>11250</v>
      </c>
    </row>
    <row r="12" spans="1:59" ht="72.75" customHeight="1">
      <c r="A12" s="782"/>
      <c r="B12" s="790"/>
      <c r="C12" s="754"/>
      <c r="D12" s="316"/>
      <c r="E12" s="326"/>
      <c r="F12" s="231"/>
      <c r="G12" s="230">
        <f>IF($A$10&lt;&gt;"NÃO SELECIONADO",E12*F12,0)</f>
        <v>0</v>
      </c>
      <c r="H12" s="195"/>
      <c r="I12" s="196"/>
      <c r="J12" s="194"/>
      <c r="K12" s="230">
        <f>IF($A$10&lt;&gt;"NÃO SELECIONADO",I12*J12,0)</f>
        <v>0</v>
      </c>
      <c r="L12" s="189"/>
      <c r="M12" s="326"/>
      <c r="N12" s="328"/>
      <c r="O12" s="230">
        <f>IF($A$10&lt;&gt;"NÃO SELECIONADO",M12*N12,0)</f>
        <v>0</v>
      </c>
      <c r="P12" s="191"/>
      <c r="Q12" s="221"/>
      <c r="R12" s="185"/>
      <c r="S12" s="230">
        <f>IF($A$10&lt;&gt;"NÃO SELECIONADO",Q12*R12,0)</f>
        <v>0</v>
      </c>
      <c r="T12" s="390" t="s">
        <v>165</v>
      </c>
      <c r="U12" s="225">
        <f>2*27</f>
        <v>54</v>
      </c>
      <c r="V12" s="187">
        <v>1000</v>
      </c>
      <c r="W12" s="230">
        <f>IF($A$10&lt;&gt;"NÃO SELECIONADO",U12*V12,0)</f>
        <v>54000</v>
      </c>
    </row>
    <row r="13" spans="1:59" ht="98.25" customHeight="1">
      <c r="A13" s="782"/>
      <c r="B13" s="790"/>
      <c r="C13" s="754"/>
      <c r="D13" s="316"/>
      <c r="E13" s="326"/>
      <c r="F13" s="231"/>
      <c r="G13" s="230">
        <f>IF($A$10&lt;&gt;"NÃO SELECIONADO",E13*F13,0)</f>
        <v>0</v>
      </c>
      <c r="H13" s="191"/>
      <c r="I13" s="221"/>
      <c r="J13" s="185"/>
      <c r="K13" s="230">
        <f>IF($A$10&lt;&gt;"NÃO SELECIONADO",I13*J13,0)</f>
        <v>0</v>
      </c>
      <c r="L13" s="193"/>
      <c r="M13" s="326"/>
      <c r="N13" s="329"/>
      <c r="O13" s="230">
        <f>IF($A$10&lt;&gt;"NÃO SELECIONADO",M13*N13,0)</f>
        <v>0</v>
      </c>
      <c r="P13" s="191"/>
      <c r="Q13" s="221"/>
      <c r="R13" s="185"/>
      <c r="S13" s="230">
        <f>IF($A$10&lt;&gt;"NÃO SELECIONADO",Q13*R13,0)</f>
        <v>0</v>
      </c>
      <c r="T13" s="321" t="s">
        <v>166</v>
      </c>
      <c r="U13" s="221">
        <f>54*5</f>
        <v>270</v>
      </c>
      <c r="V13" s="185">
        <v>250</v>
      </c>
      <c r="W13" s="230">
        <f>IF($A$10&lt;&gt;"NÃO SELECIONADO",U13*V13,0)</f>
        <v>67500</v>
      </c>
    </row>
    <row r="14" spans="1:59">
      <c r="A14" s="317">
        <f>IF(A10&lt;&gt;"NÃO SELECIONADO",SUM(G10:G14)+SUM(K10:K14)+SUM(O10:O14)+SUM(S10:S14)+SUM(W10:W14),0)</f>
        <v>3021750</v>
      </c>
      <c r="B14" s="791"/>
      <c r="C14" s="755"/>
      <c r="D14" s="316"/>
      <c r="E14" s="326"/>
      <c r="F14" s="231"/>
      <c r="G14" s="230">
        <f>IF($A$10&lt;&gt;"NÃO SELECIONADO",E14*F14,0)</f>
        <v>0</v>
      </c>
      <c r="H14" s="191"/>
      <c r="I14" s="221"/>
      <c r="J14" s="185"/>
      <c r="K14" s="230">
        <f>IF($A$10&lt;&gt;"NÃO SELECIONADO",I14*J14,0)</f>
        <v>0</v>
      </c>
      <c r="L14" s="193"/>
      <c r="M14" s="221"/>
      <c r="N14" s="185"/>
      <c r="O14" s="230">
        <f>IF($A$10&lt;&gt;"NÃO SELECIONADO",M14*N14,0)</f>
        <v>0</v>
      </c>
      <c r="P14" s="191"/>
      <c r="Q14" s="221"/>
      <c r="R14" s="185"/>
      <c r="S14" s="230">
        <f>IF($A$10&lt;&gt;"NÃO SELECIONADO",Q14*R14,0)</f>
        <v>0</v>
      </c>
      <c r="T14" s="192"/>
      <c r="U14" s="221"/>
      <c r="V14" s="185"/>
      <c r="W14" s="230">
        <f>IF($A$10&lt;&gt;"NÃO SELECIONADO",U14*V14,0)</f>
        <v>0</v>
      </c>
    </row>
    <row r="15" spans="1:59" ht="51">
      <c r="A15" s="770" t="str">
        <f>'3_Comp e Produtos'!A24</f>
        <v>2.3. Plano de estratégias de prevenção abrangente a todos os órgãos da Administração Direta</v>
      </c>
      <c r="B15" s="758" t="s">
        <v>273</v>
      </c>
      <c r="C15" s="753"/>
      <c r="D15" s="536" t="s">
        <v>156</v>
      </c>
      <c r="E15" s="330">
        <v>150</v>
      </c>
      <c r="F15" s="364">
        <v>1000</v>
      </c>
      <c r="G15" s="230">
        <f>IF($A$15&lt;&gt;"NÃO SELECIONADO",E15*F15,0)</f>
        <v>150000</v>
      </c>
      <c r="H15" s="181" t="s">
        <v>155</v>
      </c>
      <c r="I15" s="330">
        <f>3*120</f>
        <v>360</v>
      </c>
      <c r="J15" s="353">
        <v>800</v>
      </c>
      <c r="K15" s="230">
        <f>IF($A$15&lt;&gt;"NÃO SELECIONADO",I15*J15,0)</f>
        <v>288000</v>
      </c>
      <c r="L15" s="189"/>
      <c r="M15" s="330"/>
      <c r="N15" s="353"/>
      <c r="O15" s="230">
        <f>IF($A$15&lt;&gt;"NÃO SELECIONADO",M15*N15,0)</f>
        <v>0</v>
      </c>
      <c r="P15" s="417"/>
      <c r="Q15" s="201"/>
      <c r="R15" s="202"/>
      <c r="S15" s="230">
        <f>IF($A$15&lt;&gt;"NÃO SELECIONADO",Q15*R15,0)</f>
        <v>0</v>
      </c>
      <c r="T15" s="545" t="s">
        <v>157</v>
      </c>
      <c r="U15" s="222">
        <v>50</v>
      </c>
      <c r="V15" s="477">
        <v>1000</v>
      </c>
      <c r="W15" s="230">
        <f>IF($A$15&lt;&gt;"NÃO SELECIONADO",U15*V15,0)</f>
        <v>50000</v>
      </c>
    </row>
    <row r="16" spans="1:59" ht="22.5" customHeight="1">
      <c r="A16" s="792"/>
      <c r="B16" s="759"/>
      <c r="C16" s="754"/>
      <c r="D16" s="416"/>
      <c r="E16" s="326"/>
      <c r="F16" s="351"/>
      <c r="G16" s="230">
        <f>IF($A$15&lt;&gt;"NÃO SELECIONADO",E16*F16,0)</f>
        <v>0</v>
      </c>
      <c r="H16" s="203"/>
      <c r="I16" s="196"/>
      <c r="J16" s="204"/>
      <c r="K16" s="230">
        <f>IF($A$15&lt;&gt;"NÃO SELECIONADO",I16*J16,0)</f>
        <v>0</v>
      </c>
      <c r="L16" s="197"/>
      <c r="M16" s="198"/>
      <c r="N16" s="199"/>
      <c r="O16" s="230">
        <f>IF($A$15&lt;&gt;"NÃO SELECIONADO",M16*N16,0)</f>
        <v>0</v>
      </c>
      <c r="P16" s="200"/>
      <c r="Q16" s="201"/>
      <c r="R16" s="202"/>
      <c r="S16" s="230">
        <f>IF($A$15&lt;&gt;"NÃO SELECIONADO",Q16*R16,0)</f>
        <v>0</v>
      </c>
      <c r="T16" s="545" t="s">
        <v>158</v>
      </c>
      <c r="U16" s="222">
        <f>50*4</f>
        <v>200</v>
      </c>
      <c r="V16" s="478">
        <v>250</v>
      </c>
      <c r="W16" s="230">
        <f>IF($A$15&lt;&gt;"NÃO SELECIONADO",U16*V16,0)</f>
        <v>50000</v>
      </c>
    </row>
    <row r="17" spans="1:23" ht="22.5" customHeight="1">
      <c r="A17" s="792"/>
      <c r="B17" s="759"/>
      <c r="C17" s="754"/>
      <c r="D17" s="189"/>
      <c r="E17" s="326"/>
      <c r="F17" s="351"/>
      <c r="G17" s="230">
        <f>IF($A$15&lt;&gt;"NÃO SELECIONADO",E17*F17,0)</f>
        <v>0</v>
      </c>
      <c r="H17" s="203"/>
      <c r="I17" s="196"/>
      <c r="J17" s="204"/>
      <c r="K17" s="230">
        <f>IF($A$15&lt;&gt;"NÃO SELECIONADO",I17*J17,0)</f>
        <v>0</v>
      </c>
      <c r="L17" s="197"/>
      <c r="M17" s="198"/>
      <c r="N17" s="199"/>
      <c r="O17" s="230">
        <f>IF($A$15&lt;&gt;"NÃO SELECIONADO",M17*N17,0)</f>
        <v>0</v>
      </c>
      <c r="P17" s="200"/>
      <c r="Q17" s="201"/>
      <c r="R17" s="202"/>
      <c r="S17" s="230">
        <f>IF($A$15&lt;&gt;"NÃO SELECIONADO",Q17*R17,0)</f>
        <v>0</v>
      </c>
      <c r="T17" s="205"/>
      <c r="U17" s="222"/>
      <c r="V17" s="478"/>
      <c r="W17" s="230">
        <f>IF($A$15&lt;&gt;"NÃO SELECIONADO",U17*V17,0)</f>
        <v>0</v>
      </c>
    </row>
    <row r="18" spans="1:23" ht="22.5" customHeight="1">
      <c r="A18" s="793"/>
      <c r="B18" s="759"/>
      <c r="C18" s="754"/>
      <c r="D18" s="324"/>
      <c r="E18" s="326"/>
      <c r="F18" s="351"/>
      <c r="G18" s="230">
        <f>IF($A$15&lt;&gt;"NÃO SELECIONADO",E18*F18,0)</f>
        <v>0</v>
      </c>
      <c r="H18" s="206"/>
      <c r="I18" s="222"/>
      <c r="J18" s="194"/>
      <c r="K18" s="230">
        <f>IF($A$15&lt;&gt;"NÃO SELECIONADO",I18*J18,0)</f>
        <v>0</v>
      </c>
      <c r="L18" s="197"/>
      <c r="M18" s="198"/>
      <c r="N18" s="199"/>
      <c r="O18" s="230">
        <f>IF($A$15&lt;&gt;"NÃO SELECIONADO",M18*N18,0)</f>
        <v>0</v>
      </c>
      <c r="P18" s="207"/>
      <c r="Q18" s="208"/>
      <c r="R18" s="209"/>
      <c r="S18" s="230">
        <f>IF($A$15&lt;&gt;"NÃO SELECIONADO",Q18*R18,0)</f>
        <v>0</v>
      </c>
      <c r="T18" s="205"/>
      <c r="U18" s="222"/>
      <c r="V18" s="478"/>
      <c r="W18" s="230">
        <f>IF($A$15&lt;&gt;"NÃO SELECIONADO",U18*V18,0)</f>
        <v>0</v>
      </c>
    </row>
    <row r="19" spans="1:23">
      <c r="A19" s="317">
        <f>IF(A15&lt;&gt;"NÃO SELECIONADO",SUM(G15:G19)+SUM(K15:K19)+SUM(O15:O19)+SUM(S15:S19)+SUM(W15:W19),0)</f>
        <v>538000</v>
      </c>
      <c r="B19" s="760"/>
      <c r="C19" s="755"/>
      <c r="D19" s="324"/>
      <c r="E19" s="326"/>
      <c r="F19" s="351"/>
      <c r="G19" s="230">
        <f>IF($A$15&lt;&gt;"NÃO SELECIONADO",E19*F19,0)</f>
        <v>0</v>
      </c>
      <c r="H19" s="191"/>
      <c r="I19" s="221"/>
      <c r="J19" s="185"/>
      <c r="K19" s="230">
        <f>IF($A$15&lt;&gt;"NÃO SELECIONADO",I19*J19,0)</f>
        <v>0</v>
      </c>
      <c r="L19" s="197"/>
      <c r="M19" s="198"/>
      <c r="N19" s="199"/>
      <c r="O19" s="230">
        <f>IF($A$15&lt;&gt;"NÃO SELECIONADO",M19*N19,0)</f>
        <v>0</v>
      </c>
      <c r="P19" s="193"/>
      <c r="Q19" s="221"/>
      <c r="R19" s="185"/>
      <c r="S19" s="230">
        <f>IF($A$15&lt;&gt;"NÃO SELECIONADO",Q19*R19,0)</f>
        <v>0</v>
      </c>
      <c r="T19" s="205"/>
      <c r="U19" s="222"/>
      <c r="V19" s="478"/>
      <c r="W19" s="230">
        <f>IF($A$15&lt;&gt;"NÃO SELECIONADO",U19*V19,0)</f>
        <v>0</v>
      </c>
    </row>
    <row r="20" spans="1:23" ht="87.75" customHeight="1">
      <c r="A20" s="744" t="str">
        <f>'3_Comp e Produtos'!A25</f>
        <v>2.4. Fluxos de trabalho Contenciosos, de Consultoria e Assessoramento Jurídicos na Administração Indireta modelados e implantados</v>
      </c>
      <c r="B20" s="758" t="s">
        <v>272</v>
      </c>
      <c r="C20" s="780"/>
      <c r="D20" s="189"/>
      <c r="E20" s="326"/>
      <c r="F20" s="351"/>
      <c r="G20" s="230">
        <f>IF($A$20&lt;&gt;"NÃO SELECIONADO",E20*F20,0)</f>
        <v>0</v>
      </c>
      <c r="H20" s="181" t="s">
        <v>164</v>
      </c>
      <c r="I20" s="330">
        <f>8*360</f>
        <v>2880</v>
      </c>
      <c r="J20" s="311">
        <v>800</v>
      </c>
      <c r="K20" s="230">
        <f>IF($A$20&lt;&gt;"NÃO SELECIONADO",I20*J20,0)</f>
        <v>2304000</v>
      </c>
      <c r="L20" s="226"/>
      <c r="M20" s="227"/>
      <c r="N20" s="228"/>
      <c r="O20" s="230">
        <f>IF($A$20&lt;&gt;"NÃO SELECIONADO",M20*N20,0)</f>
        <v>0</v>
      </c>
      <c r="P20" s="533"/>
      <c r="Q20" s="534"/>
      <c r="R20" s="534"/>
      <c r="S20" s="230">
        <f>IF($A$20&lt;&gt;"NÃO SELECIONADO",Q20*R20,0)</f>
        <v>0</v>
      </c>
      <c r="T20" s="390" t="s">
        <v>151</v>
      </c>
      <c r="U20" s="225">
        <f>3*8</f>
        <v>24</v>
      </c>
      <c r="V20" s="187">
        <v>1000</v>
      </c>
      <c r="W20" s="230">
        <f>IF($A$20&lt;&gt;"NÃO SELECIONADO",U20*V20,0)</f>
        <v>24000</v>
      </c>
    </row>
    <row r="21" spans="1:23" ht="87.75" customHeight="1">
      <c r="A21" s="744"/>
      <c r="B21" s="759"/>
      <c r="C21" s="754"/>
      <c r="D21" s="324"/>
      <c r="E21" s="326"/>
      <c r="F21" s="351"/>
      <c r="G21" s="230">
        <f>IF($A$20&lt;&gt;"NÃO SELECIONADO",E21*F21,0)</f>
        <v>0</v>
      </c>
      <c r="H21" s="181" t="s">
        <v>163</v>
      </c>
      <c r="I21" s="330">
        <f>3*60*4</f>
        <v>720</v>
      </c>
      <c r="J21" s="311">
        <v>800</v>
      </c>
      <c r="K21" s="230">
        <f>IF($A$20&lt;&gt;"NÃO SELECIONADO",I21*J21,0)</f>
        <v>576000</v>
      </c>
      <c r="L21" s="226"/>
      <c r="M21" s="227"/>
      <c r="N21" s="228"/>
      <c r="O21" s="230">
        <f>IF($A$20&lt;&gt;"NÃO SELECIONADO",M21*N21,0)</f>
        <v>0</v>
      </c>
      <c r="P21" s="200"/>
      <c r="Q21" s="201"/>
      <c r="R21" s="202"/>
      <c r="S21" s="230">
        <f>IF($A$20&lt;&gt;"NÃO SELECIONADO",Q21*R21,0)</f>
        <v>0</v>
      </c>
      <c r="T21" s="321" t="s">
        <v>152</v>
      </c>
      <c r="U21" s="221">
        <f>24*5</f>
        <v>120</v>
      </c>
      <c r="V21" s="185">
        <v>250</v>
      </c>
      <c r="W21" s="230">
        <f>IF($A$20&lt;&gt;"NÃO SELECIONADO",U21*V21,0)</f>
        <v>30000</v>
      </c>
    </row>
    <row r="22" spans="1:23" ht="87.75" customHeight="1">
      <c r="A22" s="744"/>
      <c r="B22" s="759"/>
      <c r="C22" s="754"/>
      <c r="D22" s="324"/>
      <c r="E22" s="326"/>
      <c r="F22" s="351"/>
      <c r="G22" s="230">
        <f>IF($A$20&lt;&gt;"NÃO SELECIONADO",E22*F22,0)</f>
        <v>0</v>
      </c>
      <c r="H22" s="195"/>
      <c r="I22" s="222"/>
      <c r="J22" s="194"/>
      <c r="K22" s="230">
        <f>IF($A$20&lt;&gt;"NÃO SELECIONADO",I22*J22,0)</f>
        <v>0</v>
      </c>
      <c r="L22" s="226"/>
      <c r="M22" s="227"/>
      <c r="N22" s="228"/>
      <c r="O22" s="230">
        <f>IF($A$20&lt;&gt;"NÃO SELECIONADO",M22*N22,0)</f>
        <v>0</v>
      </c>
      <c r="P22" s="200"/>
      <c r="Q22" s="201"/>
      <c r="R22" s="202"/>
      <c r="S22" s="230">
        <f>IF($A$20&lt;&gt;"NÃO SELECIONADO",Q22*R22,0)</f>
        <v>0</v>
      </c>
      <c r="T22" s="390" t="s">
        <v>167</v>
      </c>
      <c r="U22" s="225">
        <f>2*120</f>
        <v>240</v>
      </c>
      <c r="V22" s="187">
        <v>1000</v>
      </c>
      <c r="W22" s="230">
        <f>IF($A$20&lt;&gt;"NÃO SELECIONADO",U22*V22,0)</f>
        <v>240000</v>
      </c>
    </row>
    <row r="23" spans="1:23" ht="281.25" customHeight="1">
      <c r="A23" s="744"/>
      <c r="B23" s="759"/>
      <c r="C23" s="754"/>
      <c r="D23" s="189"/>
      <c r="E23" s="326"/>
      <c r="F23" s="351"/>
      <c r="G23" s="230">
        <f>IF($A$20&lt;&gt;"NÃO SELECIONADO",E23*F23,0)</f>
        <v>0</v>
      </c>
      <c r="H23" s="191"/>
      <c r="I23" s="221"/>
      <c r="J23" s="185"/>
      <c r="K23" s="230">
        <f>IF($A$20&lt;&gt;"NÃO SELECIONADO",I23*J23,0)</f>
        <v>0</v>
      </c>
      <c r="L23" s="226"/>
      <c r="M23" s="227"/>
      <c r="N23" s="228"/>
      <c r="O23" s="230">
        <f>IF($A$20&lt;&gt;"NÃO SELECIONADO",M23*N23,0)</f>
        <v>0</v>
      </c>
      <c r="P23" s="207"/>
      <c r="Q23" s="201"/>
      <c r="R23" s="202"/>
      <c r="S23" s="230">
        <f>IF($A$20&lt;&gt;"NÃO SELECIONADO",Q23*R23,0)</f>
        <v>0</v>
      </c>
      <c r="T23" s="321" t="s">
        <v>168</v>
      </c>
      <c r="U23" s="221">
        <f>240*5</f>
        <v>1200</v>
      </c>
      <c r="V23" s="185">
        <v>250</v>
      </c>
      <c r="W23" s="230">
        <f>IF($A$20&lt;&gt;"NÃO SELECIONADO",U23*V23,0)</f>
        <v>300000</v>
      </c>
    </row>
    <row r="24" spans="1:23">
      <c r="A24" s="317">
        <f>IF(A20&lt;&gt;"NÃO SELECIONADO",SUM(G20:G24)+SUM(K20:K24)+SUM(O20:O24)+SUM(S20:S24)+SUM(W20:W24),0)</f>
        <v>3474000</v>
      </c>
      <c r="B24" s="760"/>
      <c r="C24" s="755"/>
      <c r="D24" s="193"/>
      <c r="E24" s="350"/>
      <c r="F24" s="351"/>
      <c r="G24" s="230">
        <f>IF($A$20&lt;&gt;"NÃO SELECIONADO",E24*F24,0)</f>
        <v>0</v>
      </c>
      <c r="H24" s="191"/>
      <c r="I24" s="221"/>
      <c r="J24" s="185"/>
      <c r="K24" s="230">
        <f>IF($A$20&lt;&gt;"NÃO SELECIONADO",I24*J24,0)</f>
        <v>0</v>
      </c>
      <c r="L24" s="226"/>
      <c r="M24" s="227"/>
      <c r="N24" s="228"/>
      <c r="O24" s="230">
        <f>IF($A$20&lt;&gt;"NÃO SELECIONADO",M24*N24,0)</f>
        <v>0</v>
      </c>
      <c r="P24" s="193"/>
      <c r="Q24" s="221"/>
      <c r="R24" s="185"/>
      <c r="S24" s="230">
        <f>IF($A$20&lt;&gt;"NÃO SELECIONADO",Q24*R24,0)</f>
        <v>0</v>
      </c>
      <c r="T24" s="205"/>
      <c r="U24" s="222"/>
      <c r="V24" s="194"/>
      <c r="W24" s="230">
        <f>IF($A$20&lt;&gt;"NÃO SELECIONADO",U24*V24,0)</f>
        <v>0</v>
      </c>
    </row>
    <row r="25" spans="1:23" ht="51">
      <c r="A25" s="744" t="str">
        <f>'3_Comp e Produtos'!A30</f>
        <v>2.5. Plano de estratégias de prevenção abrangente a todos os órgãos da Administração Indireta</v>
      </c>
      <c r="B25" s="761" t="s">
        <v>270</v>
      </c>
      <c r="C25" s="750"/>
      <c r="D25" s="536" t="s">
        <v>156</v>
      </c>
      <c r="E25" s="330">
        <v>180</v>
      </c>
      <c r="F25" s="364">
        <v>1000</v>
      </c>
      <c r="G25" s="230">
        <f>IF($A$25&lt;&gt;"NÃO SELECIONADO",E25*F25,0)</f>
        <v>180000</v>
      </c>
      <c r="H25" s="181" t="s">
        <v>155</v>
      </c>
      <c r="I25" s="330">
        <f>3*120</f>
        <v>360</v>
      </c>
      <c r="J25" s="353">
        <v>800</v>
      </c>
      <c r="K25" s="230">
        <f>IF($A$25&lt;&gt;"NÃO SELECIONADO",I25*J25,0)</f>
        <v>288000</v>
      </c>
      <c r="L25" s="379"/>
      <c r="M25" s="222"/>
      <c r="N25" s="380"/>
      <c r="O25" s="230">
        <f>IF($A$25&lt;&gt;"NÃO SELECIONADO",M25*N25,0)</f>
        <v>0</v>
      </c>
      <c r="P25" s="379"/>
      <c r="Q25" s="381"/>
      <c r="R25" s="382"/>
      <c r="S25" s="230">
        <f>IF($A$25&lt;&gt;"NÃO SELECIONADO",Q25*R25,0)</f>
        <v>0</v>
      </c>
      <c r="T25" s="545" t="s">
        <v>157</v>
      </c>
      <c r="U25" s="222">
        <v>180</v>
      </c>
      <c r="V25" s="477">
        <v>1000</v>
      </c>
      <c r="W25" s="230">
        <f>IF($A$25&lt;&gt;"NÃO SELECIONADO",U25*V25,0)</f>
        <v>180000</v>
      </c>
    </row>
    <row r="26" spans="1:23" ht="28.5" customHeight="1">
      <c r="A26" s="744"/>
      <c r="B26" s="762"/>
      <c r="C26" s="751"/>
      <c r="D26" s="193"/>
      <c r="E26" s="326"/>
      <c r="F26" s="331"/>
      <c r="G26" s="230">
        <f>IF($A$25&lt;&gt;"NÃO SELECIONADO",E26*F26,0)</f>
        <v>0</v>
      </c>
      <c r="H26" s="191"/>
      <c r="I26" s="221"/>
      <c r="J26" s="185"/>
      <c r="K26" s="230">
        <f>IF($A$25&lt;&gt;"NÃO SELECIONADO",I26*J26,0)</f>
        <v>0</v>
      </c>
      <c r="L26" s="379"/>
      <c r="M26" s="222"/>
      <c r="N26" s="194"/>
      <c r="O26" s="230">
        <f>IF($A$25&lt;&gt;"NÃO SELECIONADO",M26*N26,0)</f>
        <v>0</v>
      </c>
      <c r="P26" s="320"/>
      <c r="Q26" s="221"/>
      <c r="R26" s="185"/>
      <c r="S26" s="230">
        <f>IF($A$25&lt;&gt;"NÃO SELECIONADO",Q26*R26,0)</f>
        <v>0</v>
      </c>
      <c r="T26" s="545" t="s">
        <v>158</v>
      </c>
      <c r="U26" s="222">
        <f>180*4</f>
        <v>720</v>
      </c>
      <c r="V26" s="478">
        <v>250</v>
      </c>
      <c r="W26" s="230">
        <f>IF($A$25&lt;&gt;"NÃO SELECIONADO",U26*V26,0)</f>
        <v>180000</v>
      </c>
    </row>
    <row r="27" spans="1:23" ht="28.5" customHeight="1">
      <c r="A27" s="744"/>
      <c r="B27" s="762"/>
      <c r="C27" s="751"/>
      <c r="D27" s="186"/>
      <c r="E27" s="326"/>
      <c r="F27" s="332"/>
      <c r="G27" s="230">
        <f>IF($A$25&lt;&gt;"NÃO SELECIONADO",E27*F27,0)</f>
        <v>0</v>
      </c>
      <c r="H27" s="191"/>
      <c r="I27" s="221"/>
      <c r="J27" s="185"/>
      <c r="K27" s="230">
        <f>IF($A$25&lt;&gt;"NÃO SELECIONADO",I27*J27,0)</f>
        <v>0</v>
      </c>
      <c r="L27" s="318"/>
      <c r="M27" s="222"/>
      <c r="N27" s="194"/>
      <c r="O27" s="230">
        <f>IF($A$25&lt;&gt;"NÃO SELECIONADO",M27*N27,0)</f>
        <v>0</v>
      </c>
      <c r="P27" s="189"/>
      <c r="Q27" s="221"/>
      <c r="R27" s="185"/>
      <c r="S27" s="230">
        <f>IF($A$25&lt;&gt;"NÃO SELECIONADO",Q27*R27,0)</f>
        <v>0</v>
      </c>
      <c r="T27" s="192"/>
      <c r="U27" s="221"/>
      <c r="V27" s="185"/>
      <c r="W27" s="230">
        <f>IF($A$25&lt;&gt;"NÃO SELECIONADO",U27*V27,0)</f>
        <v>0</v>
      </c>
    </row>
    <row r="28" spans="1:23" ht="28.5" customHeight="1">
      <c r="A28" s="744"/>
      <c r="B28" s="762"/>
      <c r="C28" s="751"/>
      <c r="D28" s="193"/>
      <c r="E28" s="326"/>
      <c r="F28" s="319"/>
      <c r="G28" s="230">
        <f>IF($A$25&lt;&gt;"NÃO SELECIONADO",E28*F28,0)</f>
        <v>0</v>
      </c>
      <c r="H28" s="191"/>
      <c r="I28" s="221"/>
      <c r="J28" s="185"/>
      <c r="K28" s="230">
        <f>IF($A$25&lt;&gt;"NÃO SELECIONADO",I28*J28,0)</f>
        <v>0</v>
      </c>
      <c r="L28" s="195"/>
      <c r="M28" s="222"/>
      <c r="N28" s="194"/>
      <c r="O28" s="230">
        <f>IF($A$25&lt;&gt;"NÃO SELECIONADO",M28*N28,0)</f>
        <v>0</v>
      </c>
      <c r="P28" s="320"/>
      <c r="Q28" s="221"/>
      <c r="R28" s="185"/>
      <c r="S28" s="230">
        <f>IF($A$25&lt;&gt;"NÃO SELECIONADO",Q28*R28,0)</f>
        <v>0</v>
      </c>
      <c r="T28" s="192"/>
      <c r="U28" s="221"/>
      <c r="V28" s="185"/>
      <c r="W28" s="230">
        <f>IF($A$25&lt;&gt;"NÃO SELECIONADO",U28*V28,0)</f>
        <v>0</v>
      </c>
    </row>
    <row r="29" spans="1:23">
      <c r="A29" s="287">
        <f>IF(A25&lt;&gt;"NÃO SELECIONADO",SUM(G25:G29)+SUM(K25:K29)+SUM(O25:O29)+SUM(S25:S29)+SUM(W25:W29),0)</f>
        <v>828000</v>
      </c>
      <c r="B29" s="763"/>
      <c r="C29" s="752"/>
      <c r="D29" s="186"/>
      <c r="E29" s="326"/>
      <c r="F29" s="332"/>
      <c r="G29" s="230">
        <f>IF($A$25&lt;&gt;"NÃO SELECIONADO",E29*F29,0)</f>
        <v>0</v>
      </c>
      <c r="H29" s="191"/>
      <c r="I29" s="221"/>
      <c r="J29" s="185"/>
      <c r="K29" s="230">
        <f>IF($A$25&lt;&gt;"NÃO SELECIONADO",I29*J29,0)</f>
        <v>0</v>
      </c>
      <c r="L29" s="195"/>
      <c r="M29" s="222"/>
      <c r="N29" s="194"/>
      <c r="O29" s="230">
        <f>IF($A$25&lt;&gt;"NÃO SELECIONADO",M29*N29,0)</f>
        <v>0</v>
      </c>
      <c r="P29" s="189"/>
      <c r="Q29" s="221"/>
      <c r="R29" s="185"/>
      <c r="S29" s="230">
        <f>IF($A$25&lt;&gt;"NÃO SELECIONADO",Q29*R29,0)</f>
        <v>0</v>
      </c>
      <c r="T29" s="192"/>
      <c r="U29" s="221"/>
      <c r="V29" s="185"/>
      <c r="W29" s="230">
        <f>IF($A$25&lt;&gt;"NÃO SELECIONADO",U29*V29,0)</f>
        <v>0</v>
      </c>
    </row>
    <row r="30" spans="1:23" ht="51">
      <c r="A30" s="744" t="str">
        <f>'3_Comp e Produtos'!A31</f>
        <v>2.6. Métodos Alternativos de Resolução de Conflitos (MARC) definidos e implementados</v>
      </c>
      <c r="B30" s="757" t="s">
        <v>271</v>
      </c>
      <c r="C30" s="756"/>
      <c r="D30" s="193"/>
      <c r="E30" s="221"/>
      <c r="F30" s="185"/>
      <c r="G30" s="230">
        <f>IF($A$30&lt;&gt;"NÃO SELECIONADO",E30*F30,0)</f>
        <v>0</v>
      </c>
      <c r="H30" s="205" t="s">
        <v>169</v>
      </c>
      <c r="I30" s="220">
        <f>3*120</f>
        <v>360</v>
      </c>
      <c r="J30" s="182">
        <v>800</v>
      </c>
      <c r="K30" s="230">
        <f>IF($A$30&lt;&gt;"NÃO SELECIONADO",I30*J30,0)</f>
        <v>288000</v>
      </c>
      <c r="L30" s="190"/>
      <c r="M30" s="221"/>
      <c r="N30" s="185"/>
      <c r="O30" s="230">
        <f>IF($A$30&lt;&gt;"NÃO SELECIONADO",M30*N30,0)</f>
        <v>0</v>
      </c>
      <c r="P30" s="189" t="s">
        <v>170</v>
      </c>
      <c r="Q30" s="221">
        <v>10</v>
      </c>
      <c r="R30" s="185">
        <v>20000</v>
      </c>
      <c r="S30" s="230">
        <f>IF($A$30&lt;&gt;"NÃO SELECIONADO",Q30*R30,0)</f>
        <v>200000</v>
      </c>
      <c r="T30" s="181" t="s">
        <v>172</v>
      </c>
      <c r="U30" s="221">
        <v>10</v>
      </c>
      <c r="V30" s="185">
        <v>3000</v>
      </c>
      <c r="W30" s="230">
        <f>IF($A$30&lt;&gt;"NÃO SELECIONADO",U30*V30,0)</f>
        <v>30000</v>
      </c>
    </row>
    <row r="31" spans="1:23" ht="25.5">
      <c r="A31" s="744"/>
      <c r="B31" s="757"/>
      <c r="C31" s="756"/>
      <c r="D31" s="193"/>
      <c r="E31" s="221"/>
      <c r="F31" s="185"/>
      <c r="G31" s="230">
        <f>IF($A$30&lt;&gt;"NÃO SELECIONADO",E31*F31,0)</f>
        <v>0</v>
      </c>
      <c r="H31" s="192"/>
      <c r="I31" s="221"/>
      <c r="J31" s="185"/>
      <c r="K31" s="230">
        <f>IF($A$30&lt;&gt;"NÃO SELECIONADO",I31*J31,0)</f>
        <v>0</v>
      </c>
      <c r="L31" s="190"/>
      <c r="M31" s="221"/>
      <c r="N31" s="185"/>
      <c r="O31" s="230">
        <f>IF($A$30&lt;&gt;"NÃO SELECIONADO",M31*N31,0)</f>
        <v>0</v>
      </c>
      <c r="P31" s="189" t="s">
        <v>171</v>
      </c>
      <c r="Q31" s="221">
        <v>10000</v>
      </c>
      <c r="R31" s="185">
        <v>5</v>
      </c>
      <c r="S31" s="230">
        <f>IF($A$30&lt;&gt;"NÃO SELECIONADO",Q31*R31,0)</f>
        <v>50000</v>
      </c>
      <c r="T31" s="181" t="s">
        <v>173</v>
      </c>
      <c r="U31" s="221">
        <v>50</v>
      </c>
      <c r="V31" s="185">
        <v>1000</v>
      </c>
      <c r="W31" s="230">
        <f>IF($A$30&lt;&gt;"NÃO SELECIONADO",U31*V31,0)</f>
        <v>50000</v>
      </c>
    </row>
    <row r="32" spans="1:23" ht="25.5">
      <c r="A32" s="744"/>
      <c r="B32" s="757"/>
      <c r="C32" s="756"/>
      <c r="D32" s="193"/>
      <c r="E32" s="221"/>
      <c r="F32" s="185"/>
      <c r="G32" s="230">
        <f>IF($A$30&lt;&gt;"NÃO SELECIONADO",E32*F32,0)</f>
        <v>0</v>
      </c>
      <c r="H32" s="192"/>
      <c r="I32" s="221"/>
      <c r="J32" s="185"/>
      <c r="K32" s="230">
        <f>IF($A$30&lt;&gt;"NÃO SELECIONADO",I32*J32,0)</f>
        <v>0</v>
      </c>
      <c r="L32" s="190"/>
      <c r="M32" s="221"/>
      <c r="N32" s="185"/>
      <c r="O32" s="230">
        <f>IF($A$30&lt;&gt;"NÃO SELECIONADO",M32*N32,0)</f>
        <v>0</v>
      </c>
      <c r="P32" s="193"/>
      <c r="Q32" s="221"/>
      <c r="R32" s="185"/>
      <c r="S32" s="230">
        <f>IF($A$30&lt;&gt;"NÃO SELECIONADO",Q32*R32,0)</f>
        <v>0</v>
      </c>
      <c r="T32" s="181" t="s">
        <v>174</v>
      </c>
      <c r="U32" s="221">
        <v>50</v>
      </c>
      <c r="V32" s="185">
        <v>1000</v>
      </c>
      <c r="W32" s="230">
        <f>IF($A$30&lt;&gt;"NÃO SELECIONADO",U32*V32,0)</f>
        <v>50000</v>
      </c>
    </row>
    <row r="33" spans="1:23" ht="382.5" customHeight="1">
      <c r="A33" s="744"/>
      <c r="B33" s="757"/>
      <c r="C33" s="756"/>
      <c r="D33" s="193"/>
      <c r="E33" s="221"/>
      <c r="F33" s="185"/>
      <c r="G33" s="230">
        <f>IF($A$30&lt;&gt;"NÃO SELECIONADO",E33*F33,0)</f>
        <v>0</v>
      </c>
      <c r="H33" s="192"/>
      <c r="I33" s="221"/>
      <c r="J33" s="185"/>
      <c r="K33" s="230">
        <f>IF($A$30&lt;&gt;"NÃO SELECIONADO",I33*J33,0)</f>
        <v>0</v>
      </c>
      <c r="L33" s="190"/>
      <c r="M33" s="221"/>
      <c r="N33" s="185"/>
      <c r="O33" s="230">
        <f>IF($A$30&lt;&gt;"NÃO SELECIONADO",M33*N33,0)</f>
        <v>0</v>
      </c>
      <c r="P33" s="193"/>
      <c r="Q33" s="221"/>
      <c r="R33" s="185"/>
      <c r="S33" s="230">
        <f>IF($A$30&lt;&gt;"NÃO SELECIONADO",Q33*R33,0)</f>
        <v>0</v>
      </c>
      <c r="T33" s="181" t="s">
        <v>175</v>
      </c>
      <c r="U33" s="221">
        <v>250</v>
      </c>
      <c r="V33" s="185">
        <v>250</v>
      </c>
      <c r="W33" s="230">
        <f>IF($A$30&lt;&gt;"NÃO SELECIONADO",U33*V33,0)</f>
        <v>62500</v>
      </c>
    </row>
    <row r="34" spans="1:23" ht="16.5" customHeight="1">
      <c r="A34" s="287">
        <f>IF(A30&lt;&gt;"NÃO SELECIONADO",SUM(G30:G34)+SUM(K30:K34)+SUM(O30:O34)+SUM(S30:S34)+SUM(W30:W34),0)</f>
        <v>730500</v>
      </c>
      <c r="B34" s="757"/>
      <c r="C34" s="756"/>
      <c r="D34" s="193"/>
      <c r="E34" s="221"/>
      <c r="F34" s="185"/>
      <c r="G34" s="230">
        <f>IF($A$30&lt;&gt;"NÃO SELECIONADO",E34*F34,0)</f>
        <v>0</v>
      </c>
      <c r="H34" s="192"/>
      <c r="I34" s="221"/>
      <c r="J34" s="185"/>
      <c r="K34" s="230">
        <f>IF($A$30&lt;&gt;"NÃO SELECIONADO",I34*J34,0)</f>
        <v>0</v>
      </c>
      <c r="L34" s="190"/>
      <c r="M34" s="221"/>
      <c r="N34" s="185"/>
      <c r="O34" s="230">
        <f>IF($A$30&lt;&gt;"NÃO SELECIONADO",M34*N34,0)</f>
        <v>0</v>
      </c>
      <c r="P34" s="193"/>
      <c r="Q34" s="221"/>
      <c r="R34" s="185"/>
      <c r="S34" s="230">
        <f>IF($A$30&lt;&gt;"NÃO SELECIONADO",Q34*R34,0)</f>
        <v>0</v>
      </c>
      <c r="T34" s="192"/>
      <c r="U34" s="221"/>
      <c r="V34" s="185"/>
      <c r="W34" s="230">
        <f>IF($A$30&lt;&gt;"NÃO SELECIONADO",U34*V34,0)</f>
        <v>0</v>
      </c>
    </row>
    <row r="35" spans="1:23" ht="58.5" customHeight="1">
      <c r="A35" s="744" t="str">
        <f>'3_Comp e Produtos'!A35</f>
        <v>2.7. Capacitação contínua de pessoal especializado em gerenciamento e recuperação de créditos</v>
      </c>
      <c r="B35" s="757" t="s">
        <v>275</v>
      </c>
      <c r="C35" s="756"/>
      <c r="D35" s="378"/>
      <c r="E35" s="326"/>
      <c r="F35" s="231"/>
      <c r="G35" s="230">
        <f>IF($A$35&lt;&gt;"NÃO SELECIONADO",E35*F35,0)</f>
        <v>0</v>
      </c>
      <c r="H35" s="181" t="s">
        <v>176</v>
      </c>
      <c r="I35" s="330">
        <f>2*210</f>
        <v>420</v>
      </c>
      <c r="J35" s="311">
        <v>800</v>
      </c>
      <c r="K35" s="230">
        <f>IF($A$35&lt;&gt;"NÃO SELECIONADO",I35*J35,0)</f>
        <v>336000</v>
      </c>
      <c r="L35" s="379"/>
      <c r="M35" s="222"/>
      <c r="N35" s="380"/>
      <c r="O35" s="230">
        <f>IF($A$35&lt;&gt;"NÃO SELECIONADO",M35*N35,0)</f>
        <v>0</v>
      </c>
      <c r="P35" s="189" t="s">
        <v>178</v>
      </c>
      <c r="Q35" s="221">
        <v>20</v>
      </c>
      <c r="R35" s="185">
        <v>20000</v>
      </c>
      <c r="S35" s="230">
        <f>IF($A$35&lt;&gt;"NÃO SELECIONADO",Q35*R35,0)</f>
        <v>400000</v>
      </c>
      <c r="T35" s="181" t="s">
        <v>180</v>
      </c>
      <c r="U35" s="221">
        <f>15*20</f>
        <v>300</v>
      </c>
      <c r="V35" s="185">
        <v>1000</v>
      </c>
      <c r="W35" s="230">
        <f>IF($A$35&lt;&gt;"NÃO SELECIONADO",U35*V35,0)</f>
        <v>300000</v>
      </c>
    </row>
    <row r="36" spans="1:23" ht="58.5" customHeight="1">
      <c r="A36" s="744"/>
      <c r="B36" s="757"/>
      <c r="C36" s="756"/>
      <c r="D36" s="193"/>
      <c r="E36" s="221"/>
      <c r="F36" s="185"/>
      <c r="G36" s="230">
        <f>IF($A$35&lt;&gt;"NÃO SELECIONADO",E36*F36,0)</f>
        <v>0</v>
      </c>
      <c r="H36" s="181" t="s">
        <v>177</v>
      </c>
      <c r="I36" s="221">
        <v>120</v>
      </c>
      <c r="J36" s="185">
        <v>800</v>
      </c>
      <c r="K36" s="230">
        <f>IF($A$35&lt;&gt;"NÃO SELECIONADO",I36*J36,0)</f>
        <v>96000</v>
      </c>
      <c r="L36" s="379"/>
      <c r="M36" s="221"/>
      <c r="N36" s="185"/>
      <c r="O36" s="230">
        <f>IF($A$35&lt;&gt;"NÃO SELECIONADO",M36*N36,0)</f>
        <v>0</v>
      </c>
      <c r="P36" s="189" t="s">
        <v>179</v>
      </c>
      <c r="Q36" s="221">
        <f>20*40</f>
        <v>800</v>
      </c>
      <c r="R36" s="185">
        <v>5</v>
      </c>
      <c r="S36" s="230">
        <f>IF($A$35&lt;&gt;"NÃO SELECIONADO",Q36*R36,0)</f>
        <v>4000</v>
      </c>
      <c r="T36" s="181" t="s">
        <v>181</v>
      </c>
      <c r="U36" s="221">
        <f>300*5</f>
        <v>1500</v>
      </c>
      <c r="V36" s="185">
        <v>250</v>
      </c>
      <c r="W36" s="230">
        <f>IF($A$35&lt;&gt;"NÃO SELECIONADO",U36*V36,0)</f>
        <v>375000</v>
      </c>
    </row>
    <row r="37" spans="1:23" ht="58.5" customHeight="1">
      <c r="A37" s="744"/>
      <c r="B37" s="757"/>
      <c r="C37" s="756"/>
      <c r="D37" s="193"/>
      <c r="E37" s="221"/>
      <c r="F37" s="185"/>
      <c r="G37" s="230">
        <f>IF($A$35&lt;&gt;"NÃO SELECIONADO",E37*F37,0)</f>
        <v>0</v>
      </c>
      <c r="H37" s="192"/>
      <c r="I37" s="221"/>
      <c r="J37" s="185"/>
      <c r="K37" s="230">
        <f>IF($A$35&lt;&gt;"NÃO SELECIONADO",I37*J37,0)</f>
        <v>0</v>
      </c>
      <c r="L37" s="190"/>
      <c r="M37" s="221"/>
      <c r="N37" s="185"/>
      <c r="O37" s="230">
        <f>IF($A$35&lt;&gt;"NÃO SELECIONADO",M37*N37,0)</f>
        <v>0</v>
      </c>
      <c r="P37" s="193"/>
      <c r="Q37" s="221"/>
      <c r="R37" s="185"/>
      <c r="S37" s="230">
        <f>IF($A$35&lt;&gt;"NÃO SELECIONADO",Q37*R37,0)</f>
        <v>0</v>
      </c>
      <c r="T37" s="192"/>
      <c r="U37" s="221"/>
      <c r="V37" s="185"/>
      <c r="W37" s="230">
        <f>IF($A$35&lt;&gt;"NÃO SELECIONADO",U37*V37,0)</f>
        <v>0</v>
      </c>
    </row>
    <row r="38" spans="1:23" ht="58.5" customHeight="1">
      <c r="A38" s="744"/>
      <c r="B38" s="757"/>
      <c r="C38" s="756"/>
      <c r="D38" s="193"/>
      <c r="E38" s="221"/>
      <c r="F38" s="185"/>
      <c r="G38" s="230">
        <f>IF($A$35&lt;&gt;"NÃO SELECIONADO",E38*F38,0)</f>
        <v>0</v>
      </c>
      <c r="H38" s="192"/>
      <c r="I38" s="221"/>
      <c r="J38" s="185"/>
      <c r="K38" s="230">
        <f>IF($A$35&lt;&gt;"NÃO SELECIONADO",I38*J38,0)</f>
        <v>0</v>
      </c>
      <c r="L38" s="190"/>
      <c r="M38" s="221"/>
      <c r="N38" s="185"/>
      <c r="O38" s="230">
        <f>IF($A$35&lt;&gt;"NÃO SELECIONADO",M38*N38,0)</f>
        <v>0</v>
      </c>
      <c r="P38" s="193"/>
      <c r="Q38" s="221"/>
      <c r="R38" s="185"/>
      <c r="S38" s="230">
        <f>IF($A$35&lt;&gt;"NÃO SELECIONADO",Q38*R38,0)</f>
        <v>0</v>
      </c>
      <c r="T38" s="192"/>
      <c r="U38" s="221"/>
      <c r="V38" s="185"/>
      <c r="W38" s="230">
        <f>IF($A$35&lt;&gt;"NÃO SELECIONADO",U38*V38,0)</f>
        <v>0</v>
      </c>
    </row>
    <row r="39" spans="1:23">
      <c r="A39" s="287">
        <f>IF(A35&lt;&gt;"NÃO SELECIONADO",SUM(G35:G39)+SUM(K35:K39)+SUM(O35:O39)+SUM(S35:S39)+SUM(W35:W39),0)</f>
        <v>1511000</v>
      </c>
      <c r="B39" s="757"/>
      <c r="C39" s="756"/>
      <c r="D39" s="193"/>
      <c r="E39" s="221"/>
      <c r="F39" s="185"/>
      <c r="G39" s="230">
        <f>IF($A$35&lt;&gt;"NÃO SELECIONADO",E39*F39,0)</f>
        <v>0</v>
      </c>
      <c r="H39" s="192"/>
      <c r="I39" s="221"/>
      <c r="J39" s="185"/>
      <c r="K39" s="230">
        <f>IF($A$35&lt;&gt;"NÃO SELECIONADO",I39*J39,0)</f>
        <v>0</v>
      </c>
      <c r="L39" s="190"/>
      <c r="M39" s="221"/>
      <c r="N39" s="185"/>
      <c r="O39" s="230">
        <f>IF($A$35&lt;&gt;"NÃO SELECIONADO",M39*N39,0)</f>
        <v>0</v>
      </c>
      <c r="P39" s="193"/>
      <c r="Q39" s="221"/>
      <c r="R39" s="185"/>
      <c r="S39" s="230">
        <f>IF($A$35&lt;&gt;"NÃO SELECIONADO",Q39*R39,0)</f>
        <v>0</v>
      </c>
      <c r="T39" s="192"/>
      <c r="U39" s="221"/>
      <c r="V39" s="185"/>
      <c r="W39" s="230">
        <f>IF($A$35&lt;&gt;"NÃO SELECIONADO",U39*V39,0)</f>
        <v>0</v>
      </c>
    </row>
    <row r="40" spans="1:23" ht="36.75" customHeight="1">
      <c r="A40" s="744" t="str">
        <f>'3_Comp e Produtos'!A36</f>
        <v xml:space="preserve">2.8. Plano de ação para aprimoramento da integração interinstitucional entre os órgãos responsáveis pela dívida ativa </v>
      </c>
      <c r="B40" s="757" t="s">
        <v>274</v>
      </c>
      <c r="C40" s="756"/>
      <c r="D40" s="378"/>
      <c r="E40" s="326"/>
      <c r="F40" s="231"/>
      <c r="G40" s="230">
        <f>IF($A$40&lt;&gt;"NÃO SELECIONADO",E40*F40,0)</f>
        <v>0</v>
      </c>
      <c r="H40" s="181" t="s">
        <v>182</v>
      </c>
      <c r="I40" s="221">
        <f>3*180</f>
        <v>540</v>
      </c>
      <c r="J40" s="185">
        <v>800</v>
      </c>
      <c r="K40" s="230">
        <f>IF($A$40&lt;&gt;"NÃO SELECIONADO",I40*J40,0)</f>
        <v>432000</v>
      </c>
      <c r="L40" s="379"/>
      <c r="M40" s="222"/>
      <c r="N40" s="380"/>
      <c r="O40" s="230">
        <f>IF($A$40&lt;&gt;"NÃO SELECIONADO",M40*N40,0)</f>
        <v>0</v>
      </c>
      <c r="P40" s="193"/>
      <c r="Q40" s="221"/>
      <c r="R40" s="185"/>
      <c r="S40" s="230">
        <f>IF($A$40&lt;&gt;"NÃO SELECIONADO",Q40*R40,0)</f>
        <v>0</v>
      </c>
      <c r="T40" s="192"/>
      <c r="U40" s="221"/>
      <c r="V40" s="185"/>
      <c r="W40" s="230">
        <f>IF($A$40&lt;&gt;"NÃO SELECIONADO",U40*V40,0)</f>
        <v>0</v>
      </c>
    </row>
    <row r="41" spans="1:23" ht="37.5" customHeight="1">
      <c r="A41" s="744"/>
      <c r="B41" s="757"/>
      <c r="C41" s="756"/>
      <c r="D41" s="193"/>
      <c r="E41" s="221"/>
      <c r="F41" s="185"/>
      <c r="G41" s="230">
        <f>IF($A$40&lt;&gt;"NÃO SELECIONADO",E41*F41,0)</f>
        <v>0</v>
      </c>
      <c r="H41" s="532" t="s">
        <v>183</v>
      </c>
      <c r="I41" s="221">
        <v>45</v>
      </c>
      <c r="J41" s="185">
        <v>800</v>
      </c>
      <c r="K41" s="230">
        <f>IF($A$40&lt;&gt;"NÃO SELECIONADO",I41*J41,0)</f>
        <v>36000</v>
      </c>
      <c r="L41" s="379"/>
      <c r="M41" s="222"/>
      <c r="N41" s="194"/>
      <c r="O41" s="230">
        <f>IF($A$40&lt;&gt;"NÃO SELECIONADO",M41*N41,0)</f>
        <v>0</v>
      </c>
      <c r="P41" s="193"/>
      <c r="Q41" s="221"/>
      <c r="R41" s="185"/>
      <c r="S41" s="230">
        <f>IF($A$40&lt;&gt;"NÃO SELECIONADO",Q41*R41,0)</f>
        <v>0</v>
      </c>
      <c r="T41" s="192"/>
      <c r="U41" s="221"/>
      <c r="V41" s="185"/>
      <c r="W41" s="230">
        <f>IF($A$40&lt;&gt;"NÃO SELECIONADO",U41*V41,0)</f>
        <v>0</v>
      </c>
    </row>
    <row r="42" spans="1:23" ht="37.5" customHeight="1">
      <c r="A42" s="744"/>
      <c r="B42" s="757"/>
      <c r="C42" s="756"/>
      <c r="D42" s="193"/>
      <c r="E42" s="221"/>
      <c r="F42" s="185"/>
      <c r="G42" s="230">
        <f>IF($A$40&lt;&gt;"NÃO SELECIONADO",E42*F42,0)</f>
        <v>0</v>
      </c>
      <c r="H42" s="192"/>
      <c r="I42" s="221"/>
      <c r="J42" s="185"/>
      <c r="K42" s="230">
        <f>IF($A$40&lt;&gt;"NÃO SELECIONADO",I42*J42,0)</f>
        <v>0</v>
      </c>
      <c r="L42" s="190"/>
      <c r="M42" s="221"/>
      <c r="N42" s="185"/>
      <c r="O42" s="230">
        <f>IF($A$40&lt;&gt;"NÃO SELECIONADO",M42*N42,0)</f>
        <v>0</v>
      </c>
      <c r="P42" s="193"/>
      <c r="Q42" s="221"/>
      <c r="R42" s="185"/>
      <c r="S42" s="230">
        <f>IF($A$40&lt;&gt;"NÃO SELECIONADO",Q42*R42,0)</f>
        <v>0</v>
      </c>
      <c r="T42" s="192"/>
      <c r="U42" s="221"/>
      <c r="V42" s="185"/>
      <c r="W42" s="230">
        <f>IF($A$40&lt;&gt;"NÃO SELECIONADO",U42*V42,0)</f>
        <v>0</v>
      </c>
    </row>
    <row r="43" spans="1:23" ht="38.25" customHeight="1">
      <c r="A43" s="744"/>
      <c r="B43" s="757"/>
      <c r="C43" s="756"/>
      <c r="D43" s="193"/>
      <c r="E43" s="221"/>
      <c r="F43" s="185"/>
      <c r="G43" s="230">
        <f>IF($A$40&lt;&gt;"NÃO SELECIONADO",E43*F43,0)</f>
        <v>0</v>
      </c>
      <c r="H43" s="192"/>
      <c r="I43" s="221"/>
      <c r="J43" s="185"/>
      <c r="K43" s="230">
        <f>IF($A$40&lt;&gt;"NÃO SELECIONADO",I43*J43,0)</f>
        <v>0</v>
      </c>
      <c r="L43" s="190"/>
      <c r="M43" s="221"/>
      <c r="N43" s="185"/>
      <c r="O43" s="230">
        <f>IF($A$40&lt;&gt;"NÃO SELECIONADO",M43*N43,0)</f>
        <v>0</v>
      </c>
      <c r="P43" s="193"/>
      <c r="Q43" s="221"/>
      <c r="R43" s="185"/>
      <c r="S43" s="230">
        <f>IF($A$40&lt;&gt;"NÃO SELECIONADO",Q43*R43,0)</f>
        <v>0</v>
      </c>
      <c r="T43" s="192"/>
      <c r="U43" s="221"/>
      <c r="V43" s="185"/>
      <c r="W43" s="230">
        <f>IF($A$40&lt;&gt;"NÃO SELECIONADO",U43*V43,0)</f>
        <v>0</v>
      </c>
    </row>
    <row r="44" spans="1:23">
      <c r="A44" s="287">
        <f>IF(A40&lt;&gt;"NÃO SELECIONADO",SUM(G40:G44)+SUM(K40:K44)+SUM(O40:O44)+SUM(S40:S44)+SUM(W40:W44),0)</f>
        <v>468000</v>
      </c>
      <c r="B44" s="757"/>
      <c r="C44" s="756"/>
      <c r="D44" s="193"/>
      <c r="E44" s="221"/>
      <c r="F44" s="185"/>
      <c r="G44" s="230">
        <f>IF($A$40&lt;&gt;"NÃO SELECIONADO",E44*F44,0)</f>
        <v>0</v>
      </c>
      <c r="H44" s="192"/>
      <c r="I44" s="221"/>
      <c r="J44" s="185"/>
      <c r="K44" s="230">
        <f>IF($A$40&lt;&gt;"NÃO SELECIONADO",I44*J44,0)</f>
        <v>0</v>
      </c>
      <c r="L44" s="190"/>
      <c r="M44" s="221"/>
      <c r="N44" s="185"/>
      <c r="O44" s="230">
        <f>IF($A$40&lt;&gt;"NÃO SELECIONADO",M44*N44,0)</f>
        <v>0</v>
      </c>
      <c r="P44" s="210"/>
      <c r="Q44" s="221"/>
      <c r="R44" s="185"/>
      <c r="S44" s="230">
        <f>IF($A$40&lt;&gt;"NÃO SELECIONADO",Q44*R44,0)</f>
        <v>0</v>
      </c>
      <c r="T44" s="192"/>
      <c r="U44" s="221"/>
      <c r="V44" s="185"/>
      <c r="W44" s="230">
        <f>IF($A$40&lt;&gt;"NÃO SELECIONADO",U44*V44,0)</f>
        <v>0</v>
      </c>
    </row>
    <row r="45" spans="1:23">
      <c r="A45" s="764" t="str">
        <f>'3_Comp e Produtos'!A37</f>
        <v>2.9. Solução para avaliação de riscos do Estado e inclusões nos sistemas corporativos da AGU</v>
      </c>
      <c r="B45" s="779" t="s">
        <v>298</v>
      </c>
      <c r="C45" s="778"/>
      <c r="D45" s="193"/>
      <c r="E45" s="221"/>
      <c r="F45" s="185"/>
      <c r="G45" s="229">
        <f>IF($A$45&lt;&gt;"NÃO SELECIONADO",E45*F45,0)</f>
        <v>0</v>
      </c>
      <c r="H45" s="189"/>
      <c r="I45" s="221"/>
      <c r="J45" s="185"/>
      <c r="K45" s="229">
        <f>IF($A$45&lt;&gt;"NÃO SELECIONADO",I45*J45,0)</f>
        <v>0</v>
      </c>
      <c r="L45" s="390" t="s">
        <v>184</v>
      </c>
      <c r="M45" s="221">
        <v>1</v>
      </c>
      <c r="N45" s="185">
        <v>500000</v>
      </c>
      <c r="O45" s="229">
        <f>IF($A$45&lt;&gt;"NÃO SELECIONADO",M45*N45,0)</f>
        <v>500000</v>
      </c>
      <c r="P45" s="535"/>
      <c r="Q45" s="221"/>
      <c r="R45" s="185"/>
      <c r="S45" s="229">
        <f>IF($A$45&lt;&gt;"NÃO SELECIONADO",Q45*R45,0)</f>
        <v>0</v>
      </c>
      <c r="T45" s="188"/>
      <c r="U45" s="221"/>
      <c r="V45" s="185"/>
      <c r="W45" s="229">
        <f>IF($A$45&lt;&gt;"NÃO SELECIONADO",U45*V45,0)</f>
        <v>0</v>
      </c>
    </row>
    <row r="46" spans="1:23">
      <c r="A46" s="764"/>
      <c r="B46" s="779"/>
      <c r="C46" s="778"/>
      <c r="D46" s="193"/>
      <c r="E46" s="221"/>
      <c r="F46" s="185"/>
      <c r="G46" s="229">
        <f>IF($A$45&lt;&gt;"NÃO SELECIONADO",E46*F46,0)</f>
        <v>0</v>
      </c>
      <c r="H46" s="192"/>
      <c r="I46" s="221"/>
      <c r="J46" s="185"/>
      <c r="K46" s="229">
        <f>IF($A$45&lt;&gt;"NÃO SELECIONADO",I46*J46,0)</f>
        <v>0</v>
      </c>
      <c r="L46" s="321" t="s">
        <v>185</v>
      </c>
      <c r="M46" s="221">
        <v>1</v>
      </c>
      <c r="N46" s="185">
        <v>200000</v>
      </c>
      <c r="O46" s="229">
        <f>IF($A$45&lt;&gt;"NÃO SELECIONADO",M46*N46,0)</f>
        <v>200000</v>
      </c>
      <c r="P46" s="192"/>
      <c r="Q46" s="221"/>
      <c r="R46" s="185"/>
      <c r="S46" s="229">
        <f>IF($A$45&lt;&gt;"NÃO SELECIONADO",Q46*R46,0)</f>
        <v>0</v>
      </c>
      <c r="T46" s="192"/>
      <c r="U46" s="221"/>
      <c r="V46" s="185"/>
      <c r="W46" s="229">
        <f>IF($A$45&lt;&gt;"NÃO SELECIONADO",U46*V46,0)</f>
        <v>0</v>
      </c>
    </row>
    <row r="47" spans="1:23">
      <c r="A47" s="764"/>
      <c r="B47" s="779"/>
      <c r="C47" s="778"/>
      <c r="D47" s="193"/>
      <c r="E47" s="221"/>
      <c r="F47" s="185"/>
      <c r="G47" s="229">
        <f>IF($A$45&lt;&gt;"NÃO SELECIONADO",E47*F47,0)</f>
        <v>0</v>
      </c>
      <c r="H47" s="192"/>
      <c r="I47" s="221"/>
      <c r="J47" s="185"/>
      <c r="K47" s="229">
        <f>IF($A$45&lt;&gt;"NÃO SELECIONADO",I47*J47,0)</f>
        <v>0</v>
      </c>
      <c r="L47" s="190"/>
      <c r="M47" s="221"/>
      <c r="N47" s="185"/>
      <c r="O47" s="229">
        <f>IF($A$45&lt;&gt;"NÃO SELECIONADO",M47*N47,0)</f>
        <v>0</v>
      </c>
      <c r="P47" s="192"/>
      <c r="Q47" s="221"/>
      <c r="R47" s="185"/>
      <c r="S47" s="229">
        <f>IF($A$45&lt;&gt;"NÃO SELECIONADO",Q47*R47,0)</f>
        <v>0</v>
      </c>
      <c r="T47" s="192"/>
      <c r="U47" s="221"/>
      <c r="V47" s="185"/>
      <c r="W47" s="229">
        <f>IF($A$45&lt;&gt;"NÃO SELECIONADO",U47*V47,0)</f>
        <v>0</v>
      </c>
    </row>
    <row r="48" spans="1:23" ht="243" customHeight="1">
      <c r="A48" s="764"/>
      <c r="B48" s="779"/>
      <c r="C48" s="778"/>
      <c r="D48" s="193"/>
      <c r="E48" s="221"/>
      <c r="F48" s="185"/>
      <c r="G48" s="229">
        <f>IF($A$45&lt;&gt;"NÃO SELECIONADO",E48*F48,0)</f>
        <v>0</v>
      </c>
      <c r="H48" s="192"/>
      <c r="I48" s="221"/>
      <c r="J48" s="185"/>
      <c r="K48" s="229">
        <f>IF($A$45&lt;&gt;"NÃO SELECIONADO",I48*J48,0)</f>
        <v>0</v>
      </c>
      <c r="L48" s="190"/>
      <c r="M48" s="221"/>
      <c r="N48" s="185"/>
      <c r="O48" s="229">
        <f>IF($A$45&lt;&gt;"NÃO SELECIONADO",M48*N48,0)</f>
        <v>0</v>
      </c>
      <c r="P48" s="192"/>
      <c r="Q48" s="221"/>
      <c r="R48" s="185"/>
      <c r="S48" s="229">
        <f>IF($A$45&lt;&gt;"NÃO SELECIONADO",Q48*R48,0)</f>
        <v>0</v>
      </c>
      <c r="T48" s="192"/>
      <c r="U48" s="221"/>
      <c r="V48" s="185"/>
      <c r="W48" s="229">
        <f>IF($A$45&lt;&gt;"NÃO SELECIONADO",U48*V48,0)</f>
        <v>0</v>
      </c>
    </row>
    <row r="49" spans="1:23">
      <c r="A49" s="287">
        <f>IF(A45&lt;&gt;"NÃO SELECIONADO",SUM(G45:G49)+SUM(K45:K49)+SUM(O45:O49)+SUM(S45:S49)+SUM(W45:W49),0)</f>
        <v>700000</v>
      </c>
      <c r="B49" s="779"/>
      <c r="C49" s="778"/>
      <c r="D49" s="193"/>
      <c r="E49" s="221"/>
      <c r="F49" s="185"/>
      <c r="G49" s="229">
        <f>IF($A$45&lt;&gt;"NÃO SELECIONADO",E49*F49,0)</f>
        <v>0</v>
      </c>
      <c r="H49" s="192"/>
      <c r="I49" s="221"/>
      <c r="J49" s="185"/>
      <c r="K49" s="229">
        <f>IF($A$45&lt;&gt;"NÃO SELECIONADO",I49*J49,0)</f>
        <v>0</v>
      </c>
      <c r="L49" s="190"/>
      <c r="M49" s="221"/>
      <c r="N49" s="185"/>
      <c r="O49" s="229">
        <f>IF($A$45&lt;&gt;"NÃO SELECIONADO",M49*N49,0)</f>
        <v>0</v>
      </c>
      <c r="P49" s="192"/>
      <c r="Q49" s="221"/>
      <c r="R49" s="185"/>
      <c r="S49" s="229">
        <f>IF($A$45&lt;&gt;"NÃO SELECIONADO",Q49*R49,0)</f>
        <v>0</v>
      </c>
      <c r="T49" s="192"/>
      <c r="U49" s="221"/>
      <c r="V49" s="185"/>
      <c r="W49" s="229">
        <f>IF($A$45&lt;&gt;"NÃO SELECIONADO",U49*V49,0)</f>
        <v>0</v>
      </c>
    </row>
    <row r="50" spans="1:23" ht="59.25" customHeight="1">
      <c r="A50" s="744" t="str">
        <f>'3_Comp e Produtos'!A38</f>
        <v xml:space="preserve">2.10. Solução para identificação e facilitação da eliminação dos pagamentos indevidos nos processos contra o Estado </v>
      </c>
      <c r="B50" s="757" t="s">
        <v>276</v>
      </c>
      <c r="C50" s="756"/>
      <c r="D50" s="378"/>
      <c r="E50" s="221"/>
      <c r="F50" s="185"/>
      <c r="G50" s="230">
        <f>IF($A$50&lt;&gt;"NÃO SELECIONADO",E50*F50,0)</f>
        <v>0</v>
      </c>
      <c r="H50" s="189" t="s">
        <v>186</v>
      </c>
      <c r="I50" s="221">
        <f>3*90</f>
        <v>270</v>
      </c>
      <c r="J50" s="185">
        <v>800</v>
      </c>
      <c r="K50" s="230">
        <f>IF($A$50&lt;&gt;"NÃO SELECIONADO",I50*J50,0)</f>
        <v>216000</v>
      </c>
      <c r="L50" s="536"/>
      <c r="M50" s="221"/>
      <c r="N50" s="185"/>
      <c r="O50" s="230">
        <f t="shared" ref="O50:O66" si="0">IF($A$87&lt;&gt;"NÃO SELECIONADO",M50*N50,0)</f>
        <v>0</v>
      </c>
      <c r="P50" s="192"/>
      <c r="Q50" s="221"/>
      <c r="R50" s="185"/>
      <c r="S50" s="230">
        <f t="shared" ref="S50:S56" si="1">IF($A$87&lt;&gt;"NÃO SELECIONADO",Q50*R50,0)</f>
        <v>0</v>
      </c>
      <c r="T50" s="192"/>
      <c r="U50" s="221"/>
      <c r="V50" s="185"/>
      <c r="W50" s="230">
        <f t="shared" ref="W50:W56" si="2">IF($A$87&lt;&gt;"NÃO SELECIONADO",U50*V50,0)</f>
        <v>0</v>
      </c>
    </row>
    <row r="51" spans="1:23" ht="44.25" customHeight="1">
      <c r="A51" s="744"/>
      <c r="B51" s="757"/>
      <c r="C51" s="756"/>
      <c r="D51" s="193"/>
      <c r="E51" s="221"/>
      <c r="F51" s="185"/>
      <c r="G51" s="230">
        <f t="shared" ref="G51:G53" si="3">IF($A$50&lt;&gt;"NÃO SELECIONADO",E51*F51,0)</f>
        <v>0</v>
      </c>
      <c r="H51" s="192"/>
      <c r="I51" s="221"/>
      <c r="J51" s="185"/>
      <c r="K51" s="230">
        <f t="shared" ref="K51:K56" si="4">IF($A$87&lt;&gt;"NÃO SELECIONADO",I51*J51,0)</f>
        <v>0</v>
      </c>
      <c r="L51" s="190"/>
      <c r="M51" s="221"/>
      <c r="N51" s="185"/>
      <c r="O51" s="230">
        <f t="shared" si="0"/>
        <v>0</v>
      </c>
      <c r="P51" s="192"/>
      <c r="Q51" s="221"/>
      <c r="R51" s="185"/>
      <c r="S51" s="230">
        <f t="shared" si="1"/>
        <v>0</v>
      </c>
      <c r="T51" s="192"/>
      <c r="U51" s="221"/>
      <c r="V51" s="185"/>
      <c r="W51" s="230">
        <f t="shared" si="2"/>
        <v>0</v>
      </c>
    </row>
    <row r="52" spans="1:23" ht="46.5" customHeight="1">
      <c r="A52" s="744"/>
      <c r="B52" s="757"/>
      <c r="C52" s="756"/>
      <c r="D52" s="193"/>
      <c r="E52" s="221"/>
      <c r="F52" s="185"/>
      <c r="G52" s="230">
        <f t="shared" si="3"/>
        <v>0</v>
      </c>
      <c r="H52" s="192"/>
      <c r="I52" s="221"/>
      <c r="J52" s="185"/>
      <c r="K52" s="230">
        <f t="shared" si="4"/>
        <v>0</v>
      </c>
      <c r="L52" s="190"/>
      <c r="M52" s="221"/>
      <c r="N52" s="185"/>
      <c r="O52" s="230">
        <f t="shared" si="0"/>
        <v>0</v>
      </c>
      <c r="P52" s="192"/>
      <c r="Q52" s="221"/>
      <c r="R52" s="185"/>
      <c r="S52" s="230">
        <f t="shared" si="1"/>
        <v>0</v>
      </c>
      <c r="T52" s="192"/>
      <c r="U52" s="221"/>
      <c r="V52" s="185"/>
      <c r="W52" s="230">
        <f t="shared" si="2"/>
        <v>0</v>
      </c>
    </row>
    <row r="53" spans="1:23" ht="27" customHeight="1">
      <c r="A53" s="744"/>
      <c r="B53" s="757"/>
      <c r="C53" s="756"/>
      <c r="D53" s="193"/>
      <c r="E53" s="221"/>
      <c r="F53" s="185"/>
      <c r="G53" s="230">
        <f t="shared" si="3"/>
        <v>0</v>
      </c>
      <c r="H53" s="192"/>
      <c r="I53" s="221"/>
      <c r="J53" s="185"/>
      <c r="K53" s="230">
        <f t="shared" si="4"/>
        <v>0</v>
      </c>
      <c r="L53" s="190"/>
      <c r="M53" s="221"/>
      <c r="N53" s="185"/>
      <c r="O53" s="230">
        <f t="shared" si="0"/>
        <v>0</v>
      </c>
      <c r="P53" s="192"/>
      <c r="Q53" s="221"/>
      <c r="R53" s="185"/>
      <c r="S53" s="230">
        <f t="shared" si="1"/>
        <v>0</v>
      </c>
      <c r="T53" s="192"/>
      <c r="U53" s="221"/>
      <c r="V53" s="185"/>
      <c r="W53" s="230">
        <f t="shared" si="2"/>
        <v>0</v>
      </c>
    </row>
    <row r="54" spans="1:23" ht="27.75" customHeight="1">
      <c r="A54" s="287">
        <f>IF(A50&lt;&gt;"NÃO SELECIONADO",SUM(G50:G54)+SUM(K50:K54)+SUM(O50:O54)+SUM(S50:S54)+SUM(W50:W54),0)</f>
        <v>216000</v>
      </c>
      <c r="B54" s="757"/>
      <c r="C54" s="756"/>
      <c r="D54" s="193"/>
      <c r="E54" s="221"/>
      <c r="F54" s="185"/>
      <c r="G54" s="230">
        <f>IF($A$87&lt;&gt;"NÃO SELECIONADO",E54*F54,0)</f>
        <v>0</v>
      </c>
      <c r="H54" s="192"/>
      <c r="I54" s="221"/>
      <c r="J54" s="185"/>
      <c r="K54" s="230">
        <f t="shared" si="4"/>
        <v>0</v>
      </c>
      <c r="L54" s="190"/>
      <c r="M54" s="221"/>
      <c r="N54" s="185"/>
      <c r="O54" s="230">
        <f t="shared" si="0"/>
        <v>0</v>
      </c>
      <c r="P54" s="192"/>
      <c r="Q54" s="221"/>
      <c r="R54" s="185"/>
      <c r="S54" s="230">
        <f t="shared" si="1"/>
        <v>0</v>
      </c>
      <c r="T54" s="192"/>
      <c r="U54" s="221"/>
      <c r="V54" s="185"/>
      <c r="W54" s="230">
        <f t="shared" si="2"/>
        <v>0</v>
      </c>
    </row>
    <row r="55" spans="1:23" ht="49.5" customHeight="1">
      <c r="A55" s="744" t="str">
        <f>'3_Comp e Produtos'!A39</f>
        <v>2.11. Sistema Integrado de Gestão Jurídica da AGU desenvolvido e implantado</v>
      </c>
      <c r="B55" s="779" t="s">
        <v>297</v>
      </c>
      <c r="C55" s="756"/>
      <c r="D55" s="378" t="s">
        <v>143</v>
      </c>
      <c r="E55" s="221">
        <v>4</v>
      </c>
      <c r="F55" s="185">
        <v>5000</v>
      </c>
      <c r="G55" s="230">
        <f>IF($A$55&lt;&gt;"NÃO SELECIONADO",E55*F55,0)</f>
        <v>20000</v>
      </c>
      <c r="H55" s="189" t="s">
        <v>139</v>
      </c>
      <c r="I55" s="221">
        <f>6*180</f>
        <v>1080</v>
      </c>
      <c r="J55" s="185">
        <v>800</v>
      </c>
      <c r="K55" s="230">
        <f t="shared" si="4"/>
        <v>864000</v>
      </c>
      <c r="L55" s="536" t="s">
        <v>229</v>
      </c>
      <c r="M55" s="557">
        <f>36*12</f>
        <v>432</v>
      </c>
      <c r="N55" s="328">
        <v>20000</v>
      </c>
      <c r="O55" s="230">
        <f t="shared" si="0"/>
        <v>8640000</v>
      </c>
      <c r="P55" s="573" t="s">
        <v>241</v>
      </c>
      <c r="Q55" s="221">
        <v>8000</v>
      </c>
      <c r="R55" s="185">
        <v>400</v>
      </c>
      <c r="S55" s="230">
        <f t="shared" si="1"/>
        <v>3200000</v>
      </c>
      <c r="T55" s="532" t="s">
        <v>142</v>
      </c>
      <c r="U55" s="221">
        <f>3*27</f>
        <v>81</v>
      </c>
      <c r="V55" s="185">
        <f>1000+(250*5)</f>
        <v>2250</v>
      </c>
      <c r="W55" s="230">
        <f t="shared" si="2"/>
        <v>182250</v>
      </c>
    </row>
    <row r="56" spans="1:23" ht="63.75">
      <c r="A56" s="744"/>
      <c r="B56" s="779"/>
      <c r="C56" s="756"/>
      <c r="D56" s="378" t="s">
        <v>144</v>
      </c>
      <c r="E56" s="221">
        <v>400</v>
      </c>
      <c r="F56" s="185">
        <v>500</v>
      </c>
      <c r="G56" s="230">
        <f t="shared" ref="G56:G58" si="5">IF($A$50&lt;&gt;"NÃO SELECIONADO",E56*F56,0)</f>
        <v>200000</v>
      </c>
      <c r="H56" s="189" t="s">
        <v>230</v>
      </c>
      <c r="I56" s="221">
        <f>8*360</f>
        <v>2880</v>
      </c>
      <c r="J56" s="185">
        <v>800</v>
      </c>
      <c r="K56" s="230">
        <f t="shared" si="4"/>
        <v>2304000</v>
      </c>
      <c r="L56" s="536" t="s">
        <v>269</v>
      </c>
      <c r="M56" s="558">
        <f>3*56</f>
        <v>168</v>
      </c>
      <c r="N56" s="185">
        <v>20000</v>
      </c>
      <c r="O56" s="230">
        <f t="shared" si="0"/>
        <v>3360000</v>
      </c>
      <c r="P56" s="192"/>
      <c r="Q56" s="221"/>
      <c r="R56" s="185"/>
      <c r="S56" s="230">
        <f t="shared" si="1"/>
        <v>0</v>
      </c>
      <c r="T56" s="192"/>
      <c r="U56" s="221"/>
      <c r="V56" s="185"/>
      <c r="W56" s="230">
        <f t="shared" si="2"/>
        <v>0</v>
      </c>
    </row>
    <row r="57" spans="1:23" ht="49.5" customHeight="1">
      <c r="A57" s="744"/>
      <c r="B57" s="779"/>
      <c r="C57" s="756"/>
      <c r="D57" s="378"/>
      <c r="E57" s="221"/>
      <c r="F57" s="185"/>
      <c r="G57" s="230">
        <f t="shared" si="5"/>
        <v>0</v>
      </c>
      <c r="H57" s="192"/>
      <c r="I57" s="221"/>
      <c r="J57" s="185"/>
      <c r="K57" s="230"/>
      <c r="L57" s="559" t="s">
        <v>226</v>
      </c>
      <c r="M57" s="221">
        <v>1</v>
      </c>
      <c r="N57" s="185">
        <v>4000000</v>
      </c>
      <c r="O57" s="230">
        <f t="shared" si="0"/>
        <v>4000000</v>
      </c>
      <c r="P57" s="192"/>
      <c r="Q57" s="221"/>
      <c r="R57" s="185"/>
      <c r="S57" s="230"/>
      <c r="T57" s="192"/>
      <c r="U57" s="221"/>
      <c r="V57" s="185"/>
      <c r="W57" s="230"/>
    </row>
    <row r="58" spans="1:23" ht="49.5" customHeight="1">
      <c r="A58" s="744"/>
      <c r="B58" s="779"/>
      <c r="C58" s="756"/>
      <c r="D58" s="378"/>
      <c r="E58" s="221"/>
      <c r="F58" s="185"/>
      <c r="G58" s="230">
        <f t="shared" si="5"/>
        <v>0</v>
      </c>
      <c r="H58" s="192"/>
      <c r="I58" s="221"/>
      <c r="J58" s="185"/>
      <c r="K58" s="230"/>
      <c r="L58" s="559" t="s">
        <v>227</v>
      </c>
      <c r="M58" s="221">
        <v>150</v>
      </c>
      <c r="N58" s="185">
        <v>9000</v>
      </c>
      <c r="O58" s="230">
        <f t="shared" si="0"/>
        <v>1350000</v>
      </c>
      <c r="P58" s="192"/>
      <c r="Q58" s="221"/>
      <c r="R58" s="185"/>
      <c r="S58" s="230"/>
      <c r="T58" s="192"/>
      <c r="U58" s="221"/>
      <c r="V58" s="185"/>
      <c r="W58" s="230"/>
    </row>
    <row r="59" spans="1:23" ht="38.25">
      <c r="A59" s="744"/>
      <c r="B59" s="779"/>
      <c r="C59" s="756"/>
      <c r="D59" s="378" t="s">
        <v>145</v>
      </c>
      <c r="E59" s="221">
        <v>300</v>
      </c>
      <c r="F59" s="185">
        <v>500</v>
      </c>
      <c r="G59" s="230">
        <f>IF($A$87&lt;&gt;"NÃO SELECIONADO",E59*F59,0)</f>
        <v>150000</v>
      </c>
      <c r="H59" s="192"/>
      <c r="I59" s="221"/>
      <c r="J59" s="185"/>
      <c r="K59" s="230">
        <f t="shared" ref="K59:K66" si="6">IF($A$87&lt;&gt;"NÃO SELECIONADO",I59*J59,0)</f>
        <v>0</v>
      </c>
      <c r="L59" s="559" t="s">
        <v>225</v>
      </c>
      <c r="M59" s="221">
        <v>2</v>
      </c>
      <c r="N59" s="185">
        <v>1400000</v>
      </c>
      <c r="O59" s="230">
        <f t="shared" si="0"/>
        <v>2800000</v>
      </c>
      <c r="P59" s="192"/>
      <c r="Q59" s="221"/>
      <c r="R59" s="185"/>
      <c r="S59" s="230">
        <f t="shared" ref="S59:S66" si="7">IF($A$87&lt;&gt;"NÃO SELECIONADO",Q59*R59,0)</f>
        <v>0</v>
      </c>
      <c r="T59" s="192"/>
      <c r="U59" s="221"/>
      <c r="V59" s="185"/>
      <c r="W59" s="230">
        <f t="shared" ref="W59:W66" si="8">IF($A$87&lt;&gt;"NÃO SELECIONADO",U59*V59,0)</f>
        <v>0</v>
      </c>
    </row>
    <row r="60" spans="1:23">
      <c r="A60" s="744"/>
      <c r="B60" s="779"/>
      <c r="C60" s="756"/>
      <c r="D60" s="193"/>
      <c r="E60" s="221"/>
      <c r="F60" s="185"/>
      <c r="G60" s="230">
        <f>IF($A$87&lt;&gt;"NÃO SELECIONADO",E60*F60,0)</f>
        <v>0</v>
      </c>
      <c r="H60" s="192"/>
      <c r="I60" s="221"/>
      <c r="J60" s="185"/>
      <c r="K60" s="230">
        <f t="shared" si="6"/>
        <v>0</v>
      </c>
      <c r="L60" s="559" t="s">
        <v>140</v>
      </c>
      <c r="M60" s="221">
        <v>6500</v>
      </c>
      <c r="N60" s="185">
        <v>2500</v>
      </c>
      <c r="O60" s="230">
        <f t="shared" si="0"/>
        <v>16250000</v>
      </c>
      <c r="P60" s="192"/>
      <c r="Q60" s="221"/>
      <c r="R60" s="185"/>
      <c r="S60" s="230">
        <f t="shared" si="7"/>
        <v>0</v>
      </c>
      <c r="T60" s="192"/>
      <c r="U60" s="221"/>
      <c r="V60" s="185"/>
      <c r="W60" s="230">
        <f t="shared" si="8"/>
        <v>0</v>
      </c>
    </row>
    <row r="61" spans="1:23">
      <c r="A61" s="287">
        <f>IF(A55&lt;&gt;"NÃO SELECIONADO",SUM(G55:G61)+SUM(K55:K61)+SUM(O55:O61)+SUM(S55:S61)+SUM(W55:W61),0)</f>
        <v>44653750</v>
      </c>
      <c r="B61" s="779"/>
      <c r="C61" s="756"/>
      <c r="D61" s="193"/>
      <c r="E61" s="221"/>
      <c r="F61" s="185"/>
      <c r="G61" s="230">
        <f>IF($A$87&lt;&gt;"NÃO SELECIONADO",E61*F61,0)</f>
        <v>0</v>
      </c>
      <c r="H61" s="192"/>
      <c r="I61" s="221"/>
      <c r="J61" s="185"/>
      <c r="K61" s="230">
        <f t="shared" si="6"/>
        <v>0</v>
      </c>
      <c r="L61" s="559" t="s">
        <v>141</v>
      </c>
      <c r="M61" s="221">
        <v>210</v>
      </c>
      <c r="N61" s="185">
        <v>6350</v>
      </c>
      <c r="O61" s="230">
        <f t="shared" si="0"/>
        <v>1333500</v>
      </c>
      <c r="P61" s="192"/>
      <c r="Q61" s="221"/>
      <c r="R61" s="185"/>
      <c r="S61" s="230">
        <f t="shared" si="7"/>
        <v>0</v>
      </c>
      <c r="T61" s="192"/>
      <c r="U61" s="221"/>
      <c r="V61" s="185"/>
      <c r="W61" s="230">
        <f t="shared" si="8"/>
        <v>0</v>
      </c>
    </row>
    <row r="62" spans="1:23" ht="89.25">
      <c r="A62" s="781" t="str">
        <f>'3_Comp e Produtos'!A42</f>
        <v>2.12. Redesenho e implementação dos fluxos de trabalho relativos a cálculos e perícias</v>
      </c>
      <c r="B62" s="783" t="s">
        <v>299</v>
      </c>
      <c r="C62" s="786"/>
      <c r="D62" s="378"/>
      <c r="E62" s="221"/>
      <c r="F62" s="185"/>
      <c r="G62" s="230">
        <f>IF($A$50&lt;&gt;"NÃO SELECIONADO",E62*F62,0)</f>
        <v>0</v>
      </c>
      <c r="H62" s="181" t="s">
        <v>228</v>
      </c>
      <c r="I62" s="330">
        <f>8*360</f>
        <v>2880</v>
      </c>
      <c r="J62" s="311">
        <v>800</v>
      </c>
      <c r="K62" s="230">
        <f t="shared" si="6"/>
        <v>2304000</v>
      </c>
      <c r="L62" s="190"/>
      <c r="M62" s="221"/>
      <c r="N62" s="185"/>
      <c r="O62" s="230">
        <f t="shared" si="0"/>
        <v>0</v>
      </c>
      <c r="P62" s="192"/>
      <c r="Q62" s="221"/>
      <c r="R62" s="185"/>
      <c r="S62" s="230">
        <f t="shared" si="7"/>
        <v>0</v>
      </c>
      <c r="T62" s="390" t="s">
        <v>153</v>
      </c>
      <c r="U62" s="225">
        <v>9</v>
      </c>
      <c r="V62" s="187">
        <v>1000</v>
      </c>
      <c r="W62" s="230">
        <f t="shared" si="8"/>
        <v>9000</v>
      </c>
    </row>
    <row r="63" spans="1:23" ht="60.75" customHeight="1">
      <c r="A63" s="782"/>
      <c r="B63" s="784"/>
      <c r="C63" s="787"/>
      <c r="D63" s="193"/>
      <c r="E63" s="221"/>
      <c r="F63" s="185"/>
      <c r="G63" s="230">
        <f t="shared" ref="G63:G65" si="9">IF($A$50&lt;&gt;"NÃO SELECIONADO",E63*F63,0)</f>
        <v>0</v>
      </c>
      <c r="H63" s="181" t="s">
        <v>163</v>
      </c>
      <c r="I63" s="330">
        <f>3*60*4</f>
        <v>720</v>
      </c>
      <c r="J63" s="311">
        <v>800</v>
      </c>
      <c r="K63" s="230">
        <f t="shared" si="6"/>
        <v>576000</v>
      </c>
      <c r="L63" s="190"/>
      <c r="M63" s="221"/>
      <c r="N63" s="185"/>
      <c r="O63" s="230">
        <f t="shared" si="0"/>
        <v>0</v>
      </c>
      <c r="P63" s="192"/>
      <c r="Q63" s="221"/>
      <c r="R63" s="185"/>
      <c r="S63" s="230">
        <f t="shared" si="7"/>
        <v>0</v>
      </c>
      <c r="T63" s="321" t="s">
        <v>154</v>
      </c>
      <c r="U63" s="221">
        <v>45</v>
      </c>
      <c r="V63" s="185">
        <v>250</v>
      </c>
      <c r="W63" s="230">
        <f t="shared" si="8"/>
        <v>11250</v>
      </c>
    </row>
    <row r="64" spans="1:23" ht="60.75" customHeight="1">
      <c r="A64" s="782"/>
      <c r="B64" s="784"/>
      <c r="C64" s="787"/>
      <c r="D64" s="193"/>
      <c r="E64" s="221"/>
      <c r="F64" s="185"/>
      <c r="G64" s="230">
        <f t="shared" si="9"/>
        <v>0</v>
      </c>
      <c r="H64" s="192"/>
      <c r="I64" s="221"/>
      <c r="J64" s="185"/>
      <c r="K64" s="230">
        <f t="shared" si="6"/>
        <v>0</v>
      </c>
      <c r="L64" s="190"/>
      <c r="M64" s="221"/>
      <c r="N64" s="185"/>
      <c r="O64" s="230">
        <f t="shared" si="0"/>
        <v>0</v>
      </c>
      <c r="P64" s="192"/>
      <c r="Q64" s="221"/>
      <c r="R64" s="185"/>
      <c r="S64" s="230">
        <f t="shared" si="7"/>
        <v>0</v>
      </c>
      <c r="T64" s="390" t="s">
        <v>165</v>
      </c>
      <c r="U64" s="225">
        <f>2*27</f>
        <v>54</v>
      </c>
      <c r="V64" s="187">
        <v>1000</v>
      </c>
      <c r="W64" s="230">
        <f t="shared" si="8"/>
        <v>54000</v>
      </c>
    </row>
    <row r="65" spans="1:23" ht="101.25" customHeight="1">
      <c r="A65" s="764"/>
      <c r="B65" s="784"/>
      <c r="C65" s="787"/>
      <c r="D65" s="193"/>
      <c r="E65" s="221"/>
      <c r="F65" s="185"/>
      <c r="G65" s="230">
        <f t="shared" si="9"/>
        <v>0</v>
      </c>
      <c r="H65" s="192"/>
      <c r="I65" s="221"/>
      <c r="J65" s="185"/>
      <c r="K65" s="230">
        <f t="shared" si="6"/>
        <v>0</v>
      </c>
      <c r="L65" s="190"/>
      <c r="M65" s="221"/>
      <c r="N65" s="185"/>
      <c r="O65" s="230">
        <f t="shared" si="0"/>
        <v>0</v>
      </c>
      <c r="P65" s="192"/>
      <c r="Q65" s="221"/>
      <c r="R65" s="185"/>
      <c r="S65" s="230">
        <f t="shared" si="7"/>
        <v>0</v>
      </c>
      <c r="T65" s="321" t="s">
        <v>166</v>
      </c>
      <c r="U65" s="221">
        <f>54*5</f>
        <v>270</v>
      </c>
      <c r="V65" s="185">
        <v>250</v>
      </c>
      <c r="W65" s="230">
        <f t="shared" si="8"/>
        <v>67500</v>
      </c>
    </row>
    <row r="66" spans="1:23" ht="13.5" thickBot="1">
      <c r="A66" s="287">
        <f>IF(A62&lt;&gt;"NÃO SELECIONADO",SUM(G62:G66)+SUM(K62:K66)+SUM(O62:O66)+SUM(S62:S66)+SUM(W62:W66),0)</f>
        <v>3021750</v>
      </c>
      <c r="B66" s="785"/>
      <c r="C66" s="788"/>
      <c r="D66" s="193"/>
      <c r="E66" s="221"/>
      <c r="F66" s="185"/>
      <c r="G66" s="230">
        <f>IF($A$87&lt;&gt;"NÃO SELECIONADO",E66*F66,0)</f>
        <v>0</v>
      </c>
      <c r="H66" s="192"/>
      <c r="I66" s="221"/>
      <c r="J66" s="185"/>
      <c r="K66" s="230">
        <f t="shared" si="6"/>
        <v>0</v>
      </c>
      <c r="L66" s="190"/>
      <c r="M66" s="221"/>
      <c r="N66" s="185"/>
      <c r="O66" s="230">
        <f t="shared" si="0"/>
        <v>0</v>
      </c>
      <c r="P66" s="192"/>
      <c r="Q66" s="221"/>
      <c r="R66" s="185"/>
      <c r="S66" s="230">
        <f t="shared" si="7"/>
        <v>0</v>
      </c>
      <c r="T66" s="192"/>
      <c r="U66" s="221"/>
      <c r="V66" s="185"/>
      <c r="W66" s="230">
        <f t="shared" si="8"/>
        <v>0</v>
      </c>
    </row>
    <row r="67" spans="1:23" ht="12.75" hidden="1" customHeight="1">
      <c r="A67" s="781" t="str">
        <f>'3_Comp e Produtos'!A36</f>
        <v xml:space="preserve">2.8. Plano de ação para aprimoramento da integração interinstitucional entre os órgãos responsáveis pela dívida ativa </v>
      </c>
      <c r="B67" s="794"/>
      <c r="C67" s="786"/>
      <c r="D67" s="378"/>
      <c r="E67" s="221"/>
      <c r="F67" s="185"/>
      <c r="G67" s="230">
        <f t="shared" ref="G67:G91" si="10">IF($A$87&lt;&gt;"NÃO SELECIONADO",E67*F67,0)</f>
        <v>0</v>
      </c>
      <c r="H67" s="189"/>
      <c r="I67" s="221"/>
      <c r="J67" s="185"/>
      <c r="K67" s="230">
        <f t="shared" ref="K67:K91" si="11">IF($A$87&lt;&gt;"NÃO SELECIONADO",I67*J67,0)</f>
        <v>0</v>
      </c>
      <c r="L67" s="190"/>
      <c r="M67" s="221"/>
      <c r="N67" s="185"/>
      <c r="O67" s="230">
        <f t="shared" ref="O67:O91" si="12">IF($A$87&lt;&gt;"NÃO SELECIONADO",M67*N67,0)</f>
        <v>0</v>
      </c>
      <c r="P67" s="192"/>
      <c r="Q67" s="221"/>
      <c r="R67" s="185"/>
      <c r="S67" s="230">
        <f t="shared" ref="S67:S91" si="13">IF($A$87&lt;&gt;"NÃO SELECIONADO",Q67*R67,0)</f>
        <v>0</v>
      </c>
      <c r="T67" s="192"/>
      <c r="U67" s="221"/>
      <c r="V67" s="185"/>
      <c r="W67" s="230">
        <f t="shared" ref="W67:W91" si="14">IF($A$87&lt;&gt;"NÃO SELECIONADO",U67*V67,0)</f>
        <v>0</v>
      </c>
    </row>
    <row r="68" spans="1:23" hidden="1">
      <c r="A68" s="782"/>
      <c r="B68" s="795"/>
      <c r="C68" s="787"/>
      <c r="D68" s="193"/>
      <c r="E68" s="221"/>
      <c r="F68" s="185"/>
      <c r="G68" s="230">
        <f t="shared" si="10"/>
        <v>0</v>
      </c>
      <c r="H68" s="192"/>
      <c r="I68" s="221"/>
      <c r="J68" s="185"/>
      <c r="K68" s="230">
        <f t="shared" si="11"/>
        <v>0</v>
      </c>
      <c r="L68" s="190"/>
      <c r="M68" s="221"/>
      <c r="N68" s="185"/>
      <c r="O68" s="230">
        <f t="shared" si="12"/>
        <v>0</v>
      </c>
      <c r="P68" s="192"/>
      <c r="Q68" s="221"/>
      <c r="R68" s="185"/>
      <c r="S68" s="230">
        <f t="shared" si="13"/>
        <v>0</v>
      </c>
      <c r="T68" s="192"/>
      <c r="U68" s="221"/>
      <c r="V68" s="185"/>
      <c r="W68" s="230">
        <f t="shared" si="14"/>
        <v>0</v>
      </c>
    </row>
    <row r="69" spans="1:23" hidden="1">
      <c r="A69" s="782"/>
      <c r="B69" s="795"/>
      <c r="C69" s="787"/>
      <c r="D69" s="193"/>
      <c r="E69" s="221"/>
      <c r="F69" s="185"/>
      <c r="G69" s="230">
        <f t="shared" si="10"/>
        <v>0</v>
      </c>
      <c r="H69" s="192"/>
      <c r="I69" s="221"/>
      <c r="J69" s="185"/>
      <c r="K69" s="230">
        <f t="shared" si="11"/>
        <v>0</v>
      </c>
      <c r="L69" s="190"/>
      <c r="M69" s="221"/>
      <c r="N69" s="185"/>
      <c r="O69" s="230">
        <f t="shared" si="12"/>
        <v>0</v>
      </c>
      <c r="P69" s="192"/>
      <c r="Q69" s="221"/>
      <c r="R69" s="185"/>
      <c r="S69" s="230">
        <f t="shared" si="13"/>
        <v>0</v>
      </c>
      <c r="T69" s="192"/>
      <c r="U69" s="221"/>
      <c r="V69" s="185"/>
      <c r="W69" s="230">
        <f t="shared" si="14"/>
        <v>0</v>
      </c>
    </row>
    <row r="70" spans="1:23" hidden="1">
      <c r="A70" s="764"/>
      <c r="B70" s="795"/>
      <c r="C70" s="787"/>
      <c r="D70" s="193"/>
      <c r="E70" s="221"/>
      <c r="F70" s="185"/>
      <c r="G70" s="230">
        <f t="shared" si="10"/>
        <v>0</v>
      </c>
      <c r="H70" s="192"/>
      <c r="I70" s="221"/>
      <c r="J70" s="185"/>
      <c r="K70" s="230">
        <f t="shared" si="11"/>
        <v>0</v>
      </c>
      <c r="L70" s="190"/>
      <c r="M70" s="221"/>
      <c r="N70" s="185"/>
      <c r="O70" s="230">
        <f t="shared" si="12"/>
        <v>0</v>
      </c>
      <c r="P70" s="192"/>
      <c r="Q70" s="221"/>
      <c r="R70" s="185"/>
      <c r="S70" s="230">
        <f t="shared" si="13"/>
        <v>0</v>
      </c>
      <c r="T70" s="192"/>
      <c r="U70" s="221"/>
      <c r="V70" s="185"/>
      <c r="W70" s="230">
        <f t="shared" si="14"/>
        <v>0</v>
      </c>
    </row>
    <row r="71" spans="1:23" hidden="1">
      <c r="A71" s="287">
        <f>IF(A67&lt;&gt;"NÃO SELECIONADO",SUM(G67:G71)+SUM(K67:K71)+SUM(O67:O71)+SUM(S67:S71)+SUM(W67:W71),0)</f>
        <v>0</v>
      </c>
      <c r="B71" s="796"/>
      <c r="C71" s="788"/>
      <c r="D71" s="193"/>
      <c r="E71" s="221"/>
      <c r="F71" s="185"/>
      <c r="G71" s="230">
        <f t="shared" si="10"/>
        <v>0</v>
      </c>
      <c r="H71" s="192"/>
      <c r="I71" s="221"/>
      <c r="J71" s="185"/>
      <c r="K71" s="230">
        <f t="shared" si="11"/>
        <v>0</v>
      </c>
      <c r="L71" s="190"/>
      <c r="M71" s="221"/>
      <c r="N71" s="185"/>
      <c r="O71" s="230">
        <f t="shared" si="12"/>
        <v>0</v>
      </c>
      <c r="P71" s="192"/>
      <c r="Q71" s="221"/>
      <c r="R71" s="185"/>
      <c r="S71" s="230">
        <f t="shared" si="13"/>
        <v>0</v>
      </c>
      <c r="T71" s="192"/>
      <c r="U71" s="221"/>
      <c r="V71" s="185"/>
      <c r="W71" s="230">
        <f t="shared" si="14"/>
        <v>0</v>
      </c>
    </row>
    <row r="72" spans="1:23" ht="12.75" hidden="1" customHeight="1">
      <c r="A72" s="781" t="str">
        <f>'3_Comp e Produtos'!A37</f>
        <v>2.9. Solução para avaliação de riscos do Estado e inclusões nos sistemas corporativos da AGU</v>
      </c>
      <c r="B72" s="794"/>
      <c r="C72" s="786"/>
      <c r="D72" s="378"/>
      <c r="E72" s="221"/>
      <c r="F72" s="185"/>
      <c r="G72" s="230">
        <f t="shared" si="10"/>
        <v>0</v>
      </c>
      <c r="H72" s="189"/>
      <c r="I72" s="221"/>
      <c r="J72" s="185"/>
      <c r="K72" s="230">
        <f t="shared" si="11"/>
        <v>0</v>
      </c>
      <c r="L72" s="190"/>
      <c r="M72" s="221"/>
      <c r="N72" s="185"/>
      <c r="O72" s="230">
        <f t="shared" si="12"/>
        <v>0</v>
      </c>
      <c r="P72" s="192"/>
      <c r="Q72" s="221"/>
      <c r="R72" s="185"/>
      <c r="S72" s="230">
        <f t="shared" si="13"/>
        <v>0</v>
      </c>
      <c r="T72" s="192"/>
      <c r="U72" s="221"/>
      <c r="V72" s="185"/>
      <c r="W72" s="230">
        <f t="shared" si="14"/>
        <v>0</v>
      </c>
    </row>
    <row r="73" spans="1:23" hidden="1">
      <c r="A73" s="782"/>
      <c r="B73" s="795"/>
      <c r="C73" s="787"/>
      <c r="D73" s="193"/>
      <c r="E73" s="221"/>
      <c r="F73" s="185"/>
      <c r="G73" s="230">
        <f t="shared" si="10"/>
        <v>0</v>
      </c>
      <c r="H73" s="192"/>
      <c r="I73" s="221"/>
      <c r="J73" s="185"/>
      <c r="K73" s="230">
        <f t="shared" si="11"/>
        <v>0</v>
      </c>
      <c r="L73" s="190"/>
      <c r="M73" s="221"/>
      <c r="N73" s="185"/>
      <c r="O73" s="230">
        <f t="shared" si="12"/>
        <v>0</v>
      </c>
      <c r="P73" s="192"/>
      <c r="Q73" s="221"/>
      <c r="R73" s="185"/>
      <c r="S73" s="230">
        <f t="shared" si="13"/>
        <v>0</v>
      </c>
      <c r="T73" s="192"/>
      <c r="U73" s="221"/>
      <c r="V73" s="185"/>
      <c r="W73" s="230">
        <f t="shared" si="14"/>
        <v>0</v>
      </c>
    </row>
    <row r="74" spans="1:23" hidden="1">
      <c r="A74" s="782"/>
      <c r="B74" s="795"/>
      <c r="C74" s="787"/>
      <c r="D74" s="193"/>
      <c r="E74" s="221"/>
      <c r="F74" s="185"/>
      <c r="G74" s="230">
        <f t="shared" si="10"/>
        <v>0</v>
      </c>
      <c r="H74" s="192"/>
      <c r="I74" s="221"/>
      <c r="J74" s="185"/>
      <c r="K74" s="230">
        <f t="shared" si="11"/>
        <v>0</v>
      </c>
      <c r="L74" s="190"/>
      <c r="M74" s="221"/>
      <c r="N74" s="185"/>
      <c r="O74" s="230">
        <f t="shared" si="12"/>
        <v>0</v>
      </c>
      <c r="P74" s="192"/>
      <c r="Q74" s="221"/>
      <c r="R74" s="185"/>
      <c r="S74" s="230">
        <f t="shared" si="13"/>
        <v>0</v>
      </c>
      <c r="T74" s="192"/>
      <c r="U74" s="221"/>
      <c r="V74" s="185"/>
      <c r="W74" s="230">
        <f t="shared" si="14"/>
        <v>0</v>
      </c>
    </row>
    <row r="75" spans="1:23" hidden="1">
      <c r="A75" s="764"/>
      <c r="B75" s="795"/>
      <c r="C75" s="787"/>
      <c r="D75" s="193"/>
      <c r="E75" s="221"/>
      <c r="F75" s="185"/>
      <c r="G75" s="230">
        <f t="shared" si="10"/>
        <v>0</v>
      </c>
      <c r="H75" s="192"/>
      <c r="I75" s="221"/>
      <c r="J75" s="185"/>
      <c r="K75" s="230">
        <f t="shared" si="11"/>
        <v>0</v>
      </c>
      <c r="L75" s="190"/>
      <c r="M75" s="221"/>
      <c r="N75" s="185"/>
      <c r="O75" s="230">
        <f t="shared" si="12"/>
        <v>0</v>
      </c>
      <c r="P75" s="192"/>
      <c r="Q75" s="221"/>
      <c r="R75" s="185"/>
      <c r="S75" s="230">
        <f t="shared" si="13"/>
        <v>0</v>
      </c>
      <c r="T75" s="192"/>
      <c r="U75" s="221"/>
      <c r="V75" s="185"/>
      <c r="W75" s="230">
        <f t="shared" si="14"/>
        <v>0</v>
      </c>
    </row>
    <row r="76" spans="1:23" hidden="1">
      <c r="A76" s="287">
        <f>IF(A72&lt;&gt;"NÃO SELECIONADO",SUM(G72:G76)+SUM(K72:K76)+SUM(O72:O76)+SUM(S72:S76)+SUM(W72:W76),0)</f>
        <v>0</v>
      </c>
      <c r="B76" s="796"/>
      <c r="C76" s="788"/>
      <c r="D76" s="193"/>
      <c r="E76" s="221"/>
      <c r="F76" s="185"/>
      <c r="G76" s="230">
        <f t="shared" si="10"/>
        <v>0</v>
      </c>
      <c r="H76" s="192"/>
      <c r="I76" s="221"/>
      <c r="J76" s="185"/>
      <c r="K76" s="230">
        <f t="shared" si="11"/>
        <v>0</v>
      </c>
      <c r="L76" s="190"/>
      <c r="M76" s="221"/>
      <c r="N76" s="185"/>
      <c r="O76" s="230">
        <f t="shared" si="12"/>
        <v>0</v>
      </c>
      <c r="P76" s="192"/>
      <c r="Q76" s="221"/>
      <c r="R76" s="185"/>
      <c r="S76" s="230">
        <f t="shared" si="13"/>
        <v>0</v>
      </c>
      <c r="T76" s="192"/>
      <c r="U76" s="221"/>
      <c r="V76" s="185"/>
      <c r="W76" s="230">
        <f t="shared" si="14"/>
        <v>0</v>
      </c>
    </row>
    <row r="77" spans="1:23" ht="12.75" hidden="1" customHeight="1">
      <c r="A77" s="781" t="str">
        <f>'3_Comp e Produtos'!A38</f>
        <v xml:space="preserve">2.10. Solução para identificação e facilitação da eliminação dos pagamentos indevidos nos processos contra o Estado </v>
      </c>
      <c r="B77" s="794"/>
      <c r="C77" s="786"/>
      <c r="D77" s="378"/>
      <c r="E77" s="221"/>
      <c r="F77" s="185"/>
      <c r="G77" s="230">
        <f t="shared" si="10"/>
        <v>0</v>
      </c>
      <c r="H77" s="189"/>
      <c r="I77" s="221"/>
      <c r="J77" s="185"/>
      <c r="K77" s="230">
        <f t="shared" si="11"/>
        <v>0</v>
      </c>
      <c r="L77" s="190"/>
      <c r="M77" s="221"/>
      <c r="N77" s="185"/>
      <c r="O77" s="230">
        <f t="shared" si="12"/>
        <v>0</v>
      </c>
      <c r="P77" s="192"/>
      <c r="Q77" s="221"/>
      <c r="R77" s="185"/>
      <c r="S77" s="230">
        <f t="shared" si="13"/>
        <v>0</v>
      </c>
      <c r="T77" s="192"/>
      <c r="U77" s="221"/>
      <c r="V77" s="185"/>
      <c r="W77" s="230">
        <f t="shared" si="14"/>
        <v>0</v>
      </c>
    </row>
    <row r="78" spans="1:23" hidden="1">
      <c r="A78" s="782"/>
      <c r="B78" s="795"/>
      <c r="C78" s="787"/>
      <c r="D78" s="193"/>
      <c r="E78" s="221"/>
      <c r="F78" s="185"/>
      <c r="G78" s="230">
        <f t="shared" si="10"/>
        <v>0</v>
      </c>
      <c r="H78" s="192"/>
      <c r="I78" s="221"/>
      <c r="J78" s="185"/>
      <c r="K78" s="230">
        <f t="shared" si="11"/>
        <v>0</v>
      </c>
      <c r="L78" s="190"/>
      <c r="M78" s="221"/>
      <c r="N78" s="185"/>
      <c r="O78" s="230">
        <f t="shared" si="12"/>
        <v>0</v>
      </c>
      <c r="P78" s="192"/>
      <c r="Q78" s="221"/>
      <c r="R78" s="185"/>
      <c r="S78" s="230">
        <f t="shared" si="13"/>
        <v>0</v>
      </c>
      <c r="T78" s="192"/>
      <c r="U78" s="221"/>
      <c r="V78" s="185"/>
      <c r="W78" s="230">
        <f t="shared" si="14"/>
        <v>0</v>
      </c>
    </row>
    <row r="79" spans="1:23" hidden="1">
      <c r="A79" s="782"/>
      <c r="B79" s="795"/>
      <c r="C79" s="787"/>
      <c r="D79" s="193"/>
      <c r="E79" s="221"/>
      <c r="F79" s="185"/>
      <c r="G79" s="230">
        <f t="shared" si="10"/>
        <v>0</v>
      </c>
      <c r="H79" s="192"/>
      <c r="I79" s="221"/>
      <c r="J79" s="185"/>
      <c r="K79" s="230">
        <f t="shared" si="11"/>
        <v>0</v>
      </c>
      <c r="L79" s="190"/>
      <c r="M79" s="221"/>
      <c r="N79" s="185"/>
      <c r="O79" s="230">
        <f t="shared" si="12"/>
        <v>0</v>
      </c>
      <c r="P79" s="192"/>
      <c r="Q79" s="221"/>
      <c r="R79" s="185"/>
      <c r="S79" s="230">
        <f t="shared" si="13"/>
        <v>0</v>
      </c>
      <c r="T79" s="192"/>
      <c r="U79" s="221"/>
      <c r="V79" s="185"/>
      <c r="W79" s="230">
        <f t="shared" si="14"/>
        <v>0</v>
      </c>
    </row>
    <row r="80" spans="1:23" hidden="1">
      <c r="A80" s="764"/>
      <c r="B80" s="795"/>
      <c r="C80" s="787"/>
      <c r="D80" s="193"/>
      <c r="E80" s="221"/>
      <c r="F80" s="185"/>
      <c r="G80" s="230">
        <f t="shared" si="10"/>
        <v>0</v>
      </c>
      <c r="H80" s="192"/>
      <c r="I80" s="221"/>
      <c r="J80" s="185"/>
      <c r="K80" s="230">
        <f t="shared" si="11"/>
        <v>0</v>
      </c>
      <c r="L80" s="190"/>
      <c r="M80" s="221"/>
      <c r="N80" s="185"/>
      <c r="O80" s="230">
        <f t="shared" si="12"/>
        <v>0</v>
      </c>
      <c r="P80" s="192"/>
      <c r="Q80" s="221"/>
      <c r="R80" s="185"/>
      <c r="S80" s="230">
        <f t="shared" si="13"/>
        <v>0</v>
      </c>
      <c r="T80" s="192"/>
      <c r="U80" s="221"/>
      <c r="V80" s="185"/>
      <c r="W80" s="230">
        <f t="shared" si="14"/>
        <v>0</v>
      </c>
    </row>
    <row r="81" spans="1:23" hidden="1">
      <c r="A81" s="287">
        <f>IF(A77&lt;&gt;"NÃO SELECIONADO",SUM(G77:G81)+SUM(K77:K81)+SUM(O77:O81)+SUM(S77:S81)+SUM(W77:W81),0)</f>
        <v>0</v>
      </c>
      <c r="B81" s="796"/>
      <c r="C81" s="788"/>
      <c r="D81" s="193"/>
      <c r="E81" s="221"/>
      <c r="F81" s="185"/>
      <c r="G81" s="230">
        <f t="shared" si="10"/>
        <v>0</v>
      </c>
      <c r="H81" s="192"/>
      <c r="I81" s="221"/>
      <c r="J81" s="185"/>
      <c r="K81" s="230">
        <f t="shared" si="11"/>
        <v>0</v>
      </c>
      <c r="L81" s="190"/>
      <c r="M81" s="221"/>
      <c r="N81" s="185"/>
      <c r="O81" s="230">
        <f t="shared" si="12"/>
        <v>0</v>
      </c>
      <c r="P81" s="192"/>
      <c r="Q81" s="221"/>
      <c r="R81" s="185"/>
      <c r="S81" s="230">
        <f t="shared" si="13"/>
        <v>0</v>
      </c>
      <c r="T81" s="192"/>
      <c r="U81" s="221"/>
      <c r="V81" s="185"/>
      <c r="W81" s="230">
        <f t="shared" si="14"/>
        <v>0</v>
      </c>
    </row>
    <row r="82" spans="1:23" ht="12.75" hidden="1" customHeight="1">
      <c r="A82" s="781" t="str">
        <f>'3_Comp e Produtos'!A40</f>
        <v>2.11.1 Definição do modelo conceitual; proposta e definição de uma nova arquitetura de sistemas, incluindo as estratégias de migração dos sistemas atuais</v>
      </c>
      <c r="B82" s="794"/>
      <c r="C82" s="786"/>
      <c r="D82" s="378"/>
      <c r="E82" s="221"/>
      <c r="F82" s="185"/>
      <c r="G82" s="230">
        <f t="shared" si="10"/>
        <v>0</v>
      </c>
      <c r="H82" s="189"/>
      <c r="I82" s="221"/>
      <c r="J82" s="185"/>
      <c r="K82" s="230">
        <f t="shared" si="11"/>
        <v>0</v>
      </c>
      <c r="L82" s="190"/>
      <c r="M82" s="221"/>
      <c r="N82" s="185"/>
      <c r="O82" s="230">
        <f t="shared" si="12"/>
        <v>0</v>
      </c>
      <c r="P82" s="192"/>
      <c r="Q82" s="221"/>
      <c r="R82" s="185"/>
      <c r="S82" s="230">
        <f t="shared" si="13"/>
        <v>0</v>
      </c>
      <c r="T82" s="192"/>
      <c r="U82" s="221"/>
      <c r="V82" s="185"/>
      <c r="W82" s="230">
        <f t="shared" si="14"/>
        <v>0</v>
      </c>
    </row>
    <row r="83" spans="1:23" hidden="1">
      <c r="A83" s="782"/>
      <c r="B83" s="795"/>
      <c r="C83" s="787"/>
      <c r="D83" s="193"/>
      <c r="E83" s="221"/>
      <c r="F83" s="185"/>
      <c r="G83" s="230">
        <f t="shared" si="10"/>
        <v>0</v>
      </c>
      <c r="H83" s="192"/>
      <c r="I83" s="221"/>
      <c r="J83" s="185"/>
      <c r="K83" s="230">
        <f t="shared" si="11"/>
        <v>0</v>
      </c>
      <c r="L83" s="190"/>
      <c r="M83" s="221"/>
      <c r="N83" s="185"/>
      <c r="O83" s="230">
        <f t="shared" si="12"/>
        <v>0</v>
      </c>
      <c r="P83" s="192"/>
      <c r="Q83" s="221"/>
      <c r="R83" s="185"/>
      <c r="S83" s="230">
        <f t="shared" si="13"/>
        <v>0</v>
      </c>
      <c r="T83" s="192"/>
      <c r="U83" s="221"/>
      <c r="V83" s="185"/>
      <c r="W83" s="230">
        <f t="shared" si="14"/>
        <v>0</v>
      </c>
    </row>
    <row r="84" spans="1:23" hidden="1">
      <c r="A84" s="782"/>
      <c r="B84" s="795"/>
      <c r="C84" s="787"/>
      <c r="D84" s="193"/>
      <c r="E84" s="221"/>
      <c r="F84" s="185"/>
      <c r="G84" s="230">
        <f t="shared" si="10"/>
        <v>0</v>
      </c>
      <c r="H84" s="192"/>
      <c r="I84" s="221"/>
      <c r="J84" s="185"/>
      <c r="K84" s="230">
        <f t="shared" si="11"/>
        <v>0</v>
      </c>
      <c r="L84" s="190"/>
      <c r="M84" s="221"/>
      <c r="N84" s="185"/>
      <c r="O84" s="230">
        <f t="shared" si="12"/>
        <v>0</v>
      </c>
      <c r="P84" s="192"/>
      <c r="Q84" s="221"/>
      <c r="R84" s="185"/>
      <c r="S84" s="230">
        <f t="shared" si="13"/>
        <v>0</v>
      </c>
      <c r="T84" s="192"/>
      <c r="U84" s="221"/>
      <c r="V84" s="185"/>
      <c r="W84" s="230">
        <f t="shared" si="14"/>
        <v>0</v>
      </c>
    </row>
    <row r="85" spans="1:23" hidden="1">
      <c r="A85" s="764"/>
      <c r="B85" s="795"/>
      <c r="C85" s="787"/>
      <c r="D85" s="193"/>
      <c r="E85" s="221"/>
      <c r="F85" s="185"/>
      <c r="G85" s="230">
        <f t="shared" si="10"/>
        <v>0</v>
      </c>
      <c r="H85" s="192"/>
      <c r="I85" s="221"/>
      <c r="J85" s="185"/>
      <c r="K85" s="230">
        <f t="shared" si="11"/>
        <v>0</v>
      </c>
      <c r="L85" s="190"/>
      <c r="M85" s="221"/>
      <c r="N85" s="185"/>
      <c r="O85" s="230">
        <f t="shared" si="12"/>
        <v>0</v>
      </c>
      <c r="P85" s="192"/>
      <c r="Q85" s="221"/>
      <c r="R85" s="185"/>
      <c r="S85" s="230">
        <f t="shared" si="13"/>
        <v>0</v>
      </c>
      <c r="T85" s="192"/>
      <c r="U85" s="221"/>
      <c r="V85" s="185"/>
      <c r="W85" s="230">
        <f t="shared" si="14"/>
        <v>0</v>
      </c>
    </row>
    <row r="86" spans="1:23" hidden="1">
      <c r="A86" s="287">
        <f>IF(A82&lt;&gt;"NÃO SELECIONADO",SUM(G82:G86)+SUM(K82:K86)+SUM(O82:O86)+SUM(S82:S86)+SUM(W82:W86),0)</f>
        <v>0</v>
      </c>
      <c r="B86" s="796"/>
      <c r="C86" s="788"/>
      <c r="D86" s="193"/>
      <c r="E86" s="221"/>
      <c r="F86" s="185"/>
      <c r="G86" s="230">
        <f t="shared" si="10"/>
        <v>0</v>
      </c>
      <c r="H86" s="192"/>
      <c r="I86" s="221"/>
      <c r="J86" s="185"/>
      <c r="K86" s="230">
        <f t="shared" si="11"/>
        <v>0</v>
      </c>
      <c r="L86" s="190"/>
      <c r="M86" s="221"/>
      <c r="N86" s="185"/>
      <c r="O86" s="230">
        <f t="shared" si="12"/>
        <v>0</v>
      </c>
      <c r="P86" s="192"/>
      <c r="Q86" s="221"/>
      <c r="R86" s="185"/>
      <c r="S86" s="230">
        <f t="shared" si="13"/>
        <v>0</v>
      </c>
      <c r="T86" s="192"/>
      <c r="U86" s="221"/>
      <c r="V86" s="185"/>
      <c r="W86" s="230">
        <f t="shared" si="14"/>
        <v>0</v>
      </c>
    </row>
    <row r="87" spans="1:23" ht="12.75" hidden="1" customHeight="1">
      <c r="A87" s="781" t="str">
        <f>'3_Comp e Produtos'!A41</f>
        <v>2.11.2 Desenvolvimento e implementação de um sistema integrado de gestão jurídica para a AGU, incluindo a interconexão com os sistemas do judiciário</v>
      </c>
      <c r="B87" s="794"/>
      <c r="C87" s="786"/>
      <c r="D87" s="378"/>
      <c r="E87" s="221"/>
      <c r="F87" s="185"/>
      <c r="G87" s="230">
        <f t="shared" si="10"/>
        <v>0</v>
      </c>
      <c r="H87" s="189"/>
      <c r="I87" s="221"/>
      <c r="J87" s="185"/>
      <c r="K87" s="230">
        <f t="shared" si="11"/>
        <v>0</v>
      </c>
      <c r="L87" s="190"/>
      <c r="M87" s="221"/>
      <c r="N87" s="185"/>
      <c r="O87" s="230">
        <f t="shared" si="12"/>
        <v>0</v>
      </c>
      <c r="P87" s="192"/>
      <c r="Q87" s="221"/>
      <c r="R87" s="185"/>
      <c r="S87" s="230">
        <f t="shared" si="13"/>
        <v>0</v>
      </c>
      <c r="T87" s="192"/>
      <c r="U87" s="221"/>
      <c r="V87" s="185"/>
      <c r="W87" s="230">
        <f t="shared" si="14"/>
        <v>0</v>
      </c>
    </row>
    <row r="88" spans="1:23" hidden="1">
      <c r="A88" s="782"/>
      <c r="B88" s="795"/>
      <c r="C88" s="787"/>
      <c r="D88" s="193"/>
      <c r="E88" s="221"/>
      <c r="F88" s="185"/>
      <c r="G88" s="230">
        <f t="shared" si="10"/>
        <v>0</v>
      </c>
      <c r="H88" s="192"/>
      <c r="I88" s="221"/>
      <c r="J88" s="185"/>
      <c r="K88" s="230">
        <f t="shared" si="11"/>
        <v>0</v>
      </c>
      <c r="L88" s="190"/>
      <c r="M88" s="221"/>
      <c r="N88" s="185"/>
      <c r="O88" s="230">
        <f t="shared" si="12"/>
        <v>0</v>
      </c>
      <c r="P88" s="192"/>
      <c r="Q88" s="221"/>
      <c r="R88" s="185"/>
      <c r="S88" s="230">
        <f t="shared" si="13"/>
        <v>0</v>
      </c>
      <c r="T88" s="192"/>
      <c r="U88" s="221"/>
      <c r="V88" s="185"/>
      <c r="W88" s="230">
        <f t="shared" si="14"/>
        <v>0</v>
      </c>
    </row>
    <row r="89" spans="1:23" hidden="1">
      <c r="A89" s="782"/>
      <c r="B89" s="795"/>
      <c r="C89" s="787"/>
      <c r="D89" s="193"/>
      <c r="E89" s="221"/>
      <c r="F89" s="185"/>
      <c r="G89" s="230">
        <f t="shared" si="10"/>
        <v>0</v>
      </c>
      <c r="H89" s="192"/>
      <c r="I89" s="221"/>
      <c r="J89" s="185"/>
      <c r="K89" s="230">
        <f t="shared" si="11"/>
        <v>0</v>
      </c>
      <c r="L89" s="190"/>
      <c r="M89" s="221"/>
      <c r="N89" s="185"/>
      <c r="O89" s="230">
        <f t="shared" si="12"/>
        <v>0</v>
      </c>
      <c r="P89" s="192"/>
      <c r="Q89" s="221"/>
      <c r="R89" s="185"/>
      <c r="S89" s="230">
        <f t="shared" si="13"/>
        <v>0</v>
      </c>
      <c r="T89" s="192"/>
      <c r="U89" s="221"/>
      <c r="V89" s="185"/>
      <c r="W89" s="230">
        <f t="shared" si="14"/>
        <v>0</v>
      </c>
    </row>
    <row r="90" spans="1:23" hidden="1">
      <c r="A90" s="764"/>
      <c r="B90" s="795"/>
      <c r="C90" s="787"/>
      <c r="D90" s="193"/>
      <c r="E90" s="221"/>
      <c r="F90" s="185"/>
      <c r="G90" s="230">
        <f t="shared" si="10"/>
        <v>0</v>
      </c>
      <c r="H90" s="192"/>
      <c r="I90" s="221"/>
      <c r="J90" s="185"/>
      <c r="K90" s="230">
        <f t="shared" si="11"/>
        <v>0</v>
      </c>
      <c r="L90" s="190"/>
      <c r="M90" s="221"/>
      <c r="N90" s="185"/>
      <c r="O90" s="230">
        <f t="shared" si="12"/>
        <v>0</v>
      </c>
      <c r="P90" s="192"/>
      <c r="Q90" s="221"/>
      <c r="R90" s="185"/>
      <c r="S90" s="230">
        <f t="shared" si="13"/>
        <v>0</v>
      </c>
      <c r="T90" s="192"/>
      <c r="U90" s="221"/>
      <c r="V90" s="185"/>
      <c r="W90" s="230">
        <f t="shared" si="14"/>
        <v>0</v>
      </c>
    </row>
    <row r="91" spans="1:23" ht="13.5" hidden="1" thickBot="1">
      <c r="A91" s="287">
        <f>IF(A87&lt;&gt;"NÃO SELECIONADO",SUM(G87:G91)+SUM(K87:K91)+SUM(O87:O91)+SUM(S87:S91)+SUM(W87:W91),0)</f>
        <v>0</v>
      </c>
      <c r="B91" s="798"/>
      <c r="C91" s="797"/>
      <c r="D91" s="193"/>
      <c r="E91" s="221"/>
      <c r="F91" s="185"/>
      <c r="G91" s="230">
        <f t="shared" si="10"/>
        <v>0</v>
      </c>
      <c r="H91" s="192"/>
      <c r="I91" s="221"/>
      <c r="J91" s="185"/>
      <c r="K91" s="230">
        <f t="shared" si="11"/>
        <v>0</v>
      </c>
      <c r="L91" s="190"/>
      <c r="M91" s="221"/>
      <c r="N91" s="185"/>
      <c r="O91" s="230">
        <f t="shared" si="12"/>
        <v>0</v>
      </c>
      <c r="P91" s="192"/>
      <c r="Q91" s="221"/>
      <c r="R91" s="185"/>
      <c r="S91" s="230">
        <f t="shared" si="13"/>
        <v>0</v>
      </c>
      <c r="T91" s="192"/>
      <c r="U91" s="221"/>
      <c r="V91" s="185"/>
      <c r="W91" s="230">
        <f t="shared" si="14"/>
        <v>0</v>
      </c>
    </row>
    <row r="92" spans="1:23" s="288" customFormat="1" ht="13.5" thickBot="1">
      <c r="A92" s="211" t="s">
        <v>16</v>
      </c>
      <c r="B92" s="544">
        <f>SUM(G92:W92)</f>
        <v>62479250</v>
      </c>
      <c r="C92" s="212"/>
      <c r="D92" s="213"/>
      <c r="E92" s="224"/>
      <c r="F92" s="214"/>
      <c r="G92" s="310">
        <f>SUM(G5:G91)</f>
        <v>700000</v>
      </c>
      <c r="H92" s="215"/>
      <c r="I92" s="224"/>
      <c r="J92" s="214"/>
      <c r="K92" s="310">
        <f>SUM(K5:K91)</f>
        <v>16668000</v>
      </c>
      <c r="L92" s="216"/>
      <c r="M92" s="224"/>
      <c r="N92" s="214"/>
      <c r="O92" s="310">
        <f>SUM(O5:O91)</f>
        <v>38433500</v>
      </c>
      <c r="P92" s="215"/>
      <c r="Q92" s="224"/>
      <c r="R92" s="214"/>
      <c r="S92" s="310">
        <f>SUM(S5:S91)</f>
        <v>3854000</v>
      </c>
      <c r="T92" s="215"/>
      <c r="U92" s="224"/>
      <c r="V92" s="214"/>
      <c r="W92" s="310">
        <f>SUM(W5:W91)</f>
        <v>2823750</v>
      </c>
    </row>
    <row r="95" spans="1:23">
      <c r="T95" s="217"/>
    </row>
    <row r="98" spans="7:8">
      <c r="H98" s="217"/>
    </row>
    <row r="101" spans="7:8">
      <c r="G101" s="217"/>
    </row>
    <row r="102" spans="7:8">
      <c r="G102" s="217"/>
      <c r="H102" s="217"/>
    </row>
  </sheetData>
  <mergeCells count="65">
    <mergeCell ref="A77:A80"/>
    <mergeCell ref="B77:B81"/>
    <mergeCell ref="C77:C81"/>
    <mergeCell ref="C87:C91"/>
    <mergeCell ref="B87:B91"/>
    <mergeCell ref="A87:A90"/>
    <mergeCell ref="B82:B86"/>
    <mergeCell ref="A82:A85"/>
    <mergeCell ref="C82:C86"/>
    <mergeCell ref="A67:A70"/>
    <mergeCell ref="B67:B71"/>
    <mergeCell ref="C67:C71"/>
    <mergeCell ref="A72:A75"/>
    <mergeCell ref="B72:B76"/>
    <mergeCell ref="C72:C76"/>
    <mergeCell ref="A55:A60"/>
    <mergeCell ref="B55:B61"/>
    <mergeCell ref="C55:C61"/>
    <mergeCell ref="A50:A53"/>
    <mergeCell ref="B50:B54"/>
    <mergeCell ref="C50:C54"/>
    <mergeCell ref="A62:A65"/>
    <mergeCell ref="B62:B66"/>
    <mergeCell ref="C62:C66"/>
    <mergeCell ref="A2:B2"/>
    <mergeCell ref="A3:A4"/>
    <mergeCell ref="B3:B4"/>
    <mergeCell ref="C3:C4"/>
    <mergeCell ref="A10:A13"/>
    <mergeCell ref="B10:B14"/>
    <mergeCell ref="C10:C14"/>
    <mergeCell ref="A5:A8"/>
    <mergeCell ref="B5:B9"/>
    <mergeCell ref="C5:C9"/>
    <mergeCell ref="A15:A18"/>
    <mergeCell ref="B15:B19"/>
    <mergeCell ref="C15:C19"/>
    <mergeCell ref="B30:B34"/>
    <mergeCell ref="C30:C34"/>
    <mergeCell ref="V3:W3"/>
    <mergeCell ref="D3:E3"/>
    <mergeCell ref="F3:G3"/>
    <mergeCell ref="H3:I3"/>
    <mergeCell ref="J3:K3"/>
    <mergeCell ref="L3:M3"/>
    <mergeCell ref="R3:S3"/>
    <mergeCell ref="T3:U3"/>
    <mergeCell ref="N3:O3"/>
    <mergeCell ref="P3:Q3"/>
    <mergeCell ref="A35:A38"/>
    <mergeCell ref="B45:B49"/>
    <mergeCell ref="C45:C49"/>
    <mergeCell ref="B35:B39"/>
    <mergeCell ref="A20:A23"/>
    <mergeCell ref="B20:B24"/>
    <mergeCell ref="C20:C24"/>
    <mergeCell ref="A25:A28"/>
    <mergeCell ref="B25:B29"/>
    <mergeCell ref="C25:C29"/>
    <mergeCell ref="C35:C39"/>
    <mergeCell ref="A40:A43"/>
    <mergeCell ref="A45:A48"/>
    <mergeCell ref="B40:B44"/>
    <mergeCell ref="C40:C44"/>
    <mergeCell ref="A30:A33"/>
  </mergeCells>
  <phoneticPr fontId="0" type="noConversion"/>
  <printOptions verticalCentered="1"/>
  <pageMargins left="0.39370078740157483" right="0.39370078740157483" top="0.78740157480314965" bottom="0.59055118110236227" header="0.31496062992125984" footer="0.31496062992125984"/>
  <pageSetup paperSize="9" scale="75" firstPageNumber="0" orientation="landscape" r:id="rId1"/>
  <headerFooter>
    <oddHeader>&amp;LBID Modernização da AGU&amp;C
&amp;"Arial,Negrito"PLANO DE AÇÃO E DE INVESTIMENTOS - PAI</oddHeader>
    <oddFooter>&amp;L&amp;D&amp;C&amp;A&amp;R&amp;P / &amp;N</oddFooter>
  </headerFooter>
  <colBreaks count="2" manualBreakCount="2">
    <brk id="7" max="1048575" man="1"/>
    <brk id="15" max="1048575" man="1"/>
  </colBreaks>
  <legacyDrawing r:id="rId2"/>
</worksheet>
</file>

<file path=xl/worksheets/sheet6.xml><?xml version="1.0" encoding="utf-8"?>
<worksheet xmlns="http://schemas.openxmlformats.org/spreadsheetml/2006/main" xmlns:r="http://schemas.openxmlformats.org/officeDocument/2006/relationships">
  <dimension ref="A1:BG67"/>
  <sheetViews>
    <sheetView topLeftCell="A31" zoomScale="85" zoomScaleNormal="85" workbookViewId="0">
      <selection activeCell="B64" sqref="B64"/>
    </sheetView>
  </sheetViews>
  <sheetFormatPr defaultColWidth="9.140625" defaultRowHeight="12.75"/>
  <cols>
    <col min="1" max="1" width="30.7109375" style="217" customWidth="1"/>
    <col min="2" max="2" width="42.7109375" style="169" customWidth="1"/>
    <col min="3" max="3" width="29.140625" style="169" customWidth="1"/>
    <col min="4" max="4" width="31.28515625" style="169" customWidth="1"/>
    <col min="5" max="5" width="10.7109375" style="219" customWidth="1"/>
    <col min="6" max="6" width="10.7109375" style="218" customWidth="1"/>
    <col min="7" max="7" width="12.7109375" style="169" customWidth="1"/>
    <col min="8" max="8" width="25" style="169" customWidth="1"/>
    <col min="9" max="9" width="6.7109375" style="219" customWidth="1"/>
    <col min="10" max="10" width="8.140625" style="218" bestFit="1" customWidth="1"/>
    <col min="11" max="11" width="12.140625" style="169" customWidth="1"/>
    <col min="12" max="12" width="25" style="174" customWidth="1"/>
    <col min="13" max="13" width="6.7109375" style="219" customWidth="1"/>
    <col min="14" max="14" width="10.7109375" style="218" customWidth="1"/>
    <col min="15" max="15" width="12.7109375" style="94" customWidth="1"/>
    <col min="16" max="16" width="25.42578125" style="169" customWidth="1"/>
    <col min="17" max="17" width="7.5703125" style="219" bestFit="1" customWidth="1"/>
    <col min="18" max="18" width="10.7109375" style="218" customWidth="1"/>
    <col min="19" max="19" width="11.5703125" style="94" bestFit="1" customWidth="1"/>
    <col min="20" max="20" width="25.42578125" style="169" customWidth="1"/>
    <col min="21" max="21" width="6.7109375" style="219" customWidth="1"/>
    <col min="22" max="22" width="10.7109375" style="218" customWidth="1"/>
    <col min="23" max="23" width="10" style="94" customWidth="1"/>
    <col min="24" max="16384" width="9.140625" style="169"/>
  </cols>
  <sheetData>
    <row r="1" spans="1:59" ht="13.5" thickBot="1">
      <c r="A1" s="161" t="s">
        <v>85</v>
      </c>
      <c r="B1" s="162"/>
      <c r="C1" s="163"/>
      <c r="D1" s="163"/>
      <c r="E1" s="166"/>
      <c r="F1" s="164"/>
      <c r="G1" s="165"/>
      <c r="H1" s="165"/>
      <c r="I1" s="166"/>
      <c r="J1" s="167"/>
      <c r="K1" s="165"/>
      <c r="L1" s="168"/>
      <c r="M1" s="166"/>
      <c r="N1" s="167"/>
      <c r="O1" s="27"/>
      <c r="P1" s="165"/>
      <c r="Q1" s="166"/>
      <c r="R1" s="167"/>
      <c r="S1" s="27"/>
      <c r="T1" s="165"/>
      <c r="U1" s="166"/>
      <c r="V1" s="167"/>
      <c r="W1" s="27"/>
    </row>
    <row r="2" spans="1:59" s="174" customFormat="1" ht="13.5" thickBot="1">
      <c r="A2" s="766" t="s">
        <v>187</v>
      </c>
      <c r="B2" s="766"/>
      <c r="C2" s="170"/>
      <c r="D2" s="170"/>
      <c r="E2" s="172"/>
      <c r="F2" s="171"/>
      <c r="G2" s="170"/>
      <c r="H2" s="170"/>
      <c r="I2" s="172"/>
      <c r="J2" s="171"/>
      <c r="K2" s="170"/>
      <c r="L2" s="170"/>
      <c r="M2" s="172"/>
      <c r="N2" s="171"/>
      <c r="O2" s="88"/>
      <c r="P2" s="170"/>
      <c r="Q2" s="172"/>
      <c r="R2" s="171"/>
      <c r="S2" s="88"/>
      <c r="T2" s="299"/>
      <c r="U2" s="300"/>
      <c r="V2" s="301"/>
      <c r="W2" s="302"/>
      <c r="X2" s="173"/>
      <c r="Y2" s="173"/>
      <c r="Z2" s="173"/>
      <c r="AA2" s="173"/>
      <c r="AB2" s="173"/>
      <c r="AC2" s="173"/>
      <c r="AD2" s="173"/>
      <c r="AE2" s="173"/>
      <c r="AF2" s="173"/>
      <c r="AG2" s="173"/>
      <c r="AH2" s="173"/>
      <c r="AI2" s="173"/>
      <c r="AJ2" s="173"/>
      <c r="AK2" s="173"/>
      <c r="AL2" s="173"/>
      <c r="AM2" s="173"/>
      <c r="AN2" s="173"/>
      <c r="AO2" s="173"/>
      <c r="AP2" s="173"/>
      <c r="AQ2" s="173"/>
      <c r="AR2" s="173"/>
      <c r="AS2" s="173"/>
      <c r="AT2" s="173"/>
      <c r="AU2" s="173"/>
      <c r="AV2" s="173"/>
      <c r="AW2" s="173"/>
      <c r="AX2" s="173"/>
      <c r="AY2" s="173"/>
      <c r="AZ2" s="173"/>
      <c r="BA2" s="173"/>
      <c r="BB2" s="173"/>
      <c r="BC2" s="173"/>
      <c r="BD2" s="173"/>
      <c r="BE2" s="173"/>
      <c r="BF2" s="173"/>
      <c r="BG2" s="173"/>
    </row>
    <row r="3" spans="1:59" s="388" customFormat="1" ht="13.5" thickBot="1">
      <c r="A3" s="767" t="s">
        <v>3</v>
      </c>
      <c r="B3" s="768" t="s">
        <v>4</v>
      </c>
      <c r="C3" s="769" t="s">
        <v>5</v>
      </c>
      <c r="D3" s="733" t="s">
        <v>6</v>
      </c>
      <c r="E3" s="747"/>
      <c r="F3" s="748" t="s">
        <v>7</v>
      </c>
      <c r="G3" s="749"/>
      <c r="H3" s="745" t="s">
        <v>8</v>
      </c>
      <c r="I3" s="746"/>
      <c r="J3" s="737" t="s">
        <v>7</v>
      </c>
      <c r="K3" s="738"/>
      <c r="L3" s="733" t="s">
        <v>9</v>
      </c>
      <c r="M3" s="734"/>
      <c r="N3" s="739" t="s">
        <v>7</v>
      </c>
      <c r="O3" s="740"/>
      <c r="P3" s="735" t="s">
        <v>81</v>
      </c>
      <c r="Q3" s="736"/>
      <c r="R3" s="737" t="s">
        <v>7</v>
      </c>
      <c r="S3" s="743"/>
      <c r="T3" s="741" t="s">
        <v>82</v>
      </c>
      <c r="U3" s="742"/>
      <c r="V3" s="731" t="s">
        <v>7</v>
      </c>
      <c r="W3" s="732"/>
    </row>
    <row r="4" spans="1:59" ht="13.5" thickBot="1">
      <c r="A4" s="767"/>
      <c r="B4" s="768"/>
      <c r="C4" s="769"/>
      <c r="D4" s="175" t="s">
        <v>10</v>
      </c>
      <c r="E4" s="176" t="s">
        <v>11</v>
      </c>
      <c r="F4" s="176" t="s">
        <v>0</v>
      </c>
      <c r="G4" s="177" t="s">
        <v>62</v>
      </c>
      <c r="H4" s="178" t="s">
        <v>12</v>
      </c>
      <c r="I4" s="179" t="s">
        <v>1</v>
      </c>
      <c r="J4" s="179" t="s">
        <v>0</v>
      </c>
      <c r="K4" s="180" t="s">
        <v>62</v>
      </c>
      <c r="L4" s="175" t="s">
        <v>13</v>
      </c>
      <c r="M4" s="176" t="s">
        <v>14</v>
      </c>
      <c r="N4" s="176" t="s">
        <v>0</v>
      </c>
      <c r="O4" s="177" t="s">
        <v>62</v>
      </c>
      <c r="P4" s="178" t="s">
        <v>13</v>
      </c>
      <c r="Q4" s="179" t="s">
        <v>14</v>
      </c>
      <c r="R4" s="179" t="s">
        <v>0</v>
      </c>
      <c r="S4" s="180" t="s">
        <v>62</v>
      </c>
      <c r="T4" s="296" t="s">
        <v>15</v>
      </c>
      <c r="U4" s="297" t="s">
        <v>14</v>
      </c>
      <c r="V4" s="297" t="s">
        <v>0</v>
      </c>
      <c r="W4" s="298" t="s">
        <v>62</v>
      </c>
    </row>
    <row r="5" spans="1:59" ht="26.25" thickBot="1">
      <c r="A5" s="765" t="str">
        <f>'3_Comp e Produtos'!A44</f>
        <v>3.1. Elaboração do plano estratégico de gestão da Secretaria-Geral</v>
      </c>
      <c r="B5" s="758" t="s">
        <v>277</v>
      </c>
      <c r="C5" s="754"/>
      <c r="D5" s="181"/>
      <c r="E5" s="330"/>
      <c r="F5" s="231"/>
      <c r="G5" s="229">
        <f>IF($A$5&lt;&gt;"NÃO SELECIONADO",E5*F5,0)</f>
        <v>0</v>
      </c>
      <c r="H5" s="181" t="s">
        <v>201</v>
      </c>
      <c r="I5" s="330">
        <v>180</v>
      </c>
      <c r="J5" s="311">
        <v>800</v>
      </c>
      <c r="K5" s="229">
        <f>IF($A$5&lt;&gt;"NÃO SELECIONADO",I5*J5,0)</f>
        <v>144000</v>
      </c>
      <c r="L5" s="183"/>
      <c r="M5" s="223"/>
      <c r="N5" s="184"/>
      <c r="O5" s="229">
        <f>IF($A$5&lt;&gt;"NÃO SELECIONADO",M5*N5,0)</f>
        <v>0</v>
      </c>
      <c r="P5" s="181"/>
      <c r="Q5" s="225"/>
      <c r="R5" s="389"/>
      <c r="S5" s="229">
        <f>IF($A$5&lt;&gt;"NÃO SELECIONADO",Q5*R5,0)</f>
        <v>0</v>
      </c>
      <c r="T5" s="390"/>
      <c r="U5" s="225"/>
      <c r="V5" s="187"/>
      <c r="W5" s="229">
        <f>IF($A$5&lt;&gt;"NÃO SELECIONADO",U5*V5,0)</f>
        <v>0</v>
      </c>
    </row>
    <row r="6" spans="1:59" ht="13.5" thickBot="1">
      <c r="A6" s="765"/>
      <c r="B6" s="759"/>
      <c r="C6" s="754"/>
      <c r="D6" s="189"/>
      <c r="E6" s="330"/>
      <c r="F6" s="231"/>
      <c r="G6" s="229">
        <f>IF($A$5&lt;&gt;"NÃO SELECIONADO",E6*F6,0)</f>
        <v>0</v>
      </c>
      <c r="H6" s="181"/>
      <c r="I6" s="330"/>
      <c r="J6" s="311"/>
      <c r="K6" s="229">
        <f>IF($A$5&lt;&gt;"NÃO SELECIONADO",I6*J6,0)</f>
        <v>0</v>
      </c>
      <c r="L6" s="190"/>
      <c r="M6" s="221"/>
      <c r="N6" s="185"/>
      <c r="O6" s="229">
        <f>IF($A$5&lt;&gt;"NÃO SELECIONADO",M6*N6,0)</f>
        <v>0</v>
      </c>
      <c r="P6" s="191"/>
      <c r="Q6" s="221"/>
      <c r="R6" s="185"/>
      <c r="S6" s="229">
        <f>IF($A$5&lt;&gt;"NÃO SELECIONADO",Q6*R6,0)</f>
        <v>0</v>
      </c>
      <c r="T6" s="321"/>
      <c r="U6" s="221"/>
      <c r="V6" s="185"/>
      <c r="W6" s="229">
        <f>IF($A$5&lt;&gt;"NÃO SELECIONADO",U6*V6,0)</f>
        <v>0</v>
      </c>
    </row>
    <row r="7" spans="1:59" ht="13.5" thickBot="1">
      <c r="A7" s="765"/>
      <c r="B7" s="759"/>
      <c r="C7" s="754"/>
      <c r="D7" s="189"/>
      <c r="E7" s="330"/>
      <c r="F7" s="231"/>
      <c r="G7" s="229">
        <f>IF($A$5&lt;&gt;"NÃO SELECIONADO",E7*F7,0)</f>
        <v>0</v>
      </c>
      <c r="H7" s="193"/>
      <c r="I7" s="326"/>
      <c r="J7" s="231"/>
      <c r="K7" s="229">
        <f>IF($A$5&lt;&gt;"NÃO SELECIONADO",I7*J7,0)</f>
        <v>0</v>
      </c>
      <c r="L7" s="190"/>
      <c r="M7" s="221"/>
      <c r="N7" s="185"/>
      <c r="O7" s="229">
        <f>IF($A$5&lt;&gt;"NÃO SELECIONADO",M7*N7,0)</f>
        <v>0</v>
      </c>
      <c r="P7" s="191"/>
      <c r="Q7" s="221"/>
      <c r="R7" s="185"/>
      <c r="S7" s="229">
        <f>IF($A$5&lt;&gt;"NÃO SELECIONADO",Q7*R7,0)</f>
        <v>0</v>
      </c>
      <c r="T7" s="190"/>
      <c r="U7" s="221"/>
      <c r="V7" s="185"/>
      <c r="W7" s="229">
        <f>IF($A$5&lt;&gt;"NÃO SELECIONADO",U7*V7,0)</f>
        <v>0</v>
      </c>
    </row>
    <row r="8" spans="1:59">
      <c r="A8" s="765"/>
      <c r="B8" s="759"/>
      <c r="C8" s="754"/>
      <c r="D8" s="324"/>
      <c r="E8" s="326"/>
      <c r="F8" s="231"/>
      <c r="G8" s="229">
        <f>IF($A$5&lt;&gt;"NÃO SELECIONADO",E8*F8,0)</f>
        <v>0</v>
      </c>
      <c r="H8" s="193"/>
      <c r="I8" s="326"/>
      <c r="J8" s="231"/>
      <c r="K8" s="229">
        <f>IF($A$5&lt;&gt;"NÃO SELECIONADO",I8*J8,0)</f>
        <v>0</v>
      </c>
      <c r="L8" s="190"/>
      <c r="M8" s="221"/>
      <c r="N8" s="185"/>
      <c r="O8" s="229">
        <f>IF($A$5&lt;&gt;"NÃO SELECIONADO",M8*N8,0)</f>
        <v>0</v>
      </c>
      <c r="P8" s="191"/>
      <c r="Q8" s="221"/>
      <c r="R8" s="185"/>
      <c r="S8" s="229">
        <f>IF($A$5&lt;&gt;"NÃO SELECIONADO",Q8*R8,0)</f>
        <v>0</v>
      </c>
      <c r="T8" s="192"/>
      <c r="U8" s="221"/>
      <c r="V8" s="185"/>
      <c r="W8" s="229">
        <f>IF($A$5&lt;&gt;"NÃO SELECIONADO",U8*V8,0)</f>
        <v>0</v>
      </c>
    </row>
    <row r="9" spans="1:59">
      <c r="A9" s="317">
        <f>IF(A5&lt;&gt;"NÃO SELECIONADO",SUM(G5:G9)+SUM(K5:K9)+SUM(O5:O9)+SUM(S5:S9)+SUM(W5:W9),0)</f>
        <v>144000</v>
      </c>
      <c r="B9" s="760"/>
      <c r="C9" s="755"/>
      <c r="D9" s="363"/>
      <c r="E9" s="326"/>
      <c r="F9" s="231"/>
      <c r="G9" s="229">
        <f>IF($A$5&lt;&gt;"NÃO SELECIONADO",E9*F9,0)</f>
        <v>0</v>
      </c>
      <c r="H9" s="193"/>
      <c r="I9" s="326"/>
      <c r="J9" s="231"/>
      <c r="K9" s="229">
        <f>IF($A$5&lt;&gt;"NÃO SELECIONADO",I9*J9,0)</f>
        <v>0</v>
      </c>
      <c r="L9" s="190"/>
      <c r="M9" s="221"/>
      <c r="N9" s="185"/>
      <c r="O9" s="229">
        <f>IF($A$5&lt;&gt;"NÃO SELECIONADO",M9*N9,0)</f>
        <v>0</v>
      </c>
      <c r="P9" s="191"/>
      <c r="Q9" s="221"/>
      <c r="R9" s="185"/>
      <c r="S9" s="229">
        <f>IF($A$5&lt;&gt;"NÃO SELECIONADO",Q9*R9,0)</f>
        <v>0</v>
      </c>
      <c r="T9" s="192"/>
      <c r="U9" s="221"/>
      <c r="V9" s="185"/>
      <c r="W9" s="229">
        <f>IF($A$5&lt;&gt;"NÃO SELECIONADO",U9*V9,0)</f>
        <v>0</v>
      </c>
    </row>
    <row r="10" spans="1:59" ht="61.5" customHeight="1">
      <c r="A10" s="773" t="str">
        <f>'3_Comp e Produtos'!A45</f>
        <v xml:space="preserve">3.2. Reestruturação dos fluxos de trabalho dos processos administrativos </v>
      </c>
      <c r="B10" s="775" t="s">
        <v>278</v>
      </c>
      <c r="C10" s="754"/>
      <c r="D10" s="416"/>
      <c r="E10" s="326"/>
      <c r="F10" s="231"/>
      <c r="G10" s="230">
        <f>IF($A$10&lt;&gt;"NÃO SELECIONADO",E10*F10,0)</f>
        <v>0</v>
      </c>
      <c r="H10" s="181" t="s">
        <v>202</v>
      </c>
      <c r="I10" s="330">
        <f>4*180</f>
        <v>720</v>
      </c>
      <c r="J10" s="311">
        <v>800</v>
      </c>
      <c r="K10" s="230">
        <f>IF($A$10&lt;&gt;"NÃO SELECIONADO",I10*J10,0)</f>
        <v>576000</v>
      </c>
      <c r="L10" s="536"/>
      <c r="M10" s="326"/>
      <c r="N10" s="328"/>
      <c r="O10" s="230">
        <f>IF($A$10&lt;&gt;"NÃO SELECIONADO",M10*N10,0)</f>
        <v>0</v>
      </c>
      <c r="P10" s="191"/>
      <c r="Q10" s="221"/>
      <c r="R10" s="185"/>
      <c r="S10" s="230">
        <f>IF($A$10&lt;&gt;"NÃO SELECIONADO",Q10*R10,0)</f>
        <v>0</v>
      </c>
      <c r="T10" s="390" t="s">
        <v>204</v>
      </c>
      <c r="U10" s="225">
        <v>64</v>
      </c>
      <c r="V10" s="187">
        <v>1000</v>
      </c>
      <c r="W10" s="230">
        <f>IF($A$10&lt;&gt;"NÃO SELECIONADO",U10*V10,0)</f>
        <v>64000</v>
      </c>
    </row>
    <row r="11" spans="1:59" ht="61.5" customHeight="1">
      <c r="A11" s="774"/>
      <c r="B11" s="776"/>
      <c r="C11" s="754"/>
      <c r="D11" s="189"/>
      <c r="E11" s="326"/>
      <c r="F11" s="231"/>
      <c r="G11" s="230">
        <f>IF($A$10&lt;&gt;"NÃO SELECIONADO",E11*F11,0)</f>
        <v>0</v>
      </c>
      <c r="H11" s="181" t="s">
        <v>203</v>
      </c>
      <c r="I11" s="330">
        <f>2*30*4</f>
        <v>240</v>
      </c>
      <c r="J11" s="311">
        <v>800</v>
      </c>
      <c r="K11" s="230">
        <f>IF($A$10&lt;&gt;"NÃO SELECIONADO",I11*J11,0)</f>
        <v>192000</v>
      </c>
      <c r="L11" s="536"/>
      <c r="M11" s="326"/>
      <c r="N11" s="328"/>
      <c r="O11" s="230">
        <f>IF($A$10&lt;&gt;"NÃO SELECIONADO",M11*N11,0)</f>
        <v>0</v>
      </c>
      <c r="P11" s="191"/>
      <c r="Q11" s="221"/>
      <c r="R11" s="185"/>
      <c r="S11" s="230">
        <f>IF($A$10&lt;&gt;"NÃO SELECIONADO",Q11*R11,0)</f>
        <v>0</v>
      </c>
      <c r="T11" s="321" t="s">
        <v>205</v>
      </c>
      <c r="U11" s="221">
        <v>320</v>
      </c>
      <c r="V11" s="185">
        <v>250</v>
      </c>
      <c r="W11" s="230">
        <f>IF($A$10&lt;&gt;"NÃO SELECIONADO",U11*V11,0)</f>
        <v>80000</v>
      </c>
    </row>
    <row r="12" spans="1:59" ht="61.5" customHeight="1">
      <c r="A12" s="774"/>
      <c r="B12" s="776"/>
      <c r="C12" s="754"/>
      <c r="D12" s="316"/>
      <c r="E12" s="326"/>
      <c r="F12" s="231"/>
      <c r="G12" s="230">
        <f>IF($A$10&lt;&gt;"NÃO SELECIONADO",E12*F12,0)</f>
        <v>0</v>
      </c>
      <c r="H12" s="189"/>
      <c r="I12" s="220"/>
      <c r="J12" s="531"/>
      <c r="K12" s="230">
        <f>IF($A$10&lt;&gt;"NÃO SELECIONADO",I12*J12,0)</f>
        <v>0</v>
      </c>
      <c r="L12" s="189"/>
      <c r="M12" s="326"/>
      <c r="N12" s="328"/>
      <c r="O12" s="230">
        <f>IF($A$10&lt;&gt;"NÃO SELECIONADO",M12*N12,0)</f>
        <v>0</v>
      </c>
      <c r="P12" s="191"/>
      <c r="Q12" s="221"/>
      <c r="R12" s="185"/>
      <c r="S12" s="230">
        <f>IF($A$10&lt;&gt;"NÃO SELECIONADO",Q12*R12,0)</f>
        <v>0</v>
      </c>
      <c r="T12" s="390"/>
      <c r="U12" s="221"/>
      <c r="V12" s="185"/>
      <c r="W12" s="230">
        <f>IF($A$10&lt;&gt;"NÃO SELECIONADO",U12*V12,0)</f>
        <v>0</v>
      </c>
    </row>
    <row r="13" spans="1:59" ht="61.5" customHeight="1">
      <c r="A13" s="774"/>
      <c r="B13" s="776"/>
      <c r="C13" s="754"/>
      <c r="D13" s="316"/>
      <c r="E13" s="326"/>
      <c r="F13" s="231"/>
      <c r="G13" s="230">
        <f>IF($A$10&lt;&gt;"NÃO SELECIONADO",E13*F13,0)</f>
        <v>0</v>
      </c>
      <c r="H13" s="189"/>
      <c r="I13" s="326"/>
      <c r="J13" s="231"/>
      <c r="K13" s="230">
        <f>IF($A$10&lt;&gt;"NÃO SELECIONADO",I13*J13,0)</f>
        <v>0</v>
      </c>
      <c r="L13" s="193"/>
      <c r="M13" s="326"/>
      <c r="N13" s="329"/>
      <c r="O13" s="230">
        <f>IF($A$10&lt;&gt;"NÃO SELECIONADO",M13*N13,0)</f>
        <v>0</v>
      </c>
      <c r="P13" s="191"/>
      <c r="Q13" s="221"/>
      <c r="R13" s="185"/>
      <c r="S13" s="230">
        <f>IF($A$10&lt;&gt;"NÃO SELECIONADO",Q13*R13,0)</f>
        <v>0</v>
      </c>
      <c r="T13" s="321"/>
      <c r="U13" s="221"/>
      <c r="V13" s="185"/>
      <c r="W13" s="230">
        <f>IF($A$10&lt;&gt;"NÃO SELECIONADO",U13*V13,0)</f>
        <v>0</v>
      </c>
    </row>
    <row r="14" spans="1:59">
      <c r="A14" s="317">
        <f>IF(A10&lt;&gt;"NÃO SELECIONADO",SUM(G10:G14)+SUM(K10:K14)+SUM(O10:O14)+SUM(S10:S14)+SUM(W10:W14),0)</f>
        <v>912000</v>
      </c>
      <c r="B14" s="777"/>
      <c r="C14" s="755"/>
      <c r="D14" s="316"/>
      <c r="E14" s="326"/>
      <c r="F14" s="231"/>
      <c r="G14" s="230">
        <f>IF($A$10&lt;&gt;"NÃO SELECIONADO",E14*F14,0)</f>
        <v>0</v>
      </c>
      <c r="H14" s="191"/>
      <c r="I14" s="221"/>
      <c r="J14" s="185"/>
      <c r="K14" s="230">
        <f>IF($A$10&lt;&gt;"NÃO SELECIONADO",I14*J14,0)</f>
        <v>0</v>
      </c>
      <c r="L14" s="193"/>
      <c r="M14" s="221"/>
      <c r="N14" s="185"/>
      <c r="O14" s="230">
        <f>IF($A$10&lt;&gt;"NÃO SELECIONADO",M14*N14,0)</f>
        <v>0</v>
      </c>
      <c r="P14" s="191"/>
      <c r="Q14" s="221"/>
      <c r="R14" s="185"/>
      <c r="S14" s="230">
        <f>IF($A$10&lt;&gt;"NÃO SELECIONADO",Q14*R14,0)</f>
        <v>0</v>
      </c>
      <c r="T14" s="192"/>
      <c r="U14" s="221"/>
      <c r="V14" s="185"/>
      <c r="W14" s="230">
        <f>IF($A$10&lt;&gt;"NÃO SELECIONADO",U14*V14,0)</f>
        <v>0</v>
      </c>
    </row>
    <row r="15" spans="1:59" ht="66" customHeight="1">
      <c r="A15" s="770" t="str">
        <f>'3_Comp e Produtos'!A46</f>
        <v>3.3. Implementação dos centros de custos</v>
      </c>
      <c r="B15" s="758" t="s">
        <v>279</v>
      </c>
      <c r="C15" s="753"/>
      <c r="D15" s="536" t="s">
        <v>207</v>
      </c>
      <c r="E15" s="330">
        <v>10</v>
      </c>
      <c r="F15" s="364">
        <v>2500</v>
      </c>
      <c r="G15" s="230">
        <f>IF($A$15&lt;&gt;"NÃO SELECIONADO",E15*F15,0)</f>
        <v>25000</v>
      </c>
      <c r="H15" s="189" t="s">
        <v>206</v>
      </c>
      <c r="I15" s="330">
        <v>360</v>
      </c>
      <c r="J15" s="353">
        <v>800</v>
      </c>
      <c r="K15" s="230">
        <f>IF($A$15&lt;&gt;"NÃO SELECIONADO",I15*J15,0)</f>
        <v>288000</v>
      </c>
      <c r="L15" s="189"/>
      <c r="M15" s="330"/>
      <c r="N15" s="353"/>
      <c r="O15" s="230">
        <f>IF($A$15&lt;&gt;"NÃO SELECIONADO",M15*N15,0)</f>
        <v>0</v>
      </c>
      <c r="P15" s="417"/>
      <c r="Q15" s="201"/>
      <c r="R15" s="202"/>
      <c r="S15" s="230">
        <f>IF($A$15&lt;&gt;"NÃO SELECIONADO",Q15*R15,0)</f>
        <v>0</v>
      </c>
      <c r="T15" s="545" t="s">
        <v>157</v>
      </c>
      <c r="U15" s="222">
        <v>25</v>
      </c>
      <c r="V15" s="477">
        <v>1000</v>
      </c>
      <c r="W15" s="230">
        <f>IF($A$15&lt;&gt;"NÃO SELECIONADO",U15*V15,0)</f>
        <v>25000</v>
      </c>
    </row>
    <row r="16" spans="1:59" ht="66" customHeight="1">
      <c r="A16" s="771"/>
      <c r="B16" s="759"/>
      <c r="C16" s="754"/>
      <c r="D16" s="536"/>
      <c r="E16" s="326"/>
      <c r="F16" s="351"/>
      <c r="G16" s="230">
        <f>IF($A$15&lt;&gt;"NÃO SELECIONADO",E16*F16,0)</f>
        <v>0</v>
      </c>
      <c r="H16" s="536" t="s">
        <v>183</v>
      </c>
      <c r="I16" s="330">
        <v>120</v>
      </c>
      <c r="J16" s="353">
        <v>800</v>
      </c>
      <c r="K16" s="230">
        <f>IF($A$15&lt;&gt;"NÃO SELECIONADO",I16*J16,0)</f>
        <v>96000</v>
      </c>
      <c r="L16" s="197"/>
      <c r="M16" s="198"/>
      <c r="N16" s="199"/>
      <c r="O16" s="230">
        <f>IF($A$15&lt;&gt;"NÃO SELECIONADO",M16*N16,0)</f>
        <v>0</v>
      </c>
      <c r="P16" s="200"/>
      <c r="Q16" s="201"/>
      <c r="R16" s="202"/>
      <c r="S16" s="230">
        <f>IF($A$15&lt;&gt;"NÃO SELECIONADO",Q16*R16,0)</f>
        <v>0</v>
      </c>
      <c r="T16" s="545" t="s">
        <v>313</v>
      </c>
      <c r="U16" s="222">
        <v>90</v>
      </c>
      <c r="V16" s="478">
        <v>250</v>
      </c>
      <c r="W16" s="230">
        <f>IF($A$15&lt;&gt;"NÃO SELECIONADO",U16*V16,0)</f>
        <v>22500</v>
      </c>
    </row>
    <row r="17" spans="1:23" ht="66" customHeight="1">
      <c r="A17" s="771"/>
      <c r="B17" s="759"/>
      <c r="C17" s="754"/>
      <c r="D17" s="189"/>
      <c r="E17" s="326"/>
      <c r="F17" s="351"/>
      <c r="G17" s="230">
        <f>IF($A$15&lt;&gt;"NÃO SELECIONADO",E17*F17,0)</f>
        <v>0</v>
      </c>
      <c r="H17" s="203"/>
      <c r="I17" s="196"/>
      <c r="J17" s="204"/>
      <c r="K17" s="230">
        <f>IF($A$15&lt;&gt;"NÃO SELECIONADO",I17*J17,0)</f>
        <v>0</v>
      </c>
      <c r="L17" s="197"/>
      <c r="M17" s="198"/>
      <c r="N17" s="199"/>
      <c r="O17" s="230">
        <f>IF($A$15&lt;&gt;"NÃO SELECIONADO",M17*N17,0)</f>
        <v>0</v>
      </c>
      <c r="P17" s="200"/>
      <c r="Q17" s="201"/>
      <c r="R17" s="202"/>
      <c r="S17" s="230">
        <f>IF($A$15&lt;&gt;"NÃO SELECIONADO",Q17*R17,0)</f>
        <v>0</v>
      </c>
      <c r="T17" s="205"/>
      <c r="U17" s="222"/>
      <c r="V17" s="478"/>
      <c r="W17" s="230">
        <f>IF($A$15&lt;&gt;"NÃO SELECIONADO",U17*V17,0)</f>
        <v>0</v>
      </c>
    </row>
    <row r="18" spans="1:23" ht="66" customHeight="1">
      <c r="A18" s="772"/>
      <c r="B18" s="759"/>
      <c r="C18" s="754"/>
      <c r="D18" s="324"/>
      <c r="E18" s="326"/>
      <c r="F18" s="351"/>
      <c r="G18" s="230">
        <f>IF($A$15&lt;&gt;"NÃO SELECIONADO",E18*F18,0)</f>
        <v>0</v>
      </c>
      <c r="H18" s="206"/>
      <c r="I18" s="222"/>
      <c r="J18" s="194"/>
      <c r="K18" s="230">
        <f>IF($A$15&lt;&gt;"NÃO SELECIONADO",I18*J18,0)</f>
        <v>0</v>
      </c>
      <c r="L18" s="197"/>
      <c r="M18" s="198"/>
      <c r="N18" s="199"/>
      <c r="O18" s="230">
        <f>IF($A$15&lt;&gt;"NÃO SELECIONADO",M18*N18,0)</f>
        <v>0</v>
      </c>
      <c r="P18" s="207"/>
      <c r="Q18" s="208"/>
      <c r="R18" s="209"/>
      <c r="S18" s="230">
        <f>IF($A$15&lt;&gt;"NÃO SELECIONADO",Q18*R18,0)</f>
        <v>0</v>
      </c>
      <c r="T18" s="205"/>
      <c r="U18" s="222"/>
      <c r="V18" s="478"/>
      <c r="W18" s="230">
        <f>IF($A$15&lt;&gt;"NÃO SELECIONADO",U18*V18,0)</f>
        <v>0</v>
      </c>
    </row>
    <row r="19" spans="1:23">
      <c r="A19" s="317">
        <f>IF(A15&lt;&gt;"NÃO SELECIONADO",SUM(G15:G19)+SUM(K15:K19)+SUM(O15:O19)+SUM(S15:S19)+SUM(W15:W19),0)</f>
        <v>456500</v>
      </c>
      <c r="B19" s="760"/>
      <c r="C19" s="755"/>
      <c r="D19" s="324"/>
      <c r="E19" s="326"/>
      <c r="F19" s="351"/>
      <c r="G19" s="230">
        <f>IF($A$15&lt;&gt;"NÃO SELECIONADO",E19*F19,0)</f>
        <v>0</v>
      </c>
      <c r="H19" s="191"/>
      <c r="I19" s="221"/>
      <c r="J19" s="185"/>
      <c r="K19" s="230">
        <f>IF($A$15&lt;&gt;"NÃO SELECIONADO",I19*J19,0)</f>
        <v>0</v>
      </c>
      <c r="L19" s="197"/>
      <c r="M19" s="198"/>
      <c r="N19" s="199"/>
      <c r="O19" s="230">
        <f>IF($A$15&lt;&gt;"NÃO SELECIONADO",M19*N19,0)</f>
        <v>0</v>
      </c>
      <c r="P19" s="193"/>
      <c r="Q19" s="221"/>
      <c r="R19" s="185"/>
      <c r="S19" s="230">
        <f>IF($A$15&lt;&gt;"NÃO SELECIONADO",Q19*R19,0)</f>
        <v>0</v>
      </c>
      <c r="T19" s="205"/>
      <c r="U19" s="222"/>
      <c r="V19" s="478"/>
      <c r="W19" s="230">
        <f>IF($A$15&lt;&gt;"NÃO SELECIONADO",U19*V19,0)</f>
        <v>0</v>
      </c>
    </row>
    <row r="20" spans="1:23" ht="69" customHeight="1">
      <c r="A20" s="744" t="str">
        <f>'3_Comp e Produtos'!A47</f>
        <v>3.4. Revisão do modelo de gestão logística territorial e avaliação da implementação</v>
      </c>
      <c r="B20" s="758" t="s">
        <v>280</v>
      </c>
      <c r="C20" s="753"/>
      <c r="D20" s="536" t="s">
        <v>209</v>
      </c>
      <c r="E20" s="330">
        <v>10</v>
      </c>
      <c r="F20" s="364">
        <v>2500</v>
      </c>
      <c r="G20" s="230">
        <f>IF($A$20&lt;&gt;"NÃO SELECIONADO",E20*F20,0)</f>
        <v>25000</v>
      </c>
      <c r="H20" s="189" t="s">
        <v>208</v>
      </c>
      <c r="I20" s="330">
        <v>360</v>
      </c>
      <c r="J20" s="353">
        <v>800</v>
      </c>
      <c r="K20" s="230">
        <f>IF($A$20&lt;&gt;"NÃO SELECIONADO",I20*J20,0)</f>
        <v>288000</v>
      </c>
      <c r="L20" s="226"/>
      <c r="M20" s="227"/>
      <c r="N20" s="228"/>
      <c r="O20" s="230">
        <f>IF($A$20&lt;&gt;"NÃO SELECIONADO",M20*N20,0)</f>
        <v>0</v>
      </c>
      <c r="P20" s="533"/>
      <c r="Q20" s="534"/>
      <c r="R20" s="534"/>
      <c r="S20" s="230">
        <f>IF($A$20&lt;&gt;"NÃO SELECIONADO",Q20*R20,0)</f>
        <v>0</v>
      </c>
      <c r="T20" s="545" t="s">
        <v>157</v>
      </c>
      <c r="U20" s="222">
        <v>25</v>
      </c>
      <c r="V20" s="477">
        <v>1000</v>
      </c>
      <c r="W20" s="230">
        <f>IF($A$20&lt;&gt;"NÃO SELECIONADO",U20*V20,0)</f>
        <v>25000</v>
      </c>
    </row>
    <row r="21" spans="1:23" ht="69" customHeight="1">
      <c r="A21" s="744"/>
      <c r="B21" s="759"/>
      <c r="C21" s="754"/>
      <c r="D21" s="324"/>
      <c r="E21" s="326"/>
      <c r="F21" s="351"/>
      <c r="G21" s="230">
        <f>IF($A$20&lt;&gt;"NÃO SELECIONADO",E21*F21,0)</f>
        <v>0</v>
      </c>
      <c r="H21" s="536" t="s">
        <v>183</v>
      </c>
      <c r="I21" s="330">
        <v>120</v>
      </c>
      <c r="J21" s="353">
        <v>800</v>
      </c>
      <c r="K21" s="230">
        <f>IF($A$20&lt;&gt;"NÃO SELECIONADO",I21*J21,0)</f>
        <v>96000</v>
      </c>
      <c r="L21" s="226"/>
      <c r="M21" s="227"/>
      <c r="N21" s="228"/>
      <c r="O21" s="230">
        <f>IF($A$20&lt;&gt;"NÃO SELECIONADO",M21*N21,0)</f>
        <v>0</v>
      </c>
      <c r="P21" s="200"/>
      <c r="Q21" s="201"/>
      <c r="R21" s="202"/>
      <c r="S21" s="230">
        <f>IF($A$20&lt;&gt;"NÃO SELECIONADO",Q21*R21,0)</f>
        <v>0</v>
      </c>
      <c r="T21" s="545" t="s">
        <v>157</v>
      </c>
      <c r="U21" s="222">
        <v>90</v>
      </c>
      <c r="V21" s="478">
        <v>250</v>
      </c>
      <c r="W21" s="230">
        <f>IF($A$20&lt;&gt;"NÃO SELECIONADO",U21*V21,0)</f>
        <v>22500</v>
      </c>
    </row>
    <row r="22" spans="1:23" ht="69" customHeight="1">
      <c r="A22" s="744"/>
      <c r="B22" s="759"/>
      <c r="C22" s="754"/>
      <c r="D22" s="324"/>
      <c r="E22" s="326"/>
      <c r="F22" s="351"/>
      <c r="G22" s="230">
        <f>IF($A$20&lt;&gt;"NÃO SELECIONADO",E22*F22,0)</f>
        <v>0</v>
      </c>
      <c r="H22" s="195"/>
      <c r="I22" s="222"/>
      <c r="J22" s="194"/>
      <c r="K22" s="230">
        <f>IF($A$20&lt;&gt;"NÃO SELECIONADO",I22*J22,0)</f>
        <v>0</v>
      </c>
      <c r="L22" s="226"/>
      <c r="M22" s="227"/>
      <c r="N22" s="228"/>
      <c r="O22" s="230">
        <f>IF($A$20&lt;&gt;"NÃO SELECIONADO",M22*N22,0)</f>
        <v>0</v>
      </c>
      <c r="P22" s="200"/>
      <c r="Q22" s="201"/>
      <c r="R22" s="202"/>
      <c r="S22" s="230">
        <f>IF($A$20&lt;&gt;"NÃO SELECIONADO",Q22*R22,0)</f>
        <v>0</v>
      </c>
      <c r="T22" s="390"/>
      <c r="U22" s="222"/>
      <c r="V22" s="194"/>
      <c r="W22" s="230">
        <f>IF($A$20&lt;&gt;"NÃO SELECIONADO",U22*V22,0)</f>
        <v>0</v>
      </c>
    </row>
    <row r="23" spans="1:23" ht="69" customHeight="1">
      <c r="A23" s="744"/>
      <c r="B23" s="759"/>
      <c r="C23" s="754"/>
      <c r="D23" s="189"/>
      <c r="E23" s="326"/>
      <c r="F23" s="351"/>
      <c r="G23" s="230">
        <f>IF($A$20&lt;&gt;"NÃO SELECIONADO",E23*F23,0)</f>
        <v>0</v>
      </c>
      <c r="H23" s="191"/>
      <c r="I23" s="221"/>
      <c r="J23" s="185"/>
      <c r="K23" s="230">
        <f>IF($A$20&lt;&gt;"NÃO SELECIONADO",I23*J23,0)</f>
        <v>0</v>
      </c>
      <c r="L23" s="226"/>
      <c r="M23" s="227"/>
      <c r="N23" s="228"/>
      <c r="O23" s="230">
        <f>IF($A$20&lt;&gt;"NÃO SELECIONADO",M23*N23,0)</f>
        <v>0</v>
      </c>
      <c r="P23" s="207"/>
      <c r="Q23" s="201"/>
      <c r="R23" s="202"/>
      <c r="S23" s="230">
        <f>IF($A$20&lt;&gt;"NÃO SELECIONADO",Q23*R23,0)</f>
        <v>0</v>
      </c>
      <c r="T23" s="189"/>
      <c r="U23" s="222"/>
      <c r="V23" s="194"/>
      <c r="W23" s="230">
        <f>IF($A$20&lt;&gt;"NÃO SELECIONADO",U23*V23,0)</f>
        <v>0</v>
      </c>
    </row>
    <row r="24" spans="1:23">
      <c r="A24" s="317">
        <f>IF(A20&lt;&gt;"NÃO SELECIONADO",SUM(G20:G24)+SUM(K20:K24)+SUM(O20:O24)+SUM(S20:S24)+SUM(W20:W24),0)</f>
        <v>456500</v>
      </c>
      <c r="B24" s="760"/>
      <c r="C24" s="755"/>
      <c r="D24" s="193"/>
      <c r="E24" s="350"/>
      <c r="F24" s="351"/>
      <c r="G24" s="230">
        <f>IF($A$20&lt;&gt;"NÃO SELECIONADO",E24*F24,0)</f>
        <v>0</v>
      </c>
      <c r="H24" s="191"/>
      <c r="I24" s="221"/>
      <c r="J24" s="185"/>
      <c r="K24" s="230">
        <f>IF($A$20&lt;&gt;"NÃO SELECIONADO",I24*J24,0)</f>
        <v>0</v>
      </c>
      <c r="L24" s="226"/>
      <c r="M24" s="227"/>
      <c r="N24" s="228"/>
      <c r="O24" s="230">
        <f>IF($A$20&lt;&gt;"NÃO SELECIONADO",M24*N24,0)</f>
        <v>0</v>
      </c>
      <c r="P24" s="193"/>
      <c r="Q24" s="221"/>
      <c r="R24" s="185"/>
      <c r="S24" s="230">
        <f>IF($A$20&lt;&gt;"NÃO SELECIONADO",Q24*R24,0)</f>
        <v>0</v>
      </c>
      <c r="T24" s="205"/>
      <c r="U24" s="222"/>
      <c r="V24" s="194"/>
      <c r="W24" s="230">
        <f>IF($A$20&lt;&gt;"NÃO SELECIONADO",U24*V24,0)</f>
        <v>0</v>
      </c>
    </row>
    <row r="25" spans="1:23" ht="70.5" customHeight="1">
      <c r="A25" s="770" t="str">
        <f>'3_Comp e Produtos'!A48</f>
        <v xml:space="preserve">3.5. Implantação de Sistema Integrado de Gestão Administrativa, sincronizado ao SIAFI </v>
      </c>
      <c r="B25" s="802" t="s">
        <v>281</v>
      </c>
      <c r="C25" s="750"/>
      <c r="D25" s="378"/>
      <c r="E25" s="326"/>
      <c r="F25" s="231"/>
      <c r="G25" s="230">
        <f>IF($A$25&lt;&gt;"NÃO SELECIONADO",E25*F25,0)</f>
        <v>0</v>
      </c>
      <c r="H25" s="181" t="s">
        <v>210</v>
      </c>
      <c r="I25" s="330">
        <f>5*270</f>
        <v>1350</v>
      </c>
      <c r="J25" s="311">
        <v>800</v>
      </c>
      <c r="K25" s="230">
        <f>IF($A$25&lt;&gt;"NÃO SELECIONADO",I25*J25,0)</f>
        <v>1080000</v>
      </c>
      <c r="L25" s="379"/>
      <c r="M25" s="222"/>
      <c r="N25" s="380"/>
      <c r="O25" s="230">
        <f>IF($A$25&lt;&gt;"NÃO SELECIONADO",M25*N25,0)</f>
        <v>0</v>
      </c>
      <c r="P25" s="379"/>
      <c r="Q25" s="381"/>
      <c r="R25" s="382"/>
      <c r="S25" s="230">
        <f>IF($A$25&lt;&gt;"NÃO SELECIONADO",Q25*R25,0)</f>
        <v>0</v>
      </c>
      <c r="T25" s="622" t="s">
        <v>314</v>
      </c>
      <c r="U25" s="225">
        <v>24</v>
      </c>
      <c r="V25" s="187">
        <v>1000</v>
      </c>
      <c r="W25" s="230">
        <f>IF($A$25&lt;&gt;"NÃO SELECIONADO",U25*V25,0)</f>
        <v>24000</v>
      </c>
    </row>
    <row r="26" spans="1:23" ht="70.5" customHeight="1">
      <c r="A26" s="805"/>
      <c r="B26" s="803"/>
      <c r="C26" s="751"/>
      <c r="D26" s="193"/>
      <c r="E26" s="326"/>
      <c r="F26" s="331"/>
      <c r="G26" s="230">
        <f>IF($A$25&lt;&gt;"NÃO SELECIONADO",E26*F26,0)</f>
        <v>0</v>
      </c>
      <c r="H26" s="181" t="s">
        <v>203</v>
      </c>
      <c r="I26" s="330">
        <f>2*30*4</f>
        <v>240</v>
      </c>
      <c r="J26" s="311">
        <v>800</v>
      </c>
      <c r="K26" s="230">
        <f>IF($A$25&lt;&gt;"NÃO SELECIONADO",I26*J26,0)</f>
        <v>192000</v>
      </c>
      <c r="L26" s="379"/>
      <c r="M26" s="222"/>
      <c r="N26" s="194"/>
      <c r="O26" s="230">
        <f>IF($A$25&lt;&gt;"NÃO SELECIONADO",M26*N26,0)</f>
        <v>0</v>
      </c>
      <c r="P26" s="320"/>
      <c r="Q26" s="221"/>
      <c r="R26" s="185"/>
      <c r="S26" s="230">
        <f>IF($A$25&lt;&gt;"NÃO SELECIONADO",Q26*R26,0)</f>
        <v>0</v>
      </c>
      <c r="T26" s="623" t="s">
        <v>315</v>
      </c>
      <c r="U26" s="221">
        <v>120</v>
      </c>
      <c r="V26" s="185">
        <v>250</v>
      </c>
      <c r="W26" s="230">
        <f>IF($A$25&lt;&gt;"NÃO SELECIONADO",U26*V26,0)</f>
        <v>30000</v>
      </c>
    </row>
    <row r="27" spans="1:23" ht="70.5" customHeight="1">
      <c r="A27" s="805"/>
      <c r="B27" s="803"/>
      <c r="C27" s="751"/>
      <c r="D27" s="186"/>
      <c r="E27" s="326"/>
      <c r="F27" s="332"/>
      <c r="G27" s="230">
        <f>IF($A$25&lt;&gt;"NÃO SELECIONADO",E27*F27,0)</f>
        <v>0</v>
      </c>
      <c r="H27" s="191"/>
      <c r="I27" s="221"/>
      <c r="J27" s="185"/>
      <c r="K27" s="230">
        <f>IF($A$25&lt;&gt;"NÃO SELECIONADO",I27*J27,0)</f>
        <v>0</v>
      </c>
      <c r="L27" s="318"/>
      <c r="M27" s="222"/>
      <c r="N27" s="194"/>
      <c r="O27" s="230">
        <f>IF($A$25&lt;&gt;"NÃO SELECIONADO",M27*N27,0)</f>
        <v>0</v>
      </c>
      <c r="P27" s="189"/>
      <c r="Q27" s="221"/>
      <c r="R27" s="185"/>
      <c r="S27" s="230">
        <f>IF($A$25&lt;&gt;"NÃO SELECIONADO",Q27*R27,0)</f>
        <v>0</v>
      </c>
      <c r="T27" s="622" t="s">
        <v>316</v>
      </c>
      <c r="U27" s="225">
        <v>16</v>
      </c>
      <c r="V27" s="187">
        <v>1000</v>
      </c>
      <c r="W27" s="230">
        <f>IF($A$25&lt;&gt;"NÃO SELECIONADO",U27*V27,0)</f>
        <v>16000</v>
      </c>
    </row>
    <row r="28" spans="1:23" ht="70.5" customHeight="1">
      <c r="A28" s="805"/>
      <c r="B28" s="803"/>
      <c r="C28" s="751"/>
      <c r="D28" s="193"/>
      <c r="E28" s="326"/>
      <c r="F28" s="319"/>
      <c r="G28" s="230">
        <f>IF($A$25&lt;&gt;"NÃO SELECIONADO",E28*F28,0)</f>
        <v>0</v>
      </c>
      <c r="H28" s="191"/>
      <c r="I28" s="221"/>
      <c r="J28" s="185"/>
      <c r="K28" s="230">
        <f>IF($A$25&lt;&gt;"NÃO SELECIONADO",I28*J28,0)</f>
        <v>0</v>
      </c>
      <c r="L28" s="195"/>
      <c r="M28" s="222"/>
      <c r="N28" s="194"/>
      <c r="O28" s="230">
        <f>IF($A$25&lt;&gt;"NÃO SELECIONADO",M28*N28,0)</f>
        <v>0</v>
      </c>
      <c r="P28" s="320"/>
      <c r="Q28" s="221"/>
      <c r="R28" s="185"/>
      <c r="S28" s="230">
        <f>IF($A$25&lt;&gt;"NÃO SELECIONADO",Q28*R28,0)</f>
        <v>0</v>
      </c>
      <c r="T28" s="623" t="s">
        <v>317</v>
      </c>
      <c r="U28" s="221">
        <v>80</v>
      </c>
      <c r="V28" s="185">
        <v>250</v>
      </c>
      <c r="W28" s="230">
        <f>IF($A$25&lt;&gt;"NÃO SELECIONADO",U28*V28,0)</f>
        <v>20000</v>
      </c>
    </row>
    <row r="29" spans="1:23" ht="66" customHeight="1">
      <c r="A29" s="805"/>
      <c r="B29" s="803"/>
      <c r="C29" s="751"/>
      <c r="D29" s="186"/>
      <c r="E29" s="326"/>
      <c r="F29" s="551"/>
      <c r="G29" s="230"/>
      <c r="H29" s="191"/>
      <c r="I29" s="221"/>
      <c r="J29" s="185"/>
      <c r="K29" s="230"/>
      <c r="L29" s="195"/>
      <c r="M29" s="222"/>
      <c r="N29" s="194"/>
      <c r="O29" s="230"/>
      <c r="P29" s="320"/>
      <c r="Q29" s="221"/>
      <c r="R29" s="185"/>
      <c r="S29" s="230"/>
      <c r="T29" s="192"/>
      <c r="U29" s="221"/>
      <c r="V29" s="185"/>
      <c r="W29" s="230"/>
    </row>
    <row r="30" spans="1:23" ht="212.25" hidden="1" customHeight="1">
      <c r="A30" s="806"/>
      <c r="B30" s="803"/>
      <c r="C30" s="751"/>
      <c r="D30" s="186"/>
      <c r="E30" s="326"/>
      <c r="F30" s="556"/>
      <c r="G30" s="230"/>
      <c r="H30" s="191"/>
      <c r="I30" s="221"/>
      <c r="J30" s="185"/>
      <c r="K30" s="230"/>
      <c r="L30" s="195"/>
      <c r="M30" s="222"/>
      <c r="N30" s="194"/>
      <c r="O30" s="230"/>
      <c r="P30" s="320"/>
      <c r="Q30" s="221"/>
      <c r="R30" s="185"/>
      <c r="S30" s="230"/>
      <c r="T30" s="192"/>
      <c r="U30" s="221"/>
      <c r="V30" s="185"/>
      <c r="W30" s="230"/>
    </row>
    <row r="31" spans="1:23">
      <c r="A31" s="287">
        <f>IF(A25&lt;&gt;"NÃO SELECIONADO",SUM(G25:G31)+SUM(K25:K31)+SUM(O25:O31)+SUM(S25:S31)+SUM(W25:W31),0)</f>
        <v>1362000</v>
      </c>
      <c r="B31" s="804"/>
      <c r="C31" s="752"/>
      <c r="D31" s="186"/>
      <c r="E31" s="326"/>
      <c r="F31" s="556"/>
      <c r="G31" s="230">
        <f>IF($A$25&lt;&gt;"NÃO SELECIONADO",E31*F31,0)</f>
        <v>0</v>
      </c>
      <c r="H31" s="191"/>
      <c r="I31" s="221"/>
      <c r="J31" s="185"/>
      <c r="K31" s="230">
        <f>IF($A$25&lt;&gt;"NÃO SELECIONADO",I31*J31,0)</f>
        <v>0</v>
      </c>
      <c r="L31" s="195"/>
      <c r="M31" s="222"/>
      <c r="N31" s="194"/>
      <c r="O31" s="230">
        <f>IF($A$25&lt;&gt;"NÃO SELECIONADO",M31*N31,0)</f>
        <v>0</v>
      </c>
      <c r="P31" s="189"/>
      <c r="Q31" s="221"/>
      <c r="R31" s="185"/>
      <c r="S31" s="230">
        <f>IF($A$25&lt;&gt;"NÃO SELECIONADO",Q31*R31,0)</f>
        <v>0</v>
      </c>
      <c r="T31" s="192"/>
      <c r="U31" s="221"/>
      <c r="V31" s="185"/>
      <c r="W31" s="230">
        <f>IF($A$25&lt;&gt;"NÃO SELECIONADO",U31*V31,0)</f>
        <v>0</v>
      </c>
    </row>
    <row r="32" spans="1:23" ht="121.5" customHeight="1">
      <c r="A32" s="744" t="str">
        <f>'3_Comp e Produtos'!A49</f>
        <v>3.6. Definição conceitual, desenho e implementação do modelo de gestão por competências da AGU</v>
      </c>
      <c r="B32" s="757" t="s">
        <v>282</v>
      </c>
      <c r="C32" s="756"/>
      <c r="D32" s="193"/>
      <c r="E32" s="221"/>
      <c r="F32" s="185"/>
      <c r="G32" s="230">
        <f>IF($A$32&lt;&gt;"NÃO SELECIONADO",E32*F32,0)</f>
        <v>0</v>
      </c>
      <c r="H32" s="189" t="s">
        <v>212</v>
      </c>
      <c r="I32" s="220">
        <f>720*3</f>
        <v>2160</v>
      </c>
      <c r="J32" s="182">
        <v>800</v>
      </c>
      <c r="K32" s="230">
        <f>IF($A$32&lt;&gt;"NÃO SELECIONADO",I32*J32,0)</f>
        <v>1728000</v>
      </c>
      <c r="L32" s="190"/>
      <c r="M32" s="221"/>
      <c r="N32" s="185"/>
      <c r="O32" s="230">
        <f>IF($A$32&lt;&gt;"NÃO SELECIONADO",M32*N32,0)</f>
        <v>0</v>
      </c>
      <c r="P32" s="193"/>
      <c r="Q32" s="221"/>
      <c r="R32" s="185"/>
      <c r="S32" s="230">
        <f>IF($A$32&lt;&gt;"NÃO SELECIONADO",Q32*R32,0)</f>
        <v>0</v>
      </c>
      <c r="T32" s="622" t="s">
        <v>318</v>
      </c>
      <c r="U32" s="225">
        <v>8</v>
      </c>
      <c r="V32" s="187">
        <v>3000</v>
      </c>
      <c r="W32" s="230">
        <f>IF($A$32&lt;&gt;"NÃO SELECIONADO",U32*V32,0)</f>
        <v>24000</v>
      </c>
    </row>
    <row r="33" spans="1:23" ht="121.5" customHeight="1">
      <c r="A33" s="744"/>
      <c r="B33" s="757"/>
      <c r="C33" s="756"/>
      <c r="D33" s="193"/>
      <c r="E33" s="221"/>
      <c r="F33" s="185"/>
      <c r="G33" s="230">
        <f>IF($A$32&lt;&gt;"NÃO SELECIONADO",E33*F33,0)</f>
        <v>0</v>
      </c>
      <c r="H33" s="189" t="s">
        <v>211</v>
      </c>
      <c r="I33" s="221">
        <v>30</v>
      </c>
      <c r="J33" s="185">
        <v>1600</v>
      </c>
      <c r="K33" s="230">
        <f>IF($A$32&lt;&gt;"NÃO SELECIONADO",I33*J33,0)</f>
        <v>48000</v>
      </c>
      <c r="L33" s="190"/>
      <c r="M33" s="221"/>
      <c r="N33" s="185"/>
      <c r="O33" s="230">
        <f>IF($A$32&lt;&gt;"NÃO SELECIONADO",M33*N33,0)</f>
        <v>0</v>
      </c>
      <c r="P33" s="193"/>
      <c r="Q33" s="221"/>
      <c r="R33" s="185"/>
      <c r="S33" s="230">
        <f>IF($A$32&lt;&gt;"NÃO SELECIONADO",Q33*R33,0)</f>
        <v>0</v>
      </c>
      <c r="T33" s="321" t="s">
        <v>108</v>
      </c>
      <c r="U33" s="221">
        <v>10</v>
      </c>
      <c r="V33" s="185">
        <v>3000</v>
      </c>
      <c r="W33" s="230">
        <f>IF($A$32&lt;&gt;"NÃO SELECIONADO",U33*V33,0)</f>
        <v>30000</v>
      </c>
    </row>
    <row r="34" spans="1:23" ht="121.5" customHeight="1">
      <c r="A34" s="744"/>
      <c r="B34" s="757"/>
      <c r="C34" s="756"/>
      <c r="D34" s="193"/>
      <c r="E34" s="221"/>
      <c r="F34" s="185"/>
      <c r="G34" s="230">
        <f>IF($A$32&lt;&gt;"NÃO SELECIONADO",E34*F34,0)</f>
        <v>0</v>
      </c>
      <c r="H34" s="192"/>
      <c r="I34" s="221"/>
      <c r="J34" s="185"/>
      <c r="K34" s="230">
        <f>IF($A$32&lt;&gt;"NÃO SELECIONADO",I34*J34,0)</f>
        <v>0</v>
      </c>
      <c r="L34" s="190"/>
      <c r="M34" s="221"/>
      <c r="N34" s="185"/>
      <c r="O34" s="230">
        <f>IF($A$32&lt;&gt;"NÃO SELECIONADO",M34*N34,0)</f>
        <v>0</v>
      </c>
      <c r="P34" s="193"/>
      <c r="Q34" s="221"/>
      <c r="R34" s="185"/>
      <c r="S34" s="230">
        <f>IF($A$32&lt;&gt;"NÃO SELECIONADO",Q34*R34,0)</f>
        <v>0</v>
      </c>
      <c r="T34" s="622" t="s">
        <v>319</v>
      </c>
      <c r="U34" s="221">
        <v>40</v>
      </c>
      <c r="V34" s="185">
        <v>1000</v>
      </c>
      <c r="W34" s="230">
        <f>IF($A$32&lt;&gt;"NÃO SELECIONADO",U34*V34,0)</f>
        <v>40000</v>
      </c>
    </row>
    <row r="35" spans="1:23" ht="157.5" customHeight="1">
      <c r="A35" s="744"/>
      <c r="B35" s="757"/>
      <c r="C35" s="756"/>
      <c r="D35" s="193"/>
      <c r="E35" s="221"/>
      <c r="F35" s="185"/>
      <c r="G35" s="230">
        <f>IF($A$32&lt;&gt;"NÃO SELECIONADO",E35*F35,0)</f>
        <v>0</v>
      </c>
      <c r="H35" s="192"/>
      <c r="I35" s="221"/>
      <c r="J35" s="185"/>
      <c r="K35" s="230">
        <f>IF($A$32&lt;&gt;"NÃO SELECIONADO",I35*J35,0)</f>
        <v>0</v>
      </c>
      <c r="L35" s="190"/>
      <c r="M35" s="221"/>
      <c r="N35" s="185"/>
      <c r="O35" s="230">
        <f>IF($A$32&lt;&gt;"NÃO SELECIONADO",M35*N35,0)</f>
        <v>0</v>
      </c>
      <c r="P35" s="193"/>
      <c r="Q35" s="221"/>
      <c r="R35" s="185"/>
      <c r="S35" s="230">
        <f>IF($A$32&lt;&gt;"NÃO SELECIONADO",Q35*R35,0)</f>
        <v>0</v>
      </c>
      <c r="T35" s="321" t="s">
        <v>109</v>
      </c>
      <c r="U35" s="221">
        <v>50</v>
      </c>
      <c r="V35" s="185">
        <v>1000</v>
      </c>
      <c r="W35" s="230">
        <f>IF($A$32&lt;&gt;"NÃO SELECIONADO",U35*V35,0)</f>
        <v>50000</v>
      </c>
    </row>
    <row r="36" spans="1:23" ht="13.5" thickBot="1">
      <c r="A36" s="287">
        <f>IF(A32&lt;&gt;"NÃO SELECIONADO",SUM(G32:G36)+SUM(K32:K36)+SUM(O32:O36)+SUM(S32:S36)+SUM(W32:W36),0)</f>
        <v>1920000</v>
      </c>
      <c r="B36" s="757"/>
      <c r="C36" s="756"/>
      <c r="D36" s="193"/>
      <c r="E36" s="221"/>
      <c r="F36" s="185"/>
      <c r="G36" s="230">
        <f>IF($A$32&lt;&gt;"NÃO SELECIONADO",E36*F36,0)</f>
        <v>0</v>
      </c>
      <c r="H36" s="192"/>
      <c r="I36" s="221"/>
      <c r="J36" s="185"/>
      <c r="K36" s="230">
        <f>IF($A$32&lt;&gt;"NÃO SELECIONADO",I36*J36,0)</f>
        <v>0</v>
      </c>
      <c r="L36" s="190"/>
      <c r="M36" s="221"/>
      <c r="N36" s="185"/>
      <c r="O36" s="230">
        <f>IF($A$32&lt;&gt;"NÃO SELECIONADO",M36*N36,0)</f>
        <v>0</v>
      </c>
      <c r="P36" s="193"/>
      <c r="Q36" s="221"/>
      <c r="R36" s="185"/>
      <c r="S36" s="230">
        <f>IF($A$32&lt;&gt;"NÃO SELECIONADO",Q36*R36,0)</f>
        <v>0</v>
      </c>
      <c r="T36" s="192"/>
      <c r="U36" s="221"/>
      <c r="V36" s="185"/>
      <c r="W36" s="230">
        <f>IF($A$32&lt;&gt;"NÃO SELECIONADO",U36*V36,0)</f>
        <v>0</v>
      </c>
    </row>
    <row r="37" spans="1:23" hidden="1">
      <c r="A37" s="744" t="str">
        <f>IF('3_Comp e Produtos'!B13="Sim",'3_Comp e Produtos'!A13,"NÃO SELECIONADO")</f>
        <v>1.7. Instalar uma ferramenta de BI incluindo recursos para Text Mining e Data Mining</v>
      </c>
      <c r="B37" s="801"/>
      <c r="C37" s="756"/>
      <c r="D37" s="378"/>
      <c r="E37" s="326"/>
      <c r="F37" s="231"/>
      <c r="G37" s="230">
        <f>IF($A$37&lt;&gt;"NÃO SELECIONADO",E37*F37,0)</f>
        <v>0</v>
      </c>
      <c r="H37" s="532"/>
      <c r="I37" s="221"/>
      <c r="J37" s="185"/>
      <c r="K37" s="230">
        <f>IF($A$37&lt;&gt;"NÃO SELECIONADO",I37*J37,0)</f>
        <v>0</v>
      </c>
      <c r="L37" s="379"/>
      <c r="M37" s="222"/>
      <c r="N37" s="380"/>
      <c r="O37" s="230">
        <f>IF($A$37&lt;&gt;"NÃO SELECIONADO",M37*N37,0)</f>
        <v>0</v>
      </c>
      <c r="P37" s="193"/>
      <c r="Q37" s="221"/>
      <c r="R37" s="185"/>
      <c r="S37" s="230">
        <f>IF($A$37&lt;&gt;"NÃO SELECIONADO",Q37*R37,0)</f>
        <v>0</v>
      </c>
      <c r="T37" s="181"/>
      <c r="U37" s="221"/>
      <c r="V37" s="185"/>
      <c r="W37" s="230">
        <f>IF($A$37&lt;&gt;"NÃO SELECIONADO",U37*V37,0)</f>
        <v>0</v>
      </c>
    </row>
    <row r="38" spans="1:23" hidden="1">
      <c r="A38" s="744"/>
      <c r="B38" s="800"/>
      <c r="C38" s="756"/>
      <c r="D38" s="193"/>
      <c r="E38" s="221"/>
      <c r="F38" s="185"/>
      <c r="G38" s="230">
        <f>IF($A$37&lt;&gt;"NÃO SELECIONADO",E38*F38,0)</f>
        <v>0</v>
      </c>
      <c r="H38" s="192"/>
      <c r="I38" s="221"/>
      <c r="J38" s="185"/>
      <c r="K38" s="230">
        <f>IF($A$37&lt;&gt;"NÃO SELECIONADO",I38*J38,0)</f>
        <v>0</v>
      </c>
      <c r="L38" s="379"/>
      <c r="M38" s="221"/>
      <c r="N38" s="185"/>
      <c r="O38" s="230">
        <f>IF($A$37&lt;&gt;"NÃO SELECIONADO",M38*N38,0)</f>
        <v>0</v>
      </c>
      <c r="P38" s="193"/>
      <c r="Q38" s="221"/>
      <c r="R38" s="185"/>
      <c r="S38" s="230">
        <f>IF($A$37&lt;&gt;"NÃO SELECIONADO",Q38*R38,0)</f>
        <v>0</v>
      </c>
      <c r="T38" s="181"/>
      <c r="U38" s="221"/>
      <c r="V38" s="185"/>
      <c r="W38" s="230">
        <f>IF($A$37&lt;&gt;"NÃO SELECIONADO",U38*V38,0)</f>
        <v>0</v>
      </c>
    </row>
    <row r="39" spans="1:23" hidden="1">
      <c r="A39" s="744"/>
      <c r="B39" s="800"/>
      <c r="C39" s="756"/>
      <c r="D39" s="193"/>
      <c r="E39" s="221"/>
      <c r="F39" s="185"/>
      <c r="G39" s="230">
        <f>IF($A$37&lt;&gt;"NÃO SELECIONADO",E39*F39,0)</f>
        <v>0</v>
      </c>
      <c r="H39" s="192"/>
      <c r="I39" s="221"/>
      <c r="J39" s="185"/>
      <c r="K39" s="230">
        <f>IF($A$37&lt;&gt;"NÃO SELECIONADO",I39*J39,0)</f>
        <v>0</v>
      </c>
      <c r="L39" s="190"/>
      <c r="M39" s="221"/>
      <c r="N39" s="185"/>
      <c r="O39" s="230">
        <f>IF($A$37&lt;&gt;"NÃO SELECIONADO",M39*N39,0)</f>
        <v>0</v>
      </c>
      <c r="P39" s="193"/>
      <c r="Q39" s="221"/>
      <c r="R39" s="185"/>
      <c r="S39" s="230">
        <f>IF($A$37&lt;&gt;"NÃO SELECIONADO",Q39*R39,0)</f>
        <v>0</v>
      </c>
      <c r="T39" s="192"/>
      <c r="U39" s="221"/>
      <c r="V39" s="185"/>
      <c r="W39" s="230">
        <f>IF($A$37&lt;&gt;"NÃO SELECIONADO",U39*V39,0)</f>
        <v>0</v>
      </c>
    </row>
    <row r="40" spans="1:23" hidden="1">
      <c r="A40" s="744"/>
      <c r="B40" s="800"/>
      <c r="C40" s="756"/>
      <c r="D40" s="193"/>
      <c r="E40" s="221"/>
      <c r="F40" s="185"/>
      <c r="G40" s="230">
        <f>IF($A$37&lt;&gt;"NÃO SELECIONADO",E40*F40,0)</f>
        <v>0</v>
      </c>
      <c r="H40" s="192"/>
      <c r="I40" s="221"/>
      <c r="J40" s="185"/>
      <c r="K40" s="230">
        <f>IF($A$37&lt;&gt;"NÃO SELECIONADO",I40*J40,0)</f>
        <v>0</v>
      </c>
      <c r="L40" s="190"/>
      <c r="M40" s="221"/>
      <c r="N40" s="185"/>
      <c r="O40" s="230">
        <f>IF($A$37&lt;&gt;"NÃO SELECIONADO",M40*N40,0)</f>
        <v>0</v>
      </c>
      <c r="P40" s="193"/>
      <c r="Q40" s="221"/>
      <c r="R40" s="185"/>
      <c r="S40" s="230">
        <f>IF($A$37&lt;&gt;"NÃO SELECIONADO",Q40*R40,0)</f>
        <v>0</v>
      </c>
      <c r="T40" s="192"/>
      <c r="U40" s="221"/>
      <c r="V40" s="185"/>
      <c r="W40" s="230">
        <f>IF($A$37&lt;&gt;"NÃO SELECIONADO",U40*V40,0)</f>
        <v>0</v>
      </c>
    </row>
    <row r="41" spans="1:23" hidden="1">
      <c r="A41" s="287">
        <f>IF(A37&lt;&gt;"NÃO SELECIONADO",SUM(G37:G41)+SUM(K37:K41)+SUM(O37:O41)+SUM(S37:S41)+SUM(W37:W41),0)</f>
        <v>0</v>
      </c>
      <c r="B41" s="800"/>
      <c r="C41" s="756"/>
      <c r="D41" s="193"/>
      <c r="E41" s="221"/>
      <c r="F41" s="185"/>
      <c r="G41" s="230">
        <f>IF($A$37&lt;&gt;"NÃO SELECIONADO",E41*F41,0)</f>
        <v>0</v>
      </c>
      <c r="H41" s="192"/>
      <c r="I41" s="221"/>
      <c r="J41" s="185"/>
      <c r="K41" s="230">
        <f>IF($A$37&lt;&gt;"NÃO SELECIONADO",I41*J41,0)</f>
        <v>0</v>
      </c>
      <c r="L41" s="190"/>
      <c r="M41" s="221"/>
      <c r="N41" s="185"/>
      <c r="O41" s="230">
        <f>IF($A$37&lt;&gt;"NÃO SELECIONADO",M41*N41,0)</f>
        <v>0</v>
      </c>
      <c r="P41" s="193"/>
      <c r="Q41" s="221"/>
      <c r="R41" s="185"/>
      <c r="S41" s="230">
        <f>IF($A$37&lt;&gt;"NÃO SELECIONADO",Q41*R41,0)</f>
        <v>0</v>
      </c>
      <c r="T41" s="192"/>
      <c r="U41" s="221"/>
      <c r="V41" s="185"/>
      <c r="W41" s="230">
        <f>IF($A$37&lt;&gt;"NÃO SELECIONADO",U41*V41,0)</f>
        <v>0</v>
      </c>
    </row>
    <row r="42" spans="1:23" hidden="1">
      <c r="A42" s="744" t="str">
        <f>IF('3_Comp e Produtos'!B14="Sim",'3_Comp e Produtos'!A14,"NÃO SELECIONADO")</f>
        <v>1.8. Criação do Escritório de Processos</v>
      </c>
      <c r="B42" s="799"/>
      <c r="C42" s="756"/>
      <c r="D42" s="378"/>
      <c r="E42" s="326"/>
      <c r="F42" s="231"/>
      <c r="G42" s="230">
        <f>IF($A$42&lt;&gt;"NÃO SELECIONADO",E42*F42,0)</f>
        <v>0</v>
      </c>
      <c r="H42" s="189"/>
      <c r="I42" s="221"/>
      <c r="J42" s="185"/>
      <c r="K42" s="230">
        <f>IF($A$42&lt;&gt;"NÃO SELECIONADO",I42*J42,0)</f>
        <v>0</v>
      </c>
      <c r="L42" s="379"/>
      <c r="M42" s="222"/>
      <c r="N42" s="380"/>
      <c r="O42" s="230">
        <f>IF($A$42&lt;&gt;"NÃO SELECIONADO",M42*N42,0)</f>
        <v>0</v>
      </c>
      <c r="P42" s="193"/>
      <c r="Q42" s="221"/>
      <c r="R42" s="185"/>
      <c r="S42" s="230">
        <f>IF($A$42&lt;&gt;"NÃO SELECIONADO",Q42*R42,0)</f>
        <v>0</v>
      </c>
      <c r="T42" s="192"/>
      <c r="U42" s="221"/>
      <c r="V42" s="185"/>
      <c r="W42" s="230">
        <f>IF($A$42&lt;&gt;"NÃO SELECIONADO",U42*V42,0)</f>
        <v>0</v>
      </c>
    </row>
    <row r="43" spans="1:23" hidden="1">
      <c r="A43" s="744"/>
      <c r="B43" s="800"/>
      <c r="C43" s="756"/>
      <c r="D43" s="193"/>
      <c r="E43" s="221"/>
      <c r="F43" s="185"/>
      <c r="G43" s="230">
        <f>IF($A$42&lt;&gt;"NÃO SELECIONADO",E43*F43,0)</f>
        <v>0</v>
      </c>
      <c r="H43" s="192"/>
      <c r="I43" s="221"/>
      <c r="J43" s="185"/>
      <c r="K43" s="230">
        <f>IF($A$42&lt;&gt;"NÃO SELECIONADO",I43*J43,0)</f>
        <v>0</v>
      </c>
      <c r="L43" s="379"/>
      <c r="M43" s="222"/>
      <c r="N43" s="194"/>
      <c r="O43" s="230">
        <f>IF($A$42&lt;&gt;"NÃO SELECIONADO",M43*N43,0)</f>
        <v>0</v>
      </c>
      <c r="P43" s="193"/>
      <c r="Q43" s="221"/>
      <c r="R43" s="185"/>
      <c r="S43" s="230">
        <f>IF($A$42&lt;&gt;"NÃO SELECIONADO",Q43*R43,0)</f>
        <v>0</v>
      </c>
      <c r="T43" s="192"/>
      <c r="U43" s="221"/>
      <c r="V43" s="185"/>
      <c r="W43" s="230">
        <f>IF($A$42&lt;&gt;"NÃO SELECIONADO",U43*V43,0)</f>
        <v>0</v>
      </c>
    </row>
    <row r="44" spans="1:23" hidden="1">
      <c r="A44" s="744"/>
      <c r="B44" s="800"/>
      <c r="C44" s="756"/>
      <c r="D44" s="193"/>
      <c r="E44" s="221"/>
      <c r="F44" s="185"/>
      <c r="G44" s="230">
        <f>IF($A$42&lt;&gt;"NÃO SELECIONADO",E44*F44,0)</f>
        <v>0</v>
      </c>
      <c r="H44" s="192"/>
      <c r="I44" s="221"/>
      <c r="J44" s="185"/>
      <c r="K44" s="230">
        <f>IF($A$42&lt;&gt;"NÃO SELECIONADO",I44*J44,0)</f>
        <v>0</v>
      </c>
      <c r="L44" s="190"/>
      <c r="M44" s="221"/>
      <c r="N44" s="185"/>
      <c r="O44" s="230">
        <f>IF($A$42&lt;&gt;"NÃO SELECIONADO",M44*N44,0)</f>
        <v>0</v>
      </c>
      <c r="P44" s="193"/>
      <c r="Q44" s="221"/>
      <c r="R44" s="185"/>
      <c r="S44" s="230">
        <f>IF($A$42&lt;&gt;"NÃO SELECIONADO",Q44*R44,0)</f>
        <v>0</v>
      </c>
      <c r="T44" s="192"/>
      <c r="U44" s="221"/>
      <c r="V44" s="185"/>
      <c r="W44" s="230">
        <f>IF($A$42&lt;&gt;"NÃO SELECIONADO",U44*V44,0)</f>
        <v>0</v>
      </c>
    </row>
    <row r="45" spans="1:23" hidden="1">
      <c r="A45" s="744"/>
      <c r="B45" s="800"/>
      <c r="C45" s="756"/>
      <c r="D45" s="193"/>
      <c r="E45" s="221"/>
      <c r="F45" s="185"/>
      <c r="G45" s="230">
        <f>IF($A$42&lt;&gt;"NÃO SELECIONADO",E45*F45,0)</f>
        <v>0</v>
      </c>
      <c r="H45" s="192"/>
      <c r="I45" s="221"/>
      <c r="J45" s="185"/>
      <c r="K45" s="230">
        <f>IF($A$42&lt;&gt;"NÃO SELECIONADO",I45*J45,0)</f>
        <v>0</v>
      </c>
      <c r="L45" s="190"/>
      <c r="M45" s="221"/>
      <c r="N45" s="185"/>
      <c r="O45" s="230">
        <f>IF($A$42&lt;&gt;"NÃO SELECIONADO",M45*N45,0)</f>
        <v>0</v>
      </c>
      <c r="P45" s="193"/>
      <c r="Q45" s="221"/>
      <c r="R45" s="185"/>
      <c r="S45" s="230">
        <f>IF($A$42&lt;&gt;"NÃO SELECIONADO",Q45*R45,0)</f>
        <v>0</v>
      </c>
      <c r="T45" s="192"/>
      <c r="U45" s="221"/>
      <c r="V45" s="185"/>
      <c r="W45" s="230">
        <f>IF($A$42&lt;&gt;"NÃO SELECIONADO",U45*V45,0)</f>
        <v>0</v>
      </c>
    </row>
    <row r="46" spans="1:23" hidden="1">
      <c r="A46" s="287">
        <f>IF(A42&lt;&gt;"NÃO SELECIONADO",SUM(G42:G46)+SUM(K42:K46)+SUM(O42:O46)+SUM(S42:S46)+SUM(W42:W46),0)</f>
        <v>0</v>
      </c>
      <c r="B46" s="800"/>
      <c r="C46" s="756"/>
      <c r="D46" s="193"/>
      <c r="E46" s="221"/>
      <c r="F46" s="185"/>
      <c r="G46" s="230">
        <f>IF($A$42&lt;&gt;"NÃO SELECIONADO",E46*F46,0)</f>
        <v>0</v>
      </c>
      <c r="H46" s="192"/>
      <c r="I46" s="221"/>
      <c r="J46" s="185"/>
      <c r="K46" s="230">
        <f>IF($A$42&lt;&gt;"NÃO SELECIONADO",I46*J46,0)</f>
        <v>0</v>
      </c>
      <c r="L46" s="190"/>
      <c r="M46" s="221"/>
      <c r="N46" s="185"/>
      <c r="O46" s="230">
        <f>IF($A$42&lt;&gt;"NÃO SELECIONADO",M46*N46,0)</f>
        <v>0</v>
      </c>
      <c r="P46" s="210"/>
      <c r="Q46" s="221"/>
      <c r="R46" s="185"/>
      <c r="S46" s="230">
        <f>IF($A$42&lt;&gt;"NÃO SELECIONADO",Q46*R46,0)</f>
        <v>0</v>
      </c>
      <c r="T46" s="192"/>
      <c r="U46" s="221"/>
      <c r="V46" s="185"/>
      <c r="W46" s="230">
        <f>IF($A$42&lt;&gt;"NÃO SELECIONADO",U46*V46,0)</f>
        <v>0</v>
      </c>
    </row>
    <row r="47" spans="1:23" hidden="1">
      <c r="A47" s="764" t="str">
        <f>IF('3_Comp e Produtos'!B15="Sim",'3_Comp e Produtos'!A15,"NÃO SELECIONADO")</f>
        <v>1.9. Modelo dinâmico de gerência, controle, otimização, integração e sustentabilidade dos processos operacionais e de gestão</v>
      </c>
      <c r="B47" s="799"/>
      <c r="C47" s="778"/>
      <c r="D47" s="189"/>
      <c r="E47" s="221"/>
      <c r="F47" s="185"/>
      <c r="G47" s="229">
        <f>IF($A$47&lt;&gt;"NÃO SELECIONADO",E47*F47,0)</f>
        <v>0</v>
      </c>
      <c r="H47" s="189"/>
      <c r="I47" s="221"/>
      <c r="J47" s="185"/>
      <c r="K47" s="229">
        <f>IF($A$47&lt;&gt;"NÃO SELECIONADO",I47*J47,0)</f>
        <v>0</v>
      </c>
      <c r="L47" s="541"/>
      <c r="M47" s="542"/>
      <c r="N47" s="543"/>
      <c r="O47" s="229">
        <f>IF($A$47&lt;&gt;"NÃO SELECIONADO",M47*N47,0)</f>
        <v>0</v>
      </c>
      <c r="P47" s="535"/>
      <c r="Q47" s="221"/>
      <c r="R47" s="185"/>
      <c r="S47" s="229">
        <f>IF($A$47&lt;&gt;"NÃO SELECIONADO",Q47*R47,0)</f>
        <v>0</v>
      </c>
      <c r="T47" s="188"/>
      <c r="U47" s="221"/>
      <c r="V47" s="185"/>
      <c r="W47" s="229">
        <f>IF($A$47&lt;&gt;"NÃO SELECIONADO",U47*V47,0)</f>
        <v>0</v>
      </c>
    </row>
    <row r="48" spans="1:23" hidden="1">
      <c r="A48" s="764"/>
      <c r="B48" s="800"/>
      <c r="C48" s="778"/>
      <c r="D48" s="378"/>
      <c r="E48" s="326"/>
      <c r="F48" s="231"/>
      <c r="G48" s="229">
        <f>IF($A$47&lt;&gt;"NÃO SELECIONADO",E48*F48,0)</f>
        <v>0</v>
      </c>
      <c r="H48" s="192"/>
      <c r="I48" s="221"/>
      <c r="J48" s="185"/>
      <c r="K48" s="229">
        <f>IF($A$47&lt;&gt;"NÃO SELECIONADO",I48*J48,0)</f>
        <v>0</v>
      </c>
      <c r="L48" s="190"/>
      <c r="M48" s="221"/>
      <c r="N48" s="185"/>
      <c r="O48" s="229">
        <f>IF($A$47&lt;&gt;"NÃO SELECIONADO",M48*N48,0)</f>
        <v>0</v>
      </c>
      <c r="P48" s="192"/>
      <c r="Q48" s="221"/>
      <c r="R48" s="185"/>
      <c r="S48" s="229">
        <f>IF($A$47&lt;&gt;"NÃO SELECIONADO",Q48*R48,0)</f>
        <v>0</v>
      </c>
      <c r="T48" s="192"/>
      <c r="U48" s="221"/>
      <c r="V48" s="185"/>
      <c r="W48" s="229">
        <f>IF($A$47&lt;&gt;"NÃO SELECIONADO",U48*V48,0)</f>
        <v>0</v>
      </c>
    </row>
    <row r="49" spans="1:23" hidden="1">
      <c r="A49" s="764"/>
      <c r="B49" s="800"/>
      <c r="C49" s="778"/>
      <c r="D49" s="193"/>
      <c r="E49" s="221"/>
      <c r="F49" s="185"/>
      <c r="G49" s="229">
        <f>IF($A$47&lt;&gt;"NÃO SELECIONADO",E49*F49,0)</f>
        <v>0</v>
      </c>
      <c r="H49" s="192"/>
      <c r="I49" s="221"/>
      <c r="J49" s="185"/>
      <c r="K49" s="229">
        <f>IF($A$47&lt;&gt;"NÃO SELECIONADO",I49*J49,0)</f>
        <v>0</v>
      </c>
      <c r="L49" s="190"/>
      <c r="M49" s="221"/>
      <c r="N49" s="185"/>
      <c r="O49" s="229">
        <f>IF($A$47&lt;&gt;"NÃO SELECIONADO",M49*N49,0)</f>
        <v>0</v>
      </c>
      <c r="P49" s="192"/>
      <c r="Q49" s="221"/>
      <c r="R49" s="185"/>
      <c r="S49" s="229">
        <f>IF($A$47&lt;&gt;"NÃO SELECIONADO",Q49*R49,0)</f>
        <v>0</v>
      </c>
      <c r="T49" s="192"/>
      <c r="U49" s="221"/>
      <c r="V49" s="185"/>
      <c r="W49" s="229">
        <f>IF($A$47&lt;&gt;"NÃO SELECIONADO",U49*V49,0)</f>
        <v>0</v>
      </c>
    </row>
    <row r="50" spans="1:23" hidden="1">
      <c r="A50" s="764"/>
      <c r="B50" s="800"/>
      <c r="C50" s="778"/>
      <c r="D50" s="193"/>
      <c r="E50" s="221"/>
      <c r="F50" s="185"/>
      <c r="G50" s="229">
        <f>IF($A$47&lt;&gt;"NÃO SELECIONADO",E50*F50,0)</f>
        <v>0</v>
      </c>
      <c r="H50" s="192"/>
      <c r="I50" s="221"/>
      <c r="J50" s="185"/>
      <c r="K50" s="229">
        <f>IF($A$47&lt;&gt;"NÃO SELECIONADO",I50*J50,0)</f>
        <v>0</v>
      </c>
      <c r="L50" s="190"/>
      <c r="M50" s="221"/>
      <c r="N50" s="185"/>
      <c r="O50" s="229">
        <f>IF($A$47&lt;&gt;"NÃO SELECIONADO",M50*N50,0)</f>
        <v>0</v>
      </c>
      <c r="P50" s="192"/>
      <c r="Q50" s="221"/>
      <c r="R50" s="185"/>
      <c r="S50" s="229">
        <f>IF($A$47&lt;&gt;"NÃO SELECIONADO",Q50*R50,0)</f>
        <v>0</v>
      </c>
      <c r="T50" s="192"/>
      <c r="U50" s="221"/>
      <c r="V50" s="185"/>
      <c r="W50" s="229">
        <f>IF($A$47&lt;&gt;"NÃO SELECIONADO",U50*V50,0)</f>
        <v>0</v>
      </c>
    </row>
    <row r="51" spans="1:23" hidden="1">
      <c r="A51" s="287">
        <f>IF(A47&lt;&gt;"NÃO SELECIONADO",SUM(G47:G51)+SUM(K47:K51)+SUM(O47:O51)+SUM(S47:S51)+SUM(W47:W51),0)</f>
        <v>0</v>
      </c>
      <c r="B51" s="800"/>
      <c r="C51" s="778"/>
      <c r="D51" s="193"/>
      <c r="E51" s="221"/>
      <c r="F51" s="185"/>
      <c r="G51" s="229">
        <f>IF($A$47&lt;&gt;"NÃO SELECIONADO",E51*F51,0)</f>
        <v>0</v>
      </c>
      <c r="H51" s="192"/>
      <c r="I51" s="221"/>
      <c r="J51" s="185"/>
      <c r="K51" s="229">
        <f>IF($A$47&lt;&gt;"NÃO SELECIONADO",I51*J51,0)</f>
        <v>0</v>
      </c>
      <c r="L51" s="190"/>
      <c r="M51" s="221"/>
      <c r="N51" s="185"/>
      <c r="O51" s="229">
        <f>IF($A$47&lt;&gt;"NÃO SELECIONADO",M51*N51,0)</f>
        <v>0</v>
      </c>
      <c r="P51" s="192"/>
      <c r="Q51" s="221"/>
      <c r="R51" s="185"/>
      <c r="S51" s="229">
        <f>IF($A$47&lt;&gt;"NÃO SELECIONADO",Q51*R51,0)</f>
        <v>0</v>
      </c>
      <c r="T51" s="192"/>
      <c r="U51" s="221"/>
      <c r="V51" s="185"/>
      <c r="W51" s="229">
        <f>IF($A$47&lt;&gt;"NÃO SELECIONADO",U51*V51,0)</f>
        <v>0</v>
      </c>
    </row>
    <row r="52" spans="1:23" hidden="1">
      <c r="A52" s="744" t="str">
        <f>IF('3_Comp e Produtos'!B16="Sim",'3_Comp e Produtos'!A16,"NÃO SELECIONADO")</f>
        <v>1.10. Unidade responsável pela definição e monitoramento dos projetos institucionais (Escitório de Gestão de Projetos)</v>
      </c>
      <c r="B52" s="799"/>
      <c r="C52" s="756"/>
      <c r="D52" s="378"/>
      <c r="E52" s="221"/>
      <c r="F52" s="185"/>
      <c r="G52" s="230">
        <f>IF($A$52&lt;&gt;"NÃO SELECIONADO",E52*F52,0)</f>
        <v>0</v>
      </c>
      <c r="H52" s="189"/>
      <c r="I52" s="221"/>
      <c r="J52" s="185"/>
      <c r="K52" s="230">
        <f>IF($A$52&lt;&gt;"NÃO SELECIONADO",I52*J52,0)</f>
        <v>0</v>
      </c>
      <c r="L52" s="190"/>
      <c r="M52" s="221"/>
      <c r="N52" s="185"/>
      <c r="O52" s="230">
        <f>IF($A$52&lt;&gt;"NÃO SELECIONADO",M52*N52,0)</f>
        <v>0</v>
      </c>
      <c r="P52" s="192"/>
      <c r="Q52" s="221"/>
      <c r="R52" s="185"/>
      <c r="S52" s="230">
        <f>IF($A$52&lt;&gt;"NÃO SELECIONADO",Q52*R52,0)</f>
        <v>0</v>
      </c>
      <c r="T52" s="192"/>
      <c r="U52" s="221"/>
      <c r="V52" s="185"/>
      <c r="W52" s="230">
        <f>IF($A$52&lt;&gt;"NÃO SELECIONADO",U52*V52,0)</f>
        <v>0</v>
      </c>
    </row>
    <row r="53" spans="1:23" hidden="1">
      <c r="A53" s="744"/>
      <c r="B53" s="800"/>
      <c r="C53" s="756"/>
      <c r="D53" s="193"/>
      <c r="E53" s="221"/>
      <c r="F53" s="185"/>
      <c r="G53" s="230">
        <f>IF($A$52&lt;&gt;"NÃO SELECIONADO",E53*F53,0)</f>
        <v>0</v>
      </c>
      <c r="H53" s="192"/>
      <c r="I53" s="221"/>
      <c r="J53" s="185"/>
      <c r="K53" s="230">
        <f>IF($A$52&lt;&gt;"NÃO SELECIONADO",I53*J53,0)</f>
        <v>0</v>
      </c>
      <c r="L53" s="190"/>
      <c r="M53" s="221"/>
      <c r="N53" s="185"/>
      <c r="O53" s="230">
        <f>IF($A$52&lt;&gt;"NÃO SELECIONADO",M53*N53,0)</f>
        <v>0</v>
      </c>
      <c r="P53" s="192"/>
      <c r="Q53" s="221"/>
      <c r="R53" s="185"/>
      <c r="S53" s="230">
        <f>IF($A$52&lt;&gt;"NÃO SELECIONADO",Q53*R53,0)</f>
        <v>0</v>
      </c>
      <c r="T53" s="192"/>
      <c r="U53" s="221"/>
      <c r="V53" s="185"/>
      <c r="W53" s="230">
        <f>IF($A$52&lt;&gt;"NÃO SELECIONADO",U53*V53,0)</f>
        <v>0</v>
      </c>
    </row>
    <row r="54" spans="1:23" hidden="1">
      <c r="A54" s="744"/>
      <c r="B54" s="800"/>
      <c r="C54" s="756"/>
      <c r="D54" s="193"/>
      <c r="E54" s="221"/>
      <c r="F54" s="185"/>
      <c r="G54" s="230">
        <f>IF($A$52&lt;&gt;"NÃO SELECIONADO",E54*F54,0)</f>
        <v>0</v>
      </c>
      <c r="H54" s="192"/>
      <c r="I54" s="221"/>
      <c r="J54" s="185"/>
      <c r="K54" s="230">
        <f>IF($A$52&lt;&gt;"NÃO SELECIONADO",I54*J54,0)</f>
        <v>0</v>
      </c>
      <c r="L54" s="190"/>
      <c r="M54" s="221"/>
      <c r="N54" s="185"/>
      <c r="O54" s="230">
        <f>IF($A$52&lt;&gt;"NÃO SELECIONADO",M54*N54,0)</f>
        <v>0</v>
      </c>
      <c r="P54" s="192"/>
      <c r="Q54" s="221"/>
      <c r="R54" s="185"/>
      <c r="S54" s="230">
        <f>IF($A$52&lt;&gt;"NÃO SELECIONADO",Q54*R54,0)</f>
        <v>0</v>
      </c>
      <c r="T54" s="192"/>
      <c r="U54" s="221"/>
      <c r="V54" s="185"/>
      <c r="W54" s="230">
        <f>IF($A$52&lt;&gt;"NÃO SELECIONADO",U54*V54,0)</f>
        <v>0</v>
      </c>
    </row>
    <row r="55" spans="1:23" hidden="1">
      <c r="A55" s="744"/>
      <c r="B55" s="800"/>
      <c r="C55" s="756"/>
      <c r="D55" s="193"/>
      <c r="E55" s="221"/>
      <c r="F55" s="185"/>
      <c r="G55" s="230">
        <f>IF($A$52&lt;&gt;"NÃO SELECIONADO",E55*F55,0)</f>
        <v>0</v>
      </c>
      <c r="H55" s="192"/>
      <c r="I55" s="221"/>
      <c r="J55" s="185"/>
      <c r="K55" s="230">
        <f>IF($A$52&lt;&gt;"NÃO SELECIONADO",I55*J55,0)</f>
        <v>0</v>
      </c>
      <c r="L55" s="190"/>
      <c r="M55" s="221"/>
      <c r="N55" s="185"/>
      <c r="O55" s="230">
        <f>IF($A$52&lt;&gt;"NÃO SELECIONADO",M55*N55,0)</f>
        <v>0</v>
      </c>
      <c r="P55" s="192"/>
      <c r="Q55" s="221"/>
      <c r="R55" s="185"/>
      <c r="S55" s="230">
        <f>IF($A$52&lt;&gt;"NÃO SELECIONADO",Q55*R55,0)</f>
        <v>0</v>
      </c>
      <c r="T55" s="192"/>
      <c r="U55" s="221"/>
      <c r="V55" s="185"/>
      <c r="W55" s="230">
        <f>IF($A$52&lt;&gt;"NÃO SELECIONADO",U55*V55,0)</f>
        <v>0</v>
      </c>
    </row>
    <row r="56" spans="1:23" ht="13.5" hidden="1" thickBot="1">
      <c r="A56" s="287">
        <f>IF(A52&lt;&gt;"NÃO SELECIONADO",SUM(G52:G56)+SUM(K52:K56)+SUM(O52:O56)+SUM(S52:S56)+SUM(W52:W56),0)</f>
        <v>0</v>
      </c>
      <c r="B56" s="800"/>
      <c r="C56" s="756"/>
      <c r="D56" s="193"/>
      <c r="E56" s="221"/>
      <c r="F56" s="185"/>
      <c r="G56" s="230">
        <f>IF($A$52&lt;&gt;"NÃO SELECIONADO",E56*F56,0)</f>
        <v>0</v>
      </c>
      <c r="H56" s="192"/>
      <c r="I56" s="221"/>
      <c r="J56" s="185"/>
      <c r="K56" s="230">
        <f>IF($A$52&lt;&gt;"NÃO SELECIONADO",I56*J56,0)</f>
        <v>0</v>
      </c>
      <c r="L56" s="190"/>
      <c r="M56" s="221"/>
      <c r="N56" s="185"/>
      <c r="O56" s="230">
        <f>IF($A$52&lt;&gt;"NÃO SELECIONADO",M56*N56,0)</f>
        <v>0</v>
      </c>
      <c r="P56" s="192"/>
      <c r="Q56" s="221"/>
      <c r="R56" s="185"/>
      <c r="S56" s="230">
        <f>IF($A$52&lt;&gt;"NÃO SELECIONADO",Q56*R56,0)</f>
        <v>0</v>
      </c>
      <c r="T56" s="192"/>
      <c r="U56" s="221"/>
      <c r="V56" s="185"/>
      <c r="W56" s="230">
        <f>IF($A$52&lt;&gt;"NÃO SELECIONADO",U56*V56,0)</f>
        <v>0</v>
      </c>
    </row>
    <row r="57" spans="1:23" s="288" customFormat="1" ht="13.5" thickBot="1">
      <c r="A57" s="211" t="s">
        <v>16</v>
      </c>
      <c r="B57" s="544">
        <f>SUM(G57:W57)</f>
        <v>5251000</v>
      </c>
      <c r="C57" s="212"/>
      <c r="D57" s="213"/>
      <c r="E57" s="224"/>
      <c r="F57" s="214"/>
      <c r="G57" s="310">
        <f>SUM(G5:G56)</f>
        <v>50000</v>
      </c>
      <c r="H57" s="215"/>
      <c r="I57" s="224"/>
      <c r="J57" s="214"/>
      <c r="K57" s="310">
        <f>SUM(K5:K56)</f>
        <v>4728000</v>
      </c>
      <c r="L57" s="216"/>
      <c r="M57" s="224"/>
      <c r="N57" s="214"/>
      <c r="O57" s="310">
        <f>SUM(O5:O56)</f>
        <v>0</v>
      </c>
      <c r="P57" s="215"/>
      <c r="Q57" s="224"/>
      <c r="R57" s="214"/>
      <c r="S57" s="310">
        <f>SUM(S5:S56)</f>
        <v>0</v>
      </c>
      <c r="T57" s="215"/>
      <c r="U57" s="224"/>
      <c r="V57" s="214"/>
      <c r="W57" s="310">
        <f>SUM(W5:W56)</f>
        <v>473000</v>
      </c>
    </row>
    <row r="60" spans="1:23">
      <c r="T60" s="217"/>
    </row>
    <row r="63" spans="1:23">
      <c r="H63" s="217"/>
    </row>
    <row r="66" spans="7:8">
      <c r="G66" s="217"/>
    </row>
    <row r="67" spans="7:8">
      <c r="G67" s="217"/>
      <c r="H67" s="217"/>
    </row>
  </sheetData>
  <mergeCells count="44">
    <mergeCell ref="A2:B2"/>
    <mergeCell ref="A3:A4"/>
    <mergeCell ref="B3:B4"/>
    <mergeCell ref="C3:C4"/>
    <mergeCell ref="D3:E3"/>
    <mergeCell ref="A10:A13"/>
    <mergeCell ref="B10:B14"/>
    <mergeCell ref="C10:C14"/>
    <mergeCell ref="H3:I3"/>
    <mergeCell ref="J3:K3"/>
    <mergeCell ref="F3:G3"/>
    <mergeCell ref="T3:U3"/>
    <mergeCell ref="V3:W3"/>
    <mergeCell ref="A5:A8"/>
    <mergeCell ref="B5:B9"/>
    <mergeCell ref="C5:C9"/>
    <mergeCell ref="L3:M3"/>
    <mergeCell ref="N3:O3"/>
    <mergeCell ref="P3:Q3"/>
    <mergeCell ref="R3:S3"/>
    <mergeCell ref="A15:A18"/>
    <mergeCell ref="B15:B19"/>
    <mergeCell ref="C15:C19"/>
    <mergeCell ref="A20:A23"/>
    <mergeCell ref="B20:B24"/>
    <mergeCell ref="C20:C24"/>
    <mergeCell ref="B25:B31"/>
    <mergeCell ref="C25:C31"/>
    <mergeCell ref="A32:A35"/>
    <mergeCell ref="B32:B36"/>
    <mergeCell ref="C32:C36"/>
    <mergeCell ref="A25:A30"/>
    <mergeCell ref="A37:A40"/>
    <mergeCell ref="B37:B41"/>
    <mergeCell ref="C37:C41"/>
    <mergeCell ref="A42:A45"/>
    <mergeCell ref="B42:B46"/>
    <mergeCell ref="C42:C46"/>
    <mergeCell ref="A47:A50"/>
    <mergeCell ref="B47:B51"/>
    <mergeCell ref="C47:C51"/>
    <mergeCell ref="A52:A55"/>
    <mergeCell ref="B52:B56"/>
    <mergeCell ref="C52:C56"/>
  </mergeCells>
  <printOptions verticalCentered="1"/>
  <pageMargins left="0.39370078740157483" right="0.39370078740157483" top="0.78740157480314965" bottom="0.59055118110236227" header="0.31496062992125984" footer="0.31496062992125984"/>
  <pageSetup paperSize="9" scale="75" orientation="landscape" horizontalDpi="200" verticalDpi="200" r:id="rId1"/>
  <headerFooter>
    <oddHeader>&amp;LBID Modernização da AGU&amp;C
&amp;"Arial,Negrito"PLANO DE AÇÃO E DE INVESTIMENTOS - PAI</oddHeader>
    <oddFooter>&amp;L&amp;D&amp;C&amp;A&amp;R&amp;P / &amp;N</oddFooter>
  </headerFooter>
  <legacyDrawing r:id="rId2"/>
</worksheet>
</file>

<file path=xl/worksheets/sheet7.xml><?xml version="1.0" encoding="utf-8"?>
<worksheet xmlns="http://schemas.openxmlformats.org/spreadsheetml/2006/main" xmlns:r="http://schemas.openxmlformats.org/officeDocument/2006/relationships">
  <dimension ref="A1:BG31"/>
  <sheetViews>
    <sheetView showGridLines="0" zoomScale="85" zoomScaleNormal="85" zoomScaleSheetLayoutView="85" workbookViewId="0">
      <pane xSplit="2" ySplit="4" topLeftCell="J5" activePane="bottomRight" state="frozen"/>
      <selection activeCell="B31" sqref="B31:H35"/>
      <selection pane="topRight" activeCell="B31" sqref="B31:H35"/>
      <selection pane="bottomLeft" activeCell="B31" sqref="B31:H35"/>
      <selection pane="bottomRight" activeCell="B27" sqref="B27"/>
    </sheetView>
  </sheetViews>
  <sheetFormatPr defaultColWidth="9.140625" defaultRowHeight="12.75"/>
  <cols>
    <col min="1" max="1" width="30.7109375" customWidth="1"/>
    <col min="2" max="2" width="44.28515625" customWidth="1"/>
    <col min="3" max="3" width="44.5703125" customWidth="1"/>
    <col min="4" max="4" width="28.7109375" customWidth="1"/>
    <col min="5" max="5" width="10.7109375" style="14" customWidth="1"/>
    <col min="6" max="6" width="10.7109375" style="15" customWidth="1"/>
    <col min="7" max="7" width="12.7109375" customWidth="1"/>
    <col min="8" max="8" width="27.85546875" customWidth="1"/>
    <col min="9" max="9" width="6.7109375" style="16" customWidth="1"/>
    <col min="10" max="10" width="8.140625" style="17" bestFit="1" customWidth="1"/>
    <col min="11" max="11" width="12.7109375" customWidth="1"/>
    <col min="12" max="12" width="27.140625" customWidth="1"/>
    <col min="13" max="13" width="6.7109375" style="14" customWidth="1"/>
    <col min="14" max="14" width="8.140625" style="15" bestFit="1" customWidth="1"/>
    <col min="15" max="15" width="11" style="15" customWidth="1"/>
    <col min="16" max="16" width="27.42578125" customWidth="1"/>
    <col min="17" max="17" width="6.7109375" style="14" customWidth="1"/>
    <col min="18" max="18" width="10.7109375" style="15" customWidth="1"/>
    <col min="19" max="19" width="11.42578125" style="15" customWidth="1"/>
    <col min="20" max="20" width="27.140625" customWidth="1"/>
    <col min="21" max="21" width="6.7109375" style="14" customWidth="1"/>
    <col min="22" max="22" width="8.140625" style="15" bestFit="1" customWidth="1"/>
    <col min="23" max="23" width="10.7109375" style="15" customWidth="1"/>
  </cols>
  <sheetData>
    <row r="1" spans="1:59" ht="28.5" customHeight="1" thickBot="1">
      <c r="A1" s="18" t="s">
        <v>85</v>
      </c>
      <c r="B1" s="19"/>
      <c r="C1" s="20"/>
      <c r="D1" s="20"/>
      <c r="E1" s="21"/>
      <c r="F1" s="22"/>
      <c r="G1" s="23"/>
      <c r="H1" s="23"/>
      <c r="I1" s="24"/>
      <c r="J1" s="25"/>
      <c r="K1" s="23"/>
      <c r="L1" s="23"/>
      <c r="M1" s="26"/>
      <c r="N1" s="27"/>
      <c r="O1" s="27"/>
      <c r="P1" s="23"/>
      <c r="Q1" s="26"/>
      <c r="R1" s="27"/>
      <c r="S1" s="27"/>
      <c r="T1" s="23"/>
      <c r="U1" s="26"/>
      <c r="V1" s="27"/>
      <c r="W1" s="35"/>
    </row>
    <row r="2" spans="1:59" s="29" customFormat="1" ht="13.5" thickBot="1">
      <c r="A2" s="308" t="str">
        <f>'3_Comp e Produtos'!A52</f>
        <v>ADMINISTRAÇÃO</v>
      </c>
      <c r="B2" s="309"/>
      <c r="C2" s="36"/>
      <c r="D2" s="36"/>
      <c r="E2" s="37"/>
      <c r="F2" s="38"/>
      <c r="G2" s="36"/>
      <c r="H2" s="36"/>
      <c r="I2" s="39"/>
      <c r="J2" s="40"/>
      <c r="K2" s="36"/>
      <c r="L2" s="36"/>
      <c r="M2" s="37"/>
      <c r="N2" s="38"/>
      <c r="O2" s="38"/>
      <c r="P2" s="36"/>
      <c r="Q2" s="37"/>
      <c r="R2" s="38"/>
      <c r="S2" s="38"/>
      <c r="T2" s="36"/>
      <c r="U2" s="37"/>
      <c r="V2" s="38"/>
      <c r="W2" s="95"/>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row>
    <row r="3" spans="1:59" ht="27.75" customHeight="1" thickBot="1">
      <c r="A3" s="827" t="s">
        <v>3</v>
      </c>
      <c r="B3" s="829" t="s">
        <v>4</v>
      </c>
      <c r="C3" s="817" t="s">
        <v>5</v>
      </c>
      <c r="D3" s="834" t="s">
        <v>6</v>
      </c>
      <c r="E3" s="835"/>
      <c r="F3" s="821" t="s">
        <v>7</v>
      </c>
      <c r="G3" s="822"/>
      <c r="H3" s="823" t="s">
        <v>8</v>
      </c>
      <c r="I3" s="824"/>
      <c r="J3" s="825" t="s">
        <v>7</v>
      </c>
      <c r="K3" s="826"/>
      <c r="L3" s="831" t="s">
        <v>9</v>
      </c>
      <c r="M3" s="832"/>
      <c r="N3" s="815" t="s">
        <v>7</v>
      </c>
      <c r="O3" s="833"/>
      <c r="P3" s="819" t="s">
        <v>81</v>
      </c>
      <c r="Q3" s="820"/>
      <c r="R3" s="737" t="s">
        <v>7</v>
      </c>
      <c r="S3" s="743"/>
      <c r="T3" s="741" t="s">
        <v>82</v>
      </c>
      <c r="U3" s="742"/>
      <c r="V3" s="815" t="s">
        <v>7</v>
      </c>
      <c r="W3" s="816"/>
    </row>
    <row r="4" spans="1:59" ht="13.5" thickBot="1">
      <c r="A4" s="828"/>
      <c r="B4" s="830"/>
      <c r="C4" s="818"/>
      <c r="D4" s="303" t="s">
        <v>10</v>
      </c>
      <c r="E4" s="297" t="s">
        <v>11</v>
      </c>
      <c r="F4" s="297" t="s">
        <v>0</v>
      </c>
      <c r="G4" s="304" t="s">
        <v>62</v>
      </c>
      <c r="H4" s="305" t="s">
        <v>12</v>
      </c>
      <c r="I4" s="306" t="s">
        <v>1</v>
      </c>
      <c r="J4" s="306" t="s">
        <v>0</v>
      </c>
      <c r="K4" s="307" t="s">
        <v>62</v>
      </c>
      <c r="L4" s="303" t="s">
        <v>13</v>
      </c>
      <c r="M4" s="297" t="s">
        <v>14</v>
      </c>
      <c r="N4" s="297" t="s">
        <v>0</v>
      </c>
      <c r="O4" s="304" t="s">
        <v>62</v>
      </c>
      <c r="P4" s="305" t="s">
        <v>13</v>
      </c>
      <c r="Q4" s="306" t="s">
        <v>14</v>
      </c>
      <c r="R4" s="306" t="s">
        <v>0</v>
      </c>
      <c r="S4" s="307" t="s">
        <v>62</v>
      </c>
      <c r="T4" s="296" t="s">
        <v>15</v>
      </c>
      <c r="U4" s="297" t="s">
        <v>14</v>
      </c>
      <c r="V4" s="297" t="s">
        <v>0</v>
      </c>
      <c r="W4" s="298" t="s">
        <v>62</v>
      </c>
    </row>
    <row r="5" spans="1:59" s="12" customFormat="1" ht="25.5">
      <c r="A5" s="812" t="str">
        <f>IF('3_Comp e Produtos'!B53="Sim",'3_Comp e Produtos'!A53,"NÃO SELECIONADO")</f>
        <v>A1 - Gestão do Projeto</v>
      </c>
      <c r="B5" s="750" t="s">
        <v>231</v>
      </c>
      <c r="C5" s="808"/>
      <c r="D5" s="93" t="s">
        <v>232</v>
      </c>
      <c r="E5" s="354">
        <f>4*8*2</f>
        <v>64</v>
      </c>
      <c r="F5" s="355">
        <v>1000</v>
      </c>
      <c r="G5" s="312">
        <f>IF($A$5&lt;&gt;"NÃO SELECIONADO",E5*F5,0)</f>
        <v>64000</v>
      </c>
      <c r="H5" s="93" t="s">
        <v>234</v>
      </c>
      <c r="I5" s="338">
        <f>3*3*360+180</f>
        <v>3420</v>
      </c>
      <c r="J5" s="311">
        <f>8000/30</f>
        <v>267</v>
      </c>
      <c r="K5" s="312">
        <f>IF($A$5&lt;&gt;"NÃO SELECIONADO",I5*J5,0)</f>
        <v>913140</v>
      </c>
      <c r="L5" s="89" t="s">
        <v>235</v>
      </c>
      <c r="M5" s="86">
        <v>4</v>
      </c>
      <c r="N5" s="311">
        <v>10000</v>
      </c>
      <c r="O5" s="312">
        <f>IF($A$5&lt;&gt;"NÃO SELECIONADO",M5*N5,0)</f>
        <v>40000</v>
      </c>
      <c r="P5" s="315"/>
      <c r="Q5" s="338"/>
      <c r="R5" s="339"/>
      <c r="S5" s="312">
        <f>IF($A$5&lt;&gt;"NÃO SELECIONADO",Q5*R5,0)</f>
        <v>0</v>
      </c>
      <c r="T5" s="89" t="s">
        <v>236</v>
      </c>
      <c r="U5" s="86">
        <f>8*4*4</f>
        <v>128</v>
      </c>
      <c r="V5" s="311">
        <v>1000</v>
      </c>
      <c r="W5" s="312">
        <f>IF($A$5&lt;&gt;"NÃO SELECIONADO",U5*V5,0)</f>
        <v>128000</v>
      </c>
    </row>
    <row r="6" spans="1:59" s="12" customFormat="1" ht="30.6" customHeight="1">
      <c r="A6" s="813"/>
      <c r="B6" s="751"/>
      <c r="C6" s="808"/>
      <c r="D6" s="92"/>
      <c r="E6" s="333"/>
      <c r="F6" s="355"/>
      <c r="G6" s="312">
        <f>IF($A$5&lt;&gt;"NÃO SELECIONADO",E6*F6,0)</f>
        <v>0</v>
      </c>
      <c r="H6" s="357" t="s">
        <v>233</v>
      </c>
      <c r="I6" s="358">
        <f>4*360</f>
        <v>1440</v>
      </c>
      <c r="J6" s="327">
        <v>267</v>
      </c>
      <c r="K6" s="312">
        <f>IF($A$5&lt;&gt;"NÃO SELECIONADO",I6*J6,0)</f>
        <v>384480</v>
      </c>
      <c r="L6" s="93" t="s">
        <v>239</v>
      </c>
      <c r="M6" s="91">
        <v>4</v>
      </c>
      <c r="N6" s="231">
        <v>20000</v>
      </c>
      <c r="O6" s="312">
        <f>IF($A$5&lt;&gt;"NÃO SELECIONADO",M6*N6,0)</f>
        <v>80000</v>
      </c>
      <c r="P6" s="92"/>
      <c r="Q6" s="333"/>
      <c r="R6" s="343"/>
      <c r="S6" s="312">
        <f>IF($A$5&lt;&gt;"NÃO SELECIONADO",Q6*R6,0)</f>
        <v>0</v>
      </c>
      <c r="T6" s="181" t="s">
        <v>237</v>
      </c>
      <c r="U6" s="91">
        <f>128*3</f>
        <v>384</v>
      </c>
      <c r="V6" s="231">
        <v>250</v>
      </c>
      <c r="W6" s="312">
        <f>IF($A$5&lt;&gt;"NÃO SELECIONADO",U6*V6,0)</f>
        <v>96000</v>
      </c>
    </row>
    <row r="7" spans="1:59" s="12" customFormat="1">
      <c r="A7" s="813"/>
      <c r="B7" s="751"/>
      <c r="C7" s="808"/>
      <c r="D7" s="92"/>
      <c r="E7" s="333"/>
      <c r="F7" s="355"/>
      <c r="G7" s="312">
        <f>IF($A$5&lt;&gt;"NÃO SELECIONADO",E7*F7,0)</f>
        <v>0</v>
      </c>
      <c r="H7" s="357"/>
      <c r="I7" s="333"/>
      <c r="J7" s="313"/>
      <c r="K7" s="312">
        <f>IF($A$5&lt;&gt;"NÃO SELECIONADO",I7*J7,0)</f>
        <v>0</v>
      </c>
      <c r="L7" s="90"/>
      <c r="M7" s="91"/>
      <c r="N7" s="231"/>
      <c r="O7" s="312">
        <f>IF($A$5&lt;&gt;"NÃO SELECIONADO",M7*N7,0)</f>
        <v>0</v>
      </c>
      <c r="P7" s="90"/>
      <c r="Q7" s="333"/>
      <c r="R7" s="343"/>
      <c r="S7" s="312">
        <f>IF($A$5&lt;&gt;"NÃO SELECIONADO",Q7*R7,0)</f>
        <v>0</v>
      </c>
      <c r="T7" s="90"/>
      <c r="U7" s="91"/>
      <c r="V7" s="231"/>
      <c r="W7" s="312">
        <f>IF($A$5&lt;&gt;"NÃO SELECIONADO",U7*V7,0)</f>
        <v>0</v>
      </c>
    </row>
    <row r="8" spans="1:59" s="12" customFormat="1">
      <c r="A8" s="813"/>
      <c r="B8" s="751"/>
      <c r="C8" s="808"/>
      <c r="D8" s="92"/>
      <c r="E8" s="333"/>
      <c r="F8" s="355"/>
      <c r="G8" s="312">
        <f>IF($A$5&lt;&gt;"NÃO SELECIONADO",E8*F8,0)</f>
        <v>0</v>
      </c>
      <c r="H8" s="359"/>
      <c r="I8" s="333"/>
      <c r="J8" s="334"/>
      <c r="K8" s="312">
        <f>IF($A$5&lt;&gt;"NÃO SELECIONADO",I8*J8,0)</f>
        <v>0</v>
      </c>
      <c r="L8" s="90"/>
      <c r="M8" s="91"/>
      <c r="N8" s="231"/>
      <c r="O8" s="312">
        <f>IF($A$5&lt;&gt;"NÃO SELECIONADO",M8*N8,0)</f>
        <v>0</v>
      </c>
      <c r="P8" s="341"/>
      <c r="Q8" s="358"/>
      <c r="R8" s="327"/>
      <c r="S8" s="312">
        <f>IF($A$5&lt;&gt;"NÃO SELECIONADO",Q8*R8,0)</f>
        <v>0</v>
      </c>
      <c r="T8" s="90"/>
      <c r="U8" s="91"/>
      <c r="V8" s="231"/>
      <c r="W8" s="312">
        <f>IF($A$5&lt;&gt;"NÃO SELECIONADO",U8*V8,0)</f>
        <v>0</v>
      </c>
    </row>
    <row r="9" spans="1:59" s="12" customFormat="1">
      <c r="A9" s="813"/>
      <c r="B9" s="751"/>
      <c r="C9" s="808"/>
      <c r="D9" s="92"/>
      <c r="E9" s="333"/>
      <c r="F9" s="334"/>
      <c r="G9" s="229">
        <f t="shared" ref="G9:G14" si="0">IF($A$5&lt;&gt;"NÃO SELECIONADO",E9*F9,0)</f>
        <v>0</v>
      </c>
      <c r="H9" s="92"/>
      <c r="I9" s="91"/>
      <c r="J9" s="313"/>
      <c r="K9" s="229">
        <f t="shared" ref="K9:K14" si="1">IF($A$5&lt;&gt;"NÃO SELECIONADO",I9*J9,0)</f>
        <v>0</v>
      </c>
      <c r="L9" s="90"/>
      <c r="M9" s="91"/>
      <c r="N9" s="313"/>
      <c r="O9" s="229">
        <f t="shared" ref="O9:O14" si="2">IF($A$5&lt;&gt;"NÃO SELECIONADO",M9*N9,0)</f>
        <v>0</v>
      </c>
      <c r="P9" s="360"/>
      <c r="Q9" s="358"/>
      <c r="R9" s="327"/>
      <c r="S9" s="229">
        <f t="shared" ref="S9:S14" si="3">IF($A$5&lt;&gt;"NÃO SELECIONADO",Q9*R9,0)</f>
        <v>0</v>
      </c>
      <c r="T9" s="90"/>
      <c r="U9" s="91"/>
      <c r="V9" s="313"/>
      <c r="W9" s="229">
        <f t="shared" ref="W9:W14" si="4">IF($A$5&lt;&gt;"NÃO SELECIONADO",U9*V9,0)</f>
        <v>0</v>
      </c>
    </row>
    <row r="10" spans="1:59" s="12" customFormat="1">
      <c r="A10" s="813"/>
      <c r="B10" s="751"/>
      <c r="C10" s="808"/>
      <c r="D10" s="92"/>
      <c r="E10" s="333"/>
      <c r="F10" s="334"/>
      <c r="G10" s="229">
        <f t="shared" si="0"/>
        <v>0</v>
      </c>
      <c r="H10" s="92"/>
      <c r="I10" s="91"/>
      <c r="J10" s="313"/>
      <c r="K10" s="229">
        <f t="shared" si="1"/>
        <v>0</v>
      </c>
      <c r="L10" s="90"/>
      <c r="M10" s="91"/>
      <c r="N10" s="313"/>
      <c r="O10" s="229">
        <f t="shared" si="2"/>
        <v>0</v>
      </c>
      <c r="P10" s="90"/>
      <c r="Q10" s="91"/>
      <c r="R10" s="313"/>
      <c r="S10" s="229">
        <f t="shared" si="3"/>
        <v>0</v>
      </c>
      <c r="T10" s="90"/>
      <c r="U10" s="91"/>
      <c r="V10" s="313"/>
      <c r="W10" s="229">
        <f t="shared" si="4"/>
        <v>0</v>
      </c>
    </row>
    <row r="11" spans="1:59" s="12" customFormat="1">
      <c r="A11" s="813"/>
      <c r="B11" s="751"/>
      <c r="C11" s="808"/>
      <c r="D11" s="356"/>
      <c r="E11" s="342"/>
      <c r="F11" s="343"/>
      <c r="G11" s="229">
        <f t="shared" si="0"/>
        <v>0</v>
      </c>
      <c r="H11" s="92"/>
      <c r="I11" s="91"/>
      <c r="J11" s="313"/>
      <c r="K11" s="229">
        <f t="shared" si="1"/>
        <v>0</v>
      </c>
      <c r="L11" s="90"/>
      <c r="M11" s="91"/>
      <c r="N11" s="313"/>
      <c r="O11" s="229">
        <f t="shared" si="2"/>
        <v>0</v>
      </c>
      <c r="P11" s="90"/>
      <c r="Q11" s="91"/>
      <c r="R11" s="313"/>
      <c r="S11" s="229">
        <f t="shared" si="3"/>
        <v>0</v>
      </c>
      <c r="T11" s="90"/>
      <c r="U11" s="91"/>
      <c r="V11" s="313"/>
      <c r="W11" s="229">
        <f t="shared" si="4"/>
        <v>0</v>
      </c>
    </row>
    <row r="12" spans="1:59" s="12" customFormat="1">
      <c r="A12" s="813"/>
      <c r="B12" s="751"/>
      <c r="C12" s="808"/>
      <c r="D12" s="341"/>
      <c r="E12" s="342"/>
      <c r="F12" s="343"/>
      <c r="G12" s="229">
        <f t="shared" si="0"/>
        <v>0</v>
      </c>
      <c r="H12" s="92"/>
      <c r="I12" s="91"/>
      <c r="J12" s="313"/>
      <c r="K12" s="229">
        <f t="shared" si="1"/>
        <v>0</v>
      </c>
      <c r="L12" s="90"/>
      <c r="M12" s="91"/>
      <c r="N12" s="313"/>
      <c r="O12" s="229">
        <f t="shared" si="2"/>
        <v>0</v>
      </c>
      <c r="P12" s="90"/>
      <c r="Q12" s="91"/>
      <c r="R12" s="313"/>
      <c r="S12" s="229">
        <f t="shared" si="3"/>
        <v>0</v>
      </c>
      <c r="T12" s="92"/>
      <c r="U12" s="91"/>
      <c r="V12" s="313"/>
      <c r="W12" s="229">
        <f t="shared" si="4"/>
        <v>0</v>
      </c>
    </row>
    <row r="13" spans="1:59" s="12" customFormat="1">
      <c r="A13" s="814"/>
      <c r="B13" s="751"/>
      <c r="C13" s="808"/>
      <c r="D13" s="92"/>
      <c r="E13" s="333"/>
      <c r="F13" s="334"/>
      <c r="G13" s="229">
        <f t="shared" si="0"/>
        <v>0</v>
      </c>
      <c r="H13" s="92"/>
      <c r="I13" s="91"/>
      <c r="J13" s="313"/>
      <c r="K13" s="229">
        <f t="shared" si="1"/>
        <v>0</v>
      </c>
      <c r="L13" s="90"/>
      <c r="M13" s="91"/>
      <c r="N13" s="313"/>
      <c r="O13" s="229">
        <f t="shared" si="2"/>
        <v>0</v>
      </c>
      <c r="P13" s="90"/>
      <c r="Q13" s="91"/>
      <c r="R13" s="313"/>
      <c r="S13" s="229">
        <f t="shared" si="3"/>
        <v>0</v>
      </c>
      <c r="T13" s="90"/>
      <c r="U13" s="91"/>
      <c r="V13" s="313"/>
      <c r="W13" s="229">
        <f t="shared" si="4"/>
        <v>0</v>
      </c>
    </row>
    <row r="14" spans="1:59" s="12" customFormat="1" ht="13.5" thickBot="1">
      <c r="A14" s="323">
        <f>IF(A5&lt;&gt;"NÃO SELECIONADO",SUM(G5:G14)+SUM(K5:K14)+SUM(O5:O14)+SUM(S5:S14)+SUM(W5:W14),0)</f>
        <v>1705620</v>
      </c>
      <c r="B14" s="752"/>
      <c r="C14" s="809"/>
      <c r="D14" s="92"/>
      <c r="E14" s="333"/>
      <c r="F14" s="334"/>
      <c r="G14" s="229">
        <f t="shared" si="0"/>
        <v>0</v>
      </c>
      <c r="H14" s="92"/>
      <c r="I14" s="91"/>
      <c r="J14" s="313"/>
      <c r="K14" s="229">
        <f t="shared" si="1"/>
        <v>0</v>
      </c>
      <c r="L14" s="90"/>
      <c r="M14" s="91"/>
      <c r="N14" s="313"/>
      <c r="O14" s="229">
        <f t="shared" si="2"/>
        <v>0</v>
      </c>
      <c r="P14" s="90"/>
      <c r="Q14" s="91"/>
      <c r="R14" s="313"/>
      <c r="S14" s="229">
        <f t="shared" si="3"/>
        <v>0</v>
      </c>
      <c r="T14" s="90"/>
      <c r="U14" s="91"/>
      <c r="V14" s="313"/>
      <c r="W14" s="229">
        <f t="shared" si="4"/>
        <v>0</v>
      </c>
    </row>
    <row r="15" spans="1:59" s="113" customFormat="1" ht="13.5" thickBot="1">
      <c r="A15" s="108" t="s">
        <v>41</v>
      </c>
      <c r="B15" s="234">
        <f>SUM(G15:W15)</f>
        <v>1705620</v>
      </c>
      <c r="C15" s="109"/>
      <c r="D15" s="110"/>
      <c r="E15" s="111"/>
      <c r="F15" s="314"/>
      <c r="G15" s="310">
        <f>SUM(G5:G14)</f>
        <v>64000</v>
      </c>
      <c r="H15" s="112"/>
      <c r="I15" s="111"/>
      <c r="J15" s="314"/>
      <c r="K15" s="310">
        <f>SUM(K5:K14)</f>
        <v>1297620</v>
      </c>
      <c r="L15" s="112"/>
      <c r="M15" s="111"/>
      <c r="N15" s="314"/>
      <c r="O15" s="310">
        <f>SUM(O5:O14)</f>
        <v>120000</v>
      </c>
      <c r="P15" s="112"/>
      <c r="Q15" s="111"/>
      <c r="R15" s="314"/>
      <c r="S15" s="310">
        <f>SUM(S5:S14)</f>
        <v>0</v>
      </c>
      <c r="T15" s="112"/>
      <c r="U15" s="111"/>
      <c r="V15" s="314"/>
      <c r="W15" s="310">
        <f>SUM(W5:W14)</f>
        <v>224000</v>
      </c>
    </row>
    <row r="16" spans="1:59" s="12" customFormat="1">
      <c r="A16" s="810" t="str">
        <f>IF('3_Comp e Produtos'!B54="Sim",'3_Comp e Produtos'!A54,"NÃO SELECIONADO")</f>
        <v>A2 -Avaliação Independente</v>
      </c>
      <c r="B16" s="811" t="s">
        <v>238</v>
      </c>
      <c r="C16" s="807"/>
      <c r="D16" s="90"/>
      <c r="E16" s="333"/>
      <c r="F16" s="355"/>
      <c r="G16" s="230">
        <f t="shared" ref="G16:G25" si="5">IF($A$16&lt;&gt;"NÃO SELECIONADO",E16*F16,0)</f>
        <v>0</v>
      </c>
      <c r="H16" s="87" t="s">
        <v>90</v>
      </c>
      <c r="I16" s="86">
        <v>180</v>
      </c>
      <c r="J16" s="231">
        <v>800</v>
      </c>
      <c r="K16" s="230">
        <f t="shared" ref="K16:K25" si="6">IF($A$16&lt;&gt;"NÃO SELECIONADO",I16*J16,0)</f>
        <v>144000</v>
      </c>
      <c r="L16" s="92"/>
      <c r="M16" s="338"/>
      <c r="N16" s="339"/>
      <c r="O16" s="230">
        <f t="shared" ref="O16:O25" si="7">IF($A$16&lt;&gt;"NÃO SELECIONADO",M16*N16,0)</f>
        <v>0</v>
      </c>
      <c r="P16" s="92"/>
      <c r="Q16" s="86"/>
      <c r="R16" s="231"/>
      <c r="S16" s="230">
        <f t="shared" ref="S16:S25" si="8">IF($A$16&lt;&gt;"NÃO SELECIONADO",Q16*R16,0)</f>
        <v>0</v>
      </c>
      <c r="T16" s="90"/>
      <c r="U16" s="86"/>
      <c r="V16" s="231"/>
      <c r="W16" s="230">
        <f t="shared" ref="W16:W25" si="9">IF($A$16&lt;&gt;"NÃO SELECIONADO",U16*V16,0)</f>
        <v>0</v>
      </c>
    </row>
    <row r="17" spans="1:23" s="12" customFormat="1">
      <c r="A17" s="810"/>
      <c r="B17" s="751"/>
      <c r="C17" s="808"/>
      <c r="D17" s="92"/>
      <c r="E17" s="333"/>
      <c r="F17" s="355"/>
      <c r="G17" s="230">
        <f t="shared" si="5"/>
        <v>0</v>
      </c>
      <c r="H17" s="159"/>
      <c r="I17" s="160"/>
      <c r="J17" s="231"/>
      <c r="K17" s="230">
        <f t="shared" si="6"/>
        <v>0</v>
      </c>
      <c r="L17" s="90"/>
      <c r="M17" s="91"/>
      <c r="N17" s="231"/>
      <c r="O17" s="230">
        <f t="shared" si="7"/>
        <v>0</v>
      </c>
      <c r="P17" s="92"/>
      <c r="Q17" s="91"/>
      <c r="R17" s="231"/>
      <c r="S17" s="230">
        <f t="shared" si="8"/>
        <v>0</v>
      </c>
      <c r="T17" s="90"/>
      <c r="U17" s="91"/>
      <c r="V17" s="231"/>
      <c r="W17" s="230">
        <f t="shared" si="9"/>
        <v>0</v>
      </c>
    </row>
    <row r="18" spans="1:23" s="12" customFormat="1">
      <c r="A18" s="810"/>
      <c r="B18" s="751"/>
      <c r="C18" s="808"/>
      <c r="D18" s="361"/>
      <c r="E18" s="333"/>
      <c r="F18" s="355"/>
      <c r="G18" s="230">
        <f t="shared" si="5"/>
        <v>0</v>
      </c>
      <c r="H18" s="90"/>
      <c r="I18" s="91"/>
      <c r="J18" s="313"/>
      <c r="K18" s="230">
        <f t="shared" si="6"/>
        <v>0</v>
      </c>
      <c r="L18" s="90"/>
      <c r="M18" s="91"/>
      <c r="N18" s="313"/>
      <c r="O18" s="230">
        <f t="shared" si="7"/>
        <v>0</v>
      </c>
      <c r="P18" s="92"/>
      <c r="Q18" s="91"/>
      <c r="R18" s="313"/>
      <c r="S18" s="230">
        <f t="shared" si="8"/>
        <v>0</v>
      </c>
      <c r="T18" s="90"/>
      <c r="U18" s="91"/>
      <c r="V18" s="313"/>
      <c r="W18" s="230">
        <f t="shared" si="9"/>
        <v>0</v>
      </c>
    </row>
    <row r="19" spans="1:23" s="12" customFormat="1">
      <c r="A19" s="810"/>
      <c r="B19" s="751"/>
      <c r="C19" s="808"/>
      <c r="D19" s="345"/>
      <c r="E19" s="358"/>
      <c r="F19" s="362"/>
      <c r="G19" s="230">
        <f t="shared" si="5"/>
        <v>0</v>
      </c>
      <c r="H19" s="90"/>
      <c r="I19" s="91"/>
      <c r="J19" s="313"/>
      <c r="K19" s="230">
        <f t="shared" si="6"/>
        <v>0</v>
      </c>
      <c r="L19" s="90"/>
      <c r="M19" s="91"/>
      <c r="N19" s="313"/>
      <c r="O19" s="230">
        <f t="shared" si="7"/>
        <v>0</v>
      </c>
      <c r="P19" s="92"/>
      <c r="Q19" s="91"/>
      <c r="R19" s="313"/>
      <c r="S19" s="230">
        <f t="shared" si="8"/>
        <v>0</v>
      </c>
      <c r="T19" s="90"/>
      <c r="U19" s="91"/>
      <c r="V19" s="313"/>
      <c r="W19" s="230">
        <f t="shared" si="9"/>
        <v>0</v>
      </c>
    </row>
    <row r="20" spans="1:23" s="12" customFormat="1">
      <c r="A20" s="810"/>
      <c r="B20" s="751"/>
      <c r="C20" s="808"/>
      <c r="D20" s="344"/>
      <c r="E20" s="358"/>
      <c r="F20" s="362"/>
      <c r="G20" s="230">
        <f t="shared" si="5"/>
        <v>0</v>
      </c>
      <c r="H20" s="90"/>
      <c r="I20" s="91"/>
      <c r="J20" s="313"/>
      <c r="K20" s="230">
        <f t="shared" si="6"/>
        <v>0</v>
      </c>
      <c r="L20" s="90"/>
      <c r="M20" s="91"/>
      <c r="N20" s="313"/>
      <c r="O20" s="230">
        <f t="shared" si="7"/>
        <v>0</v>
      </c>
      <c r="P20" s="92"/>
      <c r="Q20" s="91"/>
      <c r="R20" s="313"/>
      <c r="S20" s="230">
        <f t="shared" si="8"/>
        <v>0</v>
      </c>
      <c r="T20" s="90"/>
      <c r="U20" s="91"/>
      <c r="V20" s="313"/>
      <c r="W20" s="230">
        <f t="shared" si="9"/>
        <v>0</v>
      </c>
    </row>
    <row r="21" spans="1:23" s="12" customFormat="1">
      <c r="A21" s="810"/>
      <c r="B21" s="751"/>
      <c r="C21" s="808"/>
      <c r="D21" s="84"/>
      <c r="E21" s="335"/>
      <c r="F21" s="336"/>
      <c r="G21" s="230">
        <f t="shared" si="5"/>
        <v>0</v>
      </c>
      <c r="H21" s="90"/>
      <c r="I21" s="91"/>
      <c r="J21" s="313"/>
      <c r="K21" s="230">
        <f t="shared" si="6"/>
        <v>0</v>
      </c>
      <c r="L21" s="90"/>
      <c r="M21" s="91"/>
      <c r="N21" s="313"/>
      <c r="O21" s="230">
        <f t="shared" si="7"/>
        <v>0</v>
      </c>
      <c r="P21" s="92"/>
      <c r="Q21" s="91"/>
      <c r="R21" s="313"/>
      <c r="S21" s="230">
        <f t="shared" si="8"/>
        <v>0</v>
      </c>
      <c r="T21" s="90"/>
      <c r="U21" s="91"/>
      <c r="V21" s="313"/>
      <c r="W21" s="230">
        <f t="shared" si="9"/>
        <v>0</v>
      </c>
    </row>
    <row r="22" spans="1:23" s="12" customFormat="1">
      <c r="A22" s="810"/>
      <c r="B22" s="751"/>
      <c r="C22" s="808"/>
      <c r="D22" s="92"/>
      <c r="E22" s="333"/>
      <c r="F22" s="337"/>
      <c r="G22" s="230">
        <f t="shared" si="5"/>
        <v>0</v>
      </c>
      <c r="H22" s="90"/>
      <c r="I22" s="91"/>
      <c r="J22" s="313"/>
      <c r="K22" s="230">
        <f t="shared" si="6"/>
        <v>0</v>
      </c>
      <c r="L22" s="90"/>
      <c r="M22" s="91"/>
      <c r="N22" s="313"/>
      <c r="O22" s="230">
        <f t="shared" si="7"/>
        <v>0</v>
      </c>
      <c r="P22" s="92"/>
      <c r="Q22" s="91"/>
      <c r="R22" s="313"/>
      <c r="S22" s="230">
        <f t="shared" si="8"/>
        <v>0</v>
      </c>
      <c r="T22" s="90"/>
      <c r="U22" s="91"/>
      <c r="V22" s="313"/>
      <c r="W22" s="230">
        <f t="shared" si="9"/>
        <v>0</v>
      </c>
    </row>
    <row r="23" spans="1:23" s="12" customFormat="1">
      <c r="A23" s="810"/>
      <c r="B23" s="751"/>
      <c r="C23" s="808"/>
      <c r="D23" s="92"/>
      <c r="E23" s="333"/>
      <c r="F23" s="337"/>
      <c r="G23" s="230">
        <f t="shared" si="5"/>
        <v>0</v>
      </c>
      <c r="H23" s="90"/>
      <c r="I23" s="91"/>
      <c r="J23" s="313"/>
      <c r="K23" s="230">
        <f t="shared" si="6"/>
        <v>0</v>
      </c>
      <c r="L23" s="90"/>
      <c r="M23" s="91"/>
      <c r="N23" s="313"/>
      <c r="O23" s="230">
        <f t="shared" si="7"/>
        <v>0</v>
      </c>
      <c r="P23" s="92"/>
      <c r="Q23" s="91"/>
      <c r="R23" s="313"/>
      <c r="S23" s="230">
        <f t="shared" si="8"/>
        <v>0</v>
      </c>
      <c r="T23" s="90"/>
      <c r="U23" s="91"/>
      <c r="V23" s="313"/>
      <c r="W23" s="230">
        <f t="shared" si="9"/>
        <v>0</v>
      </c>
    </row>
    <row r="24" spans="1:23" s="12" customFormat="1">
      <c r="A24" s="810"/>
      <c r="B24" s="751"/>
      <c r="C24" s="808"/>
      <c r="D24" s="92"/>
      <c r="E24" s="333"/>
      <c r="F24" s="337"/>
      <c r="G24" s="230">
        <f t="shared" si="5"/>
        <v>0</v>
      </c>
      <c r="H24" s="90"/>
      <c r="I24" s="91"/>
      <c r="J24" s="313"/>
      <c r="K24" s="230">
        <f t="shared" si="6"/>
        <v>0</v>
      </c>
      <c r="L24" s="90"/>
      <c r="M24" s="91"/>
      <c r="N24" s="313"/>
      <c r="O24" s="230">
        <f t="shared" si="7"/>
        <v>0</v>
      </c>
      <c r="P24" s="92"/>
      <c r="Q24" s="91"/>
      <c r="R24" s="313"/>
      <c r="S24" s="230">
        <f t="shared" si="8"/>
        <v>0</v>
      </c>
      <c r="T24" s="90"/>
      <c r="U24" s="91"/>
      <c r="V24" s="313"/>
      <c r="W24" s="230">
        <f t="shared" si="9"/>
        <v>0</v>
      </c>
    </row>
    <row r="25" spans="1:23" s="12" customFormat="1" ht="13.5" thickBot="1">
      <c r="A25" s="323">
        <f>IF(A16&lt;&gt;"NÃO SELECIONADO",SUM(G16:G25)+SUM(K16:K25)+SUM(O16:O25)+SUM(S16:S25)+SUM(W16:W25),0)</f>
        <v>144000</v>
      </c>
      <c r="B25" s="752"/>
      <c r="C25" s="809"/>
      <c r="D25" s="92"/>
      <c r="E25" s="333"/>
      <c r="F25" s="337"/>
      <c r="G25" s="230">
        <f t="shared" si="5"/>
        <v>0</v>
      </c>
      <c r="H25" s="90"/>
      <c r="I25" s="91"/>
      <c r="J25" s="313"/>
      <c r="K25" s="230">
        <f t="shared" si="6"/>
        <v>0</v>
      </c>
      <c r="L25" s="90"/>
      <c r="M25" s="91"/>
      <c r="N25" s="313"/>
      <c r="O25" s="230">
        <f t="shared" si="7"/>
        <v>0</v>
      </c>
      <c r="P25" s="92"/>
      <c r="Q25" s="91"/>
      <c r="R25" s="313"/>
      <c r="S25" s="230">
        <f t="shared" si="8"/>
        <v>0</v>
      </c>
      <c r="T25" s="90"/>
      <c r="U25" s="91"/>
      <c r="V25" s="313"/>
      <c r="W25" s="230">
        <f t="shared" si="9"/>
        <v>0</v>
      </c>
    </row>
    <row r="26" spans="1:23" ht="13.5" thickBot="1">
      <c r="A26" s="30" t="s">
        <v>41</v>
      </c>
      <c r="B26" s="232">
        <f>SUM(G26:W26)</f>
        <v>144000</v>
      </c>
      <c r="C26" s="31"/>
      <c r="D26" s="32"/>
      <c r="E26" s="33"/>
      <c r="F26" s="314"/>
      <c r="G26" s="310">
        <f>SUM(G16:G25)</f>
        <v>0</v>
      </c>
      <c r="H26" s="34"/>
      <c r="I26" s="33"/>
      <c r="J26" s="314"/>
      <c r="K26" s="310">
        <f>SUM(K16:K25)</f>
        <v>144000</v>
      </c>
      <c r="L26" s="34"/>
      <c r="M26" s="33"/>
      <c r="N26" s="314"/>
      <c r="O26" s="310">
        <f>SUM(O16:O25)</f>
        <v>0</v>
      </c>
      <c r="P26" s="34"/>
      <c r="Q26" s="33"/>
      <c r="R26" s="314"/>
      <c r="S26" s="310">
        <f>SUM(S16:S25)</f>
        <v>0</v>
      </c>
      <c r="T26" s="34"/>
      <c r="U26" s="33"/>
      <c r="V26" s="314"/>
      <c r="W26" s="310">
        <f>SUM(W16:W25)</f>
        <v>0</v>
      </c>
    </row>
    <row r="27" spans="1:23" ht="13.5" thickBot="1">
      <c r="A27" s="30" t="s">
        <v>16</v>
      </c>
      <c r="B27" s="233">
        <f>SUM(G27:W27)</f>
        <v>1849620</v>
      </c>
      <c r="C27" s="31"/>
      <c r="D27" s="32"/>
      <c r="E27" s="33"/>
      <c r="F27" s="314"/>
      <c r="G27" s="310">
        <f>G15+G26</f>
        <v>64000</v>
      </c>
      <c r="H27" s="34"/>
      <c r="I27" s="33"/>
      <c r="J27" s="314"/>
      <c r="K27" s="310">
        <f>K15+K26</f>
        <v>1441620</v>
      </c>
      <c r="L27" s="34"/>
      <c r="M27" s="33"/>
      <c r="N27" s="314"/>
      <c r="O27" s="310">
        <f>O15+O26</f>
        <v>120000</v>
      </c>
      <c r="P27" s="34"/>
      <c r="Q27" s="33"/>
      <c r="R27" s="314"/>
      <c r="S27" s="310">
        <f>S15+S26</f>
        <v>0</v>
      </c>
      <c r="T27" s="34"/>
      <c r="U27" s="33"/>
      <c r="V27" s="314"/>
      <c r="W27" s="310">
        <f>W15+W26</f>
        <v>224000</v>
      </c>
    </row>
    <row r="31" spans="1:23">
      <c r="B31" s="340">
        <f>B27/'3_Comp e Produtos'!E3</f>
        <v>2.41E-2</v>
      </c>
    </row>
  </sheetData>
  <mergeCells count="19">
    <mergeCell ref="A3:A4"/>
    <mergeCell ref="B3:B4"/>
    <mergeCell ref="L3:M3"/>
    <mergeCell ref="N3:O3"/>
    <mergeCell ref="D3:E3"/>
    <mergeCell ref="R3:S3"/>
    <mergeCell ref="T3:U3"/>
    <mergeCell ref="V3:W3"/>
    <mergeCell ref="C3:C4"/>
    <mergeCell ref="P3:Q3"/>
    <mergeCell ref="F3:G3"/>
    <mergeCell ref="H3:I3"/>
    <mergeCell ref="J3:K3"/>
    <mergeCell ref="C16:C25"/>
    <mergeCell ref="C5:C14"/>
    <mergeCell ref="A16:A24"/>
    <mergeCell ref="B16:B25"/>
    <mergeCell ref="A5:A13"/>
    <mergeCell ref="B5:B14"/>
  </mergeCells>
  <phoneticPr fontId="0" type="noConversion"/>
  <printOptions horizontalCentered="1"/>
  <pageMargins left="0.39370078740157483" right="0.39370078740157483" top="0.78740157480314965" bottom="0.59055118110236227" header="0.31496062992125984" footer="0.31496062992125984"/>
  <pageSetup paperSize="9" scale="75" firstPageNumber="0" orientation="landscape" r:id="rId1"/>
  <headerFooter>
    <oddHeader>&amp;LBID Modernização da AGU&amp;C
&amp;"Arial,Negrito"PLANO DE AÇÃO E DE INVESTIMENTOS - PAI</oddHeader>
    <oddFooter>&amp;L&amp;D&amp;C&amp;A&amp;R&amp;P / &amp;N</oddFooter>
  </headerFooter>
  <colBreaks count="2" manualBreakCount="2">
    <brk id="7" max="1048575" man="1"/>
    <brk id="15" max="1048575" man="1"/>
  </colBreaks>
  <legacyDrawing r:id="rId2"/>
</worksheet>
</file>

<file path=xl/worksheets/sheet8.xml><?xml version="1.0" encoding="utf-8"?>
<worksheet xmlns="http://schemas.openxmlformats.org/spreadsheetml/2006/main" xmlns:r="http://schemas.openxmlformats.org/officeDocument/2006/relationships">
  <sheetPr>
    <tabColor rgb="FFFF0000"/>
    <pageSetUpPr fitToPage="1"/>
  </sheetPr>
  <dimension ref="A1:R37"/>
  <sheetViews>
    <sheetView zoomScale="85" zoomScaleNormal="85" zoomScaleSheetLayoutView="75" workbookViewId="0">
      <pane ySplit="3" topLeftCell="A4" activePane="bottomLeft" state="frozen"/>
      <selection activeCell="B31" sqref="B31:H35"/>
      <selection pane="bottomLeft" activeCell="I31" sqref="I31"/>
    </sheetView>
  </sheetViews>
  <sheetFormatPr defaultColWidth="9.140625" defaultRowHeight="12.75"/>
  <cols>
    <col min="1" max="1" width="57.7109375" style="41" customWidth="1"/>
    <col min="2" max="2" width="14.85546875" style="41" bestFit="1" customWidth="1"/>
    <col min="3" max="3" width="14.28515625" style="41" bestFit="1" customWidth="1"/>
    <col min="4" max="4" width="18.140625" style="41" customWidth="1"/>
    <col min="5" max="5" width="18.7109375" style="41" customWidth="1"/>
    <col min="6" max="6" width="18.5703125" style="41" bestFit="1" customWidth="1"/>
    <col min="7" max="7" width="14.28515625" style="41" bestFit="1" customWidth="1"/>
    <col min="8" max="8" width="11.85546875" style="42" customWidth="1"/>
    <col min="9" max="9" width="19.28515625" style="41" customWidth="1"/>
    <col min="10" max="10" width="11.140625" style="41" bestFit="1" customWidth="1"/>
    <col min="11" max="16384" width="9.140625" style="41"/>
  </cols>
  <sheetData>
    <row r="1" spans="1:18">
      <c r="A1" s="836" t="s">
        <v>86</v>
      </c>
      <c r="B1" s="836"/>
      <c r="C1" s="836"/>
      <c r="D1" s="836"/>
      <c r="E1" s="836"/>
      <c r="F1" s="836"/>
      <c r="G1" s="836"/>
      <c r="H1" s="836"/>
      <c r="I1" s="43"/>
      <c r="J1" s="43"/>
      <c r="K1" s="43"/>
      <c r="L1" s="43"/>
      <c r="M1" s="43"/>
      <c r="N1" s="43"/>
      <c r="O1" s="43"/>
      <c r="P1" s="43"/>
      <c r="Q1" s="43"/>
      <c r="R1" s="43"/>
    </row>
    <row r="2" spans="1:18">
      <c r="A2" s="837" t="s">
        <v>64</v>
      </c>
      <c r="B2" s="837"/>
      <c r="C2" s="837"/>
      <c r="D2" s="837"/>
      <c r="E2" s="837"/>
      <c r="F2" s="837"/>
      <c r="G2" s="838" t="s">
        <v>7</v>
      </c>
      <c r="H2" s="838"/>
    </row>
    <row r="3" spans="1:18" ht="39" thickBot="1">
      <c r="A3" s="44" t="s">
        <v>83</v>
      </c>
      <c r="B3" s="45" t="s">
        <v>6</v>
      </c>
      <c r="C3" s="45" t="s">
        <v>8</v>
      </c>
      <c r="D3" s="45" t="s">
        <v>43</v>
      </c>
      <c r="E3" s="45" t="s">
        <v>81</v>
      </c>
      <c r="F3" s="45" t="s">
        <v>82</v>
      </c>
      <c r="G3" s="45" t="s">
        <v>16</v>
      </c>
      <c r="H3" s="46" t="s">
        <v>44</v>
      </c>
    </row>
    <row r="4" spans="1:18">
      <c r="A4" s="839" t="s">
        <v>33</v>
      </c>
      <c r="B4" s="839"/>
      <c r="C4" s="839"/>
      <c r="D4" s="839"/>
      <c r="E4" s="839"/>
      <c r="F4" s="839"/>
      <c r="G4" s="839"/>
      <c r="H4" s="839"/>
    </row>
    <row r="5" spans="1:18" ht="25.5">
      <c r="A5" s="59" t="str">
        <f>'3_Comp e Produtos'!A6</f>
        <v>COMPONENTE 1: FORTALECIMENTO DA GESTÃO ESTRATÉGICA</v>
      </c>
      <c r="B5" s="419">
        <f>'4_Componente 1'!G70</f>
        <v>808000</v>
      </c>
      <c r="C5" s="419">
        <f>'4_Componente 1'!K70</f>
        <v>2712000</v>
      </c>
      <c r="D5" s="419">
        <f>'4_Componente 1'!O70</f>
        <v>1550000</v>
      </c>
      <c r="E5" s="419">
        <f>'4_Componente 1'!S70</f>
        <v>1082200</v>
      </c>
      <c r="F5" s="419">
        <f>'4_Componente 1'!W70</f>
        <v>928750</v>
      </c>
      <c r="G5" s="419">
        <f>SUM(B5:F5)</f>
        <v>7080950</v>
      </c>
      <c r="H5" s="420">
        <f>G5/G8</f>
        <v>9.4700000000000006E-2</v>
      </c>
    </row>
    <row r="6" spans="1:18" ht="25.5">
      <c r="A6" s="59" t="str">
        <f>'3_Comp e Produtos'!A20</f>
        <v>COMPONENTE 2: APRIMORAMENTO DA GESTÃO JURÍDICA DA AGU</v>
      </c>
      <c r="B6" s="419">
        <f>'5_Componente 2'!G92</f>
        <v>700000</v>
      </c>
      <c r="C6" s="419">
        <f>'5_Componente 2'!K92</f>
        <v>16668000</v>
      </c>
      <c r="D6" s="419">
        <f>'5_Componente 2'!O92</f>
        <v>38433500</v>
      </c>
      <c r="E6" s="419">
        <f>'5_Componente 2'!S92</f>
        <v>3854000</v>
      </c>
      <c r="F6" s="419">
        <f>'5_Componente 2'!W92</f>
        <v>2823750</v>
      </c>
      <c r="G6" s="419">
        <f t="shared" ref="G6:G7" si="0">SUM(B6:F6)</f>
        <v>62479250</v>
      </c>
      <c r="H6" s="420">
        <f>G6/G8</f>
        <v>0.83520000000000005</v>
      </c>
      <c r="I6" s="47"/>
    </row>
    <row r="7" spans="1:18" ht="25.5">
      <c r="A7" s="59" t="str">
        <f>'3_Comp e Produtos'!A43</f>
        <v>COMPONENTE 3: APRIMORAMENTO DA GESTÃO ADMINISTRATIVA DA AGU</v>
      </c>
      <c r="B7" s="419">
        <f>'6_Componente 3'!G57</f>
        <v>50000</v>
      </c>
      <c r="C7" s="419">
        <f>'6_Componente 3'!K57</f>
        <v>4728000</v>
      </c>
      <c r="D7" s="419">
        <f>'6_Componente 3'!O57</f>
        <v>0</v>
      </c>
      <c r="E7" s="419">
        <f>'6_Componente 3'!S57</f>
        <v>0</v>
      </c>
      <c r="F7" s="419">
        <f>'6_Componente 3'!W57</f>
        <v>473000</v>
      </c>
      <c r="G7" s="419">
        <f t="shared" si="0"/>
        <v>5251000</v>
      </c>
      <c r="H7" s="420">
        <f>G7/G8</f>
        <v>7.0199999999999999E-2</v>
      </c>
      <c r="I7" s="47"/>
    </row>
    <row r="8" spans="1:18" s="49" customFormat="1">
      <c r="A8" s="83" t="s">
        <v>45</v>
      </c>
      <c r="B8" s="421">
        <f t="shared" ref="B8:G8" si="1">SUM(B5:B7)</f>
        <v>1558000</v>
      </c>
      <c r="C8" s="421">
        <f t="shared" si="1"/>
        <v>24108000</v>
      </c>
      <c r="D8" s="421">
        <f t="shared" si="1"/>
        <v>39983500</v>
      </c>
      <c r="E8" s="421">
        <f t="shared" si="1"/>
        <v>4936200</v>
      </c>
      <c r="F8" s="421">
        <f t="shared" si="1"/>
        <v>4225500</v>
      </c>
      <c r="G8" s="419">
        <f t="shared" si="1"/>
        <v>74811200</v>
      </c>
      <c r="H8" s="422">
        <f>SUM(H5:H6)</f>
        <v>0.92989999999999995</v>
      </c>
      <c r="I8" s="48"/>
    </row>
    <row r="9" spans="1:18" ht="13.5" thickBot="1">
      <c r="A9" s="423" t="s">
        <v>46</v>
      </c>
      <c r="B9" s="424">
        <f t="shared" ref="B9:G9" si="2">B8/$G8</f>
        <v>2.0799999999999999E-2</v>
      </c>
      <c r="C9" s="424">
        <f t="shared" si="2"/>
        <v>0.32229999999999998</v>
      </c>
      <c r="D9" s="424">
        <f t="shared" si="2"/>
        <v>0.53449999999999998</v>
      </c>
      <c r="E9" s="424">
        <f t="shared" si="2"/>
        <v>6.6000000000000003E-2</v>
      </c>
      <c r="F9" s="424">
        <f t="shared" si="2"/>
        <v>5.6500000000000002E-2</v>
      </c>
      <c r="G9" s="424">
        <f t="shared" si="2"/>
        <v>1</v>
      </c>
      <c r="H9" s="425"/>
    </row>
    <row r="10" spans="1:18">
      <c r="A10" s="840" t="s">
        <v>24</v>
      </c>
      <c r="B10" s="841"/>
      <c r="C10" s="841"/>
      <c r="D10" s="841"/>
      <c r="E10" s="841"/>
      <c r="F10" s="841"/>
      <c r="G10" s="841"/>
      <c r="H10" s="842"/>
      <c r="I10" s="47"/>
    </row>
    <row r="11" spans="1:18">
      <c r="A11" s="426" t="str">
        <f>'3_Comp e Produtos'!A53</f>
        <v>A1 - Gestão do Projeto</v>
      </c>
      <c r="B11" s="427">
        <f>'7_ADM'!G$15</f>
        <v>64000</v>
      </c>
      <c r="C11" s="427">
        <f>'7_ADM'!K$15</f>
        <v>1297620</v>
      </c>
      <c r="D11" s="427">
        <f>'7_ADM'!O$15</f>
        <v>120000</v>
      </c>
      <c r="E11" s="427">
        <f>'7_ADM'!S$15</f>
        <v>0</v>
      </c>
      <c r="F11" s="427">
        <f>'7_ADM'!W$15</f>
        <v>224000</v>
      </c>
      <c r="G11" s="419">
        <f>SUM(B11:F11)</f>
        <v>1705620</v>
      </c>
      <c r="H11" s="428">
        <f>G11/G$14</f>
        <v>0.92210000000000003</v>
      </c>
      <c r="I11" s="47"/>
    </row>
    <row r="12" spans="1:18">
      <c r="A12" s="426" t="str">
        <f>'3_Comp e Produtos'!A54</f>
        <v>A2 -Avaliação Independente</v>
      </c>
      <c r="B12" s="427">
        <f>'7_ADM'!G$26</f>
        <v>0</v>
      </c>
      <c r="C12" s="427">
        <f>'7_ADM'!K$26</f>
        <v>144000</v>
      </c>
      <c r="D12" s="427">
        <f>'7_ADM'!O$26</f>
        <v>0</v>
      </c>
      <c r="E12" s="427">
        <f>'7_ADM'!S$26</f>
        <v>0</v>
      </c>
      <c r="F12" s="427">
        <f>'7_ADM'!W$26</f>
        <v>0</v>
      </c>
      <c r="G12" s="419">
        <f>SUM(B12:F12)</f>
        <v>144000</v>
      </c>
      <c r="H12" s="428">
        <f>G12/G$14</f>
        <v>7.7899999999999997E-2</v>
      </c>
      <c r="I12" s="47"/>
    </row>
    <row r="13" spans="1:18">
      <c r="A13" s="426" t="s">
        <v>240</v>
      </c>
      <c r="B13" s="427">
        <v>0</v>
      </c>
      <c r="C13" s="427">
        <v>0</v>
      </c>
      <c r="D13" s="427">
        <v>0</v>
      </c>
      <c r="E13" s="427">
        <v>0</v>
      </c>
      <c r="F13" s="427">
        <v>0</v>
      </c>
      <c r="G13" s="419">
        <v>739180</v>
      </c>
      <c r="H13" s="430"/>
      <c r="I13" s="47"/>
    </row>
    <row r="14" spans="1:18" ht="13.5" thickBot="1">
      <c r="A14" s="429" t="s">
        <v>47</v>
      </c>
      <c r="B14" s="419">
        <f t="shared" ref="B14:H14" si="3">SUM(B11:B12)</f>
        <v>64000</v>
      </c>
      <c r="C14" s="419">
        <f t="shared" si="3"/>
        <v>1441620</v>
      </c>
      <c r="D14" s="419">
        <f t="shared" si="3"/>
        <v>120000</v>
      </c>
      <c r="E14" s="419">
        <f t="shared" si="3"/>
        <v>0</v>
      </c>
      <c r="F14" s="419">
        <f t="shared" si="3"/>
        <v>224000</v>
      </c>
      <c r="G14" s="419">
        <f t="shared" si="3"/>
        <v>1849620</v>
      </c>
      <c r="H14" s="430">
        <f t="shared" si="3"/>
        <v>1</v>
      </c>
      <c r="I14" s="47"/>
    </row>
    <row r="15" spans="1:18" ht="13.5" thickBot="1">
      <c r="A15" s="431" t="s">
        <v>44</v>
      </c>
      <c r="B15" s="424">
        <f t="shared" ref="B15:G15" si="4">B14/$G14</f>
        <v>3.4599999999999999E-2</v>
      </c>
      <c r="C15" s="424">
        <f t="shared" si="4"/>
        <v>0.77939999999999998</v>
      </c>
      <c r="D15" s="424">
        <f t="shared" si="4"/>
        <v>6.4899999999999999E-2</v>
      </c>
      <c r="E15" s="424">
        <f t="shared" si="4"/>
        <v>0</v>
      </c>
      <c r="F15" s="424">
        <f t="shared" si="4"/>
        <v>0.1211</v>
      </c>
      <c r="G15" s="432">
        <f t="shared" si="4"/>
        <v>1</v>
      </c>
      <c r="H15" s="437">
        <f>G14/G8</f>
        <v>2.47E-2</v>
      </c>
      <c r="I15" s="47"/>
    </row>
    <row r="16" spans="1:18" s="49" customFormat="1">
      <c r="A16" s="433" t="s">
        <v>48</v>
      </c>
      <c r="B16" s="434">
        <f t="shared" ref="B16:F16" si="5">B8+B14</f>
        <v>1622000</v>
      </c>
      <c r="C16" s="434">
        <f t="shared" si="5"/>
        <v>25549620</v>
      </c>
      <c r="D16" s="434">
        <f t="shared" si="5"/>
        <v>40103500</v>
      </c>
      <c r="E16" s="434">
        <f t="shared" si="5"/>
        <v>4936200</v>
      </c>
      <c r="F16" s="434">
        <f t="shared" si="5"/>
        <v>4449500</v>
      </c>
      <c r="G16" s="434">
        <f>G8+G14+G13</f>
        <v>77400000</v>
      </c>
      <c r="H16" s="847"/>
      <c r="I16" s="48"/>
    </row>
    <row r="17" spans="1:10" s="51" customFormat="1" ht="13.5" thickBot="1">
      <c r="A17" s="435" t="s">
        <v>44</v>
      </c>
      <c r="B17" s="436">
        <f t="shared" ref="B17:G17" si="6">B16/$G16</f>
        <v>2.1000000000000001E-2</v>
      </c>
      <c r="C17" s="436">
        <f t="shared" si="6"/>
        <v>0.3301</v>
      </c>
      <c r="D17" s="436">
        <f t="shared" si="6"/>
        <v>0.5181</v>
      </c>
      <c r="E17" s="436">
        <f t="shared" si="6"/>
        <v>6.3799999999999996E-2</v>
      </c>
      <c r="F17" s="436">
        <f t="shared" si="6"/>
        <v>5.7500000000000002E-2</v>
      </c>
      <c r="G17" s="436">
        <f t="shared" si="6"/>
        <v>1</v>
      </c>
      <c r="H17" s="848"/>
      <c r="I17" s="50"/>
    </row>
    <row r="18" spans="1:10" ht="13.5" thickBot="1">
      <c r="F18" s="846"/>
      <c r="G18" s="846"/>
      <c r="H18" s="846"/>
    </row>
    <row r="19" spans="1:10" ht="13.5" thickBot="1">
      <c r="A19" s="52" t="s">
        <v>95</v>
      </c>
      <c r="B19" s="53"/>
      <c r="C19" s="53"/>
      <c r="D19" s="53"/>
      <c r="E19" s="53"/>
      <c r="F19" s="53"/>
      <c r="G19" s="54" t="s">
        <v>49</v>
      </c>
      <c r="H19" s="55">
        <f>'3_Comp e Produtos'!E1</f>
        <v>1.8</v>
      </c>
    </row>
    <row r="20" spans="1:10">
      <c r="A20" s="837" t="str">
        <f>A2</f>
        <v>ESTA PLANILHA NÃO DEVE SER PREENCHIDA. CONSOLIDA OS RECURSOS DOS COMPONENTES E SUBCOMPONENTES.</v>
      </c>
      <c r="B20" s="837"/>
      <c r="C20" s="837"/>
      <c r="D20" s="837"/>
      <c r="E20" s="837"/>
      <c r="F20" s="837"/>
      <c r="G20" s="852" t="s">
        <v>50</v>
      </c>
      <c r="H20" s="852"/>
    </row>
    <row r="21" spans="1:10" ht="39" thickBot="1">
      <c r="A21" s="56" t="s">
        <v>42</v>
      </c>
      <c r="B21" s="57" t="s">
        <v>6</v>
      </c>
      <c r="C21" s="57" t="s">
        <v>8</v>
      </c>
      <c r="D21" s="57" t="s">
        <v>43</v>
      </c>
      <c r="E21" s="57" t="s">
        <v>81</v>
      </c>
      <c r="F21" s="57" t="s">
        <v>82</v>
      </c>
      <c r="G21" s="57" t="s">
        <v>16</v>
      </c>
      <c r="H21" s="58" t="s">
        <v>44</v>
      </c>
    </row>
    <row r="22" spans="1:10">
      <c r="A22" s="843" t="s">
        <v>33</v>
      </c>
      <c r="B22" s="844"/>
      <c r="C22" s="844"/>
      <c r="D22" s="844"/>
      <c r="E22" s="844"/>
      <c r="F22" s="844"/>
      <c r="G22" s="844"/>
      <c r="H22" s="845"/>
    </row>
    <row r="23" spans="1:10" ht="25.5">
      <c r="A23" s="565" t="str">
        <f>A5</f>
        <v>COMPONENTE 1: FORTALECIMENTO DA GESTÃO ESTRATÉGICA</v>
      </c>
      <c r="B23" s="566">
        <f t="shared" ref="B23:C25" si="7">B5/1.8</f>
        <v>448889</v>
      </c>
      <c r="C23" s="566">
        <f t="shared" si="7"/>
        <v>1506667</v>
      </c>
      <c r="D23" s="566">
        <f t="shared" ref="D23:E25" si="8">D5/1.8</f>
        <v>861111</v>
      </c>
      <c r="E23" s="566">
        <f t="shared" si="8"/>
        <v>601222</v>
      </c>
      <c r="F23" s="566">
        <f t="shared" ref="F23:G23" si="9">F5/1.8</f>
        <v>515972</v>
      </c>
      <c r="G23" s="566">
        <f t="shared" si="9"/>
        <v>3933861</v>
      </c>
      <c r="H23" s="567">
        <f>G23/G$26</f>
        <v>9.4700000000000006E-2</v>
      </c>
    </row>
    <row r="24" spans="1:10" ht="25.5">
      <c r="A24" s="565" t="str">
        <f>A6</f>
        <v>COMPONENTE 2: APRIMORAMENTO DA GESTÃO JURÍDICA DA AGU</v>
      </c>
      <c r="B24" s="566">
        <f t="shared" si="7"/>
        <v>388889</v>
      </c>
      <c r="C24" s="566">
        <f t="shared" si="7"/>
        <v>9260000</v>
      </c>
      <c r="D24" s="566">
        <f t="shared" si="8"/>
        <v>21351944</v>
      </c>
      <c r="E24" s="566">
        <f t="shared" si="8"/>
        <v>2141111</v>
      </c>
      <c r="F24" s="566">
        <f t="shared" ref="F24:G24" si="10">F6/1.8</f>
        <v>1568750</v>
      </c>
      <c r="G24" s="566">
        <f t="shared" si="10"/>
        <v>34710694</v>
      </c>
      <c r="H24" s="567">
        <f>G24/G$26</f>
        <v>0.83520000000000005</v>
      </c>
    </row>
    <row r="25" spans="1:10" ht="25.5">
      <c r="A25" s="565" t="str">
        <f>A7</f>
        <v>COMPONENTE 3: APRIMORAMENTO DA GESTÃO ADMINISTRATIVA DA AGU</v>
      </c>
      <c r="B25" s="566">
        <f t="shared" si="7"/>
        <v>27778</v>
      </c>
      <c r="C25" s="566">
        <f t="shared" si="7"/>
        <v>2626667</v>
      </c>
      <c r="D25" s="566">
        <f t="shared" si="8"/>
        <v>0</v>
      </c>
      <c r="E25" s="566">
        <f t="shared" si="8"/>
        <v>0</v>
      </c>
      <c r="F25" s="566">
        <f t="shared" ref="F25:G25" si="11">F7/1.8</f>
        <v>262778</v>
      </c>
      <c r="G25" s="566">
        <f t="shared" si="11"/>
        <v>2917222</v>
      </c>
      <c r="H25" s="567">
        <f>G25/G$26</f>
        <v>7.0199999999999999E-2</v>
      </c>
    </row>
    <row r="26" spans="1:10">
      <c r="A26" s="569" t="s">
        <v>45</v>
      </c>
      <c r="B26" s="568">
        <f t="shared" ref="B26:G26" si="12">SUM(B23:B25)</f>
        <v>865556</v>
      </c>
      <c r="C26" s="568">
        <f t="shared" si="12"/>
        <v>13393334</v>
      </c>
      <c r="D26" s="568">
        <f t="shared" si="12"/>
        <v>22213055</v>
      </c>
      <c r="E26" s="568">
        <f t="shared" si="12"/>
        <v>2742333</v>
      </c>
      <c r="F26" s="568">
        <f t="shared" si="12"/>
        <v>2347500</v>
      </c>
      <c r="G26" s="566">
        <f t="shared" si="12"/>
        <v>41561777</v>
      </c>
      <c r="H26" s="567">
        <f>G26/G$26</f>
        <v>1</v>
      </c>
    </row>
    <row r="27" spans="1:10" ht="13.5" thickBot="1">
      <c r="A27" s="570" t="s">
        <v>46</v>
      </c>
      <c r="B27" s="571">
        <f t="shared" ref="B27" si="13">B26/$G26</f>
        <v>2.0799999999999999E-2</v>
      </c>
      <c r="C27" s="571">
        <f t="shared" ref="C27:G27" si="14">C26/$G26</f>
        <v>0.32229999999999998</v>
      </c>
      <c r="D27" s="571">
        <f t="shared" si="14"/>
        <v>0.53449999999999998</v>
      </c>
      <c r="E27" s="571">
        <f t="shared" si="14"/>
        <v>6.6000000000000003E-2</v>
      </c>
      <c r="F27" s="571">
        <f t="shared" si="14"/>
        <v>5.6500000000000002E-2</v>
      </c>
      <c r="G27" s="571">
        <f t="shared" si="14"/>
        <v>1</v>
      </c>
      <c r="H27" s="572"/>
    </row>
    <row r="28" spans="1:10">
      <c r="A28" s="849" t="s">
        <v>24</v>
      </c>
      <c r="B28" s="850"/>
      <c r="C28" s="850"/>
      <c r="D28" s="850"/>
      <c r="E28" s="850"/>
      <c r="F28" s="850"/>
      <c r="G28" s="850"/>
      <c r="H28" s="851"/>
    </row>
    <row r="29" spans="1:10">
      <c r="A29" s="426" t="str">
        <f>A11</f>
        <v>A1 - Gestão do Projeto</v>
      </c>
      <c r="B29" s="427">
        <f>B11/$H$19</f>
        <v>35556</v>
      </c>
      <c r="C29" s="427">
        <f t="shared" ref="C29:F30" si="15">C11/$H$19</f>
        <v>720900</v>
      </c>
      <c r="D29" s="427">
        <f t="shared" si="15"/>
        <v>66667</v>
      </c>
      <c r="E29" s="427">
        <f t="shared" si="15"/>
        <v>0</v>
      </c>
      <c r="F29" s="427">
        <f t="shared" si="15"/>
        <v>124444</v>
      </c>
      <c r="G29" s="419">
        <f>SUM(B29:F29)</f>
        <v>947567</v>
      </c>
      <c r="H29" s="428">
        <f>G29/G32</f>
        <v>0.92210000000000003</v>
      </c>
    </row>
    <row r="30" spans="1:10">
      <c r="A30" s="426" t="str">
        <f>A12</f>
        <v>A2 -Avaliação Independente</v>
      </c>
      <c r="B30" s="427">
        <f>B12/$H$19</f>
        <v>0</v>
      </c>
      <c r="C30" s="427">
        <f t="shared" si="15"/>
        <v>80000</v>
      </c>
      <c r="D30" s="427">
        <f t="shared" si="15"/>
        <v>0</v>
      </c>
      <c r="E30" s="427">
        <f t="shared" si="15"/>
        <v>0</v>
      </c>
      <c r="F30" s="427">
        <f t="shared" si="15"/>
        <v>0</v>
      </c>
      <c r="G30" s="419">
        <f>SUM(B30:F30)</f>
        <v>80000</v>
      </c>
      <c r="H30" s="428">
        <f>G30/G32</f>
        <v>7.7899999999999997E-2</v>
      </c>
    </row>
    <row r="31" spans="1:10">
      <c r="A31" s="426" t="s">
        <v>240</v>
      </c>
      <c r="B31" s="427">
        <v>0</v>
      </c>
      <c r="C31" s="427">
        <v>0</v>
      </c>
      <c r="D31" s="427">
        <v>0</v>
      </c>
      <c r="E31" s="427">
        <v>0</v>
      </c>
      <c r="F31" s="427">
        <v>0</v>
      </c>
      <c r="G31" s="419">
        <f>G13/1.8</f>
        <v>410656</v>
      </c>
      <c r="H31" s="430"/>
    </row>
    <row r="32" spans="1:10" ht="13.5" thickBot="1">
      <c r="A32" s="429" t="s">
        <v>47</v>
      </c>
      <c r="B32" s="419">
        <f t="shared" ref="B32:F32" si="16">SUM(B29:B30)</f>
        <v>35556</v>
      </c>
      <c r="C32" s="419">
        <f t="shared" si="16"/>
        <v>800900</v>
      </c>
      <c r="D32" s="419">
        <f t="shared" si="16"/>
        <v>66667</v>
      </c>
      <c r="E32" s="419">
        <f t="shared" si="16"/>
        <v>0</v>
      </c>
      <c r="F32" s="419">
        <f t="shared" si="16"/>
        <v>124444</v>
      </c>
      <c r="G32" s="419">
        <f>SUM(G29:G30)</f>
        <v>1027567</v>
      </c>
      <c r="H32" s="430">
        <f t="shared" ref="H32" si="17">SUM(H29:H30)</f>
        <v>1</v>
      </c>
      <c r="I32" s="235"/>
      <c r="J32" s="577"/>
    </row>
    <row r="33" spans="1:10" ht="13.5" thickBot="1">
      <c r="A33" s="431" t="s">
        <v>44</v>
      </c>
      <c r="B33" s="424">
        <f t="shared" ref="B33:G33" si="18">B32/$G32</f>
        <v>3.4599999999999999E-2</v>
      </c>
      <c r="C33" s="424">
        <f t="shared" si="18"/>
        <v>0.77939999999999998</v>
      </c>
      <c r="D33" s="424">
        <f t="shared" si="18"/>
        <v>6.4899999999999999E-2</v>
      </c>
      <c r="E33" s="424">
        <f t="shared" si="18"/>
        <v>0</v>
      </c>
      <c r="F33" s="424">
        <f t="shared" si="18"/>
        <v>0.1211</v>
      </c>
      <c r="G33" s="432">
        <f t="shared" si="18"/>
        <v>1</v>
      </c>
      <c r="H33" s="437">
        <f>G32/G26</f>
        <v>2.47E-2</v>
      </c>
      <c r="I33" s="235"/>
      <c r="J33" s="235"/>
    </row>
    <row r="34" spans="1:10">
      <c r="A34" s="433" t="s">
        <v>48</v>
      </c>
      <c r="B34" s="434">
        <f t="shared" ref="B34:F34" si="19">B26+B32</f>
        <v>901112</v>
      </c>
      <c r="C34" s="434">
        <f t="shared" si="19"/>
        <v>14194234</v>
      </c>
      <c r="D34" s="434">
        <f t="shared" si="19"/>
        <v>22279722</v>
      </c>
      <c r="E34" s="434">
        <f t="shared" si="19"/>
        <v>2742333</v>
      </c>
      <c r="F34" s="434">
        <f t="shared" si="19"/>
        <v>2471944</v>
      </c>
      <c r="G34" s="434">
        <f>G26+G32+G31</f>
        <v>43000000</v>
      </c>
      <c r="H34" s="847"/>
      <c r="I34" s="235"/>
      <c r="J34" s="235"/>
    </row>
    <row r="35" spans="1:10" ht="13.5" thickBot="1">
      <c r="A35" s="435" t="s">
        <v>44</v>
      </c>
      <c r="B35" s="436">
        <f t="shared" ref="B35:G35" si="20">B34/$G34</f>
        <v>2.1000000000000001E-2</v>
      </c>
      <c r="C35" s="436">
        <f t="shared" si="20"/>
        <v>0.3301</v>
      </c>
      <c r="D35" s="436">
        <f t="shared" si="20"/>
        <v>0.5181</v>
      </c>
      <c r="E35" s="436">
        <f t="shared" si="20"/>
        <v>6.3799999999999996E-2</v>
      </c>
      <c r="F35" s="436">
        <f t="shared" si="20"/>
        <v>5.7500000000000002E-2</v>
      </c>
      <c r="G35" s="436">
        <f t="shared" si="20"/>
        <v>1</v>
      </c>
      <c r="H35" s="848"/>
      <c r="J35" s="235"/>
    </row>
    <row r="36" spans="1:10">
      <c r="I36" s="235"/>
    </row>
    <row r="37" spans="1:10">
      <c r="G37" s="235"/>
    </row>
  </sheetData>
  <mergeCells count="12">
    <mergeCell ref="A22:H22"/>
    <mergeCell ref="F18:H18"/>
    <mergeCell ref="H16:H17"/>
    <mergeCell ref="A28:H28"/>
    <mergeCell ref="H34:H35"/>
    <mergeCell ref="A20:F20"/>
    <mergeCell ref="G20:H20"/>
    <mergeCell ref="A1:H1"/>
    <mergeCell ref="A2:F2"/>
    <mergeCell ref="G2:H2"/>
    <mergeCell ref="A4:H4"/>
    <mergeCell ref="A10:H10"/>
  </mergeCells>
  <phoneticPr fontId="0" type="noConversion"/>
  <conditionalFormatting sqref="H33 H15">
    <cfRule type="cellIs" dxfId="4" priority="4" stopIfTrue="1" operator="greaterThan">
      <formula>0.05</formula>
    </cfRule>
  </conditionalFormatting>
  <conditionalFormatting sqref="G27 G9">
    <cfRule type="cellIs" dxfId="3" priority="6" stopIfTrue="1" operator="between">
      <formula>0</formula>
      <formula>0.1</formula>
    </cfRule>
  </conditionalFormatting>
  <printOptions horizontalCentered="1"/>
  <pageMargins left="0.39370078740157483" right="0.39370078740157483" top="0.59055118110236227" bottom="0.59055118110236227" header="0.31496062992125984" footer="0.31496062992125984"/>
  <pageSetup paperSize="9" scale="84" firstPageNumber="0" fitToHeight="2" orientation="landscape" r:id="rId1"/>
  <headerFooter>
    <oddHeader>&amp;LBID Modernização da AGU&amp;C
&amp;"Arial,Negrito"PLANO DE AÇÃO E DE INVESTIMENTOS - PAI</oddHeader>
    <oddFooter>&amp;L&amp;D&amp;C&amp;A&amp;R&amp;P / &amp;N</oddFooter>
  </headerFooter>
  <rowBreaks count="2" manualBreakCount="2">
    <brk id="17" max="16383" man="1"/>
    <brk id="18" max="16383" man="1"/>
  </rowBreaks>
</worksheet>
</file>

<file path=xl/worksheets/sheet9.xml><?xml version="1.0" encoding="utf-8"?>
<worksheet xmlns="http://schemas.openxmlformats.org/spreadsheetml/2006/main" xmlns:r="http://schemas.openxmlformats.org/officeDocument/2006/relationships">
  <dimension ref="A1:BI49"/>
  <sheetViews>
    <sheetView showGridLines="0" zoomScale="70" zoomScaleNormal="70" workbookViewId="0">
      <selection activeCell="AC56" sqref="AC56"/>
    </sheetView>
  </sheetViews>
  <sheetFormatPr defaultColWidth="9.140625" defaultRowHeight="12.75"/>
  <cols>
    <col min="1" max="1" width="66.28515625" customWidth="1"/>
    <col min="2" max="2" width="8.85546875" customWidth="1"/>
    <col min="3" max="3" width="10.85546875" customWidth="1"/>
    <col min="4" max="4" width="10.7109375" style="12" customWidth="1"/>
    <col min="5" max="5" width="2.7109375" style="12" hidden="1" customWidth="1"/>
    <col min="6" max="8" width="2.7109375" hidden="1" customWidth="1"/>
    <col min="9" max="28" width="2.7109375" customWidth="1"/>
    <col min="29" max="29" width="17.7109375" bestFit="1" customWidth="1"/>
    <col min="30" max="31" width="14" hidden="1" customWidth="1"/>
    <col min="32" max="32" width="15.7109375" hidden="1" customWidth="1"/>
    <col min="33" max="33" width="16" hidden="1" customWidth="1"/>
    <col min="34" max="34" width="16.42578125" hidden="1" customWidth="1"/>
    <col min="35" max="36" width="16" bestFit="1" customWidth="1"/>
    <col min="37" max="38" width="16.42578125" bestFit="1" customWidth="1"/>
    <col min="39" max="39" width="16.85546875" bestFit="1" customWidth="1"/>
    <col min="40" max="43" width="16.42578125" bestFit="1" customWidth="1"/>
    <col min="44" max="44" width="16.85546875" bestFit="1" customWidth="1"/>
    <col min="45" max="47" width="16.42578125" bestFit="1" customWidth="1"/>
    <col min="48" max="48" width="16" bestFit="1" customWidth="1"/>
    <col min="49" max="49" width="19.5703125" bestFit="1" customWidth="1"/>
    <col min="50" max="50" width="16.42578125" bestFit="1" customWidth="1"/>
    <col min="51" max="51" width="16.85546875" bestFit="1" customWidth="1"/>
    <col min="52" max="53" width="16.42578125" bestFit="1" customWidth="1"/>
    <col min="54" max="54" width="19.5703125" bestFit="1" customWidth="1"/>
    <col min="55" max="55" width="16.42578125" bestFit="1" customWidth="1"/>
    <col min="56" max="56" width="16.85546875" bestFit="1" customWidth="1"/>
    <col min="57" max="58" width="16.42578125" bestFit="1" customWidth="1"/>
    <col min="59" max="59" width="18.5703125" bestFit="1" customWidth="1"/>
    <col min="60" max="60" width="15.5703125" customWidth="1"/>
    <col min="61" max="61" width="18" customWidth="1"/>
  </cols>
  <sheetData>
    <row r="1" spans="1:59" ht="28.5" customHeight="1" thickBot="1">
      <c r="A1" s="459" t="s">
        <v>92</v>
      </c>
      <c r="B1" s="460"/>
      <c r="C1" s="460"/>
      <c r="D1" s="460"/>
      <c r="E1" s="460"/>
      <c r="F1" s="460"/>
      <c r="G1" s="460"/>
      <c r="H1" s="460"/>
      <c r="I1" s="461"/>
      <c r="J1" s="461"/>
      <c r="K1" s="461"/>
      <c r="L1" s="461"/>
      <c r="M1" s="461"/>
      <c r="N1" s="461"/>
      <c r="O1" s="461"/>
      <c r="P1" s="461"/>
      <c r="Q1" s="461"/>
      <c r="R1" s="461"/>
      <c r="S1" s="461"/>
      <c r="T1" s="461"/>
      <c r="U1" s="461"/>
      <c r="V1" s="461"/>
      <c r="W1" s="461"/>
      <c r="X1" s="462"/>
      <c r="Y1" s="461"/>
      <c r="Z1" s="461"/>
      <c r="AA1" s="461"/>
      <c r="AB1" s="462"/>
      <c r="AC1" s="463"/>
      <c r="AD1" s="438"/>
      <c r="AE1" s="438"/>
      <c r="AF1" s="438"/>
      <c r="AG1" s="438"/>
      <c r="AH1" s="438"/>
      <c r="AI1" s="439"/>
      <c r="AJ1" s="439"/>
      <c r="AK1" s="439"/>
      <c r="AL1" s="439"/>
      <c r="AM1" s="441"/>
      <c r="AN1" s="439"/>
      <c r="AO1" s="439"/>
      <c r="AP1" s="439"/>
      <c r="AQ1" s="439"/>
      <c r="AR1" s="439"/>
      <c r="AS1" s="439"/>
      <c r="AT1" s="439"/>
      <c r="AU1" s="439"/>
      <c r="AV1" s="440"/>
      <c r="AW1" s="440"/>
      <c r="AX1" s="475"/>
      <c r="AY1" s="461"/>
      <c r="AZ1" s="461"/>
      <c r="BA1" s="462"/>
      <c r="BB1" s="476"/>
      <c r="BC1" s="475"/>
      <c r="BD1" s="461"/>
      <c r="BE1" s="461"/>
      <c r="BF1" s="462"/>
      <c r="BG1" s="476"/>
    </row>
    <row r="2" spans="1:59" ht="12.75" customHeight="1">
      <c r="A2" s="452" t="s">
        <v>51</v>
      </c>
      <c r="B2" s="856">
        <v>40909</v>
      </c>
      <c r="C2" s="856"/>
      <c r="D2" s="453"/>
      <c r="E2" s="453"/>
      <c r="F2" s="454"/>
      <c r="G2" s="454"/>
      <c r="H2" s="454"/>
      <c r="I2" s="455"/>
      <c r="J2" s="455"/>
      <c r="K2" s="455"/>
      <c r="L2" s="455"/>
      <c r="M2" s="455"/>
      <c r="N2" s="455"/>
      <c r="O2" s="455"/>
      <c r="P2" s="455"/>
      <c r="Q2" s="455"/>
      <c r="R2" s="455"/>
      <c r="S2" s="455"/>
      <c r="T2" s="455"/>
      <c r="U2" s="455"/>
      <c r="V2" s="455"/>
      <c r="W2" s="455"/>
      <c r="X2" s="455"/>
      <c r="Y2" s="455"/>
      <c r="Z2" s="455"/>
      <c r="AA2" s="455"/>
      <c r="AB2" s="455"/>
      <c r="AC2" s="464"/>
      <c r="AD2" s="456"/>
      <c r="AE2" s="454"/>
      <c r="AF2" s="454"/>
      <c r="AG2" s="454"/>
      <c r="AH2" s="470"/>
      <c r="AI2" s="457"/>
      <c r="AJ2" s="455"/>
      <c r="AK2" s="455"/>
      <c r="AL2" s="455"/>
      <c r="AM2" s="464"/>
      <c r="AN2" s="457"/>
      <c r="AO2" s="455"/>
      <c r="AP2" s="455"/>
      <c r="AQ2" s="455"/>
      <c r="AR2" s="464"/>
      <c r="AS2" s="457"/>
      <c r="AT2" s="455"/>
      <c r="AU2" s="455"/>
      <c r="AV2" s="458"/>
      <c r="AW2" s="458"/>
      <c r="AX2" s="457"/>
      <c r="AY2" s="455"/>
      <c r="AZ2" s="455"/>
      <c r="BA2" s="458"/>
      <c r="BB2" s="473"/>
      <c r="BC2" s="457"/>
      <c r="BD2" s="455"/>
      <c r="BE2" s="455"/>
      <c r="BF2" s="458"/>
      <c r="BG2" s="473"/>
    </row>
    <row r="3" spans="1:59" ht="13.5" customHeight="1">
      <c r="A3" s="857" t="s">
        <v>42</v>
      </c>
      <c r="B3" s="855" t="s">
        <v>52</v>
      </c>
      <c r="C3" s="855" t="s">
        <v>53</v>
      </c>
      <c r="D3" s="855" t="s">
        <v>54</v>
      </c>
      <c r="E3" s="858" t="s">
        <v>304</v>
      </c>
      <c r="F3" s="858"/>
      <c r="G3" s="858"/>
      <c r="H3" s="858"/>
      <c r="I3" s="855" t="s">
        <v>304</v>
      </c>
      <c r="J3" s="855"/>
      <c r="K3" s="855"/>
      <c r="L3" s="855"/>
      <c r="M3" s="855" t="s">
        <v>305</v>
      </c>
      <c r="N3" s="855"/>
      <c r="O3" s="855"/>
      <c r="P3" s="855"/>
      <c r="Q3" s="855" t="s">
        <v>306</v>
      </c>
      <c r="R3" s="855"/>
      <c r="S3" s="855"/>
      <c r="T3" s="855"/>
      <c r="U3" s="855" t="s">
        <v>307</v>
      </c>
      <c r="V3" s="855"/>
      <c r="W3" s="855"/>
      <c r="X3" s="855"/>
      <c r="Y3" s="855" t="s">
        <v>308</v>
      </c>
      <c r="Z3" s="855"/>
      <c r="AA3" s="855"/>
      <c r="AB3" s="855"/>
      <c r="AC3" s="465" t="s">
        <v>60</v>
      </c>
      <c r="AD3" s="853" t="s">
        <v>55</v>
      </c>
      <c r="AE3" s="854"/>
      <c r="AF3" s="854"/>
      <c r="AG3" s="854"/>
      <c r="AH3" s="448" t="e">
        <f>AH5/$AC5</f>
        <v>#REF!</v>
      </c>
      <c r="AI3" s="853" t="s">
        <v>55</v>
      </c>
      <c r="AJ3" s="854"/>
      <c r="AK3" s="854"/>
      <c r="AL3" s="854"/>
      <c r="AM3" s="448"/>
      <c r="AN3" s="853" t="s">
        <v>56</v>
      </c>
      <c r="AO3" s="854"/>
      <c r="AP3" s="854"/>
      <c r="AQ3" s="854"/>
      <c r="AR3" s="448"/>
      <c r="AS3" s="853" t="s">
        <v>57</v>
      </c>
      <c r="AT3" s="854"/>
      <c r="AU3" s="854"/>
      <c r="AV3" s="854"/>
      <c r="AW3" s="448"/>
      <c r="AX3" s="853" t="s">
        <v>58</v>
      </c>
      <c r="AY3" s="854"/>
      <c r="AZ3" s="854"/>
      <c r="BA3" s="854"/>
      <c r="BB3" s="448"/>
      <c r="BC3" s="853" t="s">
        <v>59</v>
      </c>
      <c r="BD3" s="854"/>
      <c r="BE3" s="854"/>
      <c r="BF3" s="854"/>
      <c r="BG3" s="448"/>
    </row>
    <row r="4" spans="1:59">
      <c r="A4" s="857"/>
      <c r="B4" s="855"/>
      <c r="C4" s="855"/>
      <c r="D4" s="855"/>
      <c r="E4" s="578">
        <v>1</v>
      </c>
      <c r="F4" s="578">
        <v>2</v>
      </c>
      <c r="G4" s="595">
        <v>3</v>
      </c>
      <c r="H4" s="595">
        <v>4</v>
      </c>
      <c r="I4" s="595">
        <v>1</v>
      </c>
      <c r="J4" s="595">
        <v>2</v>
      </c>
      <c r="K4" s="595">
        <v>3</v>
      </c>
      <c r="L4" s="595">
        <v>4</v>
      </c>
      <c r="M4" s="595">
        <v>1</v>
      </c>
      <c r="N4" s="578">
        <v>2</v>
      </c>
      <c r="O4" s="578">
        <v>3</v>
      </c>
      <c r="P4" s="578">
        <v>4</v>
      </c>
      <c r="Q4" s="578">
        <v>1</v>
      </c>
      <c r="R4" s="578">
        <v>2</v>
      </c>
      <c r="S4" s="578">
        <v>3</v>
      </c>
      <c r="T4" s="578">
        <v>4</v>
      </c>
      <c r="U4" s="578">
        <v>1</v>
      </c>
      <c r="V4" s="578">
        <v>2</v>
      </c>
      <c r="W4" s="578">
        <v>3</v>
      </c>
      <c r="X4" s="578">
        <v>4</v>
      </c>
      <c r="Y4" s="578">
        <v>1</v>
      </c>
      <c r="Z4" s="578">
        <v>2</v>
      </c>
      <c r="AA4" s="578">
        <v>3</v>
      </c>
      <c r="AB4" s="578">
        <v>4</v>
      </c>
      <c r="AC4" s="465" t="s">
        <v>61</v>
      </c>
      <c r="AD4" s="579">
        <v>1</v>
      </c>
      <c r="AE4" s="580">
        <v>2</v>
      </c>
      <c r="AF4" s="580">
        <v>3</v>
      </c>
      <c r="AG4" s="580">
        <v>4</v>
      </c>
      <c r="AH4" s="449" t="s">
        <v>62</v>
      </c>
      <c r="AI4" s="579">
        <v>1</v>
      </c>
      <c r="AJ4" s="580">
        <v>2</v>
      </c>
      <c r="AK4" s="580">
        <v>3</v>
      </c>
      <c r="AL4" s="580">
        <v>4</v>
      </c>
      <c r="AM4" s="449" t="s">
        <v>62</v>
      </c>
      <c r="AN4" s="579">
        <v>1</v>
      </c>
      <c r="AO4" s="580">
        <v>2</v>
      </c>
      <c r="AP4" s="580">
        <v>3</v>
      </c>
      <c r="AQ4" s="580">
        <v>4</v>
      </c>
      <c r="AR4" s="449" t="s">
        <v>62</v>
      </c>
      <c r="AS4" s="579">
        <v>1</v>
      </c>
      <c r="AT4" s="580">
        <v>2</v>
      </c>
      <c r="AU4" s="580">
        <v>3</v>
      </c>
      <c r="AV4" s="580">
        <v>4</v>
      </c>
      <c r="AW4" s="474" t="s">
        <v>62</v>
      </c>
      <c r="AX4" s="579">
        <v>1</v>
      </c>
      <c r="AY4" s="580">
        <v>2</v>
      </c>
      <c r="AZ4" s="580">
        <v>3</v>
      </c>
      <c r="BA4" s="580">
        <v>4</v>
      </c>
      <c r="BB4" s="449" t="s">
        <v>62</v>
      </c>
      <c r="BC4" s="579">
        <v>1</v>
      </c>
      <c r="BD4" s="580">
        <v>2</v>
      </c>
      <c r="BE4" s="580">
        <v>3</v>
      </c>
      <c r="BF4" s="580">
        <v>4</v>
      </c>
      <c r="BG4" s="449" t="s">
        <v>62</v>
      </c>
    </row>
    <row r="5" spans="1:59" ht="12.75" hidden="1" customHeight="1">
      <c r="A5" s="450"/>
      <c r="B5" s="442"/>
      <c r="C5" s="442"/>
      <c r="D5" s="442"/>
      <c r="E5" s="443"/>
      <c r="F5" s="443"/>
      <c r="G5" s="443">
        <v>40725</v>
      </c>
      <c r="H5" s="443">
        <v>40817</v>
      </c>
      <c r="I5" s="443">
        <v>40909</v>
      </c>
      <c r="J5" s="443">
        <v>41000</v>
      </c>
      <c r="K5" s="443">
        <v>41091</v>
      </c>
      <c r="L5" s="443">
        <v>41183</v>
      </c>
      <c r="M5" s="443">
        <v>41275</v>
      </c>
      <c r="N5" s="443">
        <v>41365</v>
      </c>
      <c r="O5" s="443">
        <v>41456</v>
      </c>
      <c r="P5" s="443">
        <v>41548</v>
      </c>
      <c r="Q5" s="443">
        <v>41640</v>
      </c>
      <c r="R5" s="443">
        <v>41730</v>
      </c>
      <c r="S5" s="443">
        <v>41821</v>
      </c>
      <c r="T5" s="443">
        <v>41913</v>
      </c>
      <c r="U5" s="443">
        <v>42005</v>
      </c>
      <c r="V5" s="443">
        <v>42095</v>
      </c>
      <c r="W5" s="443">
        <v>42186</v>
      </c>
      <c r="X5" s="443">
        <v>42278</v>
      </c>
      <c r="Y5" s="443">
        <v>42370</v>
      </c>
      <c r="Z5" s="443">
        <v>42461</v>
      </c>
      <c r="AA5" s="443">
        <v>42583</v>
      </c>
      <c r="AB5" s="443"/>
      <c r="AC5" s="574" t="e">
        <f>AC6+AC20+AC40+AC33+#REF!</f>
        <v>#REF!</v>
      </c>
      <c r="AD5" s="444" t="e">
        <f>AD6+AD20+AD40+AD33+#REF!</f>
        <v>#REF!</v>
      </c>
      <c r="AE5" s="444" t="e">
        <f>AE6+AE20+AE40+AE33+#REF!</f>
        <v>#REF!</v>
      </c>
      <c r="AF5" s="444" t="e">
        <f>AF6+AF20+AF40+AF33+#REF!</f>
        <v>#REF!</v>
      </c>
      <c r="AG5" s="444" t="e">
        <f>AG6+AG20+AG40+AG33+#REF!</f>
        <v>#REF!</v>
      </c>
      <c r="AH5" s="444" t="e">
        <f>AH6+AH20+AH40+AH33+#REF!</f>
        <v>#REF!</v>
      </c>
      <c r="AI5" s="444" t="e">
        <f>AI6+AI20+AI40+AI33+#REF!</f>
        <v>#REF!</v>
      </c>
      <c r="AJ5" s="444" t="e">
        <f>AJ6+AJ20+AJ40+AJ33+#REF!</f>
        <v>#REF!</v>
      </c>
      <c r="AK5" s="444" t="e">
        <f>AK6+AK20+AK40+AK33+#REF!</f>
        <v>#REF!</v>
      </c>
      <c r="AL5" s="444" t="e">
        <f>AL6+AL20+AL40+AL33+#REF!</f>
        <v>#REF!</v>
      </c>
      <c r="AM5" s="444" t="e">
        <f>AM6+AM20+AM40+AM33+#REF!</f>
        <v>#REF!</v>
      </c>
      <c r="AN5" s="444" t="e">
        <f>AN6+AN20+AN40+AN33+#REF!</f>
        <v>#REF!</v>
      </c>
      <c r="AO5" s="444" t="e">
        <f>AO6+AO20+AO40+AO33+#REF!</f>
        <v>#REF!</v>
      </c>
      <c r="AP5" s="444" t="e">
        <f>AP6+AP20+AP40+AP33+#REF!</f>
        <v>#REF!</v>
      </c>
      <c r="AQ5" s="444" t="e">
        <f>AQ6+AQ20+AQ40+AQ33+#REF!</f>
        <v>#REF!</v>
      </c>
      <c r="AR5" s="444" t="e">
        <f>AR6+AR20+AR40+AR33+#REF!</f>
        <v>#REF!</v>
      </c>
      <c r="AS5" s="444" t="e">
        <f>AS6+AS20+AS40+AS33+#REF!</f>
        <v>#REF!</v>
      </c>
      <c r="AT5" s="444" t="e">
        <f>AT6+AT20+AT40+AT33+#REF!</f>
        <v>#REF!</v>
      </c>
      <c r="AU5" s="444" t="e">
        <f>AU6+AU20+AU40+AU33+#REF!</f>
        <v>#REF!</v>
      </c>
      <c r="AV5" s="444" t="e">
        <f>AV6+AV20+AV40+AV33+#REF!</f>
        <v>#REF!</v>
      </c>
      <c r="AW5" s="444" t="e">
        <f>AW6+AW20+AW40+AW33+#REF!</f>
        <v>#REF!</v>
      </c>
      <c r="AX5" s="444" t="e">
        <f>AX6+AX20+AX40+AX33+#REF!</f>
        <v>#REF!</v>
      </c>
      <c r="AY5" s="444" t="e">
        <f>AY6+AY20+AY40+AY33+#REF!</f>
        <v>#REF!</v>
      </c>
      <c r="AZ5" s="444" t="e">
        <f>AZ6+AZ20+AZ40+AZ33+#REF!</f>
        <v>#REF!</v>
      </c>
      <c r="BA5" s="444" t="e">
        <f>BA6+BA20+BA40+BA33+#REF!</f>
        <v>#REF!</v>
      </c>
      <c r="BB5" s="444" t="e">
        <f>BB6+BB20+BB40+BB33+#REF!</f>
        <v>#REF!</v>
      </c>
      <c r="BC5" s="444" t="e">
        <f>BC6+BC20+BC40+BC33+#REF!</f>
        <v>#REF!</v>
      </c>
      <c r="BD5" s="444" t="e">
        <f>BD6+BD20+BD40+BD33+#REF!</f>
        <v>#REF!</v>
      </c>
      <c r="BE5" s="444" t="e">
        <f>BE6+BE20+BE40+BE33+#REF!</f>
        <v>#REF!</v>
      </c>
      <c r="BF5" s="444" t="e">
        <f>BF6+BF20+BF40+BF33+#REF!</f>
        <v>#REF!</v>
      </c>
      <c r="BG5" s="582" t="e">
        <f>BG6+BG20+BG40+BG33+#REF!</f>
        <v>#REF!</v>
      </c>
    </row>
    <row r="6" spans="1:59" s="12" customFormat="1" ht="33.75" customHeight="1">
      <c r="A6" s="451" t="str">
        <f>'3_Comp e Produtos'!A6</f>
        <v>COMPONENTE 1: FORTALECIMENTO DA GESTÃO ESTRATÉGICA</v>
      </c>
      <c r="B6" s="445">
        <f>MIN(B7:B16)</f>
        <v>40909</v>
      </c>
      <c r="C6" s="446">
        <f>IF(INT((D6-B6)/30)+1&gt;21,INT((D6-B6)/30),INT((D6-B6)/30)+1)</f>
        <v>36</v>
      </c>
      <c r="D6" s="445">
        <f>MAX(D7:D16)</f>
        <v>41995</v>
      </c>
      <c r="E6" s="447" t="str">
        <f>IF(COUNTIF(E7:E16,"X")&lt;&gt;0,"X","")</f>
        <v/>
      </c>
      <c r="F6" s="447" t="str">
        <f>IF(COUNTIF(F7:F16,"X")&lt;&gt;0,"X","")</f>
        <v/>
      </c>
      <c r="G6" s="447" t="str">
        <f t="shared" ref="G6:X6" si="0">IF(COUNTIF(G7:G16,"X")&lt;&gt;0,"X","")</f>
        <v/>
      </c>
      <c r="H6" s="447" t="str">
        <f t="shared" si="0"/>
        <v/>
      </c>
      <c r="I6" s="447" t="str">
        <f t="shared" si="0"/>
        <v>X</v>
      </c>
      <c r="J6" s="447" t="str">
        <f t="shared" si="0"/>
        <v>X</v>
      </c>
      <c r="K6" s="447" t="str">
        <f t="shared" si="0"/>
        <v>X</v>
      </c>
      <c r="L6" s="447" t="str">
        <f t="shared" si="0"/>
        <v>X</v>
      </c>
      <c r="M6" s="447" t="str">
        <f t="shared" si="0"/>
        <v>X</v>
      </c>
      <c r="N6" s="447" t="str">
        <f t="shared" si="0"/>
        <v>X</v>
      </c>
      <c r="O6" s="447" t="str">
        <f t="shared" si="0"/>
        <v>X</v>
      </c>
      <c r="P6" s="447" t="str">
        <f t="shared" si="0"/>
        <v>X</v>
      </c>
      <c r="Q6" s="447" t="str">
        <f t="shared" si="0"/>
        <v>X</v>
      </c>
      <c r="R6" s="447" t="str">
        <f t="shared" si="0"/>
        <v>X</v>
      </c>
      <c r="S6" s="447" t="str">
        <f t="shared" si="0"/>
        <v>X</v>
      </c>
      <c r="T6" s="447" t="str">
        <f t="shared" si="0"/>
        <v>X</v>
      </c>
      <c r="U6" s="447" t="str">
        <f t="shared" si="0"/>
        <v/>
      </c>
      <c r="V6" s="447" t="str">
        <f t="shared" si="0"/>
        <v/>
      </c>
      <c r="W6" s="447" t="str">
        <f t="shared" si="0"/>
        <v/>
      </c>
      <c r="X6" s="447" t="str">
        <f t="shared" si="0"/>
        <v/>
      </c>
      <c r="Y6" s="447" t="str">
        <f t="shared" ref="Y6:AB6" si="1">IF(COUNTIF(Y7:Y16,"X")&lt;&gt;0,"X","")</f>
        <v/>
      </c>
      <c r="Z6" s="447" t="str">
        <f t="shared" si="1"/>
        <v/>
      </c>
      <c r="AA6" s="447" t="str">
        <f t="shared" si="1"/>
        <v/>
      </c>
      <c r="AB6" s="447" t="str">
        <f t="shared" si="1"/>
        <v/>
      </c>
      <c r="AC6" s="722">
        <f>SUM(AC7:AC19)</f>
        <v>7080950</v>
      </c>
      <c r="AD6" s="471">
        <f>SUM(AD7:AD16)</f>
        <v>0</v>
      </c>
      <c r="AE6" s="471">
        <f>SUM(AE7:AE16)</f>
        <v>0</v>
      </c>
      <c r="AF6" s="471">
        <f>SUM(AF7:AF16)</f>
        <v>0</v>
      </c>
      <c r="AG6" s="471">
        <f>SUM(AG7:AG16)</f>
        <v>0</v>
      </c>
      <c r="AH6" s="471">
        <f t="shared" ref="AH6" si="2">SUM(AH7:AH16)</f>
        <v>0</v>
      </c>
      <c r="AI6" s="471">
        <f>SUM(AI7:AI19)</f>
        <v>1496000</v>
      </c>
      <c r="AJ6" s="471">
        <f t="shared" ref="AJ6:AM6" si="3">SUM(AJ7:AJ19)</f>
        <v>577266.67000000004</v>
      </c>
      <c r="AK6" s="471">
        <f t="shared" si="3"/>
        <v>520516.67</v>
      </c>
      <c r="AL6" s="471">
        <f t="shared" si="3"/>
        <v>754666.67</v>
      </c>
      <c r="AM6" s="471">
        <f t="shared" si="3"/>
        <v>3348450.01</v>
      </c>
      <c r="AN6" s="471">
        <f>SUM(AN7:AN19)</f>
        <v>468791.67</v>
      </c>
      <c r="AO6" s="471">
        <f t="shared" ref="AO6:AR6" si="4">SUM(AO7:AO19)</f>
        <v>212291.67</v>
      </c>
      <c r="AP6" s="471">
        <f t="shared" si="4"/>
        <v>212291.67</v>
      </c>
      <c r="AQ6" s="471">
        <f t="shared" si="4"/>
        <v>212291.67</v>
      </c>
      <c r="AR6" s="471">
        <f t="shared" si="4"/>
        <v>1105666.68</v>
      </c>
      <c r="AS6" s="471">
        <f>SUM(AS7:AS19)</f>
        <v>363541.67</v>
      </c>
      <c r="AT6" s="471">
        <f t="shared" ref="AT6:AW6" si="5">SUM(AT7:AT19)</f>
        <v>363541.67</v>
      </c>
      <c r="AU6" s="471">
        <f t="shared" si="5"/>
        <v>579541.67000000004</v>
      </c>
      <c r="AV6" s="471">
        <f t="shared" si="5"/>
        <v>363541.67</v>
      </c>
      <c r="AW6" s="471">
        <f t="shared" si="5"/>
        <v>1670166.68</v>
      </c>
      <c r="AX6" s="471">
        <f>SUM(AX7:AX19)</f>
        <v>136666.67000000001</v>
      </c>
      <c r="AY6" s="471">
        <f t="shared" ref="AY6:BB6" si="6">SUM(AY7:AY19)</f>
        <v>136666.67000000001</v>
      </c>
      <c r="AZ6" s="471">
        <f t="shared" si="6"/>
        <v>136666.67000000001</v>
      </c>
      <c r="BA6" s="471">
        <f t="shared" si="6"/>
        <v>136666.67000000001</v>
      </c>
      <c r="BB6" s="471">
        <f t="shared" si="6"/>
        <v>546666.68000000005</v>
      </c>
      <c r="BC6" s="471">
        <f>SUM(BC7:BC19)</f>
        <v>136666.67000000001</v>
      </c>
      <c r="BD6" s="471">
        <f t="shared" ref="BD6:BG6" si="7">SUM(BD7:BD19)</f>
        <v>136666.67000000001</v>
      </c>
      <c r="BE6" s="471">
        <f t="shared" si="7"/>
        <v>136666.67000000001</v>
      </c>
      <c r="BF6" s="471">
        <f t="shared" si="7"/>
        <v>0</v>
      </c>
      <c r="BG6" s="471">
        <f t="shared" si="7"/>
        <v>410000.01</v>
      </c>
    </row>
    <row r="7" spans="1:59" s="12" customFormat="1" ht="51">
      <c r="A7" s="143" t="str">
        <f>IF('3_Comp e Produtos'!B7="Sim",'3_Comp e Produtos'!A7,"NÃO SELECIONADO")</f>
        <v>1.1. Plano de ação para a implementação da estratégia para melhorar a defesa jurídica do Estado e o papel da AGU na sustentabilidade jurídica das políticas públicas incluindo a avaliação dos riscos para o Estado (Diretrizes Estratégicas 2008/2015)</v>
      </c>
      <c r="B7" s="349">
        <v>41000</v>
      </c>
      <c r="C7" s="365">
        <v>6</v>
      </c>
      <c r="D7" s="270">
        <f t="shared" ref="D7:D42" si="8">IF(C7&lt;&gt;0,IF(C7&lt;24,B7+29*C7,B7+30*C7),"")</f>
        <v>41174</v>
      </c>
      <c r="E7" s="115" t="str">
        <f t="shared" ref="E7:AB19" si="9">IF(AND($C7&lt;&gt;0,$A7&lt;&gt;"NÃO SELECIONADO"),IF(E$5&gt;=$B7,IF(E$5&lt;=$D7,"X"," ")," "),"")</f>
        <v xml:space="preserve"> </v>
      </c>
      <c r="F7" s="115" t="str">
        <f t="shared" si="9"/>
        <v xml:space="preserve"> </v>
      </c>
      <c r="G7" s="115" t="str">
        <f t="shared" si="9"/>
        <v xml:space="preserve"> </v>
      </c>
      <c r="H7" s="115" t="str">
        <f t="shared" si="9"/>
        <v xml:space="preserve"> </v>
      </c>
      <c r="I7" s="115"/>
      <c r="J7" s="115" t="str">
        <f t="shared" si="9"/>
        <v>X</v>
      </c>
      <c r="K7" s="115" t="str">
        <f t="shared" si="9"/>
        <v>X</v>
      </c>
      <c r="L7" s="115" t="str">
        <f t="shared" si="9"/>
        <v xml:space="preserve"> </v>
      </c>
      <c r="M7" s="115" t="str">
        <f t="shared" si="9"/>
        <v xml:space="preserve"> </v>
      </c>
      <c r="N7" s="115" t="str">
        <f t="shared" si="9"/>
        <v xml:space="preserve"> </v>
      </c>
      <c r="O7" s="115" t="str">
        <f t="shared" si="9"/>
        <v xml:space="preserve"> </v>
      </c>
      <c r="P7" s="115" t="str">
        <f t="shared" si="9"/>
        <v xml:space="preserve"> </v>
      </c>
      <c r="Q7" s="115" t="str">
        <f t="shared" si="9"/>
        <v xml:space="preserve"> </v>
      </c>
      <c r="R7" s="115" t="str">
        <f t="shared" si="9"/>
        <v xml:space="preserve"> </v>
      </c>
      <c r="S7" s="115" t="str">
        <f t="shared" si="9"/>
        <v xml:space="preserve"> </v>
      </c>
      <c r="T7" s="115" t="str">
        <f t="shared" si="9"/>
        <v xml:space="preserve"> </v>
      </c>
      <c r="U7" s="115" t="str">
        <f t="shared" si="9"/>
        <v xml:space="preserve"> </v>
      </c>
      <c r="V7" s="115" t="str">
        <f t="shared" si="9"/>
        <v xml:space="preserve"> </v>
      </c>
      <c r="W7" s="115" t="str">
        <f t="shared" si="9"/>
        <v xml:space="preserve"> </v>
      </c>
      <c r="X7" s="115" t="str">
        <f t="shared" si="9"/>
        <v xml:space="preserve"> </v>
      </c>
      <c r="Y7" s="115" t="str">
        <f t="shared" si="9"/>
        <v xml:space="preserve"> </v>
      </c>
      <c r="Z7" s="115" t="str">
        <f t="shared" si="9"/>
        <v xml:space="preserve"> </v>
      </c>
      <c r="AA7" s="115" t="str">
        <f t="shared" si="9"/>
        <v xml:space="preserve"> </v>
      </c>
      <c r="AB7" s="115" t="str">
        <f t="shared" si="9"/>
        <v xml:space="preserve"> </v>
      </c>
      <c r="AC7" s="467">
        <f>'3_Comp e Produtos'!E7</f>
        <v>689200</v>
      </c>
      <c r="AD7" s="119">
        <f t="shared" ref="AD7:AG19" si="10">IF(E7="X",$AC7/$C7*3,0)</f>
        <v>0</v>
      </c>
      <c r="AE7" s="119">
        <f t="shared" si="10"/>
        <v>0</v>
      </c>
      <c r="AF7" s="119">
        <f t="shared" si="10"/>
        <v>0</v>
      </c>
      <c r="AG7" s="119">
        <f t="shared" si="10"/>
        <v>0</v>
      </c>
      <c r="AH7" s="120">
        <f t="shared" ref="AH7:AH42" si="11">SUM(AD7:AG7)</f>
        <v>0</v>
      </c>
      <c r="AI7" s="119">
        <f>IF(I7="X",$AC7/$C7*3,0)</f>
        <v>0</v>
      </c>
      <c r="AJ7" s="119">
        <f t="shared" ref="AJ7:AL19" si="12">IF(J7="X",$AC7/$C7*3,0)</f>
        <v>344600</v>
      </c>
      <c r="AK7" s="119">
        <f t="shared" si="12"/>
        <v>344600</v>
      </c>
      <c r="AL7" s="119">
        <f t="shared" si="12"/>
        <v>0</v>
      </c>
      <c r="AM7" s="120">
        <f t="shared" ref="AM7:AM42" si="13">SUM(AI7:AL7)</f>
        <v>689200</v>
      </c>
      <c r="AN7" s="119">
        <f t="shared" ref="AN7:AN42" si="14">IF(M7="X",$AC7/$C7*3,0)</f>
        <v>0</v>
      </c>
      <c r="AO7" s="119">
        <f t="shared" ref="AO7:AO19" si="15">IF(N7="X",$AC7/$C7*3,0)</f>
        <v>0</v>
      </c>
      <c r="AP7" s="119">
        <f t="shared" ref="AP7:AP19" si="16">IF(O7="X",$AC7/$C7*3,0)</f>
        <v>0</v>
      </c>
      <c r="AQ7" s="119">
        <f t="shared" ref="AQ7:AQ19" si="17">IF(P7="X",$AC7/$C7*3,0)</f>
        <v>0</v>
      </c>
      <c r="AR7" s="120">
        <f t="shared" ref="AR7:AR19" si="18">SUM(AN7:AQ7)</f>
        <v>0</v>
      </c>
      <c r="AS7" s="119">
        <f t="shared" ref="AS7:AS42" si="19">IF(Q7="X",$AC7/$C7*3,0)</f>
        <v>0</v>
      </c>
      <c r="AT7" s="119">
        <f t="shared" ref="AT7:AT19" si="20">IF(R7="X",$AC7/$C7*3,0)</f>
        <v>0</v>
      </c>
      <c r="AU7" s="119">
        <f t="shared" ref="AU7:AU19" si="21">IF(S7="X",$AC7/$C7*3,0)</f>
        <v>0</v>
      </c>
      <c r="AV7" s="119">
        <f t="shared" ref="AV7:AV19" si="22">IF(T7="X",$AC7/$C7*3,0)</f>
        <v>0</v>
      </c>
      <c r="AW7" s="120">
        <f t="shared" ref="AW7:AW19" si="23">SUM(AS7:AV7)</f>
        <v>0</v>
      </c>
      <c r="AX7" s="119">
        <f t="shared" ref="AX7:AX42" si="24">IF(U7="X",$AC7/$C7*3,0)</f>
        <v>0</v>
      </c>
      <c r="AY7" s="119">
        <f t="shared" ref="AY7:AY19" si="25">IF(V7="X",$AC7/$C7*3,0)</f>
        <v>0</v>
      </c>
      <c r="AZ7" s="119">
        <f t="shared" ref="AZ7:AZ19" si="26">IF(W7="X",$AC7/$C7*3,0)</f>
        <v>0</v>
      </c>
      <c r="BA7" s="119">
        <f t="shared" ref="BA7:BA19" si="27">IF(X7="X",$AC7/$C7*3,0)</f>
        <v>0</v>
      </c>
      <c r="BB7" s="120">
        <f t="shared" ref="BB7:BB19" si="28">SUM(AX7:BA7)</f>
        <v>0</v>
      </c>
      <c r="BC7" s="119">
        <f>IF(Y7="X",$AC7/$C7*3,0)</f>
        <v>0</v>
      </c>
      <c r="BD7" s="119">
        <f t="shared" ref="BD7:BF19" si="29">IF(Z7="X",$AC7/$C7*3,0)</f>
        <v>0</v>
      </c>
      <c r="BE7" s="119">
        <f t="shared" si="29"/>
        <v>0</v>
      </c>
      <c r="BF7" s="119">
        <f t="shared" si="29"/>
        <v>0</v>
      </c>
      <c r="BG7" s="120">
        <f t="shared" ref="BG7:BG19" si="30">SUM(BC7:BF7)</f>
        <v>0</v>
      </c>
    </row>
    <row r="8" spans="1:59" s="12" customFormat="1">
      <c r="A8" s="143" t="str">
        <f>IF('3_Comp e Produtos'!B8="Sim",'3_Comp e Produtos'!A8,"NÃO SELECIONADO")</f>
        <v>1.2 Monitoramento estratégico dos créditos ativos e riscos para o Estado</v>
      </c>
      <c r="B8" s="349">
        <v>41183</v>
      </c>
      <c r="C8" s="365">
        <v>3</v>
      </c>
      <c r="D8" s="270">
        <f t="shared" si="8"/>
        <v>41270</v>
      </c>
      <c r="E8" s="115" t="str">
        <f t="shared" si="9"/>
        <v xml:space="preserve"> </v>
      </c>
      <c r="F8" s="115" t="str">
        <f t="shared" si="9"/>
        <v xml:space="preserve"> </v>
      </c>
      <c r="G8" s="115" t="str">
        <f t="shared" si="9"/>
        <v xml:space="preserve"> </v>
      </c>
      <c r="H8" s="115" t="str">
        <f t="shared" si="9"/>
        <v xml:space="preserve"> </v>
      </c>
      <c r="I8" s="115" t="str">
        <f t="shared" si="9"/>
        <v xml:space="preserve"> </v>
      </c>
      <c r="J8" s="115" t="str">
        <f t="shared" si="9"/>
        <v xml:space="preserve"> </v>
      </c>
      <c r="K8" s="115" t="str">
        <f t="shared" si="9"/>
        <v xml:space="preserve"> </v>
      </c>
      <c r="L8" s="115" t="str">
        <f t="shared" si="9"/>
        <v>X</v>
      </c>
      <c r="M8" s="115" t="str">
        <f t="shared" si="9"/>
        <v xml:space="preserve"> </v>
      </c>
      <c r="N8" s="115" t="str">
        <f t="shared" si="9"/>
        <v xml:space="preserve"> </v>
      </c>
      <c r="O8" s="115" t="str">
        <f t="shared" si="9"/>
        <v xml:space="preserve"> </v>
      </c>
      <c r="P8" s="115" t="str">
        <f t="shared" si="9"/>
        <v xml:space="preserve"> </v>
      </c>
      <c r="Q8" s="115" t="str">
        <f t="shared" si="9"/>
        <v xml:space="preserve"> </v>
      </c>
      <c r="R8" s="115" t="str">
        <f t="shared" si="9"/>
        <v xml:space="preserve"> </v>
      </c>
      <c r="S8" s="115" t="str">
        <f t="shared" si="9"/>
        <v xml:space="preserve"> </v>
      </c>
      <c r="T8" s="115" t="str">
        <f t="shared" si="9"/>
        <v xml:space="preserve"> </v>
      </c>
      <c r="U8" s="115" t="str">
        <f t="shared" si="9"/>
        <v xml:space="preserve"> </v>
      </c>
      <c r="V8" s="115" t="str">
        <f t="shared" si="9"/>
        <v xml:space="preserve"> </v>
      </c>
      <c r="W8" s="115" t="str">
        <f t="shared" si="9"/>
        <v xml:space="preserve"> </v>
      </c>
      <c r="X8" s="115" t="str">
        <f t="shared" si="9"/>
        <v xml:space="preserve"> </v>
      </c>
      <c r="Y8" s="115" t="str">
        <f t="shared" si="9"/>
        <v xml:space="preserve"> </v>
      </c>
      <c r="Z8" s="115" t="str">
        <f t="shared" si="9"/>
        <v xml:space="preserve"> </v>
      </c>
      <c r="AA8" s="115" t="str">
        <f t="shared" si="9"/>
        <v xml:space="preserve"> </v>
      </c>
      <c r="AB8" s="115" t="str">
        <f t="shared" si="9"/>
        <v xml:space="preserve"> </v>
      </c>
      <c r="AC8" s="467">
        <f>'3_Comp e Produtos'!E8</f>
        <v>618000</v>
      </c>
      <c r="AD8" s="119">
        <f t="shared" si="10"/>
        <v>0</v>
      </c>
      <c r="AE8" s="119">
        <f t="shared" si="10"/>
        <v>0</v>
      </c>
      <c r="AF8" s="119">
        <f t="shared" si="10"/>
        <v>0</v>
      </c>
      <c r="AG8" s="119">
        <f t="shared" si="10"/>
        <v>0</v>
      </c>
      <c r="AH8" s="120">
        <f t="shared" si="11"/>
        <v>0</v>
      </c>
      <c r="AI8" s="119">
        <f t="shared" ref="AI8:AI19" si="31">IF(I8="X",$AC8/$C8*3,0)</f>
        <v>0</v>
      </c>
      <c r="AJ8" s="119">
        <f t="shared" si="12"/>
        <v>0</v>
      </c>
      <c r="AK8" s="119">
        <f t="shared" si="12"/>
        <v>0</v>
      </c>
      <c r="AL8" s="119">
        <f t="shared" si="12"/>
        <v>618000</v>
      </c>
      <c r="AM8" s="120">
        <f t="shared" si="13"/>
        <v>618000</v>
      </c>
      <c r="AN8" s="119">
        <f t="shared" si="14"/>
        <v>0</v>
      </c>
      <c r="AO8" s="119">
        <f t="shared" si="15"/>
        <v>0</v>
      </c>
      <c r="AP8" s="119">
        <f t="shared" si="16"/>
        <v>0</v>
      </c>
      <c r="AQ8" s="119">
        <f t="shared" si="17"/>
        <v>0</v>
      </c>
      <c r="AR8" s="120">
        <f t="shared" si="18"/>
        <v>0</v>
      </c>
      <c r="AS8" s="119">
        <f t="shared" si="19"/>
        <v>0</v>
      </c>
      <c r="AT8" s="119">
        <f t="shared" si="20"/>
        <v>0</v>
      </c>
      <c r="AU8" s="119">
        <f t="shared" si="21"/>
        <v>0</v>
      </c>
      <c r="AV8" s="119">
        <f t="shared" si="22"/>
        <v>0</v>
      </c>
      <c r="AW8" s="120">
        <f t="shared" si="23"/>
        <v>0</v>
      </c>
      <c r="AX8" s="119">
        <f t="shared" si="24"/>
        <v>0</v>
      </c>
      <c r="AY8" s="119">
        <f t="shared" si="25"/>
        <v>0</v>
      </c>
      <c r="AZ8" s="119">
        <f t="shared" si="26"/>
        <v>0</v>
      </c>
      <c r="BA8" s="119">
        <f t="shared" si="27"/>
        <v>0</v>
      </c>
      <c r="BB8" s="120">
        <f t="shared" si="28"/>
        <v>0</v>
      </c>
      <c r="BC8" s="119">
        <f t="shared" ref="BC8:BC19" si="32">IF(Y8="X",$AC8/$C8*3,0)</f>
        <v>0</v>
      </c>
      <c r="BD8" s="119">
        <f t="shared" si="29"/>
        <v>0</v>
      </c>
      <c r="BE8" s="119">
        <f t="shared" si="29"/>
        <v>0</v>
      </c>
      <c r="BF8" s="119">
        <f t="shared" si="29"/>
        <v>0</v>
      </c>
      <c r="BG8" s="120">
        <f t="shared" si="30"/>
        <v>0</v>
      </c>
    </row>
    <row r="9" spans="1:59" s="12" customFormat="1" ht="25.5">
      <c r="A9" s="143" t="str">
        <f>IF('3_Comp e Produtos'!B9="Sim",'3_Comp e Produtos'!A9,"NÃO SELECIONADO")</f>
        <v>1.3. Dimensionamento do custo fiscal implícito nos processos contra o Estado</v>
      </c>
      <c r="B9" s="349">
        <v>41821</v>
      </c>
      <c r="C9" s="365">
        <v>3</v>
      </c>
      <c r="D9" s="270">
        <f t="shared" si="8"/>
        <v>41908</v>
      </c>
      <c r="E9" s="115" t="str">
        <f t="shared" si="9"/>
        <v xml:space="preserve"> </v>
      </c>
      <c r="F9" s="115" t="str">
        <f t="shared" si="9"/>
        <v xml:space="preserve"> </v>
      </c>
      <c r="G9" s="115" t="str">
        <f t="shared" si="9"/>
        <v xml:space="preserve"> </v>
      </c>
      <c r="H9" s="115" t="str">
        <f t="shared" si="9"/>
        <v xml:space="preserve"> </v>
      </c>
      <c r="I9" s="115" t="str">
        <f t="shared" si="9"/>
        <v xml:space="preserve"> </v>
      </c>
      <c r="J9" s="115" t="str">
        <f t="shared" si="9"/>
        <v xml:space="preserve"> </v>
      </c>
      <c r="K9" s="115" t="str">
        <f t="shared" si="9"/>
        <v xml:space="preserve"> </v>
      </c>
      <c r="L9" s="115" t="str">
        <f t="shared" si="9"/>
        <v xml:space="preserve"> </v>
      </c>
      <c r="M9" s="115" t="str">
        <f t="shared" si="9"/>
        <v xml:space="preserve"> </v>
      </c>
      <c r="N9" s="115" t="str">
        <f t="shared" si="9"/>
        <v xml:space="preserve"> </v>
      </c>
      <c r="O9" s="115" t="str">
        <f t="shared" si="9"/>
        <v xml:space="preserve"> </v>
      </c>
      <c r="P9" s="115" t="str">
        <f t="shared" si="9"/>
        <v xml:space="preserve"> </v>
      </c>
      <c r="Q9" s="115" t="str">
        <f t="shared" si="9"/>
        <v xml:space="preserve"> </v>
      </c>
      <c r="R9" s="115" t="str">
        <f t="shared" si="9"/>
        <v xml:space="preserve"> </v>
      </c>
      <c r="S9" s="115" t="str">
        <f t="shared" si="9"/>
        <v>X</v>
      </c>
      <c r="T9" s="115" t="str">
        <f t="shared" si="9"/>
        <v xml:space="preserve"> </v>
      </c>
      <c r="U9" s="115" t="str">
        <f t="shared" si="9"/>
        <v xml:space="preserve"> </v>
      </c>
      <c r="V9" s="115" t="str">
        <f t="shared" si="9"/>
        <v xml:space="preserve"> </v>
      </c>
      <c r="W9" s="115" t="str">
        <f t="shared" si="9"/>
        <v xml:space="preserve"> </v>
      </c>
      <c r="X9" s="115" t="str">
        <f t="shared" si="9"/>
        <v xml:space="preserve"> </v>
      </c>
      <c r="Y9" s="115" t="str">
        <f t="shared" si="9"/>
        <v xml:space="preserve"> </v>
      </c>
      <c r="Z9" s="115" t="str">
        <f t="shared" si="9"/>
        <v xml:space="preserve"> </v>
      </c>
      <c r="AA9" s="115" t="str">
        <f t="shared" si="9"/>
        <v xml:space="preserve"> </v>
      </c>
      <c r="AB9" s="115" t="str">
        <f t="shared" si="9"/>
        <v xml:space="preserve"> </v>
      </c>
      <c r="AC9" s="467">
        <f>'3_Comp e Produtos'!E9</f>
        <v>216000</v>
      </c>
      <c r="AD9" s="119">
        <f t="shared" si="10"/>
        <v>0</v>
      </c>
      <c r="AE9" s="119">
        <f t="shared" si="10"/>
        <v>0</v>
      </c>
      <c r="AF9" s="119">
        <f t="shared" si="10"/>
        <v>0</v>
      </c>
      <c r="AG9" s="119">
        <f t="shared" si="10"/>
        <v>0</v>
      </c>
      <c r="AH9" s="120">
        <f t="shared" si="11"/>
        <v>0</v>
      </c>
      <c r="AI9" s="119">
        <f t="shared" si="31"/>
        <v>0</v>
      </c>
      <c r="AJ9" s="119">
        <f t="shared" si="12"/>
        <v>0</v>
      </c>
      <c r="AK9" s="119">
        <f t="shared" si="12"/>
        <v>0</v>
      </c>
      <c r="AL9" s="119">
        <f t="shared" si="12"/>
        <v>0</v>
      </c>
      <c r="AM9" s="120">
        <f t="shared" si="13"/>
        <v>0</v>
      </c>
      <c r="AN9" s="119">
        <f t="shared" si="14"/>
        <v>0</v>
      </c>
      <c r="AO9" s="119">
        <f t="shared" si="15"/>
        <v>0</v>
      </c>
      <c r="AP9" s="119">
        <f t="shared" si="16"/>
        <v>0</v>
      </c>
      <c r="AQ9" s="119">
        <f t="shared" si="17"/>
        <v>0</v>
      </c>
      <c r="AR9" s="120">
        <f t="shared" si="18"/>
        <v>0</v>
      </c>
      <c r="AS9" s="119">
        <f t="shared" si="19"/>
        <v>0</v>
      </c>
      <c r="AT9" s="119">
        <f t="shared" si="20"/>
        <v>0</v>
      </c>
      <c r="AU9" s="119">
        <f t="shared" si="21"/>
        <v>216000</v>
      </c>
      <c r="AV9" s="119">
        <f t="shared" si="22"/>
        <v>0</v>
      </c>
      <c r="AW9" s="120">
        <f t="shared" si="23"/>
        <v>216000</v>
      </c>
      <c r="AX9" s="119">
        <f t="shared" si="24"/>
        <v>0</v>
      </c>
      <c r="AY9" s="119">
        <f t="shared" si="25"/>
        <v>0</v>
      </c>
      <c r="AZ9" s="119">
        <f t="shared" si="26"/>
        <v>0</v>
      </c>
      <c r="BA9" s="119">
        <f t="shared" si="27"/>
        <v>0</v>
      </c>
      <c r="BB9" s="120">
        <f t="shared" si="28"/>
        <v>0</v>
      </c>
      <c r="BC9" s="119">
        <f t="shared" si="32"/>
        <v>0</v>
      </c>
      <c r="BD9" s="119">
        <f t="shared" si="29"/>
        <v>0</v>
      </c>
      <c r="BE9" s="119">
        <f t="shared" si="29"/>
        <v>0</v>
      </c>
      <c r="BF9" s="119">
        <f t="shared" si="29"/>
        <v>0</v>
      </c>
      <c r="BG9" s="120">
        <f t="shared" si="30"/>
        <v>0</v>
      </c>
    </row>
    <row r="10" spans="1:59" s="12" customFormat="1" ht="16.149999999999999" customHeight="1">
      <c r="A10" s="143" t="str">
        <f>IF('3_Comp e Produtos'!B10="Sim",'3_Comp e Produtos'!A10,"NÃO SELECIONADO")</f>
        <v>1.4. Sistema de indicadores, metas e avaliação da gestão por resultados</v>
      </c>
      <c r="B10" s="349">
        <v>41275</v>
      </c>
      <c r="C10" s="365">
        <v>3</v>
      </c>
      <c r="D10" s="270">
        <f t="shared" si="8"/>
        <v>41362</v>
      </c>
      <c r="E10" s="115" t="str">
        <f t="shared" si="9"/>
        <v xml:space="preserve"> </v>
      </c>
      <c r="F10" s="115" t="str">
        <f t="shared" si="9"/>
        <v xml:space="preserve"> </v>
      </c>
      <c r="G10" s="115" t="str">
        <f t="shared" si="9"/>
        <v xml:space="preserve"> </v>
      </c>
      <c r="H10" s="115" t="str">
        <f t="shared" si="9"/>
        <v xml:space="preserve"> </v>
      </c>
      <c r="I10" s="115" t="str">
        <f t="shared" si="9"/>
        <v xml:space="preserve"> </v>
      </c>
      <c r="J10" s="115" t="str">
        <f t="shared" si="9"/>
        <v xml:space="preserve"> </v>
      </c>
      <c r="K10" s="115" t="str">
        <f t="shared" si="9"/>
        <v xml:space="preserve"> </v>
      </c>
      <c r="L10" s="115" t="str">
        <f t="shared" si="9"/>
        <v xml:space="preserve"> </v>
      </c>
      <c r="M10" s="115" t="str">
        <f t="shared" si="9"/>
        <v>X</v>
      </c>
      <c r="N10" s="115" t="str">
        <f t="shared" si="9"/>
        <v xml:space="preserve"> </v>
      </c>
      <c r="O10" s="115" t="str">
        <f t="shared" si="9"/>
        <v xml:space="preserve"> </v>
      </c>
      <c r="P10" s="115" t="str">
        <f t="shared" si="9"/>
        <v xml:space="preserve"> </v>
      </c>
      <c r="Q10" s="115" t="str">
        <f t="shared" si="9"/>
        <v xml:space="preserve"> </v>
      </c>
      <c r="R10" s="115" t="str">
        <f t="shared" si="9"/>
        <v xml:space="preserve"> </v>
      </c>
      <c r="S10" s="115" t="str">
        <f t="shared" si="9"/>
        <v xml:space="preserve"> </v>
      </c>
      <c r="T10" s="115" t="str">
        <f t="shared" si="9"/>
        <v xml:space="preserve"> </v>
      </c>
      <c r="U10" s="115" t="str">
        <f t="shared" si="9"/>
        <v xml:space="preserve"> </v>
      </c>
      <c r="V10" s="115" t="str">
        <f t="shared" si="9"/>
        <v xml:space="preserve"> </v>
      </c>
      <c r="W10" s="115" t="str">
        <f t="shared" si="9"/>
        <v xml:space="preserve"> </v>
      </c>
      <c r="X10" s="115" t="str">
        <f t="shared" si="9"/>
        <v xml:space="preserve"> </v>
      </c>
      <c r="Y10" s="115" t="str">
        <f t="shared" si="9"/>
        <v xml:space="preserve"> </v>
      </c>
      <c r="Z10" s="115" t="str">
        <f t="shared" si="9"/>
        <v xml:space="preserve"> </v>
      </c>
      <c r="AA10" s="115" t="str">
        <f t="shared" si="9"/>
        <v xml:space="preserve"> </v>
      </c>
      <c r="AB10" s="115" t="str">
        <f t="shared" si="9"/>
        <v xml:space="preserve"> </v>
      </c>
      <c r="AC10" s="467">
        <f>'3_Comp e Produtos'!E10</f>
        <v>256500</v>
      </c>
      <c r="AD10" s="119">
        <f t="shared" si="10"/>
        <v>0</v>
      </c>
      <c r="AE10" s="119">
        <f t="shared" si="10"/>
        <v>0</v>
      </c>
      <c r="AF10" s="119">
        <f t="shared" si="10"/>
        <v>0</v>
      </c>
      <c r="AG10" s="119">
        <f t="shared" si="10"/>
        <v>0</v>
      </c>
      <c r="AH10" s="120">
        <f t="shared" si="11"/>
        <v>0</v>
      </c>
      <c r="AI10" s="119">
        <f t="shared" si="31"/>
        <v>0</v>
      </c>
      <c r="AJ10" s="119">
        <f t="shared" si="12"/>
        <v>0</v>
      </c>
      <c r="AK10" s="119">
        <f t="shared" si="12"/>
        <v>0</v>
      </c>
      <c r="AL10" s="119">
        <f t="shared" si="12"/>
        <v>0</v>
      </c>
      <c r="AM10" s="120">
        <f t="shared" si="13"/>
        <v>0</v>
      </c>
      <c r="AN10" s="119">
        <f t="shared" si="14"/>
        <v>256500</v>
      </c>
      <c r="AO10" s="119">
        <f t="shared" si="15"/>
        <v>0</v>
      </c>
      <c r="AP10" s="119">
        <f t="shared" si="16"/>
        <v>0</v>
      </c>
      <c r="AQ10" s="119">
        <f t="shared" si="17"/>
        <v>0</v>
      </c>
      <c r="AR10" s="120">
        <f t="shared" si="18"/>
        <v>256500</v>
      </c>
      <c r="AS10" s="119">
        <f t="shared" si="19"/>
        <v>0</v>
      </c>
      <c r="AT10" s="119">
        <f t="shared" si="20"/>
        <v>0</v>
      </c>
      <c r="AU10" s="119">
        <f t="shared" si="21"/>
        <v>0</v>
      </c>
      <c r="AV10" s="119">
        <f t="shared" si="22"/>
        <v>0</v>
      </c>
      <c r="AW10" s="120">
        <f t="shared" si="23"/>
        <v>0</v>
      </c>
      <c r="AX10" s="119">
        <f t="shared" si="24"/>
        <v>0</v>
      </c>
      <c r="AY10" s="119">
        <f t="shared" si="25"/>
        <v>0</v>
      </c>
      <c r="AZ10" s="119">
        <f t="shared" si="26"/>
        <v>0</v>
      </c>
      <c r="BA10" s="119">
        <f t="shared" si="27"/>
        <v>0</v>
      </c>
      <c r="BB10" s="120">
        <f t="shared" si="28"/>
        <v>0</v>
      </c>
      <c r="BC10" s="119">
        <f t="shared" si="32"/>
        <v>0</v>
      </c>
      <c r="BD10" s="119">
        <f t="shared" si="29"/>
        <v>0</v>
      </c>
      <c r="BE10" s="119">
        <f t="shared" si="29"/>
        <v>0</v>
      </c>
      <c r="BF10" s="119">
        <f t="shared" si="29"/>
        <v>0</v>
      </c>
      <c r="BG10" s="120">
        <f t="shared" si="30"/>
        <v>0</v>
      </c>
    </row>
    <row r="11" spans="1:59" s="12" customFormat="1" ht="25.5">
      <c r="A11" s="143" t="str">
        <f>IF('3_Comp e Produtos'!B11="Sim",'3_Comp e Produtos'!A11,"NÃO SELECIONADO")</f>
        <v>1.5. Ferramenta que permita verificar e monitorar a consistência entre os alinhamentos estratégicos e os resultados operacionais</v>
      </c>
      <c r="B11" s="349">
        <v>41640</v>
      </c>
      <c r="C11" s="365">
        <v>12</v>
      </c>
      <c r="D11" s="270">
        <f t="shared" si="8"/>
        <v>41988</v>
      </c>
      <c r="E11" s="115" t="str">
        <f t="shared" si="9"/>
        <v xml:space="preserve"> </v>
      </c>
      <c r="F11" s="115" t="str">
        <f t="shared" si="9"/>
        <v xml:space="preserve"> </v>
      </c>
      <c r="G11" s="115" t="str">
        <f t="shared" si="9"/>
        <v xml:space="preserve"> </v>
      </c>
      <c r="H11" s="115" t="str">
        <f t="shared" si="9"/>
        <v xml:space="preserve"> </v>
      </c>
      <c r="I11" s="115" t="str">
        <f t="shared" si="9"/>
        <v xml:space="preserve"> </v>
      </c>
      <c r="J11" s="115" t="str">
        <f t="shared" si="9"/>
        <v xml:space="preserve"> </v>
      </c>
      <c r="K11" s="115" t="str">
        <f t="shared" si="9"/>
        <v xml:space="preserve"> </v>
      </c>
      <c r="L11" s="115" t="str">
        <f t="shared" si="9"/>
        <v xml:space="preserve"> </v>
      </c>
      <c r="M11" s="115" t="str">
        <f t="shared" si="9"/>
        <v xml:space="preserve"> </v>
      </c>
      <c r="N11" s="115" t="str">
        <f t="shared" si="9"/>
        <v xml:space="preserve"> </v>
      </c>
      <c r="O11" s="115" t="str">
        <f t="shared" si="9"/>
        <v xml:space="preserve"> </v>
      </c>
      <c r="P11" s="115" t="str">
        <f t="shared" si="9"/>
        <v xml:space="preserve"> </v>
      </c>
      <c r="Q11" s="115" t="str">
        <f t="shared" si="9"/>
        <v>X</v>
      </c>
      <c r="R11" s="115" t="str">
        <f t="shared" si="9"/>
        <v>X</v>
      </c>
      <c r="S11" s="115" t="str">
        <f t="shared" si="9"/>
        <v>X</v>
      </c>
      <c r="T11" s="115" t="str">
        <f t="shared" si="9"/>
        <v>X</v>
      </c>
      <c r="U11" s="115" t="str">
        <f t="shared" si="9"/>
        <v xml:space="preserve"> </v>
      </c>
      <c r="V11" s="115" t="str">
        <f t="shared" si="9"/>
        <v xml:space="preserve"> </v>
      </c>
      <c r="W11" s="115" t="str">
        <f t="shared" si="9"/>
        <v xml:space="preserve"> </v>
      </c>
      <c r="X11" s="115" t="str">
        <f t="shared" si="9"/>
        <v xml:space="preserve"> </v>
      </c>
      <c r="Y11" s="115" t="str">
        <f t="shared" si="9"/>
        <v xml:space="preserve"> </v>
      </c>
      <c r="Z11" s="115" t="str">
        <f t="shared" si="9"/>
        <v xml:space="preserve"> </v>
      </c>
      <c r="AA11" s="115" t="str">
        <f t="shared" si="9"/>
        <v xml:space="preserve"> </v>
      </c>
      <c r="AB11" s="115" t="str">
        <f t="shared" si="9"/>
        <v xml:space="preserve"> </v>
      </c>
      <c r="AC11" s="467">
        <f>'3_Comp e Produtos'!E11</f>
        <v>605000</v>
      </c>
      <c r="AD11" s="119">
        <f t="shared" si="10"/>
        <v>0</v>
      </c>
      <c r="AE11" s="119">
        <f t="shared" si="10"/>
        <v>0</v>
      </c>
      <c r="AF11" s="119">
        <f t="shared" si="10"/>
        <v>0</v>
      </c>
      <c r="AG11" s="119">
        <f t="shared" si="10"/>
        <v>0</v>
      </c>
      <c r="AH11" s="120">
        <f t="shared" si="11"/>
        <v>0</v>
      </c>
      <c r="AI11" s="119">
        <f t="shared" si="31"/>
        <v>0</v>
      </c>
      <c r="AJ11" s="119">
        <f t="shared" si="12"/>
        <v>0</v>
      </c>
      <c r="AK11" s="119">
        <f t="shared" si="12"/>
        <v>0</v>
      </c>
      <c r="AL11" s="119">
        <f t="shared" si="12"/>
        <v>0</v>
      </c>
      <c r="AM11" s="120">
        <f t="shared" si="13"/>
        <v>0</v>
      </c>
      <c r="AN11" s="119">
        <f t="shared" si="14"/>
        <v>0</v>
      </c>
      <c r="AO11" s="119">
        <f t="shared" si="15"/>
        <v>0</v>
      </c>
      <c r="AP11" s="119">
        <f t="shared" si="16"/>
        <v>0</v>
      </c>
      <c r="AQ11" s="119">
        <f t="shared" si="17"/>
        <v>0</v>
      </c>
      <c r="AR11" s="120">
        <f t="shared" si="18"/>
        <v>0</v>
      </c>
      <c r="AS11" s="119">
        <f t="shared" si="19"/>
        <v>151250</v>
      </c>
      <c r="AT11" s="119">
        <f t="shared" si="20"/>
        <v>151250</v>
      </c>
      <c r="AU11" s="119">
        <f t="shared" si="21"/>
        <v>151250</v>
      </c>
      <c r="AV11" s="119">
        <f t="shared" si="22"/>
        <v>151250</v>
      </c>
      <c r="AW11" s="120">
        <f t="shared" si="23"/>
        <v>605000</v>
      </c>
      <c r="AX11" s="119">
        <f t="shared" si="24"/>
        <v>0</v>
      </c>
      <c r="AY11" s="119">
        <f t="shared" si="25"/>
        <v>0</v>
      </c>
      <c r="AZ11" s="119">
        <f t="shared" si="26"/>
        <v>0</v>
      </c>
      <c r="BA11" s="119">
        <f t="shared" si="27"/>
        <v>0</v>
      </c>
      <c r="BB11" s="120">
        <f t="shared" si="28"/>
        <v>0</v>
      </c>
      <c r="BC11" s="119">
        <f t="shared" si="32"/>
        <v>0</v>
      </c>
      <c r="BD11" s="119">
        <f t="shared" si="29"/>
        <v>0</v>
      </c>
      <c r="BE11" s="119">
        <f t="shared" si="29"/>
        <v>0</v>
      </c>
      <c r="BF11" s="119">
        <f t="shared" si="29"/>
        <v>0</v>
      </c>
      <c r="BG11" s="120">
        <f t="shared" si="30"/>
        <v>0</v>
      </c>
    </row>
    <row r="12" spans="1:59" s="12" customFormat="1" ht="18.600000000000001" customHeight="1">
      <c r="A12" s="143" t="str">
        <f>IF('3_Comp e Produtos'!B12="Sim",'3_Comp e Produtos'!A12,"NÃO SELECIONADO")</f>
        <v>1.6. Criação de uma unidade de gestão do conhecimento</v>
      </c>
      <c r="B12" s="114">
        <v>41091</v>
      </c>
      <c r="C12" s="365">
        <v>3</v>
      </c>
      <c r="D12" s="270">
        <f t="shared" si="8"/>
        <v>41178</v>
      </c>
      <c r="E12" s="115" t="str">
        <f t="shared" si="9"/>
        <v xml:space="preserve"> </v>
      </c>
      <c r="F12" s="115" t="str">
        <f t="shared" si="9"/>
        <v xml:space="preserve"> </v>
      </c>
      <c r="G12" s="115" t="str">
        <f t="shared" si="9"/>
        <v xml:space="preserve"> </v>
      </c>
      <c r="H12" s="115" t="str">
        <f t="shared" si="9"/>
        <v xml:space="preserve"> </v>
      </c>
      <c r="I12" s="115" t="str">
        <f t="shared" si="9"/>
        <v xml:space="preserve"> </v>
      </c>
      <c r="J12" s="115" t="str">
        <f t="shared" si="9"/>
        <v xml:space="preserve"> </v>
      </c>
      <c r="K12" s="115" t="str">
        <f t="shared" si="9"/>
        <v>X</v>
      </c>
      <c r="L12" s="115" t="str">
        <f t="shared" si="9"/>
        <v xml:space="preserve"> </v>
      </c>
      <c r="M12" s="115" t="str">
        <f t="shared" si="9"/>
        <v xml:space="preserve"> </v>
      </c>
      <c r="N12" s="115" t="str">
        <f t="shared" si="9"/>
        <v xml:space="preserve"> </v>
      </c>
      <c r="O12" s="115" t="str">
        <f t="shared" si="9"/>
        <v xml:space="preserve"> </v>
      </c>
      <c r="P12" s="115" t="str">
        <f t="shared" si="9"/>
        <v xml:space="preserve"> </v>
      </c>
      <c r="Q12" s="115" t="str">
        <f t="shared" si="9"/>
        <v xml:space="preserve"> </v>
      </c>
      <c r="R12" s="115" t="str">
        <f t="shared" si="9"/>
        <v xml:space="preserve"> </v>
      </c>
      <c r="S12" s="115" t="str">
        <f t="shared" si="9"/>
        <v xml:space="preserve"> </v>
      </c>
      <c r="T12" s="115" t="str">
        <f t="shared" si="9"/>
        <v xml:space="preserve"> </v>
      </c>
      <c r="U12" s="115" t="str">
        <f t="shared" si="9"/>
        <v xml:space="preserve"> </v>
      </c>
      <c r="V12" s="115" t="str">
        <f t="shared" si="9"/>
        <v xml:space="preserve"> </v>
      </c>
      <c r="W12" s="115" t="str">
        <f t="shared" si="9"/>
        <v xml:space="preserve"> </v>
      </c>
      <c r="X12" s="115" t="str">
        <f t="shared" si="9"/>
        <v xml:space="preserve"> </v>
      </c>
      <c r="Y12" s="115" t="str">
        <f t="shared" si="9"/>
        <v xml:space="preserve"> </v>
      </c>
      <c r="Z12" s="115" t="str">
        <f t="shared" si="9"/>
        <v xml:space="preserve"> </v>
      </c>
      <c r="AA12" s="115" t="str">
        <f t="shared" si="9"/>
        <v xml:space="preserve"> </v>
      </c>
      <c r="AB12" s="115" t="str">
        <f t="shared" si="9"/>
        <v xml:space="preserve"> </v>
      </c>
      <c r="AC12" s="467">
        <f>'3_Comp e Produtos'!E12</f>
        <v>39250</v>
      </c>
      <c r="AD12" s="119">
        <f t="shared" si="10"/>
        <v>0</v>
      </c>
      <c r="AE12" s="119">
        <f t="shared" si="10"/>
        <v>0</v>
      </c>
      <c r="AF12" s="119">
        <f t="shared" si="10"/>
        <v>0</v>
      </c>
      <c r="AG12" s="119">
        <f t="shared" si="10"/>
        <v>0</v>
      </c>
      <c r="AH12" s="120">
        <f t="shared" si="11"/>
        <v>0</v>
      </c>
      <c r="AI12" s="119">
        <f t="shared" si="31"/>
        <v>0</v>
      </c>
      <c r="AJ12" s="119">
        <f t="shared" si="12"/>
        <v>0</v>
      </c>
      <c r="AK12" s="119">
        <f t="shared" si="12"/>
        <v>39250</v>
      </c>
      <c r="AL12" s="119">
        <f t="shared" si="12"/>
        <v>0</v>
      </c>
      <c r="AM12" s="120">
        <f t="shared" si="13"/>
        <v>39250</v>
      </c>
      <c r="AN12" s="119">
        <f t="shared" si="14"/>
        <v>0</v>
      </c>
      <c r="AO12" s="119">
        <f t="shared" si="15"/>
        <v>0</v>
      </c>
      <c r="AP12" s="119">
        <f t="shared" si="16"/>
        <v>0</v>
      </c>
      <c r="AQ12" s="119">
        <f t="shared" si="17"/>
        <v>0</v>
      </c>
      <c r="AR12" s="120">
        <f t="shared" si="18"/>
        <v>0</v>
      </c>
      <c r="AS12" s="119">
        <f t="shared" si="19"/>
        <v>0</v>
      </c>
      <c r="AT12" s="119">
        <f t="shared" si="20"/>
        <v>0</v>
      </c>
      <c r="AU12" s="119">
        <f t="shared" si="21"/>
        <v>0</v>
      </c>
      <c r="AV12" s="119">
        <f t="shared" si="22"/>
        <v>0</v>
      </c>
      <c r="AW12" s="120">
        <f t="shared" si="23"/>
        <v>0</v>
      </c>
      <c r="AX12" s="119">
        <f t="shared" si="24"/>
        <v>0</v>
      </c>
      <c r="AY12" s="119">
        <f t="shared" si="25"/>
        <v>0</v>
      </c>
      <c r="AZ12" s="119">
        <f t="shared" si="26"/>
        <v>0</v>
      </c>
      <c r="BA12" s="119">
        <f t="shared" si="27"/>
        <v>0</v>
      </c>
      <c r="BB12" s="120">
        <f t="shared" si="28"/>
        <v>0</v>
      </c>
      <c r="BC12" s="119">
        <f t="shared" si="32"/>
        <v>0</v>
      </c>
      <c r="BD12" s="119">
        <f t="shared" si="29"/>
        <v>0</v>
      </c>
      <c r="BE12" s="119">
        <f t="shared" si="29"/>
        <v>0</v>
      </c>
      <c r="BF12" s="119">
        <f t="shared" si="29"/>
        <v>0</v>
      </c>
      <c r="BG12" s="120">
        <f t="shared" si="30"/>
        <v>0</v>
      </c>
    </row>
    <row r="13" spans="1:59" s="12" customFormat="1" ht="25.5">
      <c r="A13" s="143" t="str">
        <f>IF('3_Comp e Produtos'!B13="Sim",'3_Comp e Produtos'!A13,"NÃO SELECIONADO")</f>
        <v>1.7. Instalar uma ferramenta de BI incluindo recursos para Text Mining e Data Mining</v>
      </c>
      <c r="B13" s="114">
        <v>41275</v>
      </c>
      <c r="C13" s="365">
        <v>24</v>
      </c>
      <c r="D13" s="270">
        <f t="shared" si="8"/>
        <v>41995</v>
      </c>
      <c r="E13" s="115" t="str">
        <f t="shared" si="9"/>
        <v xml:space="preserve"> </v>
      </c>
      <c r="F13" s="115" t="str">
        <f t="shared" si="9"/>
        <v xml:space="preserve"> </v>
      </c>
      <c r="G13" s="115" t="str">
        <f t="shared" si="9"/>
        <v xml:space="preserve"> </v>
      </c>
      <c r="H13" s="115" t="str">
        <f t="shared" si="9"/>
        <v xml:space="preserve"> </v>
      </c>
      <c r="I13" s="115" t="str">
        <f t="shared" si="9"/>
        <v xml:space="preserve"> </v>
      </c>
      <c r="J13" s="115" t="str">
        <f t="shared" si="9"/>
        <v xml:space="preserve"> </v>
      </c>
      <c r="K13" s="115" t="str">
        <f t="shared" si="9"/>
        <v xml:space="preserve"> </v>
      </c>
      <c r="L13" s="115" t="str">
        <f t="shared" si="9"/>
        <v xml:space="preserve"> </v>
      </c>
      <c r="M13" s="115" t="str">
        <f t="shared" si="9"/>
        <v>X</v>
      </c>
      <c r="N13" s="115" t="str">
        <f t="shared" si="9"/>
        <v>X</v>
      </c>
      <c r="O13" s="115" t="str">
        <f t="shared" si="9"/>
        <v>X</v>
      </c>
      <c r="P13" s="115" t="str">
        <f t="shared" si="9"/>
        <v>X</v>
      </c>
      <c r="Q13" s="115" t="str">
        <f t="shared" si="9"/>
        <v>X</v>
      </c>
      <c r="R13" s="115" t="str">
        <f t="shared" si="9"/>
        <v>X</v>
      </c>
      <c r="S13" s="115" t="str">
        <f t="shared" si="9"/>
        <v>X</v>
      </c>
      <c r="T13" s="115" t="str">
        <f t="shared" si="9"/>
        <v>X</v>
      </c>
      <c r="U13" s="115" t="str">
        <f t="shared" si="9"/>
        <v xml:space="preserve"> </v>
      </c>
      <c r="V13" s="115" t="str">
        <f t="shared" si="9"/>
        <v xml:space="preserve"> </v>
      </c>
      <c r="W13" s="115" t="str">
        <f t="shared" si="9"/>
        <v xml:space="preserve"> </v>
      </c>
      <c r="X13" s="115" t="str">
        <f t="shared" si="9"/>
        <v xml:space="preserve"> </v>
      </c>
      <c r="Y13" s="115" t="str">
        <f t="shared" si="9"/>
        <v xml:space="preserve"> </v>
      </c>
      <c r="Z13" s="115" t="str">
        <f t="shared" si="9"/>
        <v xml:space="preserve"> </v>
      </c>
      <c r="AA13" s="115" t="str">
        <f t="shared" si="9"/>
        <v xml:space="preserve"> </v>
      </c>
      <c r="AB13" s="115" t="str">
        <f t="shared" si="9"/>
        <v xml:space="preserve"> </v>
      </c>
      <c r="AC13" s="467">
        <f>'3_Comp e Produtos'!E13</f>
        <v>605000</v>
      </c>
      <c r="AD13" s="119">
        <f t="shared" si="10"/>
        <v>0</v>
      </c>
      <c r="AE13" s="119">
        <f t="shared" si="10"/>
        <v>0</v>
      </c>
      <c r="AF13" s="119">
        <f t="shared" si="10"/>
        <v>0</v>
      </c>
      <c r="AG13" s="119">
        <f t="shared" si="10"/>
        <v>0</v>
      </c>
      <c r="AH13" s="120">
        <f t="shared" si="11"/>
        <v>0</v>
      </c>
      <c r="AI13" s="119">
        <f t="shared" si="31"/>
        <v>0</v>
      </c>
      <c r="AJ13" s="119">
        <f t="shared" si="12"/>
        <v>0</v>
      </c>
      <c r="AK13" s="119">
        <f t="shared" si="12"/>
        <v>0</v>
      </c>
      <c r="AL13" s="119">
        <f t="shared" si="12"/>
        <v>0</v>
      </c>
      <c r="AM13" s="120">
        <f t="shared" si="13"/>
        <v>0</v>
      </c>
      <c r="AN13" s="119">
        <f t="shared" si="14"/>
        <v>75625</v>
      </c>
      <c r="AO13" s="119">
        <f t="shared" si="15"/>
        <v>75625</v>
      </c>
      <c r="AP13" s="119">
        <f t="shared" si="16"/>
        <v>75625</v>
      </c>
      <c r="AQ13" s="119">
        <f t="shared" si="17"/>
        <v>75625</v>
      </c>
      <c r="AR13" s="120">
        <f t="shared" si="18"/>
        <v>302500</v>
      </c>
      <c r="AS13" s="119">
        <f t="shared" si="19"/>
        <v>75625</v>
      </c>
      <c r="AT13" s="119">
        <f t="shared" si="20"/>
        <v>75625</v>
      </c>
      <c r="AU13" s="119">
        <f t="shared" si="21"/>
        <v>75625</v>
      </c>
      <c r="AV13" s="119">
        <f t="shared" si="22"/>
        <v>75625</v>
      </c>
      <c r="AW13" s="120">
        <f t="shared" si="23"/>
        <v>302500</v>
      </c>
      <c r="AX13" s="119">
        <f t="shared" si="24"/>
        <v>0</v>
      </c>
      <c r="AY13" s="119">
        <f t="shared" si="25"/>
        <v>0</v>
      </c>
      <c r="AZ13" s="119">
        <f t="shared" si="26"/>
        <v>0</v>
      </c>
      <c r="BA13" s="119">
        <f t="shared" si="27"/>
        <v>0</v>
      </c>
      <c r="BB13" s="120">
        <f t="shared" si="28"/>
        <v>0</v>
      </c>
      <c r="BC13" s="119">
        <f t="shared" si="32"/>
        <v>0</v>
      </c>
      <c r="BD13" s="119">
        <f t="shared" si="29"/>
        <v>0</v>
      </c>
      <c r="BE13" s="119">
        <f t="shared" si="29"/>
        <v>0</v>
      </c>
      <c r="BF13" s="119">
        <f t="shared" si="29"/>
        <v>0</v>
      </c>
      <c r="BG13" s="120">
        <f t="shared" si="30"/>
        <v>0</v>
      </c>
    </row>
    <row r="14" spans="1:59" s="12" customFormat="1" ht="20.45" customHeight="1">
      <c r="A14" s="143" t="str">
        <f>IF('3_Comp e Produtos'!B14="Sim",'3_Comp e Produtos'!A14,"NÃO SELECIONADO")</f>
        <v>1.8. Criação do Escritório de Processos</v>
      </c>
      <c r="B14" s="114">
        <v>40909</v>
      </c>
      <c r="C14" s="365">
        <v>3</v>
      </c>
      <c r="D14" s="270">
        <f t="shared" si="8"/>
        <v>40996</v>
      </c>
      <c r="E14" s="115" t="str">
        <f t="shared" si="9"/>
        <v xml:space="preserve"> </v>
      </c>
      <c r="F14" s="115" t="str">
        <f t="shared" si="9"/>
        <v xml:space="preserve"> </v>
      </c>
      <c r="G14" s="115" t="str">
        <f t="shared" si="9"/>
        <v xml:space="preserve"> </v>
      </c>
      <c r="H14" s="115" t="str">
        <f t="shared" si="9"/>
        <v xml:space="preserve"> </v>
      </c>
      <c r="I14" s="115" t="str">
        <f t="shared" si="9"/>
        <v>X</v>
      </c>
      <c r="J14" s="115" t="str">
        <f t="shared" si="9"/>
        <v xml:space="preserve"> </v>
      </c>
      <c r="K14" s="115" t="str">
        <f t="shared" si="9"/>
        <v xml:space="preserve"> </v>
      </c>
      <c r="L14" s="115" t="str">
        <f t="shared" si="9"/>
        <v xml:space="preserve"> </v>
      </c>
      <c r="M14" s="115" t="str">
        <f t="shared" si="9"/>
        <v xml:space="preserve"> </v>
      </c>
      <c r="N14" s="115" t="str">
        <f t="shared" si="9"/>
        <v xml:space="preserve"> </v>
      </c>
      <c r="O14" s="115" t="str">
        <f t="shared" si="9"/>
        <v xml:space="preserve"> </v>
      </c>
      <c r="P14" s="115" t="str">
        <f t="shared" si="9"/>
        <v xml:space="preserve"> </v>
      </c>
      <c r="Q14" s="115" t="str">
        <f t="shared" si="9"/>
        <v xml:space="preserve"> </v>
      </c>
      <c r="R14" s="115" t="str">
        <f t="shared" si="9"/>
        <v xml:space="preserve"> </v>
      </c>
      <c r="S14" s="115" t="str">
        <f t="shared" si="9"/>
        <v xml:space="preserve"> </v>
      </c>
      <c r="T14" s="115" t="str">
        <f t="shared" si="9"/>
        <v xml:space="preserve"> </v>
      </c>
      <c r="U14" s="115" t="str">
        <f t="shared" si="9"/>
        <v xml:space="preserve"> </v>
      </c>
      <c r="V14" s="115" t="str">
        <f t="shared" si="9"/>
        <v xml:space="preserve"> </v>
      </c>
      <c r="W14" s="115" t="str">
        <f t="shared" si="9"/>
        <v xml:space="preserve"> </v>
      </c>
      <c r="X14" s="115" t="str">
        <f t="shared" si="9"/>
        <v xml:space="preserve"> </v>
      </c>
      <c r="Y14" s="115" t="str">
        <f t="shared" si="9"/>
        <v xml:space="preserve"> </v>
      </c>
      <c r="Z14" s="115" t="str">
        <f t="shared" si="9"/>
        <v xml:space="preserve"> </v>
      </c>
      <c r="AA14" s="115" t="str">
        <f t="shared" si="9"/>
        <v xml:space="preserve"> </v>
      </c>
      <c r="AB14" s="115" t="str">
        <f t="shared" si="9"/>
        <v xml:space="preserve"> </v>
      </c>
      <c r="AC14" s="467">
        <f>'3_Comp e Produtos'!E14</f>
        <v>36000</v>
      </c>
      <c r="AD14" s="119">
        <f t="shared" si="10"/>
        <v>0</v>
      </c>
      <c r="AE14" s="119">
        <f t="shared" si="10"/>
        <v>0</v>
      </c>
      <c r="AF14" s="119">
        <f t="shared" si="10"/>
        <v>0</v>
      </c>
      <c r="AG14" s="119">
        <f t="shared" si="10"/>
        <v>0</v>
      </c>
      <c r="AH14" s="120">
        <f t="shared" si="11"/>
        <v>0</v>
      </c>
      <c r="AI14" s="119">
        <f t="shared" si="31"/>
        <v>36000</v>
      </c>
      <c r="AJ14" s="119">
        <f t="shared" si="12"/>
        <v>0</v>
      </c>
      <c r="AK14" s="119">
        <f t="shared" si="12"/>
        <v>0</v>
      </c>
      <c r="AL14" s="119">
        <f t="shared" si="12"/>
        <v>0</v>
      </c>
      <c r="AM14" s="120">
        <f t="shared" si="13"/>
        <v>36000</v>
      </c>
      <c r="AN14" s="119">
        <f t="shared" si="14"/>
        <v>0</v>
      </c>
      <c r="AO14" s="119">
        <f t="shared" si="15"/>
        <v>0</v>
      </c>
      <c r="AP14" s="119">
        <f t="shared" si="16"/>
        <v>0</v>
      </c>
      <c r="AQ14" s="119">
        <f t="shared" si="17"/>
        <v>0</v>
      </c>
      <c r="AR14" s="120">
        <f t="shared" si="18"/>
        <v>0</v>
      </c>
      <c r="AS14" s="119">
        <f t="shared" si="19"/>
        <v>0</v>
      </c>
      <c r="AT14" s="119">
        <f t="shared" si="20"/>
        <v>0</v>
      </c>
      <c r="AU14" s="119">
        <f t="shared" si="21"/>
        <v>0</v>
      </c>
      <c r="AV14" s="119">
        <f t="shared" si="22"/>
        <v>0</v>
      </c>
      <c r="AW14" s="120">
        <f t="shared" si="23"/>
        <v>0</v>
      </c>
      <c r="AX14" s="119">
        <f t="shared" si="24"/>
        <v>0</v>
      </c>
      <c r="AY14" s="119">
        <f t="shared" si="25"/>
        <v>0</v>
      </c>
      <c r="AZ14" s="119">
        <f t="shared" si="26"/>
        <v>0</v>
      </c>
      <c r="BA14" s="119">
        <f t="shared" si="27"/>
        <v>0</v>
      </c>
      <c r="BB14" s="120">
        <f t="shared" si="28"/>
        <v>0</v>
      </c>
      <c r="BC14" s="119">
        <f t="shared" si="32"/>
        <v>0</v>
      </c>
      <c r="BD14" s="119">
        <f t="shared" si="29"/>
        <v>0</v>
      </c>
      <c r="BE14" s="119">
        <f t="shared" si="29"/>
        <v>0</v>
      </c>
      <c r="BF14" s="119">
        <f t="shared" si="29"/>
        <v>0</v>
      </c>
      <c r="BG14" s="120">
        <f t="shared" si="30"/>
        <v>0</v>
      </c>
    </row>
    <row r="15" spans="1:59" s="12" customFormat="1" ht="25.5">
      <c r="A15" s="143" t="str">
        <f>IF('3_Comp e Produtos'!B15="Sim",'3_Comp e Produtos'!A15,"NÃO SELECIONADO")</f>
        <v>1.9. Modelo dinâmico de gerência, controle, otimização, integração e sustentabilidade dos processos operacionais e de gestão</v>
      </c>
      <c r="B15" s="114">
        <v>40909</v>
      </c>
      <c r="C15" s="365">
        <v>3</v>
      </c>
      <c r="D15" s="270">
        <f t="shared" si="8"/>
        <v>40996</v>
      </c>
      <c r="E15" s="115" t="str">
        <f t="shared" si="9"/>
        <v xml:space="preserve"> </v>
      </c>
      <c r="F15" s="115" t="str">
        <f t="shared" si="9"/>
        <v xml:space="preserve"> </v>
      </c>
      <c r="G15" s="115" t="str">
        <f t="shared" si="9"/>
        <v xml:space="preserve"> </v>
      </c>
      <c r="H15" s="115" t="str">
        <f t="shared" si="9"/>
        <v xml:space="preserve"> </v>
      </c>
      <c r="I15" s="115" t="str">
        <f t="shared" si="9"/>
        <v>X</v>
      </c>
      <c r="J15" s="115" t="str">
        <f t="shared" si="9"/>
        <v xml:space="preserve"> </v>
      </c>
      <c r="K15" s="115" t="str">
        <f t="shared" si="9"/>
        <v xml:space="preserve"> </v>
      </c>
      <c r="L15" s="115" t="str">
        <f t="shared" si="9"/>
        <v xml:space="preserve"> </v>
      </c>
      <c r="M15" s="115" t="str">
        <f t="shared" si="9"/>
        <v xml:space="preserve"> </v>
      </c>
      <c r="N15" s="115" t="str">
        <f t="shared" si="9"/>
        <v xml:space="preserve"> </v>
      </c>
      <c r="O15" s="115" t="str">
        <f t="shared" si="9"/>
        <v xml:space="preserve"> </v>
      </c>
      <c r="P15" s="115" t="str">
        <f t="shared" si="9"/>
        <v xml:space="preserve"> </v>
      </c>
      <c r="Q15" s="115" t="str">
        <f t="shared" si="9"/>
        <v xml:space="preserve"> </v>
      </c>
      <c r="R15" s="115" t="str">
        <f t="shared" si="9"/>
        <v xml:space="preserve"> </v>
      </c>
      <c r="S15" s="115" t="str">
        <f t="shared" si="9"/>
        <v xml:space="preserve"> </v>
      </c>
      <c r="T15" s="115" t="str">
        <f t="shared" si="9"/>
        <v xml:space="preserve"> </v>
      </c>
      <c r="U15" s="115" t="str">
        <f t="shared" si="9"/>
        <v xml:space="preserve"> </v>
      </c>
      <c r="V15" s="115" t="str">
        <f t="shared" si="9"/>
        <v xml:space="preserve"> </v>
      </c>
      <c r="W15" s="115" t="str">
        <f t="shared" si="9"/>
        <v xml:space="preserve"> </v>
      </c>
      <c r="X15" s="115" t="str">
        <f t="shared" si="9"/>
        <v xml:space="preserve"> </v>
      </c>
      <c r="Y15" s="115" t="str">
        <f t="shared" si="9"/>
        <v xml:space="preserve"> </v>
      </c>
      <c r="Z15" s="115" t="str">
        <f t="shared" si="9"/>
        <v xml:space="preserve"> </v>
      </c>
      <c r="AA15" s="115" t="str">
        <f t="shared" si="9"/>
        <v xml:space="preserve"> </v>
      </c>
      <c r="AB15" s="115" t="str">
        <f t="shared" si="9"/>
        <v xml:space="preserve"> </v>
      </c>
      <c r="AC15" s="467">
        <f>'3_Comp e Produtos'!E15</f>
        <v>836000</v>
      </c>
      <c r="AD15" s="119">
        <f t="shared" si="10"/>
        <v>0</v>
      </c>
      <c r="AE15" s="119">
        <f t="shared" si="10"/>
        <v>0</v>
      </c>
      <c r="AF15" s="119">
        <f t="shared" si="10"/>
        <v>0</v>
      </c>
      <c r="AG15" s="119">
        <f t="shared" si="10"/>
        <v>0</v>
      </c>
      <c r="AH15" s="120">
        <f t="shared" si="11"/>
        <v>0</v>
      </c>
      <c r="AI15" s="119">
        <f t="shared" si="31"/>
        <v>836000</v>
      </c>
      <c r="AJ15" s="119">
        <f t="shared" si="12"/>
        <v>0</v>
      </c>
      <c r="AK15" s="119">
        <f t="shared" si="12"/>
        <v>0</v>
      </c>
      <c r="AL15" s="119">
        <f t="shared" si="12"/>
        <v>0</v>
      </c>
      <c r="AM15" s="120">
        <f t="shared" si="13"/>
        <v>836000</v>
      </c>
      <c r="AN15" s="119">
        <f t="shared" si="14"/>
        <v>0</v>
      </c>
      <c r="AO15" s="119">
        <f t="shared" si="15"/>
        <v>0</v>
      </c>
      <c r="AP15" s="119">
        <f t="shared" si="16"/>
        <v>0</v>
      </c>
      <c r="AQ15" s="119">
        <f t="shared" si="17"/>
        <v>0</v>
      </c>
      <c r="AR15" s="120">
        <f t="shared" si="18"/>
        <v>0</v>
      </c>
      <c r="AS15" s="119">
        <f t="shared" si="19"/>
        <v>0</v>
      </c>
      <c r="AT15" s="119">
        <f t="shared" si="20"/>
        <v>0</v>
      </c>
      <c r="AU15" s="119">
        <f t="shared" si="21"/>
        <v>0</v>
      </c>
      <c r="AV15" s="119">
        <f t="shared" si="22"/>
        <v>0</v>
      </c>
      <c r="AW15" s="120">
        <f t="shared" si="23"/>
        <v>0</v>
      </c>
      <c r="AX15" s="119">
        <f t="shared" si="24"/>
        <v>0</v>
      </c>
      <c r="AY15" s="119">
        <f t="shared" si="25"/>
        <v>0</v>
      </c>
      <c r="AZ15" s="119">
        <f t="shared" si="26"/>
        <v>0</v>
      </c>
      <c r="BA15" s="119">
        <f t="shared" si="27"/>
        <v>0</v>
      </c>
      <c r="BB15" s="120">
        <f t="shared" si="28"/>
        <v>0</v>
      </c>
      <c r="BC15" s="119">
        <f t="shared" si="32"/>
        <v>0</v>
      </c>
      <c r="BD15" s="119">
        <f t="shared" si="29"/>
        <v>0</v>
      </c>
      <c r="BE15" s="119">
        <f t="shared" si="29"/>
        <v>0</v>
      </c>
      <c r="BF15" s="119">
        <f t="shared" si="29"/>
        <v>0</v>
      </c>
      <c r="BG15" s="120">
        <f t="shared" si="30"/>
        <v>0</v>
      </c>
    </row>
    <row r="16" spans="1:59" s="12" customFormat="1" ht="25.5">
      <c r="A16" s="143" t="str">
        <f>IF('3_Comp e Produtos'!B16="Sim",'3_Comp e Produtos'!A16,"NÃO SELECIONADO")</f>
        <v>1.10. Unidade responsável pela definição e monitoramento dos projetos institucionais (Escitório de Gestão de Projetos)</v>
      </c>
      <c r="B16" s="114">
        <v>40909</v>
      </c>
      <c r="C16" s="365">
        <v>3</v>
      </c>
      <c r="D16" s="270">
        <f t="shared" si="8"/>
        <v>40996</v>
      </c>
      <c r="E16" s="115" t="str">
        <f t="shared" si="9"/>
        <v xml:space="preserve"> </v>
      </c>
      <c r="F16" s="115" t="str">
        <f t="shared" si="9"/>
        <v xml:space="preserve"> </v>
      </c>
      <c r="G16" s="115" t="str">
        <f t="shared" si="9"/>
        <v xml:space="preserve"> </v>
      </c>
      <c r="H16" s="115" t="str">
        <f t="shared" si="9"/>
        <v xml:space="preserve"> </v>
      </c>
      <c r="I16" s="115" t="str">
        <f t="shared" ref="I16:AB19" si="33">IF(AND($C16&lt;&gt;0,$A16&lt;&gt;"NÃO SELECIONADO"),IF(I$5&gt;=$B16,IF(I$5&lt;=$D16,"X"," ")," "),"")</f>
        <v>X</v>
      </c>
      <c r="J16" s="115" t="str">
        <f t="shared" si="33"/>
        <v xml:space="preserve"> </v>
      </c>
      <c r="K16" s="115" t="str">
        <f t="shared" si="33"/>
        <v xml:space="preserve"> </v>
      </c>
      <c r="L16" s="115" t="str">
        <f t="shared" si="33"/>
        <v xml:space="preserve"> </v>
      </c>
      <c r="M16" s="115" t="str">
        <f t="shared" si="33"/>
        <v xml:space="preserve"> </v>
      </c>
      <c r="N16" s="115" t="str">
        <f t="shared" si="33"/>
        <v xml:space="preserve"> </v>
      </c>
      <c r="O16" s="115" t="str">
        <f t="shared" si="33"/>
        <v xml:space="preserve"> </v>
      </c>
      <c r="P16" s="115" t="str">
        <f t="shared" si="33"/>
        <v xml:space="preserve"> </v>
      </c>
      <c r="Q16" s="115" t="str">
        <f t="shared" si="33"/>
        <v xml:space="preserve"> </v>
      </c>
      <c r="R16" s="115" t="str">
        <f t="shared" si="33"/>
        <v xml:space="preserve"> </v>
      </c>
      <c r="S16" s="115" t="str">
        <f t="shared" si="33"/>
        <v xml:space="preserve"> </v>
      </c>
      <c r="T16" s="115" t="str">
        <f t="shared" si="33"/>
        <v xml:space="preserve"> </v>
      </c>
      <c r="U16" s="115" t="str">
        <f t="shared" si="33"/>
        <v xml:space="preserve"> </v>
      </c>
      <c r="V16" s="115" t="str">
        <f t="shared" si="33"/>
        <v xml:space="preserve"> </v>
      </c>
      <c r="W16" s="115" t="str">
        <f t="shared" si="33"/>
        <v xml:space="preserve"> </v>
      </c>
      <c r="X16" s="115" t="str">
        <f t="shared" si="33"/>
        <v xml:space="preserve"> </v>
      </c>
      <c r="Y16" s="115" t="str">
        <f t="shared" si="33"/>
        <v xml:space="preserve"> </v>
      </c>
      <c r="Z16" s="115" t="str">
        <f t="shared" si="33"/>
        <v xml:space="preserve"> </v>
      </c>
      <c r="AA16" s="115" t="str">
        <f t="shared" si="33"/>
        <v xml:space="preserve"> </v>
      </c>
      <c r="AB16" s="115" t="str">
        <f t="shared" si="33"/>
        <v xml:space="preserve"> </v>
      </c>
      <c r="AC16" s="467">
        <f>'3_Comp e Produtos'!E16</f>
        <v>528000</v>
      </c>
      <c r="AD16" s="119">
        <f t="shared" si="10"/>
        <v>0</v>
      </c>
      <c r="AE16" s="119">
        <f t="shared" si="10"/>
        <v>0</v>
      </c>
      <c r="AF16" s="119">
        <f t="shared" si="10"/>
        <v>0</v>
      </c>
      <c r="AG16" s="119">
        <f t="shared" si="10"/>
        <v>0</v>
      </c>
      <c r="AH16" s="120">
        <f t="shared" si="11"/>
        <v>0</v>
      </c>
      <c r="AI16" s="119">
        <f t="shared" si="31"/>
        <v>528000</v>
      </c>
      <c r="AJ16" s="119">
        <f t="shared" si="12"/>
        <v>0</v>
      </c>
      <c r="AK16" s="119">
        <f t="shared" si="12"/>
        <v>0</v>
      </c>
      <c r="AL16" s="119">
        <f t="shared" si="12"/>
        <v>0</v>
      </c>
      <c r="AM16" s="120">
        <f t="shared" si="13"/>
        <v>528000</v>
      </c>
      <c r="AN16" s="119">
        <f t="shared" si="14"/>
        <v>0</v>
      </c>
      <c r="AO16" s="119">
        <f t="shared" si="15"/>
        <v>0</v>
      </c>
      <c r="AP16" s="119">
        <f t="shared" si="16"/>
        <v>0</v>
      </c>
      <c r="AQ16" s="119">
        <f t="shared" si="17"/>
        <v>0</v>
      </c>
      <c r="AR16" s="120">
        <f t="shared" si="18"/>
        <v>0</v>
      </c>
      <c r="AS16" s="119">
        <f t="shared" si="19"/>
        <v>0</v>
      </c>
      <c r="AT16" s="119">
        <f t="shared" si="20"/>
        <v>0</v>
      </c>
      <c r="AU16" s="119">
        <f t="shared" si="21"/>
        <v>0</v>
      </c>
      <c r="AV16" s="119">
        <f t="shared" si="22"/>
        <v>0</v>
      </c>
      <c r="AW16" s="120">
        <f t="shared" si="23"/>
        <v>0</v>
      </c>
      <c r="AX16" s="119">
        <f t="shared" si="24"/>
        <v>0</v>
      </c>
      <c r="AY16" s="119">
        <f t="shared" si="25"/>
        <v>0</v>
      </c>
      <c r="AZ16" s="119">
        <f t="shared" si="26"/>
        <v>0</v>
      </c>
      <c r="BA16" s="119">
        <f t="shared" si="27"/>
        <v>0</v>
      </c>
      <c r="BB16" s="120">
        <f t="shared" si="28"/>
        <v>0</v>
      </c>
      <c r="BC16" s="119">
        <f t="shared" si="32"/>
        <v>0</v>
      </c>
      <c r="BD16" s="119">
        <f t="shared" si="29"/>
        <v>0</v>
      </c>
      <c r="BE16" s="119">
        <f t="shared" si="29"/>
        <v>0</v>
      </c>
      <c r="BF16" s="119">
        <f t="shared" si="29"/>
        <v>0</v>
      </c>
      <c r="BG16" s="120">
        <f t="shared" si="30"/>
        <v>0</v>
      </c>
    </row>
    <row r="17" spans="1:61" s="12" customFormat="1" ht="35.25" customHeight="1">
      <c r="A17" s="143" t="str">
        <f>'3_Comp e Produtos'!A17</f>
        <v>1.11. Política de comunicação das mudanças aos cidadãos, sobre as ações previstas no Projeto, desenhada e implementada</v>
      </c>
      <c r="B17" s="114">
        <v>41000</v>
      </c>
      <c r="C17" s="365">
        <v>54</v>
      </c>
      <c r="D17" s="270">
        <f t="shared" si="8"/>
        <v>42620</v>
      </c>
      <c r="E17" s="115" t="str">
        <f t="shared" si="9"/>
        <v xml:space="preserve"> </v>
      </c>
      <c r="F17" s="115" t="str">
        <f t="shared" si="9"/>
        <v xml:space="preserve"> </v>
      </c>
      <c r="G17" s="115" t="str">
        <f t="shared" si="9"/>
        <v xml:space="preserve"> </v>
      </c>
      <c r="H17" s="115" t="str">
        <f t="shared" si="9"/>
        <v xml:space="preserve"> </v>
      </c>
      <c r="I17" s="115" t="str">
        <f t="shared" si="33"/>
        <v xml:space="preserve"> </v>
      </c>
      <c r="J17" s="115" t="str">
        <f t="shared" si="33"/>
        <v>X</v>
      </c>
      <c r="K17" s="115" t="str">
        <f t="shared" si="33"/>
        <v>X</v>
      </c>
      <c r="L17" s="115" t="str">
        <f t="shared" si="33"/>
        <v>X</v>
      </c>
      <c r="M17" s="115" t="str">
        <f t="shared" si="33"/>
        <v>X</v>
      </c>
      <c r="N17" s="115" t="str">
        <f t="shared" si="33"/>
        <v>X</v>
      </c>
      <c r="O17" s="115" t="str">
        <f t="shared" si="33"/>
        <v>X</v>
      </c>
      <c r="P17" s="115" t="str">
        <f t="shared" si="33"/>
        <v>X</v>
      </c>
      <c r="Q17" s="115" t="str">
        <f t="shared" si="33"/>
        <v>X</v>
      </c>
      <c r="R17" s="115" t="str">
        <f t="shared" si="33"/>
        <v>X</v>
      </c>
      <c r="S17" s="115" t="str">
        <f t="shared" si="33"/>
        <v>X</v>
      </c>
      <c r="T17" s="115" t="str">
        <f t="shared" si="33"/>
        <v>X</v>
      </c>
      <c r="U17" s="115" t="str">
        <f t="shared" si="33"/>
        <v>X</v>
      </c>
      <c r="V17" s="115" t="str">
        <f t="shared" si="33"/>
        <v>X</v>
      </c>
      <c r="W17" s="115" t="str">
        <f t="shared" si="33"/>
        <v>X</v>
      </c>
      <c r="X17" s="115" t="str">
        <f t="shared" si="33"/>
        <v>X</v>
      </c>
      <c r="Y17" s="115" t="str">
        <f t="shared" si="33"/>
        <v>X</v>
      </c>
      <c r="Z17" s="115" t="str">
        <f t="shared" si="33"/>
        <v>X</v>
      </c>
      <c r="AA17" s="115" t="str">
        <f t="shared" si="33"/>
        <v>X</v>
      </c>
      <c r="AB17" s="115" t="str">
        <f t="shared" si="33"/>
        <v xml:space="preserve"> </v>
      </c>
      <c r="AC17" s="467">
        <f>'3_Comp e Produtos'!E17</f>
        <v>1467500</v>
      </c>
      <c r="AD17" s="119">
        <f t="shared" si="10"/>
        <v>0</v>
      </c>
      <c r="AE17" s="119">
        <f t="shared" si="10"/>
        <v>0</v>
      </c>
      <c r="AF17" s="119">
        <f t="shared" si="10"/>
        <v>0</v>
      </c>
      <c r="AG17" s="119">
        <f t="shared" si="10"/>
        <v>0</v>
      </c>
      <c r="AH17" s="120">
        <f t="shared" si="11"/>
        <v>0</v>
      </c>
      <c r="AI17" s="119">
        <f t="shared" si="31"/>
        <v>0</v>
      </c>
      <c r="AJ17" s="119">
        <f t="shared" si="12"/>
        <v>81527.78</v>
      </c>
      <c r="AK17" s="119">
        <f t="shared" si="12"/>
        <v>81527.78</v>
      </c>
      <c r="AL17" s="119">
        <f t="shared" si="12"/>
        <v>81527.78</v>
      </c>
      <c r="AM17" s="120">
        <f t="shared" si="13"/>
        <v>244583.34</v>
      </c>
      <c r="AN17" s="119">
        <f t="shared" si="14"/>
        <v>81527.78</v>
      </c>
      <c r="AO17" s="119">
        <f t="shared" si="15"/>
        <v>81527.78</v>
      </c>
      <c r="AP17" s="119">
        <f t="shared" si="16"/>
        <v>81527.78</v>
      </c>
      <c r="AQ17" s="119">
        <f t="shared" si="17"/>
        <v>81527.78</v>
      </c>
      <c r="AR17" s="120">
        <f t="shared" si="18"/>
        <v>326111.12</v>
      </c>
      <c r="AS17" s="119">
        <f t="shared" si="19"/>
        <v>81527.78</v>
      </c>
      <c r="AT17" s="119">
        <f t="shared" si="20"/>
        <v>81527.78</v>
      </c>
      <c r="AU17" s="119">
        <f t="shared" si="21"/>
        <v>81527.78</v>
      </c>
      <c r="AV17" s="119">
        <f t="shared" si="22"/>
        <v>81527.78</v>
      </c>
      <c r="AW17" s="601">
        <f t="shared" si="23"/>
        <v>326111.12</v>
      </c>
      <c r="AX17" s="119">
        <f t="shared" si="24"/>
        <v>81527.78</v>
      </c>
      <c r="AY17" s="119">
        <f t="shared" si="25"/>
        <v>81527.78</v>
      </c>
      <c r="AZ17" s="119">
        <f t="shared" si="26"/>
        <v>81527.78</v>
      </c>
      <c r="BA17" s="119">
        <f t="shared" si="27"/>
        <v>81527.78</v>
      </c>
      <c r="BB17" s="120">
        <f t="shared" si="28"/>
        <v>326111.12</v>
      </c>
      <c r="BC17" s="119">
        <f t="shared" si="32"/>
        <v>81527.78</v>
      </c>
      <c r="BD17" s="119">
        <f t="shared" si="29"/>
        <v>81527.78</v>
      </c>
      <c r="BE17" s="119">
        <f t="shared" si="29"/>
        <v>81527.78</v>
      </c>
      <c r="BF17" s="119">
        <f t="shared" si="29"/>
        <v>0</v>
      </c>
      <c r="BG17" s="120">
        <f t="shared" si="30"/>
        <v>244583.34</v>
      </c>
    </row>
    <row r="18" spans="1:61" s="12" customFormat="1" ht="22.5" customHeight="1">
      <c r="A18" s="143" t="str">
        <f>'3_Comp e Produtos'!A18</f>
        <v>1.12. Plano de comunicação interna de mudanças desenhado e implementado</v>
      </c>
      <c r="B18" s="114">
        <v>41000</v>
      </c>
      <c r="C18" s="365">
        <v>54</v>
      </c>
      <c r="D18" s="270">
        <f t="shared" si="8"/>
        <v>42620</v>
      </c>
      <c r="E18" s="115" t="str">
        <f t="shared" si="9"/>
        <v xml:space="preserve"> </v>
      </c>
      <c r="F18" s="115" t="str">
        <f t="shared" si="9"/>
        <v xml:space="preserve"> </v>
      </c>
      <c r="G18" s="115" t="str">
        <f t="shared" si="9"/>
        <v xml:space="preserve"> </v>
      </c>
      <c r="H18" s="115" t="str">
        <f t="shared" si="9"/>
        <v xml:space="preserve"> </v>
      </c>
      <c r="I18" s="115" t="str">
        <f t="shared" si="33"/>
        <v xml:space="preserve"> </v>
      </c>
      <c r="J18" s="115" t="str">
        <f t="shared" si="33"/>
        <v>X</v>
      </c>
      <c r="K18" s="115" t="str">
        <f t="shared" si="33"/>
        <v>X</v>
      </c>
      <c r="L18" s="115" t="str">
        <f t="shared" si="33"/>
        <v>X</v>
      </c>
      <c r="M18" s="115" t="str">
        <f t="shared" si="33"/>
        <v>X</v>
      </c>
      <c r="N18" s="115" t="str">
        <f t="shared" si="33"/>
        <v>X</v>
      </c>
      <c r="O18" s="115" t="str">
        <f t="shared" si="33"/>
        <v>X</v>
      </c>
      <c r="P18" s="115" t="str">
        <f t="shared" si="33"/>
        <v>X</v>
      </c>
      <c r="Q18" s="115" t="str">
        <f t="shared" si="33"/>
        <v>X</v>
      </c>
      <c r="R18" s="115" t="str">
        <f t="shared" si="33"/>
        <v>X</v>
      </c>
      <c r="S18" s="115" t="str">
        <f t="shared" si="33"/>
        <v>X</v>
      </c>
      <c r="T18" s="115" t="str">
        <f t="shared" si="33"/>
        <v>X</v>
      </c>
      <c r="U18" s="115" t="str">
        <f t="shared" si="33"/>
        <v>X</v>
      </c>
      <c r="V18" s="115" t="str">
        <f t="shared" si="33"/>
        <v>X</v>
      </c>
      <c r="W18" s="115" t="str">
        <f t="shared" si="33"/>
        <v>X</v>
      </c>
      <c r="X18" s="115" t="str">
        <f t="shared" si="33"/>
        <v>X</v>
      </c>
      <c r="Y18" s="115" t="str">
        <f t="shared" si="33"/>
        <v>X</v>
      </c>
      <c r="Z18" s="115" t="str">
        <f t="shared" si="33"/>
        <v>X</v>
      </c>
      <c r="AA18" s="115" t="str">
        <f t="shared" si="33"/>
        <v>X</v>
      </c>
      <c r="AB18" s="115" t="str">
        <f t="shared" si="33"/>
        <v xml:space="preserve"> </v>
      </c>
      <c r="AC18" s="467">
        <f>'3_Comp e Produtos'!E18</f>
        <v>992500</v>
      </c>
      <c r="AD18" s="119">
        <f t="shared" si="10"/>
        <v>0</v>
      </c>
      <c r="AE18" s="119">
        <f t="shared" si="10"/>
        <v>0</v>
      </c>
      <c r="AF18" s="119">
        <f t="shared" si="10"/>
        <v>0</v>
      </c>
      <c r="AG18" s="119">
        <f t="shared" si="10"/>
        <v>0</v>
      </c>
      <c r="AH18" s="120">
        <f t="shared" si="11"/>
        <v>0</v>
      </c>
      <c r="AI18" s="119">
        <f t="shared" si="31"/>
        <v>0</v>
      </c>
      <c r="AJ18" s="119">
        <f t="shared" si="12"/>
        <v>55138.89</v>
      </c>
      <c r="AK18" s="119">
        <f t="shared" si="12"/>
        <v>55138.89</v>
      </c>
      <c r="AL18" s="119">
        <f t="shared" si="12"/>
        <v>55138.89</v>
      </c>
      <c r="AM18" s="120">
        <f t="shared" si="13"/>
        <v>165416.67000000001</v>
      </c>
      <c r="AN18" s="119">
        <f t="shared" si="14"/>
        <v>55138.89</v>
      </c>
      <c r="AO18" s="119">
        <f t="shared" si="15"/>
        <v>55138.89</v>
      </c>
      <c r="AP18" s="119">
        <f t="shared" si="16"/>
        <v>55138.89</v>
      </c>
      <c r="AQ18" s="119">
        <f t="shared" si="17"/>
        <v>55138.89</v>
      </c>
      <c r="AR18" s="120">
        <f t="shared" si="18"/>
        <v>220555.56</v>
      </c>
      <c r="AS18" s="119">
        <f t="shared" si="19"/>
        <v>55138.89</v>
      </c>
      <c r="AT18" s="119">
        <f t="shared" si="20"/>
        <v>55138.89</v>
      </c>
      <c r="AU18" s="119">
        <f t="shared" si="21"/>
        <v>55138.89</v>
      </c>
      <c r="AV18" s="119">
        <f t="shared" si="22"/>
        <v>55138.89</v>
      </c>
      <c r="AW18" s="601">
        <f t="shared" si="23"/>
        <v>220555.56</v>
      </c>
      <c r="AX18" s="119">
        <f t="shared" si="24"/>
        <v>55138.89</v>
      </c>
      <c r="AY18" s="119">
        <f t="shared" si="25"/>
        <v>55138.89</v>
      </c>
      <c r="AZ18" s="119">
        <f t="shared" si="26"/>
        <v>55138.89</v>
      </c>
      <c r="BA18" s="119">
        <f t="shared" si="27"/>
        <v>55138.89</v>
      </c>
      <c r="BB18" s="120">
        <f t="shared" si="28"/>
        <v>220555.56</v>
      </c>
      <c r="BC18" s="119">
        <f t="shared" si="32"/>
        <v>55138.89</v>
      </c>
      <c r="BD18" s="119">
        <f t="shared" si="29"/>
        <v>55138.89</v>
      </c>
      <c r="BE18" s="119">
        <f t="shared" si="29"/>
        <v>55138.89</v>
      </c>
      <c r="BF18" s="119">
        <f t="shared" si="29"/>
        <v>0</v>
      </c>
      <c r="BG18" s="120">
        <f t="shared" si="30"/>
        <v>165416.67000000001</v>
      </c>
    </row>
    <row r="19" spans="1:61" s="12" customFormat="1" ht="21" customHeight="1">
      <c r="A19" s="143" t="str">
        <f>'3_Comp e Produtos'!A19</f>
        <v>1.13. Plano de Gestão da Mudança desenhado e implementado</v>
      </c>
      <c r="B19" s="114">
        <v>40909</v>
      </c>
      <c r="C19" s="365">
        <v>6</v>
      </c>
      <c r="D19" s="270">
        <f t="shared" si="8"/>
        <v>41083</v>
      </c>
      <c r="E19" s="115" t="str">
        <f t="shared" si="9"/>
        <v xml:space="preserve"> </v>
      </c>
      <c r="F19" s="115" t="str">
        <f t="shared" si="9"/>
        <v xml:space="preserve"> </v>
      </c>
      <c r="G19" s="115" t="str">
        <f t="shared" si="9"/>
        <v xml:space="preserve"> </v>
      </c>
      <c r="H19" s="115" t="str">
        <f t="shared" si="9"/>
        <v xml:space="preserve"> </v>
      </c>
      <c r="I19" s="115" t="str">
        <f t="shared" si="33"/>
        <v>X</v>
      </c>
      <c r="J19" s="115" t="str">
        <f t="shared" si="33"/>
        <v>X</v>
      </c>
      <c r="K19" s="115" t="str">
        <f t="shared" si="33"/>
        <v xml:space="preserve"> </v>
      </c>
      <c r="L19" s="115" t="str">
        <f t="shared" si="33"/>
        <v xml:space="preserve"> </v>
      </c>
      <c r="M19" s="115" t="str">
        <f t="shared" si="33"/>
        <v xml:space="preserve"> </v>
      </c>
      <c r="N19" s="115" t="str">
        <f t="shared" si="33"/>
        <v xml:space="preserve"> </v>
      </c>
      <c r="O19" s="115" t="str">
        <f t="shared" si="33"/>
        <v xml:space="preserve"> </v>
      </c>
      <c r="P19" s="115" t="str">
        <f t="shared" si="33"/>
        <v xml:space="preserve"> </v>
      </c>
      <c r="Q19" s="115" t="str">
        <f t="shared" si="33"/>
        <v xml:space="preserve"> </v>
      </c>
      <c r="R19" s="115" t="str">
        <f t="shared" si="33"/>
        <v xml:space="preserve"> </v>
      </c>
      <c r="S19" s="115" t="str">
        <f t="shared" si="33"/>
        <v xml:space="preserve"> </v>
      </c>
      <c r="T19" s="115" t="str">
        <f t="shared" si="33"/>
        <v xml:space="preserve"> </v>
      </c>
      <c r="U19" s="115" t="str">
        <f t="shared" si="33"/>
        <v xml:space="preserve"> </v>
      </c>
      <c r="V19" s="115" t="str">
        <f t="shared" si="33"/>
        <v xml:space="preserve"> </v>
      </c>
      <c r="W19" s="115" t="str">
        <f t="shared" si="33"/>
        <v xml:space="preserve"> </v>
      </c>
      <c r="X19" s="115" t="str">
        <f t="shared" si="33"/>
        <v xml:space="preserve"> </v>
      </c>
      <c r="Y19" s="115" t="str">
        <f t="shared" si="33"/>
        <v xml:space="preserve"> </v>
      </c>
      <c r="Z19" s="115" t="str">
        <f t="shared" si="33"/>
        <v xml:space="preserve"> </v>
      </c>
      <c r="AA19" s="115" t="str">
        <f t="shared" si="33"/>
        <v xml:space="preserve"> </v>
      </c>
      <c r="AB19" s="115" t="str">
        <f t="shared" si="33"/>
        <v xml:space="preserve"> </v>
      </c>
      <c r="AC19" s="467">
        <f>'3_Comp e Produtos'!E19</f>
        <v>192000</v>
      </c>
      <c r="AD19" s="119">
        <f t="shared" si="10"/>
        <v>0</v>
      </c>
      <c r="AE19" s="119">
        <f t="shared" si="10"/>
        <v>0</v>
      </c>
      <c r="AF19" s="119">
        <f t="shared" si="10"/>
        <v>0</v>
      </c>
      <c r="AG19" s="119">
        <f t="shared" si="10"/>
        <v>0</v>
      </c>
      <c r="AH19" s="120">
        <f t="shared" si="11"/>
        <v>0</v>
      </c>
      <c r="AI19" s="119">
        <f t="shared" si="31"/>
        <v>96000</v>
      </c>
      <c r="AJ19" s="119">
        <f t="shared" si="12"/>
        <v>96000</v>
      </c>
      <c r="AK19" s="119">
        <f t="shared" si="12"/>
        <v>0</v>
      </c>
      <c r="AL19" s="119">
        <f t="shared" si="12"/>
        <v>0</v>
      </c>
      <c r="AM19" s="120">
        <f t="shared" si="13"/>
        <v>192000</v>
      </c>
      <c r="AN19" s="119">
        <f t="shared" si="14"/>
        <v>0</v>
      </c>
      <c r="AO19" s="119">
        <f t="shared" si="15"/>
        <v>0</v>
      </c>
      <c r="AP19" s="119">
        <f t="shared" si="16"/>
        <v>0</v>
      </c>
      <c r="AQ19" s="119">
        <f t="shared" si="17"/>
        <v>0</v>
      </c>
      <c r="AR19" s="120">
        <f t="shared" si="18"/>
        <v>0</v>
      </c>
      <c r="AS19" s="119">
        <f t="shared" si="19"/>
        <v>0</v>
      </c>
      <c r="AT19" s="119">
        <f t="shared" si="20"/>
        <v>0</v>
      </c>
      <c r="AU19" s="119">
        <f t="shared" si="21"/>
        <v>0</v>
      </c>
      <c r="AV19" s="119">
        <f t="shared" si="22"/>
        <v>0</v>
      </c>
      <c r="AW19" s="601">
        <f t="shared" si="23"/>
        <v>0</v>
      </c>
      <c r="AX19" s="119">
        <f t="shared" si="24"/>
        <v>0</v>
      </c>
      <c r="AY19" s="119">
        <f t="shared" si="25"/>
        <v>0</v>
      </c>
      <c r="AZ19" s="119">
        <f t="shared" si="26"/>
        <v>0</v>
      </c>
      <c r="BA19" s="119">
        <f t="shared" si="27"/>
        <v>0</v>
      </c>
      <c r="BB19" s="120">
        <f t="shared" si="28"/>
        <v>0</v>
      </c>
      <c r="BC19" s="119">
        <f t="shared" si="32"/>
        <v>0</v>
      </c>
      <c r="BD19" s="119">
        <f t="shared" si="29"/>
        <v>0</v>
      </c>
      <c r="BE19" s="119">
        <f t="shared" si="29"/>
        <v>0</v>
      </c>
      <c r="BF19" s="119">
        <f t="shared" si="29"/>
        <v>0</v>
      </c>
      <c r="BG19" s="120">
        <f t="shared" si="30"/>
        <v>0</v>
      </c>
    </row>
    <row r="20" spans="1:61" s="12" customFormat="1" ht="31.5" customHeight="1">
      <c r="A20" s="451" t="str">
        <f>'3_Comp e Produtos'!A20</f>
        <v>COMPONENTE 2: APRIMORAMENTO DA GESTÃO JURÍDICA DA AGU</v>
      </c>
      <c r="B20" s="445">
        <f>MIN(B21:B32)</f>
        <v>41000</v>
      </c>
      <c r="C20" s="446">
        <f>IF(INT((D20-B20)/30)+1&gt;21,INT((D20-B20)/30),INT((D20-B20)/30)+1)</f>
        <v>54</v>
      </c>
      <c r="D20" s="445">
        <f>MAX(D21:D32)</f>
        <v>42621</v>
      </c>
      <c r="E20" s="447" t="str">
        <f t="shared" ref="E20:AB20" si="34">IF(COUNTIF(E21:E32,"X")&lt;&gt;0,"X","")</f>
        <v/>
      </c>
      <c r="F20" s="447" t="str">
        <f t="shared" si="34"/>
        <v/>
      </c>
      <c r="G20" s="447" t="str">
        <f t="shared" si="34"/>
        <v/>
      </c>
      <c r="H20" s="447" t="str">
        <f t="shared" si="34"/>
        <v/>
      </c>
      <c r="I20" s="447" t="str">
        <f t="shared" si="34"/>
        <v/>
      </c>
      <c r="J20" s="447" t="str">
        <f t="shared" si="34"/>
        <v>X</v>
      </c>
      <c r="K20" s="447" t="str">
        <f t="shared" si="34"/>
        <v>X</v>
      </c>
      <c r="L20" s="447" t="str">
        <f t="shared" si="34"/>
        <v>X</v>
      </c>
      <c r="M20" s="447" t="str">
        <f t="shared" si="34"/>
        <v>X</v>
      </c>
      <c r="N20" s="447" t="str">
        <f t="shared" si="34"/>
        <v>X</v>
      </c>
      <c r="O20" s="447" t="str">
        <f t="shared" si="34"/>
        <v>X</v>
      </c>
      <c r="P20" s="447" t="str">
        <f t="shared" si="34"/>
        <v>X</v>
      </c>
      <c r="Q20" s="447" t="str">
        <f t="shared" si="34"/>
        <v>X</v>
      </c>
      <c r="R20" s="447" t="str">
        <f t="shared" si="34"/>
        <v>X</v>
      </c>
      <c r="S20" s="447" t="str">
        <f t="shared" si="34"/>
        <v>X</v>
      </c>
      <c r="T20" s="447" t="str">
        <f t="shared" si="34"/>
        <v>X</v>
      </c>
      <c r="U20" s="447" t="str">
        <f t="shared" si="34"/>
        <v>X</v>
      </c>
      <c r="V20" s="447" t="str">
        <f t="shared" si="34"/>
        <v>X</v>
      </c>
      <c r="W20" s="447" t="str">
        <f t="shared" si="34"/>
        <v>X</v>
      </c>
      <c r="X20" s="447" t="str">
        <f t="shared" si="34"/>
        <v>X</v>
      </c>
      <c r="Y20" s="447" t="str">
        <f t="shared" si="34"/>
        <v>X</v>
      </c>
      <c r="Z20" s="447" t="str">
        <f t="shared" si="34"/>
        <v>X</v>
      </c>
      <c r="AA20" s="447" t="str">
        <f t="shared" si="34"/>
        <v>X</v>
      </c>
      <c r="AB20" s="447" t="str">
        <f t="shared" si="34"/>
        <v/>
      </c>
      <c r="AC20" s="466">
        <f>SUM(AC21:AC32)</f>
        <v>62479250</v>
      </c>
      <c r="AD20" s="466">
        <f t="shared" ref="AD20:BG20" si="35">SUM(AD21:AD32)</f>
        <v>0</v>
      </c>
      <c r="AE20" s="466">
        <f t="shared" si="35"/>
        <v>0</v>
      </c>
      <c r="AF20" s="466">
        <f t="shared" si="35"/>
        <v>0</v>
      </c>
      <c r="AG20" s="466">
        <f t="shared" si="35"/>
        <v>0</v>
      </c>
      <c r="AH20" s="466">
        <f t="shared" si="35"/>
        <v>0</v>
      </c>
      <c r="AI20" s="466">
        <f t="shared" si="35"/>
        <v>0</v>
      </c>
      <c r="AJ20" s="466">
        <f t="shared" si="35"/>
        <v>3708093.95</v>
      </c>
      <c r="AK20" s="466">
        <f t="shared" si="35"/>
        <v>3788446.89</v>
      </c>
      <c r="AL20" s="466">
        <f t="shared" si="35"/>
        <v>3904446.89</v>
      </c>
      <c r="AM20" s="466">
        <f t="shared" si="35"/>
        <v>11400987.73</v>
      </c>
      <c r="AN20" s="466">
        <f t="shared" si="35"/>
        <v>4012446.89</v>
      </c>
      <c r="AO20" s="466">
        <f t="shared" si="35"/>
        <v>3662446.89</v>
      </c>
      <c r="AP20" s="466">
        <f t="shared" si="35"/>
        <v>3554446.89</v>
      </c>
      <c r="AQ20" s="466">
        <f t="shared" si="35"/>
        <v>3554446.89</v>
      </c>
      <c r="AR20" s="466">
        <f t="shared" si="35"/>
        <v>14783787.560000001</v>
      </c>
      <c r="AS20" s="466">
        <f t="shared" si="35"/>
        <v>3554446.89</v>
      </c>
      <c r="AT20" s="466">
        <f t="shared" si="35"/>
        <v>3554446.89</v>
      </c>
      <c r="AU20" s="466">
        <f t="shared" si="35"/>
        <v>3554446.89</v>
      </c>
      <c r="AV20" s="466">
        <f t="shared" si="35"/>
        <v>3554446.89</v>
      </c>
      <c r="AW20" s="466">
        <f t="shared" si="35"/>
        <v>14217787.560000001</v>
      </c>
      <c r="AX20" s="466">
        <f t="shared" si="35"/>
        <v>3554446.89</v>
      </c>
      <c r="AY20" s="466">
        <f t="shared" si="35"/>
        <v>3554446.89</v>
      </c>
      <c r="AZ20" s="466">
        <f t="shared" si="35"/>
        <v>3554446.89</v>
      </c>
      <c r="BA20" s="466">
        <f t="shared" si="35"/>
        <v>3554446.89</v>
      </c>
      <c r="BB20" s="466">
        <f t="shared" si="35"/>
        <v>14217787.560000001</v>
      </c>
      <c r="BC20" s="466">
        <f t="shared" si="35"/>
        <v>3554446.89</v>
      </c>
      <c r="BD20" s="466">
        <f t="shared" si="35"/>
        <v>3554446.89</v>
      </c>
      <c r="BE20" s="466">
        <f t="shared" si="35"/>
        <v>750005.71</v>
      </c>
      <c r="BF20" s="466">
        <f t="shared" si="35"/>
        <v>0</v>
      </c>
      <c r="BG20" s="466">
        <f t="shared" si="35"/>
        <v>7858899.4900000002</v>
      </c>
    </row>
    <row r="21" spans="1:61" s="12" customFormat="1" ht="33" customHeight="1">
      <c r="A21" s="143" t="str">
        <f>'3_Comp e Produtos'!A21</f>
        <v>2.1. Fluxos de trabalho Contenciosos da Administração Direta modelados e implantados</v>
      </c>
      <c r="B21" s="349">
        <v>41000</v>
      </c>
      <c r="C21" s="365">
        <v>54</v>
      </c>
      <c r="D21" s="270">
        <f t="shared" si="8"/>
        <v>42620</v>
      </c>
      <c r="E21" s="115" t="str">
        <f t="shared" ref="E21:E30" si="36">IF(AND($C21&lt;&gt;0,$A21&lt;&gt;"NÃO SELECIONADO"),IF(E$5&gt;=$B21,IF(E$5&lt;=$D21,"X"," ")," "),"")</f>
        <v xml:space="preserve"> </v>
      </c>
      <c r="F21" s="115" t="str">
        <f t="shared" ref="F21:U21" si="37">IF(AND($C21&lt;&gt;0,$A21&lt;&gt;"NÃO SELECIONADO"),IF(F$5&gt;=$B21,IF(F$5&lt;=$D21,"X"," ")," "),"")</f>
        <v xml:space="preserve"> </v>
      </c>
      <c r="G21" s="115" t="str">
        <f t="shared" si="37"/>
        <v xml:space="preserve"> </v>
      </c>
      <c r="H21" s="115" t="str">
        <f t="shared" si="37"/>
        <v xml:space="preserve"> </v>
      </c>
      <c r="I21" s="115" t="str">
        <f t="shared" si="37"/>
        <v xml:space="preserve"> </v>
      </c>
      <c r="J21" s="115" t="str">
        <f t="shared" si="37"/>
        <v>X</v>
      </c>
      <c r="K21" s="115" t="str">
        <f t="shared" si="37"/>
        <v>X</v>
      </c>
      <c r="L21" s="115" t="str">
        <f t="shared" si="37"/>
        <v>X</v>
      </c>
      <c r="M21" s="115" t="str">
        <f t="shared" si="37"/>
        <v>X</v>
      </c>
      <c r="N21" s="115" t="str">
        <f t="shared" si="37"/>
        <v>X</v>
      </c>
      <c r="O21" s="115" t="str">
        <f t="shared" si="37"/>
        <v>X</v>
      </c>
      <c r="P21" s="115" t="str">
        <f t="shared" si="37"/>
        <v>X</v>
      </c>
      <c r="Q21" s="115" t="str">
        <f t="shared" si="37"/>
        <v>X</v>
      </c>
      <c r="R21" s="115" t="str">
        <f t="shared" si="37"/>
        <v>X</v>
      </c>
      <c r="S21" s="115" t="str">
        <f t="shared" si="37"/>
        <v>X</v>
      </c>
      <c r="T21" s="115" t="str">
        <f t="shared" si="37"/>
        <v>X</v>
      </c>
      <c r="U21" s="115" t="str">
        <f t="shared" si="37"/>
        <v>X</v>
      </c>
      <c r="V21" s="115" t="str">
        <f t="shared" ref="I21:Z26" si="38">IF(AND($C21&lt;&gt;0,$A21&lt;&gt;"NÃO SELECIONADO"),IF(V$5&gt;=$B21,IF(V$5&lt;=$D21,"X"," ")," "),"")</f>
        <v>X</v>
      </c>
      <c r="W21" s="115" t="str">
        <f t="shared" si="38"/>
        <v>X</v>
      </c>
      <c r="X21" s="115" t="str">
        <f t="shared" si="38"/>
        <v>X</v>
      </c>
      <c r="Y21" s="115" t="str">
        <f t="shared" ref="Y21" si="39">IF(AND($C21&lt;&gt;0,$A21&lt;&gt;"NÃO SELECIONADO"),IF(Y$5&gt;=$B21,IF(Y$5&lt;=$D21,"X"," ")," "),"")</f>
        <v>X</v>
      </c>
      <c r="Z21" s="115" t="str">
        <f t="shared" si="38"/>
        <v>X</v>
      </c>
      <c r="AA21" s="115" t="str">
        <f t="shared" ref="Y21:AB30" si="40">IF(AND($C21&lt;&gt;0,$A21&lt;&gt;"NÃO SELECIONADO"),IF(AA$5&gt;=$B21,IF(AA$5&lt;=$D21,"X"," ")," "),"")</f>
        <v>X</v>
      </c>
      <c r="AB21" s="115" t="str">
        <f t="shared" si="40"/>
        <v xml:space="preserve"> </v>
      </c>
      <c r="AC21" s="467">
        <f>'3_Comp e Produtos'!E21</f>
        <v>3316500</v>
      </c>
      <c r="AD21" s="119">
        <f t="shared" ref="AD21:AG42" si="41">IF(E21="X",$AC21/$C21*3,0)</f>
        <v>0</v>
      </c>
      <c r="AE21" s="119">
        <f t="shared" si="41"/>
        <v>0</v>
      </c>
      <c r="AF21" s="119">
        <f t="shared" si="41"/>
        <v>0</v>
      </c>
      <c r="AG21" s="119">
        <f t="shared" si="41"/>
        <v>0</v>
      </c>
      <c r="AH21" s="120">
        <f t="shared" si="11"/>
        <v>0</v>
      </c>
      <c r="AI21" s="119">
        <f t="shared" ref="AI21:AI39" si="42">IF(I21="X",$AC21/$C21*3,0)</f>
        <v>0</v>
      </c>
      <c r="AJ21" s="119">
        <f t="shared" ref="AJ21:AJ32" si="43">IF(J21="X",$AC21/$C21*3,0)</f>
        <v>184250</v>
      </c>
      <c r="AK21" s="119">
        <f t="shared" ref="AK21:AK32" si="44">IF(K21="X",$AC21/$C21*3,0)</f>
        <v>184250</v>
      </c>
      <c r="AL21" s="119">
        <f t="shared" ref="AL21:AL32" si="45">IF(L21="X",$AC21/$C21*3,0)</f>
        <v>184250</v>
      </c>
      <c r="AM21" s="120">
        <f t="shared" si="13"/>
        <v>552750</v>
      </c>
      <c r="AN21" s="119">
        <f t="shared" si="14"/>
        <v>184250</v>
      </c>
      <c r="AO21" s="119">
        <f t="shared" ref="AO21:AO32" si="46">IF(N21="X",$AC21/$C21*3,0)</f>
        <v>184250</v>
      </c>
      <c r="AP21" s="119">
        <f t="shared" ref="AP21:AP32" si="47">IF(O21="X",$AC21/$C21*3,0)</f>
        <v>184250</v>
      </c>
      <c r="AQ21" s="119">
        <f t="shared" ref="AQ21:AQ32" si="48">IF(P21="X",$AC21/$C21*3,0)</f>
        <v>184250</v>
      </c>
      <c r="AR21" s="120">
        <f t="shared" ref="AR21:AR32" si="49">SUM(AN21:AQ21)</f>
        <v>737000</v>
      </c>
      <c r="AS21" s="119">
        <f t="shared" si="19"/>
        <v>184250</v>
      </c>
      <c r="AT21" s="119">
        <f t="shared" ref="AT21:AT32" si="50">IF(R21="X",$AC21/$C21*3,0)</f>
        <v>184250</v>
      </c>
      <c r="AU21" s="119">
        <f t="shared" ref="AU21:AU32" si="51">IF(S21="X",$AC21/$C21*3,0)</f>
        <v>184250</v>
      </c>
      <c r="AV21" s="119">
        <f t="shared" ref="AV21:AV32" si="52">IF(T21="X",$AC21/$C21*3,0)</f>
        <v>184250</v>
      </c>
      <c r="AW21" s="120">
        <f t="shared" ref="AW21:AW32" si="53">SUM(AS21:AV21)</f>
        <v>737000</v>
      </c>
      <c r="AX21" s="119">
        <f t="shared" si="24"/>
        <v>184250</v>
      </c>
      <c r="AY21" s="119">
        <f t="shared" ref="AY21:AY32" si="54">IF(V21="X",$AC21/$C21*3,0)</f>
        <v>184250</v>
      </c>
      <c r="AZ21" s="119">
        <f t="shared" ref="AZ21:AZ32" si="55">IF(W21="X",$AC21/$C21*3,0)</f>
        <v>184250</v>
      </c>
      <c r="BA21" s="119">
        <f t="shared" ref="BA21:BA32" si="56">IF(X21="X",$AC21/$C21*3,0)</f>
        <v>184250</v>
      </c>
      <c r="BB21" s="120">
        <f t="shared" ref="BB21:BB32" si="57">SUM(AX21:BA21)</f>
        <v>737000</v>
      </c>
      <c r="BC21" s="119">
        <f t="shared" ref="BC21:BC32" si="58">IF(Y21="X",$AC21/$C21*3,0)</f>
        <v>184250</v>
      </c>
      <c r="BD21" s="119">
        <f t="shared" ref="BD21:BD32" si="59">IF(Z21="X",$AC21/$C21*3,0)</f>
        <v>184250</v>
      </c>
      <c r="BE21" s="119">
        <f t="shared" ref="BE21:BE32" si="60">IF(AA21="X",$AC21/$C21*3,0)</f>
        <v>184250</v>
      </c>
      <c r="BF21" s="119">
        <f t="shared" ref="BF21:BF32" si="61">IF(AB21="X",$AC21/$C21*3,0)</f>
        <v>0</v>
      </c>
      <c r="BG21" s="120">
        <f t="shared" ref="BG21:BG32" si="62">SUM(BC21:BF21)</f>
        <v>552750</v>
      </c>
      <c r="BH21" s="602"/>
      <c r="BI21" s="602"/>
    </row>
    <row r="22" spans="1:61" s="12" customFormat="1" ht="30" customHeight="1">
      <c r="A22" s="143" t="str">
        <f>IF('3_Comp e Produtos'!B22="Sim",'3_Comp e Produtos'!A22,"NÃO SELECIONADO")</f>
        <v>2.2. Fluxos de trabalho de Consultoria e Assessoramento Jurídicos na Administração Direta modelados e implantados</v>
      </c>
      <c r="B22" s="349">
        <v>41000</v>
      </c>
      <c r="C22" s="365">
        <v>54</v>
      </c>
      <c r="D22" s="270">
        <f t="shared" si="8"/>
        <v>42620</v>
      </c>
      <c r="E22" s="115" t="str">
        <f t="shared" si="36"/>
        <v xml:space="preserve"> </v>
      </c>
      <c r="F22" s="115" t="str">
        <f t="shared" ref="F22:U34" si="63">IF(AND($C22&lt;&gt;0,$A22&lt;&gt;"NÃO SELECIONADO"),IF(F$5&gt;=$B22,IF(F$5&lt;=$D22,"X"," ")," "),"")</f>
        <v xml:space="preserve"> </v>
      </c>
      <c r="G22" s="115" t="str">
        <f t="shared" si="63"/>
        <v xml:space="preserve"> </v>
      </c>
      <c r="H22" s="115" t="str">
        <f t="shared" si="63"/>
        <v xml:space="preserve"> </v>
      </c>
      <c r="I22" s="115" t="str">
        <f t="shared" si="38"/>
        <v xml:space="preserve"> </v>
      </c>
      <c r="J22" s="115" t="str">
        <f t="shared" si="38"/>
        <v>X</v>
      </c>
      <c r="K22" s="115" t="str">
        <f t="shared" si="38"/>
        <v>X</v>
      </c>
      <c r="L22" s="115" t="str">
        <f t="shared" si="38"/>
        <v>X</v>
      </c>
      <c r="M22" s="115" t="str">
        <f t="shared" si="38"/>
        <v>X</v>
      </c>
      <c r="N22" s="115" t="str">
        <f t="shared" si="38"/>
        <v>X</v>
      </c>
      <c r="O22" s="115" t="str">
        <f t="shared" si="38"/>
        <v>X</v>
      </c>
      <c r="P22" s="115" t="str">
        <f t="shared" si="38"/>
        <v>X</v>
      </c>
      <c r="Q22" s="115" t="str">
        <f t="shared" si="38"/>
        <v>X</v>
      </c>
      <c r="R22" s="115" t="str">
        <f t="shared" si="38"/>
        <v>X</v>
      </c>
      <c r="S22" s="115" t="str">
        <f t="shared" si="38"/>
        <v>X</v>
      </c>
      <c r="T22" s="115" t="str">
        <f t="shared" si="38"/>
        <v>X</v>
      </c>
      <c r="U22" s="115" t="str">
        <f t="shared" si="38"/>
        <v>X</v>
      </c>
      <c r="V22" s="115" t="str">
        <f t="shared" si="38"/>
        <v>X</v>
      </c>
      <c r="W22" s="115" t="str">
        <f t="shared" si="38"/>
        <v>X</v>
      </c>
      <c r="X22" s="115" t="str">
        <f t="shared" si="38"/>
        <v>X</v>
      </c>
      <c r="Y22" s="115" t="str">
        <f t="shared" si="40"/>
        <v>X</v>
      </c>
      <c r="Z22" s="115" t="str">
        <f t="shared" si="40"/>
        <v>X</v>
      </c>
      <c r="AA22" s="115" t="str">
        <f t="shared" si="40"/>
        <v>X</v>
      </c>
      <c r="AB22" s="115" t="str">
        <f t="shared" si="40"/>
        <v xml:space="preserve"> </v>
      </c>
      <c r="AC22" s="467">
        <f>'3_Comp e Produtos'!E22</f>
        <v>3021750</v>
      </c>
      <c r="AD22" s="119">
        <f t="shared" si="41"/>
        <v>0</v>
      </c>
      <c r="AE22" s="119">
        <f t="shared" si="41"/>
        <v>0</v>
      </c>
      <c r="AF22" s="119">
        <f t="shared" si="41"/>
        <v>0</v>
      </c>
      <c r="AG22" s="119">
        <f t="shared" si="41"/>
        <v>0</v>
      </c>
      <c r="AH22" s="120">
        <f t="shared" si="11"/>
        <v>0</v>
      </c>
      <c r="AI22" s="119">
        <f t="shared" si="42"/>
        <v>0</v>
      </c>
      <c r="AJ22" s="119">
        <f t="shared" si="43"/>
        <v>167875</v>
      </c>
      <c r="AK22" s="119">
        <f t="shared" si="44"/>
        <v>167875</v>
      </c>
      <c r="AL22" s="119">
        <f t="shared" si="45"/>
        <v>167875</v>
      </c>
      <c r="AM22" s="120">
        <f t="shared" si="13"/>
        <v>503625</v>
      </c>
      <c r="AN22" s="119">
        <f t="shared" si="14"/>
        <v>167875</v>
      </c>
      <c r="AO22" s="119">
        <f t="shared" si="46"/>
        <v>167875</v>
      </c>
      <c r="AP22" s="119">
        <f t="shared" si="47"/>
        <v>167875</v>
      </c>
      <c r="AQ22" s="119">
        <f t="shared" si="48"/>
        <v>167875</v>
      </c>
      <c r="AR22" s="120">
        <f t="shared" si="49"/>
        <v>671500</v>
      </c>
      <c r="AS22" s="119">
        <f t="shared" si="19"/>
        <v>167875</v>
      </c>
      <c r="AT22" s="119">
        <f t="shared" si="50"/>
        <v>167875</v>
      </c>
      <c r="AU22" s="119">
        <f t="shared" si="51"/>
        <v>167875</v>
      </c>
      <c r="AV22" s="119">
        <f t="shared" si="52"/>
        <v>167875</v>
      </c>
      <c r="AW22" s="120">
        <f t="shared" si="53"/>
        <v>671500</v>
      </c>
      <c r="AX22" s="119">
        <f t="shared" si="24"/>
        <v>167875</v>
      </c>
      <c r="AY22" s="119">
        <f t="shared" si="54"/>
        <v>167875</v>
      </c>
      <c r="AZ22" s="119">
        <f t="shared" si="55"/>
        <v>167875</v>
      </c>
      <c r="BA22" s="119">
        <f t="shared" si="56"/>
        <v>167875</v>
      </c>
      <c r="BB22" s="120">
        <f t="shared" si="57"/>
        <v>671500</v>
      </c>
      <c r="BC22" s="119">
        <f t="shared" si="58"/>
        <v>167875</v>
      </c>
      <c r="BD22" s="119">
        <f t="shared" si="59"/>
        <v>167875</v>
      </c>
      <c r="BE22" s="119">
        <f t="shared" si="60"/>
        <v>167875</v>
      </c>
      <c r="BF22" s="119">
        <f t="shared" si="61"/>
        <v>0</v>
      </c>
      <c r="BG22" s="120">
        <f t="shared" si="62"/>
        <v>503625</v>
      </c>
      <c r="BH22" s="602"/>
      <c r="BI22" s="602"/>
    </row>
    <row r="23" spans="1:61" s="12" customFormat="1" ht="25.5">
      <c r="A23" s="143" t="str">
        <f>IF('3_Comp e Produtos'!B24="Sim",'3_Comp e Produtos'!A24,"NÃO SELECIONADO")</f>
        <v>2.3. Plano de estratégias de prevenção abrangente a todos os órgãos da Administração Direta</v>
      </c>
      <c r="B23" s="114">
        <v>41091</v>
      </c>
      <c r="C23" s="365">
        <v>51</v>
      </c>
      <c r="D23" s="270">
        <f t="shared" si="8"/>
        <v>42621</v>
      </c>
      <c r="E23" s="115" t="str">
        <f t="shared" si="36"/>
        <v xml:space="preserve"> </v>
      </c>
      <c r="F23" s="115" t="str">
        <f t="shared" si="63"/>
        <v xml:space="preserve"> </v>
      </c>
      <c r="G23" s="115" t="str">
        <f t="shared" si="63"/>
        <v xml:space="preserve"> </v>
      </c>
      <c r="H23" s="115" t="str">
        <f t="shared" si="63"/>
        <v xml:space="preserve"> </v>
      </c>
      <c r="I23" s="115" t="str">
        <f t="shared" si="38"/>
        <v xml:space="preserve"> </v>
      </c>
      <c r="J23" s="115" t="str">
        <f t="shared" si="38"/>
        <v xml:space="preserve"> </v>
      </c>
      <c r="K23" s="115" t="str">
        <f t="shared" si="38"/>
        <v>X</v>
      </c>
      <c r="L23" s="115" t="str">
        <f t="shared" si="38"/>
        <v>X</v>
      </c>
      <c r="M23" s="115" t="str">
        <f t="shared" si="38"/>
        <v>X</v>
      </c>
      <c r="N23" s="115" t="str">
        <f t="shared" si="38"/>
        <v>X</v>
      </c>
      <c r="O23" s="115" t="str">
        <f t="shared" si="38"/>
        <v>X</v>
      </c>
      <c r="P23" s="115" t="str">
        <f t="shared" si="38"/>
        <v>X</v>
      </c>
      <c r="Q23" s="115" t="str">
        <f t="shared" si="38"/>
        <v>X</v>
      </c>
      <c r="R23" s="115" t="str">
        <f t="shared" si="38"/>
        <v>X</v>
      </c>
      <c r="S23" s="115" t="str">
        <f t="shared" si="38"/>
        <v>X</v>
      </c>
      <c r="T23" s="115" t="str">
        <f t="shared" si="38"/>
        <v>X</v>
      </c>
      <c r="U23" s="115" t="str">
        <f t="shared" si="38"/>
        <v>X</v>
      </c>
      <c r="V23" s="115" t="str">
        <f t="shared" si="38"/>
        <v>X</v>
      </c>
      <c r="W23" s="115" t="str">
        <f t="shared" si="38"/>
        <v>X</v>
      </c>
      <c r="X23" s="115" t="str">
        <f t="shared" si="38"/>
        <v>X</v>
      </c>
      <c r="Y23" s="115" t="str">
        <f t="shared" si="40"/>
        <v>X</v>
      </c>
      <c r="Z23" s="115" t="str">
        <f t="shared" si="40"/>
        <v>X</v>
      </c>
      <c r="AA23" s="115" t="str">
        <f t="shared" si="40"/>
        <v>X</v>
      </c>
      <c r="AB23" s="115" t="str">
        <f t="shared" si="40"/>
        <v xml:space="preserve"> </v>
      </c>
      <c r="AC23" s="467">
        <f>'3_Comp e Produtos'!E24</f>
        <v>538000</v>
      </c>
      <c r="AD23" s="119">
        <f t="shared" si="41"/>
        <v>0</v>
      </c>
      <c r="AE23" s="119">
        <f t="shared" si="41"/>
        <v>0</v>
      </c>
      <c r="AF23" s="119">
        <f t="shared" si="41"/>
        <v>0</v>
      </c>
      <c r="AG23" s="119">
        <f t="shared" si="41"/>
        <v>0</v>
      </c>
      <c r="AH23" s="120">
        <f t="shared" si="11"/>
        <v>0</v>
      </c>
      <c r="AI23" s="119">
        <f t="shared" si="42"/>
        <v>0</v>
      </c>
      <c r="AJ23" s="119">
        <f t="shared" si="43"/>
        <v>0</v>
      </c>
      <c r="AK23" s="119">
        <f t="shared" si="44"/>
        <v>31647.06</v>
      </c>
      <c r="AL23" s="119">
        <f t="shared" si="45"/>
        <v>31647.06</v>
      </c>
      <c r="AM23" s="120">
        <f t="shared" si="13"/>
        <v>63294.12</v>
      </c>
      <c r="AN23" s="119">
        <f t="shared" si="14"/>
        <v>31647.06</v>
      </c>
      <c r="AO23" s="119">
        <f t="shared" si="46"/>
        <v>31647.06</v>
      </c>
      <c r="AP23" s="119">
        <f t="shared" si="47"/>
        <v>31647.06</v>
      </c>
      <c r="AQ23" s="119">
        <f t="shared" si="48"/>
        <v>31647.06</v>
      </c>
      <c r="AR23" s="120">
        <f t="shared" si="49"/>
        <v>126588.24</v>
      </c>
      <c r="AS23" s="119">
        <f t="shared" si="19"/>
        <v>31647.06</v>
      </c>
      <c r="AT23" s="119">
        <f t="shared" si="50"/>
        <v>31647.06</v>
      </c>
      <c r="AU23" s="119">
        <f t="shared" si="51"/>
        <v>31647.06</v>
      </c>
      <c r="AV23" s="119">
        <f t="shared" si="52"/>
        <v>31647.06</v>
      </c>
      <c r="AW23" s="120">
        <f t="shared" si="53"/>
        <v>126588.24</v>
      </c>
      <c r="AX23" s="119">
        <f t="shared" si="24"/>
        <v>31647.06</v>
      </c>
      <c r="AY23" s="119">
        <f t="shared" si="54"/>
        <v>31647.06</v>
      </c>
      <c r="AZ23" s="119">
        <f t="shared" si="55"/>
        <v>31647.06</v>
      </c>
      <c r="BA23" s="119">
        <f t="shared" si="56"/>
        <v>31647.06</v>
      </c>
      <c r="BB23" s="120">
        <f t="shared" si="57"/>
        <v>126588.24</v>
      </c>
      <c r="BC23" s="119">
        <f t="shared" si="58"/>
        <v>31647.06</v>
      </c>
      <c r="BD23" s="119">
        <f t="shared" si="59"/>
        <v>31647.06</v>
      </c>
      <c r="BE23" s="119">
        <f t="shared" si="60"/>
        <v>31647.06</v>
      </c>
      <c r="BF23" s="119">
        <f t="shared" si="61"/>
        <v>0</v>
      </c>
      <c r="BG23" s="120">
        <f t="shared" si="62"/>
        <v>94941.18</v>
      </c>
      <c r="BH23" s="602"/>
      <c r="BI23" s="602"/>
    </row>
    <row r="24" spans="1:61" s="12" customFormat="1" ht="25.5">
      <c r="A24" s="143" t="str">
        <f>IF('3_Comp e Produtos'!B25="Sim",'3_Comp e Produtos'!A25,"NÃO SELECIONADO")</f>
        <v>2.4. Fluxos de trabalho Contenciosos, de Consultoria e Assessoramento Jurídicos na Administração Indireta modelados e implantados</v>
      </c>
      <c r="B24" s="114">
        <v>41000</v>
      </c>
      <c r="C24" s="365">
        <v>54</v>
      </c>
      <c r="D24" s="270">
        <f t="shared" si="8"/>
        <v>42620</v>
      </c>
      <c r="E24" s="115" t="str">
        <f t="shared" si="36"/>
        <v xml:space="preserve"> </v>
      </c>
      <c r="F24" s="115" t="str">
        <f t="shared" si="63"/>
        <v xml:space="preserve"> </v>
      </c>
      <c r="G24" s="115" t="str">
        <f t="shared" si="63"/>
        <v xml:space="preserve"> </v>
      </c>
      <c r="H24" s="115" t="str">
        <f t="shared" si="63"/>
        <v xml:space="preserve"> </v>
      </c>
      <c r="I24" s="115" t="str">
        <f t="shared" si="38"/>
        <v xml:space="preserve"> </v>
      </c>
      <c r="J24" s="115" t="str">
        <f t="shared" si="38"/>
        <v>X</v>
      </c>
      <c r="K24" s="115" t="str">
        <f t="shared" si="38"/>
        <v>X</v>
      </c>
      <c r="L24" s="115" t="str">
        <f t="shared" si="38"/>
        <v>X</v>
      </c>
      <c r="M24" s="115" t="str">
        <f t="shared" si="38"/>
        <v>X</v>
      </c>
      <c r="N24" s="115" t="str">
        <f t="shared" si="38"/>
        <v>X</v>
      </c>
      <c r="O24" s="115" t="str">
        <f t="shared" si="38"/>
        <v>X</v>
      </c>
      <c r="P24" s="115" t="str">
        <f t="shared" si="38"/>
        <v>X</v>
      </c>
      <c r="Q24" s="115" t="str">
        <f t="shared" si="38"/>
        <v>X</v>
      </c>
      <c r="R24" s="115" t="str">
        <f t="shared" si="38"/>
        <v>X</v>
      </c>
      <c r="S24" s="115" t="str">
        <f t="shared" si="38"/>
        <v>X</v>
      </c>
      <c r="T24" s="115" t="str">
        <f t="shared" si="38"/>
        <v>X</v>
      </c>
      <c r="U24" s="115" t="str">
        <f t="shared" si="38"/>
        <v>X</v>
      </c>
      <c r="V24" s="115" t="str">
        <f t="shared" si="38"/>
        <v>X</v>
      </c>
      <c r="W24" s="115" t="str">
        <f t="shared" si="38"/>
        <v>X</v>
      </c>
      <c r="X24" s="115" t="str">
        <f t="shared" si="38"/>
        <v>X</v>
      </c>
      <c r="Y24" s="115" t="str">
        <f t="shared" si="40"/>
        <v>X</v>
      </c>
      <c r="Z24" s="115" t="str">
        <f t="shared" si="40"/>
        <v>X</v>
      </c>
      <c r="AA24" s="115" t="str">
        <f t="shared" si="40"/>
        <v>X</v>
      </c>
      <c r="AB24" s="115" t="str">
        <f t="shared" si="40"/>
        <v xml:space="preserve"> </v>
      </c>
      <c r="AC24" s="467">
        <f>'3_Comp e Produtos'!E25</f>
        <v>3474000</v>
      </c>
      <c r="AD24" s="119">
        <f t="shared" si="41"/>
        <v>0</v>
      </c>
      <c r="AE24" s="119">
        <f t="shared" si="41"/>
        <v>0</v>
      </c>
      <c r="AF24" s="119">
        <f t="shared" si="41"/>
        <v>0</v>
      </c>
      <c r="AG24" s="119">
        <f t="shared" si="41"/>
        <v>0</v>
      </c>
      <c r="AH24" s="120">
        <f t="shared" si="11"/>
        <v>0</v>
      </c>
      <c r="AI24" s="119">
        <f t="shared" si="42"/>
        <v>0</v>
      </c>
      <c r="AJ24" s="119">
        <f t="shared" si="43"/>
        <v>193000</v>
      </c>
      <c r="AK24" s="119">
        <f t="shared" si="44"/>
        <v>193000</v>
      </c>
      <c r="AL24" s="119">
        <f t="shared" si="45"/>
        <v>193000</v>
      </c>
      <c r="AM24" s="120">
        <f t="shared" si="13"/>
        <v>579000</v>
      </c>
      <c r="AN24" s="119">
        <f t="shared" si="14"/>
        <v>193000</v>
      </c>
      <c r="AO24" s="119">
        <f t="shared" si="46"/>
        <v>193000</v>
      </c>
      <c r="AP24" s="119">
        <f t="shared" si="47"/>
        <v>193000</v>
      </c>
      <c r="AQ24" s="119">
        <f t="shared" si="48"/>
        <v>193000</v>
      </c>
      <c r="AR24" s="120">
        <f t="shared" si="49"/>
        <v>772000</v>
      </c>
      <c r="AS24" s="119">
        <f t="shared" si="19"/>
        <v>193000</v>
      </c>
      <c r="AT24" s="119">
        <f t="shared" si="50"/>
        <v>193000</v>
      </c>
      <c r="AU24" s="119">
        <f t="shared" si="51"/>
        <v>193000</v>
      </c>
      <c r="AV24" s="119">
        <f t="shared" si="52"/>
        <v>193000</v>
      </c>
      <c r="AW24" s="120">
        <f t="shared" si="53"/>
        <v>772000</v>
      </c>
      <c r="AX24" s="119">
        <f t="shared" si="24"/>
        <v>193000</v>
      </c>
      <c r="AY24" s="119">
        <f t="shared" si="54"/>
        <v>193000</v>
      </c>
      <c r="AZ24" s="119">
        <f t="shared" si="55"/>
        <v>193000</v>
      </c>
      <c r="BA24" s="119">
        <f t="shared" si="56"/>
        <v>193000</v>
      </c>
      <c r="BB24" s="120">
        <f t="shared" si="57"/>
        <v>772000</v>
      </c>
      <c r="BC24" s="119">
        <f t="shared" si="58"/>
        <v>193000</v>
      </c>
      <c r="BD24" s="119">
        <f t="shared" si="59"/>
        <v>193000</v>
      </c>
      <c r="BE24" s="119">
        <f t="shared" si="60"/>
        <v>193000</v>
      </c>
      <c r="BF24" s="119">
        <f t="shared" si="61"/>
        <v>0</v>
      </c>
      <c r="BG24" s="120">
        <f t="shared" si="62"/>
        <v>579000</v>
      </c>
      <c r="BH24" s="602"/>
      <c r="BI24" s="602"/>
    </row>
    <row r="25" spans="1:61" s="12" customFormat="1" ht="25.5">
      <c r="A25" s="143" t="str">
        <f>IF('3_Comp e Produtos'!B30="Sim",'3_Comp e Produtos'!A30,"NÃO SELECIONADO")</f>
        <v>2.5. Plano de estratégias de prevenção abrangente a todos os órgãos da Administração Indireta</v>
      </c>
      <c r="B25" s="114">
        <v>41091</v>
      </c>
      <c r="C25" s="365">
        <v>51</v>
      </c>
      <c r="D25" s="270">
        <f t="shared" si="8"/>
        <v>42621</v>
      </c>
      <c r="E25" s="115" t="str">
        <f t="shared" si="36"/>
        <v xml:space="preserve"> </v>
      </c>
      <c r="F25" s="115" t="str">
        <f t="shared" si="63"/>
        <v xml:space="preserve"> </v>
      </c>
      <c r="G25" s="115" t="str">
        <f t="shared" si="63"/>
        <v xml:space="preserve"> </v>
      </c>
      <c r="H25" s="115" t="str">
        <f t="shared" si="63"/>
        <v xml:space="preserve"> </v>
      </c>
      <c r="I25" s="115" t="str">
        <f t="shared" si="63"/>
        <v xml:space="preserve"> </v>
      </c>
      <c r="J25" s="115" t="str">
        <f t="shared" si="63"/>
        <v xml:space="preserve"> </v>
      </c>
      <c r="K25" s="115" t="str">
        <f t="shared" si="63"/>
        <v>X</v>
      </c>
      <c r="L25" s="115" t="str">
        <f t="shared" si="63"/>
        <v>X</v>
      </c>
      <c r="M25" s="115" t="str">
        <f t="shared" si="63"/>
        <v>X</v>
      </c>
      <c r="N25" s="115" t="str">
        <f t="shared" si="63"/>
        <v>X</v>
      </c>
      <c r="O25" s="115" t="str">
        <f t="shared" si="63"/>
        <v>X</v>
      </c>
      <c r="P25" s="115" t="str">
        <f t="shared" si="63"/>
        <v>X</v>
      </c>
      <c r="Q25" s="115" t="str">
        <f t="shared" si="63"/>
        <v>X</v>
      </c>
      <c r="R25" s="115" t="str">
        <f t="shared" si="63"/>
        <v>X</v>
      </c>
      <c r="S25" s="115" t="str">
        <f t="shared" si="63"/>
        <v>X</v>
      </c>
      <c r="T25" s="115" t="str">
        <f t="shared" si="63"/>
        <v>X</v>
      </c>
      <c r="U25" s="115" t="str">
        <f t="shared" si="63"/>
        <v>X</v>
      </c>
      <c r="V25" s="115" t="str">
        <f t="shared" si="38"/>
        <v>X</v>
      </c>
      <c r="W25" s="115" t="str">
        <f t="shared" si="38"/>
        <v>X</v>
      </c>
      <c r="X25" s="115" t="str">
        <f t="shared" si="38"/>
        <v>X</v>
      </c>
      <c r="Y25" s="115" t="str">
        <f t="shared" si="38"/>
        <v>X</v>
      </c>
      <c r="Z25" s="115" t="str">
        <f t="shared" si="38"/>
        <v>X</v>
      </c>
      <c r="AA25" s="115" t="str">
        <f t="shared" si="40"/>
        <v>X</v>
      </c>
      <c r="AB25" s="115" t="str">
        <f t="shared" si="40"/>
        <v xml:space="preserve"> </v>
      </c>
      <c r="AC25" s="467">
        <f>'3_Comp e Produtos'!E30</f>
        <v>828000</v>
      </c>
      <c r="AD25" s="119">
        <f t="shared" si="41"/>
        <v>0</v>
      </c>
      <c r="AE25" s="119">
        <f t="shared" si="41"/>
        <v>0</v>
      </c>
      <c r="AF25" s="119">
        <f t="shared" si="41"/>
        <v>0</v>
      </c>
      <c r="AG25" s="119">
        <f t="shared" si="41"/>
        <v>0</v>
      </c>
      <c r="AH25" s="120">
        <f t="shared" si="11"/>
        <v>0</v>
      </c>
      <c r="AI25" s="119">
        <f t="shared" si="42"/>
        <v>0</v>
      </c>
      <c r="AJ25" s="119">
        <f t="shared" si="43"/>
        <v>0</v>
      </c>
      <c r="AK25" s="119">
        <f t="shared" si="44"/>
        <v>48705.88</v>
      </c>
      <c r="AL25" s="119">
        <f t="shared" si="45"/>
        <v>48705.88</v>
      </c>
      <c r="AM25" s="120">
        <f t="shared" si="13"/>
        <v>97411.76</v>
      </c>
      <c r="AN25" s="119">
        <f t="shared" si="14"/>
        <v>48705.88</v>
      </c>
      <c r="AO25" s="119">
        <f t="shared" si="46"/>
        <v>48705.88</v>
      </c>
      <c r="AP25" s="119">
        <f t="shared" si="47"/>
        <v>48705.88</v>
      </c>
      <c r="AQ25" s="119">
        <f t="shared" si="48"/>
        <v>48705.88</v>
      </c>
      <c r="AR25" s="120">
        <f t="shared" si="49"/>
        <v>194823.52</v>
      </c>
      <c r="AS25" s="119">
        <f t="shared" si="19"/>
        <v>48705.88</v>
      </c>
      <c r="AT25" s="119">
        <f t="shared" si="50"/>
        <v>48705.88</v>
      </c>
      <c r="AU25" s="119">
        <f t="shared" si="51"/>
        <v>48705.88</v>
      </c>
      <c r="AV25" s="119">
        <f t="shared" si="52"/>
        <v>48705.88</v>
      </c>
      <c r="AW25" s="120">
        <f t="shared" si="53"/>
        <v>194823.52</v>
      </c>
      <c r="AX25" s="119">
        <f t="shared" si="24"/>
        <v>48705.88</v>
      </c>
      <c r="AY25" s="119">
        <f t="shared" si="54"/>
        <v>48705.88</v>
      </c>
      <c r="AZ25" s="119">
        <f t="shared" si="55"/>
        <v>48705.88</v>
      </c>
      <c r="BA25" s="119">
        <f t="shared" si="56"/>
        <v>48705.88</v>
      </c>
      <c r="BB25" s="120">
        <f t="shared" si="57"/>
        <v>194823.52</v>
      </c>
      <c r="BC25" s="119">
        <f t="shared" si="58"/>
        <v>48705.88</v>
      </c>
      <c r="BD25" s="119">
        <f t="shared" si="59"/>
        <v>48705.88</v>
      </c>
      <c r="BE25" s="119">
        <f t="shared" si="60"/>
        <v>48705.88</v>
      </c>
      <c r="BF25" s="119">
        <f t="shared" si="61"/>
        <v>0</v>
      </c>
      <c r="BG25" s="120">
        <f t="shared" si="62"/>
        <v>146117.64000000001</v>
      </c>
      <c r="BH25" s="602"/>
      <c r="BI25" s="602"/>
    </row>
    <row r="26" spans="1:61" s="12" customFormat="1" ht="25.5">
      <c r="A26" s="143" t="str">
        <f>IF('3_Comp e Produtos'!B31="Sim",'3_Comp e Produtos'!A31,"NÃO SELECIONADO")</f>
        <v>2.6. Métodos Alternativos de Resolução de Conflitos (MARC) definidos e implementados</v>
      </c>
      <c r="B26" s="114">
        <v>41000</v>
      </c>
      <c r="C26" s="365">
        <v>54</v>
      </c>
      <c r="D26" s="270">
        <f t="shared" si="8"/>
        <v>42620</v>
      </c>
      <c r="E26" s="115" t="str">
        <f t="shared" si="36"/>
        <v xml:space="preserve"> </v>
      </c>
      <c r="F26" s="115" t="str">
        <f t="shared" si="63"/>
        <v xml:space="preserve"> </v>
      </c>
      <c r="G26" s="115" t="str">
        <f t="shared" si="63"/>
        <v xml:space="preserve"> </v>
      </c>
      <c r="H26" s="115" t="str">
        <f t="shared" si="63"/>
        <v xml:space="preserve"> </v>
      </c>
      <c r="I26" s="115" t="str">
        <f t="shared" si="63"/>
        <v xml:space="preserve"> </v>
      </c>
      <c r="J26" s="115" t="str">
        <f t="shared" si="63"/>
        <v>X</v>
      </c>
      <c r="K26" s="115" t="str">
        <f t="shared" si="63"/>
        <v>X</v>
      </c>
      <c r="L26" s="115" t="str">
        <f t="shared" si="63"/>
        <v>X</v>
      </c>
      <c r="M26" s="115" t="str">
        <f t="shared" si="63"/>
        <v>X</v>
      </c>
      <c r="N26" s="115" t="str">
        <f t="shared" si="63"/>
        <v>X</v>
      </c>
      <c r="O26" s="115" t="str">
        <f t="shared" si="63"/>
        <v>X</v>
      </c>
      <c r="P26" s="115" t="str">
        <f t="shared" si="63"/>
        <v>X</v>
      </c>
      <c r="Q26" s="115" t="str">
        <f t="shared" si="63"/>
        <v>X</v>
      </c>
      <c r="R26" s="115" t="str">
        <f t="shared" si="63"/>
        <v>X</v>
      </c>
      <c r="S26" s="115" t="str">
        <f t="shared" si="63"/>
        <v>X</v>
      </c>
      <c r="T26" s="115" t="str">
        <f t="shared" si="63"/>
        <v>X</v>
      </c>
      <c r="U26" s="115" t="str">
        <f t="shared" si="63"/>
        <v>X</v>
      </c>
      <c r="V26" s="115" t="str">
        <f t="shared" si="38"/>
        <v>X</v>
      </c>
      <c r="W26" s="115" t="str">
        <f t="shared" si="38"/>
        <v>X</v>
      </c>
      <c r="X26" s="115" t="str">
        <f t="shared" si="38"/>
        <v>X</v>
      </c>
      <c r="Y26" s="115" t="str">
        <f t="shared" si="38"/>
        <v>X</v>
      </c>
      <c r="Z26" s="115" t="str">
        <f t="shared" si="38"/>
        <v>X</v>
      </c>
      <c r="AA26" s="115" t="str">
        <f t="shared" si="40"/>
        <v>X</v>
      </c>
      <c r="AB26" s="115" t="str">
        <f t="shared" si="40"/>
        <v xml:space="preserve"> </v>
      </c>
      <c r="AC26" s="467">
        <f>'3_Comp e Produtos'!E31</f>
        <v>730500</v>
      </c>
      <c r="AD26" s="119">
        <f t="shared" si="41"/>
        <v>0</v>
      </c>
      <c r="AE26" s="119">
        <f t="shared" si="41"/>
        <v>0</v>
      </c>
      <c r="AF26" s="119">
        <f t="shared" si="41"/>
        <v>0</v>
      </c>
      <c r="AG26" s="119">
        <f t="shared" si="41"/>
        <v>0</v>
      </c>
      <c r="AH26" s="120">
        <f t="shared" si="11"/>
        <v>0</v>
      </c>
      <c r="AI26" s="119">
        <f t="shared" si="42"/>
        <v>0</v>
      </c>
      <c r="AJ26" s="119">
        <f t="shared" si="43"/>
        <v>40583.33</v>
      </c>
      <c r="AK26" s="119">
        <f t="shared" si="44"/>
        <v>40583.33</v>
      </c>
      <c r="AL26" s="119">
        <f t="shared" si="45"/>
        <v>40583.33</v>
      </c>
      <c r="AM26" s="120">
        <f t="shared" si="13"/>
        <v>121749.99</v>
      </c>
      <c r="AN26" s="119">
        <f t="shared" si="14"/>
        <v>40583.33</v>
      </c>
      <c r="AO26" s="119">
        <f t="shared" si="46"/>
        <v>40583.33</v>
      </c>
      <c r="AP26" s="119">
        <f t="shared" si="47"/>
        <v>40583.33</v>
      </c>
      <c r="AQ26" s="119">
        <f t="shared" si="48"/>
        <v>40583.33</v>
      </c>
      <c r="AR26" s="120">
        <f t="shared" si="49"/>
        <v>162333.32</v>
      </c>
      <c r="AS26" s="119">
        <f t="shared" si="19"/>
        <v>40583.33</v>
      </c>
      <c r="AT26" s="119">
        <f t="shared" si="50"/>
        <v>40583.33</v>
      </c>
      <c r="AU26" s="119">
        <f t="shared" si="51"/>
        <v>40583.33</v>
      </c>
      <c r="AV26" s="119">
        <f t="shared" si="52"/>
        <v>40583.33</v>
      </c>
      <c r="AW26" s="120">
        <f t="shared" si="53"/>
        <v>162333.32</v>
      </c>
      <c r="AX26" s="119">
        <f t="shared" si="24"/>
        <v>40583.33</v>
      </c>
      <c r="AY26" s="119">
        <f t="shared" si="54"/>
        <v>40583.33</v>
      </c>
      <c r="AZ26" s="119">
        <f t="shared" si="55"/>
        <v>40583.33</v>
      </c>
      <c r="BA26" s="119">
        <f t="shared" si="56"/>
        <v>40583.33</v>
      </c>
      <c r="BB26" s="120">
        <f t="shared" si="57"/>
        <v>162333.32</v>
      </c>
      <c r="BC26" s="119">
        <f t="shared" si="58"/>
        <v>40583.33</v>
      </c>
      <c r="BD26" s="119">
        <f t="shared" si="59"/>
        <v>40583.33</v>
      </c>
      <c r="BE26" s="119">
        <f t="shared" si="60"/>
        <v>40583.33</v>
      </c>
      <c r="BF26" s="119">
        <f t="shared" si="61"/>
        <v>0</v>
      </c>
      <c r="BG26" s="120">
        <f t="shared" si="62"/>
        <v>121749.99</v>
      </c>
      <c r="BH26" s="602"/>
      <c r="BI26" s="602"/>
    </row>
    <row r="27" spans="1:61" s="12" customFormat="1" ht="25.5">
      <c r="A27" s="143" t="str">
        <f>IF('3_Comp e Produtos'!B35="Sim",'3_Comp e Produtos'!A35,"NÃO SELECIONADO")</f>
        <v>2.7. Capacitação contínua de pessoal especializado em gerenciamento e recuperação de créditos</v>
      </c>
      <c r="B27" s="114">
        <v>41000</v>
      </c>
      <c r="C27" s="365">
        <v>54</v>
      </c>
      <c r="D27" s="270">
        <f t="shared" si="8"/>
        <v>42620</v>
      </c>
      <c r="E27" s="115" t="str">
        <f t="shared" si="36"/>
        <v xml:space="preserve"> </v>
      </c>
      <c r="F27" s="115" t="str">
        <f t="shared" si="63"/>
        <v xml:space="preserve"> </v>
      </c>
      <c r="G27" s="115" t="str">
        <f t="shared" si="63"/>
        <v xml:space="preserve"> </v>
      </c>
      <c r="H27" s="115" t="str">
        <f t="shared" ref="H27:Z32" si="64">IF(AND($C27&lt;&gt;0,$A27&lt;&gt;"NÃO SELECIONADO"),IF(H$5&gt;=$B27,IF(H$5&lt;=$D27,"X"," ")," "),"")</f>
        <v xml:space="preserve"> </v>
      </c>
      <c r="I27" s="115" t="str">
        <f t="shared" si="64"/>
        <v xml:space="preserve"> </v>
      </c>
      <c r="J27" s="115" t="str">
        <f t="shared" si="64"/>
        <v>X</v>
      </c>
      <c r="K27" s="115" t="str">
        <f t="shared" si="64"/>
        <v>X</v>
      </c>
      <c r="L27" s="115" t="str">
        <f t="shared" si="64"/>
        <v>X</v>
      </c>
      <c r="M27" s="115" t="str">
        <f t="shared" si="64"/>
        <v>X</v>
      </c>
      <c r="N27" s="115" t="str">
        <f t="shared" si="64"/>
        <v>X</v>
      </c>
      <c r="O27" s="115" t="str">
        <f t="shared" si="64"/>
        <v>X</v>
      </c>
      <c r="P27" s="115" t="str">
        <f t="shared" si="64"/>
        <v>X</v>
      </c>
      <c r="Q27" s="115" t="str">
        <f t="shared" si="64"/>
        <v>X</v>
      </c>
      <c r="R27" s="115" t="str">
        <f t="shared" si="64"/>
        <v>X</v>
      </c>
      <c r="S27" s="115" t="str">
        <f t="shared" si="64"/>
        <v>X</v>
      </c>
      <c r="T27" s="115" t="str">
        <f t="shared" si="64"/>
        <v>X</v>
      </c>
      <c r="U27" s="115" t="str">
        <f t="shared" si="64"/>
        <v>X</v>
      </c>
      <c r="V27" s="115" t="str">
        <f t="shared" si="64"/>
        <v>X</v>
      </c>
      <c r="W27" s="115" t="str">
        <f t="shared" si="64"/>
        <v>X</v>
      </c>
      <c r="X27" s="115" t="str">
        <f t="shared" si="64"/>
        <v>X</v>
      </c>
      <c r="Y27" s="115" t="str">
        <f t="shared" si="64"/>
        <v>X</v>
      </c>
      <c r="Z27" s="115" t="str">
        <f t="shared" si="64"/>
        <v>X</v>
      </c>
      <c r="AA27" s="115" t="str">
        <f t="shared" si="40"/>
        <v>X</v>
      </c>
      <c r="AB27" s="115" t="str">
        <f t="shared" si="40"/>
        <v xml:space="preserve"> </v>
      </c>
      <c r="AC27" s="467">
        <f>'3_Comp e Produtos'!E35</f>
        <v>1511000</v>
      </c>
      <c r="AD27" s="119">
        <f t="shared" si="41"/>
        <v>0</v>
      </c>
      <c r="AE27" s="119">
        <f t="shared" si="41"/>
        <v>0</v>
      </c>
      <c r="AF27" s="119">
        <f t="shared" si="41"/>
        <v>0</v>
      </c>
      <c r="AG27" s="119">
        <f t="shared" si="41"/>
        <v>0</v>
      </c>
      <c r="AH27" s="120">
        <f t="shared" si="11"/>
        <v>0</v>
      </c>
      <c r="AI27" s="119">
        <f t="shared" si="42"/>
        <v>0</v>
      </c>
      <c r="AJ27" s="119">
        <f t="shared" si="43"/>
        <v>83944.44</v>
      </c>
      <c r="AK27" s="119">
        <f t="shared" si="44"/>
        <v>83944.44</v>
      </c>
      <c r="AL27" s="119">
        <f t="shared" si="45"/>
        <v>83944.44</v>
      </c>
      <c r="AM27" s="120">
        <f t="shared" si="13"/>
        <v>251833.32</v>
      </c>
      <c r="AN27" s="119">
        <f t="shared" si="14"/>
        <v>83944.44</v>
      </c>
      <c r="AO27" s="119">
        <f t="shared" si="46"/>
        <v>83944.44</v>
      </c>
      <c r="AP27" s="119">
        <f t="shared" si="47"/>
        <v>83944.44</v>
      </c>
      <c r="AQ27" s="119">
        <f t="shared" si="48"/>
        <v>83944.44</v>
      </c>
      <c r="AR27" s="120">
        <f t="shared" si="49"/>
        <v>335777.76</v>
      </c>
      <c r="AS27" s="119">
        <f t="shared" si="19"/>
        <v>83944.44</v>
      </c>
      <c r="AT27" s="119">
        <f t="shared" si="50"/>
        <v>83944.44</v>
      </c>
      <c r="AU27" s="119">
        <f t="shared" si="51"/>
        <v>83944.44</v>
      </c>
      <c r="AV27" s="119">
        <f t="shared" si="52"/>
        <v>83944.44</v>
      </c>
      <c r="AW27" s="120">
        <f t="shared" si="53"/>
        <v>335777.76</v>
      </c>
      <c r="AX27" s="119">
        <f t="shared" si="24"/>
        <v>83944.44</v>
      </c>
      <c r="AY27" s="119">
        <f t="shared" si="54"/>
        <v>83944.44</v>
      </c>
      <c r="AZ27" s="119">
        <f t="shared" si="55"/>
        <v>83944.44</v>
      </c>
      <c r="BA27" s="119">
        <f t="shared" si="56"/>
        <v>83944.44</v>
      </c>
      <c r="BB27" s="120">
        <f t="shared" si="57"/>
        <v>335777.76</v>
      </c>
      <c r="BC27" s="119">
        <f t="shared" si="58"/>
        <v>83944.44</v>
      </c>
      <c r="BD27" s="119">
        <f t="shared" si="59"/>
        <v>83944.44</v>
      </c>
      <c r="BE27" s="119">
        <f t="shared" si="60"/>
        <v>83944.44</v>
      </c>
      <c r="BF27" s="119">
        <f t="shared" si="61"/>
        <v>0</v>
      </c>
      <c r="BG27" s="120">
        <f t="shared" si="62"/>
        <v>251833.32</v>
      </c>
      <c r="BH27" s="602"/>
      <c r="BI27" s="602"/>
    </row>
    <row r="28" spans="1:61" s="12" customFormat="1" ht="25.5">
      <c r="A28" s="143" t="str">
        <f>IF('3_Comp e Produtos'!B36="Sim",'3_Comp e Produtos'!A36,"NÃO SELECIONADO")</f>
        <v xml:space="preserve">2.8. Plano de ação para aprimoramento da integração interinstitucional entre os órgãos responsáveis pela dívida ativa </v>
      </c>
      <c r="B28" s="114">
        <v>41000</v>
      </c>
      <c r="C28" s="365">
        <v>6</v>
      </c>
      <c r="D28" s="270">
        <f t="shared" si="8"/>
        <v>41174</v>
      </c>
      <c r="E28" s="115" t="str">
        <f t="shared" si="36"/>
        <v xml:space="preserve"> </v>
      </c>
      <c r="F28" s="115" t="str">
        <f t="shared" si="63"/>
        <v xml:space="preserve"> </v>
      </c>
      <c r="G28" s="115" t="str">
        <f t="shared" si="63"/>
        <v xml:space="preserve"> </v>
      </c>
      <c r="H28" s="115" t="str">
        <f t="shared" si="64"/>
        <v xml:space="preserve"> </v>
      </c>
      <c r="I28" s="115" t="str">
        <f t="shared" si="64"/>
        <v xml:space="preserve"> </v>
      </c>
      <c r="J28" s="115" t="str">
        <f t="shared" si="64"/>
        <v>X</v>
      </c>
      <c r="K28" s="115" t="str">
        <f t="shared" si="64"/>
        <v>X</v>
      </c>
      <c r="L28" s="115" t="str">
        <f t="shared" si="64"/>
        <v xml:space="preserve"> </v>
      </c>
      <c r="M28" s="115" t="str">
        <f t="shared" si="64"/>
        <v xml:space="preserve"> </v>
      </c>
      <c r="N28" s="115" t="str">
        <f t="shared" si="64"/>
        <v xml:space="preserve"> </v>
      </c>
      <c r="O28" s="115" t="str">
        <f t="shared" si="64"/>
        <v xml:space="preserve"> </v>
      </c>
      <c r="P28" s="115" t="str">
        <f t="shared" si="64"/>
        <v xml:space="preserve"> </v>
      </c>
      <c r="Q28" s="115" t="str">
        <f t="shared" si="64"/>
        <v xml:space="preserve"> </v>
      </c>
      <c r="R28" s="115" t="str">
        <f t="shared" si="64"/>
        <v xml:space="preserve"> </v>
      </c>
      <c r="S28" s="115" t="str">
        <f t="shared" si="64"/>
        <v xml:space="preserve"> </v>
      </c>
      <c r="T28" s="115" t="str">
        <f t="shared" si="64"/>
        <v xml:space="preserve"> </v>
      </c>
      <c r="U28" s="115" t="str">
        <f t="shared" si="64"/>
        <v xml:space="preserve"> </v>
      </c>
      <c r="V28" s="115" t="str">
        <f t="shared" si="64"/>
        <v xml:space="preserve"> </v>
      </c>
      <c r="W28" s="115" t="str">
        <f t="shared" si="64"/>
        <v xml:space="preserve"> </v>
      </c>
      <c r="X28" s="115" t="str">
        <f t="shared" si="64"/>
        <v xml:space="preserve"> </v>
      </c>
      <c r="Y28" s="115" t="str">
        <f t="shared" si="64"/>
        <v xml:space="preserve"> </v>
      </c>
      <c r="Z28" s="115" t="str">
        <f t="shared" si="64"/>
        <v xml:space="preserve"> </v>
      </c>
      <c r="AA28" s="115" t="str">
        <f t="shared" si="40"/>
        <v xml:space="preserve"> </v>
      </c>
      <c r="AB28" s="115" t="str">
        <f t="shared" si="40"/>
        <v xml:space="preserve"> </v>
      </c>
      <c r="AC28" s="467">
        <f>'3_Comp e Produtos'!E36</f>
        <v>468000</v>
      </c>
      <c r="AD28" s="119">
        <f t="shared" si="41"/>
        <v>0</v>
      </c>
      <c r="AE28" s="119">
        <f t="shared" si="41"/>
        <v>0</v>
      </c>
      <c r="AF28" s="119">
        <f t="shared" si="41"/>
        <v>0</v>
      </c>
      <c r="AG28" s="119">
        <f t="shared" si="41"/>
        <v>0</v>
      </c>
      <c r="AH28" s="120">
        <f t="shared" si="11"/>
        <v>0</v>
      </c>
      <c r="AI28" s="119">
        <f t="shared" si="42"/>
        <v>0</v>
      </c>
      <c r="AJ28" s="119">
        <f t="shared" si="43"/>
        <v>234000</v>
      </c>
      <c r="AK28" s="119">
        <f t="shared" si="44"/>
        <v>234000</v>
      </c>
      <c r="AL28" s="119">
        <f t="shared" si="45"/>
        <v>0</v>
      </c>
      <c r="AM28" s="120">
        <f t="shared" si="13"/>
        <v>468000</v>
      </c>
      <c r="AN28" s="119">
        <f t="shared" si="14"/>
        <v>0</v>
      </c>
      <c r="AO28" s="119">
        <f t="shared" si="46"/>
        <v>0</v>
      </c>
      <c r="AP28" s="119">
        <f t="shared" si="47"/>
        <v>0</v>
      </c>
      <c r="AQ28" s="119">
        <f t="shared" si="48"/>
        <v>0</v>
      </c>
      <c r="AR28" s="120">
        <f t="shared" si="49"/>
        <v>0</v>
      </c>
      <c r="AS28" s="119">
        <f t="shared" si="19"/>
        <v>0</v>
      </c>
      <c r="AT28" s="119">
        <f t="shared" si="50"/>
        <v>0</v>
      </c>
      <c r="AU28" s="119">
        <f t="shared" si="51"/>
        <v>0</v>
      </c>
      <c r="AV28" s="119">
        <f t="shared" si="52"/>
        <v>0</v>
      </c>
      <c r="AW28" s="120">
        <f t="shared" si="53"/>
        <v>0</v>
      </c>
      <c r="AX28" s="119">
        <f t="shared" si="24"/>
        <v>0</v>
      </c>
      <c r="AY28" s="119">
        <f t="shared" si="54"/>
        <v>0</v>
      </c>
      <c r="AZ28" s="119">
        <f t="shared" si="55"/>
        <v>0</v>
      </c>
      <c r="BA28" s="119">
        <f t="shared" si="56"/>
        <v>0</v>
      </c>
      <c r="BB28" s="120">
        <f t="shared" si="57"/>
        <v>0</v>
      </c>
      <c r="BC28" s="119">
        <f t="shared" si="58"/>
        <v>0</v>
      </c>
      <c r="BD28" s="119">
        <f t="shared" si="59"/>
        <v>0</v>
      </c>
      <c r="BE28" s="119">
        <f t="shared" si="60"/>
        <v>0</v>
      </c>
      <c r="BF28" s="119">
        <f t="shared" si="61"/>
        <v>0</v>
      </c>
      <c r="BG28" s="120">
        <f t="shared" si="62"/>
        <v>0</v>
      </c>
      <c r="BH28" s="602"/>
      <c r="BI28" s="602"/>
    </row>
    <row r="29" spans="1:61" s="12" customFormat="1" ht="25.5">
      <c r="A29" s="143" t="str">
        <f>IF('3_Comp e Produtos'!B37="Sim",'3_Comp e Produtos'!A37,"NÃO SELECIONADO")</f>
        <v>2.9. Solução para avaliação de riscos do Estado e inclusões nos sistemas corporativos da AGU</v>
      </c>
      <c r="B29" s="114">
        <v>41183</v>
      </c>
      <c r="C29" s="365">
        <v>6</v>
      </c>
      <c r="D29" s="270">
        <f t="shared" si="8"/>
        <v>41357</v>
      </c>
      <c r="E29" s="115" t="str">
        <f t="shared" si="36"/>
        <v xml:space="preserve"> </v>
      </c>
      <c r="F29" s="115" t="str">
        <f t="shared" si="63"/>
        <v xml:space="preserve"> </v>
      </c>
      <c r="G29" s="115" t="str">
        <f t="shared" si="63"/>
        <v xml:space="preserve"> </v>
      </c>
      <c r="H29" s="115" t="str">
        <f t="shared" si="64"/>
        <v xml:space="preserve"> </v>
      </c>
      <c r="I29" s="115" t="str">
        <f t="shared" si="64"/>
        <v xml:space="preserve"> </v>
      </c>
      <c r="J29" s="115" t="str">
        <f t="shared" si="64"/>
        <v xml:space="preserve"> </v>
      </c>
      <c r="K29" s="115" t="str">
        <f t="shared" si="64"/>
        <v xml:space="preserve"> </v>
      </c>
      <c r="L29" s="115" t="str">
        <f t="shared" si="64"/>
        <v>X</v>
      </c>
      <c r="M29" s="115" t="str">
        <f t="shared" si="64"/>
        <v>X</v>
      </c>
      <c r="N29" s="115" t="str">
        <f t="shared" si="64"/>
        <v xml:space="preserve"> </v>
      </c>
      <c r="O29" s="115" t="str">
        <f t="shared" si="64"/>
        <v xml:space="preserve"> </v>
      </c>
      <c r="P29" s="115" t="str">
        <f t="shared" si="64"/>
        <v xml:space="preserve"> </v>
      </c>
      <c r="Q29" s="115" t="str">
        <f t="shared" si="64"/>
        <v xml:space="preserve"> </v>
      </c>
      <c r="R29" s="115" t="str">
        <f t="shared" si="64"/>
        <v xml:space="preserve"> </v>
      </c>
      <c r="S29" s="115" t="str">
        <f t="shared" si="64"/>
        <v xml:space="preserve"> </v>
      </c>
      <c r="T29" s="115" t="str">
        <f t="shared" si="64"/>
        <v xml:space="preserve"> </v>
      </c>
      <c r="U29" s="115" t="str">
        <f t="shared" si="64"/>
        <v xml:space="preserve"> </v>
      </c>
      <c r="V29" s="115" t="str">
        <f t="shared" si="64"/>
        <v xml:space="preserve"> </v>
      </c>
      <c r="W29" s="115" t="str">
        <f t="shared" si="64"/>
        <v xml:space="preserve"> </v>
      </c>
      <c r="X29" s="115" t="str">
        <f t="shared" si="64"/>
        <v xml:space="preserve"> </v>
      </c>
      <c r="Y29" s="115" t="str">
        <f t="shared" si="64"/>
        <v xml:space="preserve"> </v>
      </c>
      <c r="Z29" s="115" t="str">
        <f t="shared" si="64"/>
        <v xml:space="preserve"> </v>
      </c>
      <c r="AA29" s="115" t="str">
        <f t="shared" si="40"/>
        <v xml:space="preserve"> </v>
      </c>
      <c r="AB29" s="115" t="str">
        <f t="shared" si="40"/>
        <v xml:space="preserve"> </v>
      </c>
      <c r="AC29" s="467">
        <f>'3_Comp e Produtos'!E37</f>
        <v>700000</v>
      </c>
      <c r="AD29" s="119">
        <f t="shared" si="41"/>
        <v>0</v>
      </c>
      <c r="AE29" s="119">
        <f t="shared" si="41"/>
        <v>0</v>
      </c>
      <c r="AF29" s="119">
        <f t="shared" si="41"/>
        <v>0</v>
      </c>
      <c r="AG29" s="119">
        <f t="shared" si="41"/>
        <v>0</v>
      </c>
      <c r="AH29" s="120">
        <f t="shared" si="11"/>
        <v>0</v>
      </c>
      <c r="AI29" s="119">
        <f t="shared" si="42"/>
        <v>0</v>
      </c>
      <c r="AJ29" s="119">
        <f t="shared" si="43"/>
        <v>0</v>
      </c>
      <c r="AK29" s="119">
        <f t="shared" si="44"/>
        <v>0</v>
      </c>
      <c r="AL29" s="119">
        <f t="shared" si="45"/>
        <v>350000</v>
      </c>
      <c r="AM29" s="120">
        <f t="shared" si="13"/>
        <v>350000</v>
      </c>
      <c r="AN29" s="119">
        <f t="shared" si="14"/>
        <v>350000</v>
      </c>
      <c r="AO29" s="119">
        <f t="shared" si="46"/>
        <v>0</v>
      </c>
      <c r="AP29" s="119">
        <f t="shared" si="47"/>
        <v>0</v>
      </c>
      <c r="AQ29" s="119">
        <f t="shared" si="48"/>
        <v>0</v>
      </c>
      <c r="AR29" s="120">
        <f t="shared" si="49"/>
        <v>350000</v>
      </c>
      <c r="AS29" s="119">
        <f t="shared" si="19"/>
        <v>0</v>
      </c>
      <c r="AT29" s="119">
        <f t="shared" si="50"/>
        <v>0</v>
      </c>
      <c r="AU29" s="119">
        <f t="shared" si="51"/>
        <v>0</v>
      </c>
      <c r="AV29" s="119">
        <f t="shared" si="52"/>
        <v>0</v>
      </c>
      <c r="AW29" s="120">
        <f t="shared" si="53"/>
        <v>0</v>
      </c>
      <c r="AX29" s="119">
        <f t="shared" si="24"/>
        <v>0</v>
      </c>
      <c r="AY29" s="119">
        <f t="shared" si="54"/>
        <v>0</v>
      </c>
      <c r="AZ29" s="119">
        <f t="shared" si="55"/>
        <v>0</v>
      </c>
      <c r="BA29" s="119">
        <f t="shared" si="56"/>
        <v>0</v>
      </c>
      <c r="BB29" s="120">
        <f t="shared" si="57"/>
        <v>0</v>
      </c>
      <c r="BC29" s="119">
        <f t="shared" si="58"/>
        <v>0</v>
      </c>
      <c r="BD29" s="119">
        <f t="shared" si="59"/>
        <v>0</v>
      </c>
      <c r="BE29" s="119">
        <f t="shared" si="60"/>
        <v>0</v>
      </c>
      <c r="BF29" s="119">
        <f t="shared" si="61"/>
        <v>0</v>
      </c>
      <c r="BG29" s="120">
        <f t="shared" si="62"/>
        <v>0</v>
      </c>
      <c r="BH29" s="602"/>
      <c r="BI29" s="602"/>
    </row>
    <row r="30" spans="1:61" s="12" customFormat="1" ht="25.5">
      <c r="A30" s="143" t="str">
        <f>IF('3_Comp e Produtos'!B38="Sim",'3_Comp e Produtos'!A38,"NÃO SELECIONADO")</f>
        <v xml:space="preserve">2.10. Solução para identificação e facilitação da eliminação dos pagamentos indevidos nos processos contra o Estado </v>
      </c>
      <c r="B30" s="114">
        <v>41275</v>
      </c>
      <c r="C30" s="365">
        <v>6</v>
      </c>
      <c r="D30" s="270">
        <f t="shared" si="8"/>
        <v>41449</v>
      </c>
      <c r="E30" s="115" t="str">
        <f t="shared" si="36"/>
        <v xml:space="preserve"> </v>
      </c>
      <c r="F30" s="115" t="str">
        <f t="shared" si="63"/>
        <v xml:space="preserve"> </v>
      </c>
      <c r="G30" s="115" t="str">
        <f t="shared" si="63"/>
        <v xml:space="preserve"> </v>
      </c>
      <c r="H30" s="115" t="str">
        <f t="shared" si="64"/>
        <v xml:space="preserve"> </v>
      </c>
      <c r="I30" s="115" t="str">
        <f t="shared" si="64"/>
        <v xml:space="preserve"> </v>
      </c>
      <c r="J30" s="115" t="str">
        <f t="shared" si="64"/>
        <v xml:space="preserve"> </v>
      </c>
      <c r="K30" s="115" t="str">
        <f t="shared" si="64"/>
        <v xml:space="preserve"> </v>
      </c>
      <c r="L30" s="115" t="str">
        <f t="shared" si="64"/>
        <v xml:space="preserve"> </v>
      </c>
      <c r="M30" s="115" t="str">
        <f t="shared" si="64"/>
        <v>X</v>
      </c>
      <c r="N30" s="115" t="str">
        <f t="shared" si="64"/>
        <v>X</v>
      </c>
      <c r="O30" s="115" t="str">
        <f t="shared" si="64"/>
        <v xml:space="preserve"> </v>
      </c>
      <c r="P30" s="115" t="str">
        <f t="shared" si="64"/>
        <v xml:space="preserve"> </v>
      </c>
      <c r="Q30" s="115" t="str">
        <f t="shared" si="64"/>
        <v xml:space="preserve"> </v>
      </c>
      <c r="R30" s="115" t="str">
        <f t="shared" si="64"/>
        <v xml:space="preserve"> </v>
      </c>
      <c r="S30" s="115" t="str">
        <f t="shared" si="64"/>
        <v xml:space="preserve"> </v>
      </c>
      <c r="T30" s="115" t="str">
        <f t="shared" si="64"/>
        <v xml:space="preserve"> </v>
      </c>
      <c r="U30" s="115" t="str">
        <f t="shared" si="64"/>
        <v xml:space="preserve"> </v>
      </c>
      <c r="V30" s="115" t="str">
        <f t="shared" si="64"/>
        <v xml:space="preserve"> </v>
      </c>
      <c r="W30" s="115" t="str">
        <f t="shared" si="64"/>
        <v xml:space="preserve"> </v>
      </c>
      <c r="X30" s="115" t="str">
        <f t="shared" si="64"/>
        <v xml:space="preserve"> </v>
      </c>
      <c r="Y30" s="115" t="str">
        <f t="shared" si="64"/>
        <v xml:space="preserve"> </v>
      </c>
      <c r="Z30" s="115" t="str">
        <f t="shared" si="64"/>
        <v xml:space="preserve"> </v>
      </c>
      <c r="AA30" s="115" t="str">
        <f t="shared" si="40"/>
        <v xml:space="preserve"> </v>
      </c>
      <c r="AB30" s="115" t="str">
        <f t="shared" si="40"/>
        <v xml:space="preserve"> </v>
      </c>
      <c r="AC30" s="467">
        <f>'3_Comp e Produtos'!E38</f>
        <v>216000</v>
      </c>
      <c r="AD30" s="119">
        <f t="shared" si="41"/>
        <v>0</v>
      </c>
      <c r="AE30" s="119">
        <f t="shared" si="41"/>
        <v>0</v>
      </c>
      <c r="AF30" s="119">
        <f t="shared" si="41"/>
        <v>0</v>
      </c>
      <c r="AG30" s="119">
        <f t="shared" si="41"/>
        <v>0</v>
      </c>
      <c r="AH30" s="120">
        <f t="shared" si="11"/>
        <v>0</v>
      </c>
      <c r="AI30" s="119">
        <f t="shared" si="42"/>
        <v>0</v>
      </c>
      <c r="AJ30" s="119">
        <f t="shared" si="43"/>
        <v>0</v>
      </c>
      <c r="AK30" s="119">
        <f t="shared" si="44"/>
        <v>0</v>
      </c>
      <c r="AL30" s="119">
        <f t="shared" si="45"/>
        <v>0</v>
      </c>
      <c r="AM30" s="120">
        <f t="shared" si="13"/>
        <v>0</v>
      </c>
      <c r="AN30" s="119">
        <f t="shared" si="14"/>
        <v>108000</v>
      </c>
      <c r="AO30" s="119">
        <f t="shared" si="46"/>
        <v>108000</v>
      </c>
      <c r="AP30" s="119">
        <f t="shared" si="47"/>
        <v>0</v>
      </c>
      <c r="AQ30" s="119">
        <f t="shared" si="48"/>
        <v>0</v>
      </c>
      <c r="AR30" s="120">
        <f t="shared" si="49"/>
        <v>216000</v>
      </c>
      <c r="AS30" s="119">
        <f t="shared" si="19"/>
        <v>0</v>
      </c>
      <c r="AT30" s="119">
        <f t="shared" si="50"/>
        <v>0</v>
      </c>
      <c r="AU30" s="119">
        <f t="shared" si="51"/>
        <v>0</v>
      </c>
      <c r="AV30" s="119">
        <f t="shared" si="52"/>
        <v>0</v>
      </c>
      <c r="AW30" s="120">
        <f t="shared" si="53"/>
        <v>0</v>
      </c>
      <c r="AX30" s="119">
        <f t="shared" si="24"/>
        <v>0</v>
      </c>
      <c r="AY30" s="119">
        <f t="shared" si="54"/>
        <v>0</v>
      </c>
      <c r="AZ30" s="119">
        <f t="shared" si="55"/>
        <v>0</v>
      </c>
      <c r="BA30" s="119">
        <f t="shared" si="56"/>
        <v>0</v>
      </c>
      <c r="BB30" s="120">
        <f t="shared" si="57"/>
        <v>0</v>
      </c>
      <c r="BC30" s="119">
        <f t="shared" si="58"/>
        <v>0</v>
      </c>
      <c r="BD30" s="119">
        <f t="shared" si="59"/>
        <v>0</v>
      </c>
      <c r="BE30" s="119">
        <f t="shared" si="60"/>
        <v>0</v>
      </c>
      <c r="BF30" s="119">
        <f t="shared" si="61"/>
        <v>0</v>
      </c>
      <c r="BG30" s="120">
        <f t="shared" si="62"/>
        <v>0</v>
      </c>
      <c r="BH30" s="602"/>
      <c r="BI30" s="602"/>
    </row>
    <row r="31" spans="1:61" s="12" customFormat="1" ht="18.600000000000001" customHeight="1">
      <c r="A31" s="143" t="str">
        <f>IF('3_Comp e Produtos'!B39="Sim",'3_Comp e Produtos'!A39,"NÃO SELECIONADO")</f>
        <v>2.11. Sistema Integrado de Gestão Jurídica da AGU desenvolvido e implantado</v>
      </c>
      <c r="B31" s="114">
        <v>41000</v>
      </c>
      <c r="C31" s="365">
        <v>51</v>
      </c>
      <c r="D31" s="270">
        <f t="shared" si="8"/>
        <v>42530</v>
      </c>
      <c r="E31" s="115"/>
      <c r="F31" s="115"/>
      <c r="G31" s="115" t="str">
        <f t="shared" si="63"/>
        <v xml:space="preserve"> </v>
      </c>
      <c r="H31" s="115" t="str">
        <f t="shared" si="64"/>
        <v xml:space="preserve"> </v>
      </c>
      <c r="I31" s="115" t="str">
        <f t="shared" si="64"/>
        <v xml:space="preserve"> </v>
      </c>
      <c r="J31" s="115" t="str">
        <f t="shared" si="64"/>
        <v>X</v>
      </c>
      <c r="K31" s="115" t="str">
        <f t="shared" si="64"/>
        <v>X</v>
      </c>
      <c r="L31" s="115" t="str">
        <f t="shared" si="64"/>
        <v>X</v>
      </c>
      <c r="M31" s="115" t="str">
        <f t="shared" si="64"/>
        <v>X</v>
      </c>
      <c r="N31" s="115" t="str">
        <f t="shared" si="64"/>
        <v>X</v>
      </c>
      <c r="O31" s="115" t="str">
        <f t="shared" si="64"/>
        <v>X</v>
      </c>
      <c r="P31" s="115" t="str">
        <f t="shared" si="64"/>
        <v>X</v>
      </c>
      <c r="Q31" s="115" t="str">
        <f t="shared" si="64"/>
        <v>X</v>
      </c>
      <c r="R31" s="115" t="str">
        <f t="shared" si="64"/>
        <v>X</v>
      </c>
      <c r="S31" s="115" t="str">
        <f t="shared" si="64"/>
        <v>X</v>
      </c>
      <c r="T31" s="115" t="str">
        <f t="shared" si="64"/>
        <v>X</v>
      </c>
      <c r="U31" s="115" t="str">
        <f t="shared" si="64"/>
        <v>X</v>
      </c>
      <c r="V31" s="115" t="str">
        <f t="shared" si="64"/>
        <v>X</v>
      </c>
      <c r="W31" s="115" t="str">
        <f t="shared" si="64"/>
        <v>X</v>
      </c>
      <c r="X31" s="115" t="str">
        <f t="shared" si="64"/>
        <v>X</v>
      </c>
      <c r="Y31" s="115" t="str">
        <f t="shared" si="64"/>
        <v>X</v>
      </c>
      <c r="Z31" s="115" t="str">
        <f t="shared" si="64"/>
        <v>X</v>
      </c>
      <c r="AA31" s="115"/>
      <c r="AB31" s="115"/>
      <c r="AC31" s="467">
        <f>'3_Comp e Produtos'!E39</f>
        <v>44653750</v>
      </c>
      <c r="AD31" s="119">
        <f t="shared" si="41"/>
        <v>0</v>
      </c>
      <c r="AE31" s="119">
        <f t="shared" si="41"/>
        <v>0</v>
      </c>
      <c r="AF31" s="119">
        <f t="shared" si="41"/>
        <v>0</v>
      </c>
      <c r="AG31" s="119">
        <f t="shared" si="41"/>
        <v>0</v>
      </c>
      <c r="AH31" s="120">
        <f t="shared" si="11"/>
        <v>0</v>
      </c>
      <c r="AI31" s="119">
        <f t="shared" si="42"/>
        <v>0</v>
      </c>
      <c r="AJ31" s="119">
        <f t="shared" si="43"/>
        <v>2626691.1800000002</v>
      </c>
      <c r="AK31" s="119">
        <f t="shared" si="44"/>
        <v>2626691.1800000002</v>
      </c>
      <c r="AL31" s="119">
        <f t="shared" si="45"/>
        <v>2626691.1800000002</v>
      </c>
      <c r="AM31" s="120">
        <f t="shared" si="13"/>
        <v>7880073.54</v>
      </c>
      <c r="AN31" s="119">
        <f t="shared" si="14"/>
        <v>2626691.1800000002</v>
      </c>
      <c r="AO31" s="119">
        <f t="shared" si="46"/>
        <v>2626691.1800000002</v>
      </c>
      <c r="AP31" s="119">
        <f t="shared" si="47"/>
        <v>2626691.1800000002</v>
      </c>
      <c r="AQ31" s="119">
        <f t="shared" si="48"/>
        <v>2626691.1800000002</v>
      </c>
      <c r="AR31" s="120">
        <f t="shared" si="49"/>
        <v>10506764.720000001</v>
      </c>
      <c r="AS31" s="119">
        <f t="shared" si="19"/>
        <v>2626691.1800000002</v>
      </c>
      <c r="AT31" s="119">
        <f t="shared" si="50"/>
        <v>2626691.1800000002</v>
      </c>
      <c r="AU31" s="119">
        <f t="shared" si="51"/>
        <v>2626691.1800000002</v>
      </c>
      <c r="AV31" s="119">
        <f t="shared" si="52"/>
        <v>2626691.1800000002</v>
      </c>
      <c r="AW31" s="120">
        <f t="shared" si="53"/>
        <v>10506764.720000001</v>
      </c>
      <c r="AX31" s="119">
        <f t="shared" si="24"/>
        <v>2626691.1800000002</v>
      </c>
      <c r="AY31" s="119">
        <f t="shared" si="54"/>
        <v>2626691.1800000002</v>
      </c>
      <c r="AZ31" s="119">
        <f t="shared" si="55"/>
        <v>2626691.1800000002</v>
      </c>
      <c r="BA31" s="119">
        <f t="shared" si="56"/>
        <v>2626691.1800000002</v>
      </c>
      <c r="BB31" s="120">
        <f t="shared" si="57"/>
        <v>10506764.720000001</v>
      </c>
      <c r="BC31" s="119">
        <f t="shared" si="58"/>
        <v>2626691.1800000002</v>
      </c>
      <c r="BD31" s="119">
        <f t="shared" si="59"/>
        <v>2626691.1800000002</v>
      </c>
      <c r="BE31" s="119">
        <f t="shared" si="60"/>
        <v>0</v>
      </c>
      <c r="BF31" s="119">
        <f t="shared" si="61"/>
        <v>0</v>
      </c>
      <c r="BG31" s="120">
        <f t="shared" si="62"/>
        <v>5253382.3600000003</v>
      </c>
      <c r="BH31" s="602"/>
      <c r="BI31" s="602"/>
    </row>
    <row r="32" spans="1:61" s="12" customFormat="1" ht="25.5">
      <c r="A32" s="143" t="str">
        <f>IF('3_Comp e Produtos'!B42="Sim",'3_Comp e Produtos'!A42,"NÃO SELECIONADO")</f>
        <v>2.12. Redesenho e implementação dos fluxos de trabalho relativos a cálculos e perícias</v>
      </c>
      <c r="B32" s="114">
        <v>41000</v>
      </c>
      <c r="C32" s="365">
        <v>51</v>
      </c>
      <c r="D32" s="270">
        <f t="shared" si="8"/>
        <v>42530</v>
      </c>
      <c r="E32" s="115"/>
      <c r="F32" s="115"/>
      <c r="G32" s="115" t="str">
        <f t="shared" si="63"/>
        <v xml:space="preserve"> </v>
      </c>
      <c r="H32" s="115" t="str">
        <f t="shared" si="64"/>
        <v xml:space="preserve"> </v>
      </c>
      <c r="I32" s="115" t="str">
        <f t="shared" si="64"/>
        <v xml:space="preserve"> </v>
      </c>
      <c r="J32" s="115" t="str">
        <f t="shared" si="64"/>
        <v>X</v>
      </c>
      <c r="K32" s="115" t="str">
        <f t="shared" si="64"/>
        <v>X</v>
      </c>
      <c r="L32" s="115" t="str">
        <f t="shared" si="64"/>
        <v>X</v>
      </c>
      <c r="M32" s="115" t="str">
        <f t="shared" si="64"/>
        <v>X</v>
      </c>
      <c r="N32" s="115" t="str">
        <f t="shared" si="64"/>
        <v>X</v>
      </c>
      <c r="O32" s="115" t="str">
        <f t="shared" si="64"/>
        <v>X</v>
      </c>
      <c r="P32" s="115" t="str">
        <f t="shared" si="64"/>
        <v>X</v>
      </c>
      <c r="Q32" s="115" t="str">
        <f t="shared" si="64"/>
        <v>X</v>
      </c>
      <c r="R32" s="115" t="str">
        <f t="shared" si="64"/>
        <v>X</v>
      </c>
      <c r="S32" s="115" t="str">
        <f t="shared" si="64"/>
        <v>X</v>
      </c>
      <c r="T32" s="115" t="str">
        <f t="shared" si="64"/>
        <v>X</v>
      </c>
      <c r="U32" s="115" t="str">
        <f t="shared" si="64"/>
        <v>X</v>
      </c>
      <c r="V32" s="115" t="str">
        <f t="shared" si="64"/>
        <v>X</v>
      </c>
      <c r="W32" s="115" t="str">
        <f t="shared" si="64"/>
        <v>X</v>
      </c>
      <c r="X32" s="115" t="str">
        <f t="shared" si="64"/>
        <v>X</v>
      </c>
      <c r="Y32" s="115" t="str">
        <f t="shared" si="64"/>
        <v>X</v>
      </c>
      <c r="Z32" s="115" t="str">
        <f t="shared" si="64"/>
        <v>X</v>
      </c>
      <c r="AA32" s="115"/>
      <c r="AB32" s="115"/>
      <c r="AC32" s="467">
        <f>'3_Comp e Produtos'!E42</f>
        <v>3021750</v>
      </c>
      <c r="AD32" s="119">
        <f t="shared" si="41"/>
        <v>0</v>
      </c>
      <c r="AE32" s="119">
        <f t="shared" si="41"/>
        <v>0</v>
      </c>
      <c r="AF32" s="119">
        <f t="shared" si="41"/>
        <v>0</v>
      </c>
      <c r="AG32" s="119">
        <f t="shared" si="41"/>
        <v>0</v>
      </c>
      <c r="AH32" s="120">
        <f t="shared" si="11"/>
        <v>0</v>
      </c>
      <c r="AI32" s="119">
        <f t="shared" si="42"/>
        <v>0</v>
      </c>
      <c r="AJ32" s="119">
        <f t="shared" si="43"/>
        <v>177750</v>
      </c>
      <c r="AK32" s="119">
        <f t="shared" si="44"/>
        <v>177750</v>
      </c>
      <c r="AL32" s="119">
        <f t="shared" si="45"/>
        <v>177750</v>
      </c>
      <c r="AM32" s="120">
        <f t="shared" si="13"/>
        <v>533250</v>
      </c>
      <c r="AN32" s="119">
        <f t="shared" si="14"/>
        <v>177750</v>
      </c>
      <c r="AO32" s="119">
        <f t="shared" si="46"/>
        <v>177750</v>
      </c>
      <c r="AP32" s="119">
        <f t="shared" si="47"/>
        <v>177750</v>
      </c>
      <c r="AQ32" s="119">
        <f t="shared" si="48"/>
        <v>177750</v>
      </c>
      <c r="AR32" s="120">
        <f t="shared" si="49"/>
        <v>711000</v>
      </c>
      <c r="AS32" s="119">
        <f t="shared" si="19"/>
        <v>177750</v>
      </c>
      <c r="AT32" s="119">
        <f t="shared" si="50"/>
        <v>177750</v>
      </c>
      <c r="AU32" s="119">
        <f t="shared" si="51"/>
        <v>177750</v>
      </c>
      <c r="AV32" s="119">
        <f t="shared" si="52"/>
        <v>177750</v>
      </c>
      <c r="AW32" s="120">
        <f t="shared" si="53"/>
        <v>711000</v>
      </c>
      <c r="AX32" s="119">
        <f t="shared" si="24"/>
        <v>177750</v>
      </c>
      <c r="AY32" s="119">
        <f t="shared" si="54"/>
        <v>177750</v>
      </c>
      <c r="AZ32" s="119">
        <f t="shared" si="55"/>
        <v>177750</v>
      </c>
      <c r="BA32" s="119">
        <f t="shared" si="56"/>
        <v>177750</v>
      </c>
      <c r="BB32" s="120">
        <f t="shared" si="57"/>
        <v>711000</v>
      </c>
      <c r="BC32" s="119">
        <f t="shared" si="58"/>
        <v>177750</v>
      </c>
      <c r="BD32" s="119">
        <f t="shared" si="59"/>
        <v>177750</v>
      </c>
      <c r="BE32" s="119">
        <f t="shared" si="60"/>
        <v>0</v>
      </c>
      <c r="BF32" s="119">
        <f t="shared" si="61"/>
        <v>0</v>
      </c>
      <c r="BG32" s="120">
        <f t="shared" si="62"/>
        <v>355500</v>
      </c>
      <c r="BH32" s="602"/>
      <c r="BI32" s="602"/>
    </row>
    <row r="33" spans="1:61" s="12" customFormat="1" ht="25.5">
      <c r="A33" s="451" t="str">
        <f>'3_Comp e Produtos'!A43</f>
        <v>COMPONENTE 3: APRIMORAMENTO DA GESTÃO ADMINISTRATIVA DA AGU</v>
      </c>
      <c r="B33" s="445">
        <f>MIN(B34:B56)</f>
        <v>40909</v>
      </c>
      <c r="C33" s="446">
        <f>IF(INT((D33-B33)/30)+1&gt;21,INT((D33-B33)/30),INT((D33-B33)/30)+1)</f>
        <v>54</v>
      </c>
      <c r="D33" s="445">
        <f>MAX(D34:D39)</f>
        <v>42531</v>
      </c>
      <c r="E33" s="447" t="str">
        <f t="shared" ref="E33:AB33" si="65">IF(COUNTIF(E34:E39,"X")&lt;&gt;0,"X","")</f>
        <v/>
      </c>
      <c r="F33" s="447" t="str">
        <f t="shared" si="65"/>
        <v/>
      </c>
      <c r="G33" s="447" t="str">
        <f t="shared" si="65"/>
        <v/>
      </c>
      <c r="H33" s="447" t="str">
        <f t="shared" si="65"/>
        <v/>
      </c>
      <c r="I33" s="447" t="str">
        <f t="shared" si="65"/>
        <v>X</v>
      </c>
      <c r="J33" s="447" t="str">
        <f t="shared" si="65"/>
        <v>X</v>
      </c>
      <c r="K33" s="447" t="str">
        <f t="shared" si="65"/>
        <v>X</v>
      </c>
      <c r="L33" s="447" t="str">
        <f t="shared" si="65"/>
        <v>X</v>
      </c>
      <c r="M33" s="447" t="str">
        <f t="shared" si="65"/>
        <v>X</v>
      </c>
      <c r="N33" s="447" t="str">
        <f t="shared" si="65"/>
        <v>X</v>
      </c>
      <c r="O33" s="447" t="str">
        <f t="shared" si="65"/>
        <v>X</v>
      </c>
      <c r="P33" s="447" t="str">
        <f t="shared" si="65"/>
        <v>X</v>
      </c>
      <c r="Q33" s="447" t="str">
        <f t="shared" si="65"/>
        <v>X</v>
      </c>
      <c r="R33" s="447" t="str">
        <f t="shared" si="65"/>
        <v>X</v>
      </c>
      <c r="S33" s="447" t="str">
        <f t="shared" si="65"/>
        <v>X</v>
      </c>
      <c r="T33" s="447" t="str">
        <f t="shared" si="65"/>
        <v>X</v>
      </c>
      <c r="U33" s="447" t="str">
        <f t="shared" si="65"/>
        <v>X</v>
      </c>
      <c r="V33" s="447" t="str">
        <f t="shared" si="65"/>
        <v>X</v>
      </c>
      <c r="W33" s="447" t="str">
        <f t="shared" si="65"/>
        <v>X</v>
      </c>
      <c r="X33" s="447" t="str">
        <f t="shared" si="65"/>
        <v>X</v>
      </c>
      <c r="Y33" s="447" t="str">
        <f t="shared" si="65"/>
        <v>X</v>
      </c>
      <c r="Z33" s="447" t="str">
        <f t="shared" si="65"/>
        <v>X</v>
      </c>
      <c r="AA33" s="447" t="str">
        <f t="shared" si="65"/>
        <v/>
      </c>
      <c r="AB33" s="447" t="str">
        <f t="shared" si="65"/>
        <v/>
      </c>
      <c r="AC33" s="466">
        <f>SUM(AC34:AC39)</f>
        <v>5251000</v>
      </c>
      <c r="AD33" s="466">
        <f t="shared" ref="AD33:BG33" si="66">SUM(AD34:AD39)</f>
        <v>0</v>
      </c>
      <c r="AE33" s="466">
        <f t="shared" si="66"/>
        <v>0</v>
      </c>
      <c r="AF33" s="466">
        <f t="shared" si="66"/>
        <v>0</v>
      </c>
      <c r="AG33" s="466">
        <f t="shared" si="66"/>
        <v>0</v>
      </c>
      <c r="AH33" s="466">
        <f t="shared" si="66"/>
        <v>0</v>
      </c>
      <c r="AI33" s="466">
        <f t="shared" si="66"/>
        <v>144000</v>
      </c>
      <c r="AJ33" s="466">
        <f t="shared" si="66"/>
        <v>137180.15</v>
      </c>
      <c r="AK33" s="466">
        <f t="shared" si="66"/>
        <v>222711.4</v>
      </c>
      <c r="AL33" s="466">
        <f t="shared" si="66"/>
        <v>222711.4</v>
      </c>
      <c r="AM33" s="466">
        <f t="shared" si="66"/>
        <v>726602.95</v>
      </c>
      <c r="AN33" s="466">
        <f t="shared" si="66"/>
        <v>222711.4</v>
      </c>
      <c r="AO33" s="466">
        <f t="shared" si="66"/>
        <v>222711.4</v>
      </c>
      <c r="AP33" s="466">
        <f t="shared" si="66"/>
        <v>222711.4</v>
      </c>
      <c r="AQ33" s="466">
        <f t="shared" si="66"/>
        <v>222711.4</v>
      </c>
      <c r="AR33" s="466">
        <f t="shared" si="66"/>
        <v>890845.6</v>
      </c>
      <c r="AS33" s="466">
        <f t="shared" si="66"/>
        <v>462711.4</v>
      </c>
      <c r="AT33" s="466">
        <f t="shared" si="66"/>
        <v>405648.9</v>
      </c>
      <c r="AU33" s="466">
        <f t="shared" si="66"/>
        <v>405648.9</v>
      </c>
      <c r="AV33" s="466">
        <f t="shared" si="66"/>
        <v>405648.9</v>
      </c>
      <c r="AW33" s="466">
        <f t="shared" si="66"/>
        <v>1679658.1</v>
      </c>
      <c r="AX33" s="466">
        <f t="shared" si="66"/>
        <v>405648.9</v>
      </c>
      <c r="AY33" s="466">
        <f t="shared" si="66"/>
        <v>405648.9</v>
      </c>
      <c r="AZ33" s="466">
        <f t="shared" si="66"/>
        <v>405648.9</v>
      </c>
      <c r="BA33" s="466">
        <f t="shared" si="66"/>
        <v>405648.9</v>
      </c>
      <c r="BB33" s="466">
        <f t="shared" si="66"/>
        <v>1622595.6</v>
      </c>
      <c r="BC33" s="466">
        <f t="shared" si="66"/>
        <v>165648.9</v>
      </c>
      <c r="BD33" s="466">
        <f t="shared" si="66"/>
        <v>165648.9</v>
      </c>
      <c r="BE33" s="466">
        <f t="shared" si="66"/>
        <v>0</v>
      </c>
      <c r="BF33" s="466">
        <f t="shared" si="66"/>
        <v>0</v>
      </c>
      <c r="BG33" s="466">
        <f t="shared" si="66"/>
        <v>331297.8</v>
      </c>
    </row>
    <row r="34" spans="1:61" s="12" customFormat="1" ht="17.25" customHeight="1">
      <c r="A34" s="143" t="str">
        <f>IF('3_Comp e Produtos'!B44="Sim",'3_Comp e Produtos'!A44,"NÃO SELECIONADO")</f>
        <v>3.1. Elaboração do plano estratégico de gestão da Secretaria-Geral</v>
      </c>
      <c r="B34" s="114">
        <v>40909</v>
      </c>
      <c r="C34" s="365">
        <v>3</v>
      </c>
      <c r="D34" s="270">
        <f t="shared" si="8"/>
        <v>40996</v>
      </c>
      <c r="E34" s="115"/>
      <c r="F34" s="115"/>
      <c r="G34" s="115" t="str">
        <f t="shared" si="63"/>
        <v xml:space="preserve"> </v>
      </c>
      <c r="H34" s="115" t="str">
        <f t="shared" si="63"/>
        <v xml:space="preserve"> </v>
      </c>
      <c r="I34" s="115" t="str">
        <f t="shared" si="63"/>
        <v>X</v>
      </c>
      <c r="J34" s="115" t="str">
        <f t="shared" si="63"/>
        <v xml:space="preserve"> </v>
      </c>
      <c r="K34" s="115" t="str">
        <f t="shared" si="63"/>
        <v xml:space="preserve"> </v>
      </c>
      <c r="L34" s="115" t="str">
        <f t="shared" si="63"/>
        <v xml:space="preserve"> </v>
      </c>
      <c r="M34" s="115" t="str">
        <f t="shared" si="63"/>
        <v xml:space="preserve"> </v>
      </c>
      <c r="N34" s="115" t="str">
        <f t="shared" si="63"/>
        <v xml:space="preserve"> </v>
      </c>
      <c r="O34" s="115" t="str">
        <f t="shared" si="63"/>
        <v xml:space="preserve"> </v>
      </c>
      <c r="P34" s="115" t="str">
        <f t="shared" si="63"/>
        <v xml:space="preserve"> </v>
      </c>
      <c r="Q34" s="115" t="str">
        <f t="shared" si="63"/>
        <v xml:space="preserve"> </v>
      </c>
      <c r="R34" s="115" t="str">
        <f t="shared" si="63"/>
        <v xml:space="preserve"> </v>
      </c>
      <c r="S34" s="115" t="str">
        <f t="shared" si="63"/>
        <v xml:space="preserve"> </v>
      </c>
      <c r="T34" s="115" t="str">
        <f t="shared" si="63"/>
        <v xml:space="preserve"> </v>
      </c>
      <c r="U34" s="115" t="str">
        <f t="shared" si="63"/>
        <v xml:space="preserve"> </v>
      </c>
      <c r="V34" s="115" t="str">
        <f t="shared" ref="V34:Z34" si="67">IF(AND($C34&lt;&gt;0,$A34&lt;&gt;"NÃO SELECIONADO"),IF(V$5&gt;=$B34,IF(V$5&lt;=$D34,"X"," ")," "),"")</f>
        <v xml:space="preserve"> </v>
      </c>
      <c r="W34" s="115" t="str">
        <f t="shared" si="67"/>
        <v xml:space="preserve"> </v>
      </c>
      <c r="X34" s="115" t="str">
        <f t="shared" si="67"/>
        <v xml:space="preserve"> </v>
      </c>
      <c r="Y34" s="115" t="str">
        <f t="shared" si="67"/>
        <v xml:space="preserve"> </v>
      </c>
      <c r="Z34" s="115" t="str">
        <f t="shared" si="67"/>
        <v xml:space="preserve"> </v>
      </c>
      <c r="AA34" s="115"/>
      <c r="AB34" s="115"/>
      <c r="AC34" s="467">
        <f>IF(A34&lt;&gt;"NÃO SELECIONADO",'6_Componente 3'!A9,0)</f>
        <v>144000</v>
      </c>
      <c r="AD34" s="119">
        <f t="shared" si="41"/>
        <v>0</v>
      </c>
      <c r="AE34" s="119">
        <f t="shared" si="41"/>
        <v>0</v>
      </c>
      <c r="AF34" s="119">
        <f t="shared" si="41"/>
        <v>0</v>
      </c>
      <c r="AG34" s="119">
        <f t="shared" si="41"/>
        <v>0</v>
      </c>
      <c r="AH34" s="120">
        <f t="shared" si="11"/>
        <v>0</v>
      </c>
      <c r="AI34" s="119">
        <f t="shared" si="42"/>
        <v>144000</v>
      </c>
      <c r="AJ34" s="119">
        <f t="shared" ref="AJ34:AJ39" si="68">IF(J34="X",$AC34/$C34*3,0)</f>
        <v>0</v>
      </c>
      <c r="AK34" s="119">
        <f t="shared" ref="AK34:AK39" si="69">IF(K34="X",$AC34/$C34*3,0)</f>
        <v>0</v>
      </c>
      <c r="AL34" s="119">
        <f t="shared" ref="AL34:AL39" si="70">IF(L34="X",$AC34/$C34*3,0)</f>
        <v>0</v>
      </c>
      <c r="AM34" s="120">
        <f t="shared" si="13"/>
        <v>144000</v>
      </c>
      <c r="AN34" s="119">
        <f t="shared" si="14"/>
        <v>0</v>
      </c>
      <c r="AO34" s="119">
        <f t="shared" ref="AO34:AO39" si="71">IF(N34="X",$AC34/$C34*3,0)</f>
        <v>0</v>
      </c>
      <c r="AP34" s="119">
        <f t="shared" ref="AP34:AP39" si="72">IF(O34="X",$AC34/$C34*3,0)</f>
        <v>0</v>
      </c>
      <c r="AQ34" s="119">
        <f t="shared" ref="AQ34:AQ39" si="73">IF(P34="X",$AC34/$C34*3,0)</f>
        <v>0</v>
      </c>
      <c r="AR34" s="120">
        <f t="shared" ref="AR34:AR39" si="74">SUM(AN34:AQ34)</f>
        <v>0</v>
      </c>
      <c r="AS34" s="119">
        <f t="shared" si="19"/>
        <v>0</v>
      </c>
      <c r="AT34" s="119">
        <f t="shared" ref="AT34:AT39" si="75">IF(R34="X",$AC34/$C34*3,0)</f>
        <v>0</v>
      </c>
      <c r="AU34" s="119">
        <f t="shared" ref="AU34:AU39" si="76">IF(S34="X",$AC34/$C34*3,0)</f>
        <v>0</v>
      </c>
      <c r="AV34" s="119">
        <f t="shared" ref="AV34:AV39" si="77">IF(T34="X",$AC34/$C34*3,0)</f>
        <v>0</v>
      </c>
      <c r="AW34" s="120">
        <f t="shared" ref="AW34:AW39" si="78">SUM(AS34:AV34)</f>
        <v>0</v>
      </c>
      <c r="AX34" s="119">
        <f t="shared" si="24"/>
        <v>0</v>
      </c>
      <c r="AY34" s="119">
        <f t="shared" ref="AY34:AY39" si="79">IF(V34="X",$AC34/$C34*3,0)</f>
        <v>0</v>
      </c>
      <c r="AZ34" s="119">
        <f t="shared" ref="AZ34:AZ39" si="80">IF(W34="X",$AC34/$C34*3,0)</f>
        <v>0</v>
      </c>
      <c r="BA34" s="119">
        <f t="shared" ref="BA34:BA39" si="81">IF(X34="X",$AC34/$C34*3,0)</f>
        <v>0</v>
      </c>
      <c r="BB34" s="120">
        <f t="shared" ref="BB34:BB39" si="82">SUM(AX34:BA34)</f>
        <v>0</v>
      </c>
      <c r="BC34" s="119">
        <f t="shared" ref="BC34:BC39" si="83">IF(Y34="X",$AC34/$C34*3,0)</f>
        <v>0</v>
      </c>
      <c r="BD34" s="119">
        <f t="shared" ref="BD34:BD39" si="84">IF(Z34="X",$AC34/$C34*3,0)</f>
        <v>0</v>
      </c>
      <c r="BE34" s="119">
        <f t="shared" ref="BE34:BE39" si="85">IF(AA34="X",$AC34/$C34*3,0)</f>
        <v>0</v>
      </c>
      <c r="BF34" s="119">
        <f t="shared" ref="BF34:BF39" si="86">IF(AB34="X",$AC34/$C34*3,0)</f>
        <v>0</v>
      </c>
      <c r="BG34" s="120">
        <f t="shared" ref="BG34:BG39" si="87">SUM(BC34:BF34)</f>
        <v>0</v>
      </c>
    </row>
    <row r="35" spans="1:61" s="12" customFormat="1">
      <c r="A35" s="718" t="str">
        <f>IF('3_Comp e Produtos'!B45="Sim",'3_Comp e Produtos'!A45,"NÃO SELECIONADO")</f>
        <v xml:space="preserve">3.2. Reestruturação dos fluxos de trabalho dos processos administrativos </v>
      </c>
      <c r="B35" s="719">
        <v>41091</v>
      </c>
      <c r="C35" s="720">
        <v>48</v>
      </c>
      <c r="D35" s="721">
        <f t="shared" si="8"/>
        <v>42531</v>
      </c>
      <c r="E35" s="717"/>
      <c r="F35" s="717"/>
      <c r="G35" s="717" t="str">
        <f t="shared" ref="G35:Z39" si="88">IF(AND($C35&lt;&gt;0,$A35&lt;&gt;"NÃO SELECIONADO"),IF(G$5&gt;=$B35,IF(G$5&lt;=$D35,"X"," ")," "),"")</f>
        <v xml:space="preserve"> </v>
      </c>
      <c r="H35" s="717" t="str">
        <f t="shared" si="88"/>
        <v xml:space="preserve"> </v>
      </c>
      <c r="I35" s="717"/>
      <c r="J35" s="717"/>
      <c r="K35" s="717" t="str">
        <f t="shared" si="88"/>
        <v>X</v>
      </c>
      <c r="L35" s="717" t="str">
        <f t="shared" si="88"/>
        <v>X</v>
      </c>
      <c r="M35" s="717" t="str">
        <f t="shared" si="88"/>
        <v>X</v>
      </c>
      <c r="N35" s="717" t="str">
        <f t="shared" si="88"/>
        <v>X</v>
      </c>
      <c r="O35" s="717" t="str">
        <f t="shared" si="88"/>
        <v>X</v>
      </c>
      <c r="P35" s="717" t="str">
        <f t="shared" si="88"/>
        <v>X</v>
      </c>
      <c r="Q35" s="717" t="str">
        <f t="shared" si="88"/>
        <v>X</v>
      </c>
      <c r="R35" s="717" t="str">
        <f t="shared" si="88"/>
        <v>X</v>
      </c>
      <c r="S35" s="717" t="str">
        <f t="shared" si="88"/>
        <v>X</v>
      </c>
      <c r="T35" s="717" t="str">
        <f t="shared" si="88"/>
        <v>X</v>
      </c>
      <c r="U35" s="717" t="str">
        <f t="shared" si="88"/>
        <v>X</v>
      </c>
      <c r="V35" s="717" t="str">
        <f t="shared" si="88"/>
        <v>X</v>
      </c>
      <c r="W35" s="717" t="str">
        <f t="shared" si="88"/>
        <v>X</v>
      </c>
      <c r="X35" s="717" t="str">
        <f t="shared" si="88"/>
        <v>X</v>
      </c>
      <c r="Y35" s="717" t="str">
        <f t="shared" si="88"/>
        <v>X</v>
      </c>
      <c r="Z35" s="717" t="str">
        <f t="shared" si="88"/>
        <v>X</v>
      </c>
      <c r="AA35" s="717"/>
      <c r="AB35" s="717"/>
      <c r="AC35" s="714">
        <f>IF(A35&lt;&gt;"NÃO SELECIONADO",'6_Componente 3'!A14,0)</f>
        <v>912000</v>
      </c>
      <c r="AD35" s="715">
        <f t="shared" si="41"/>
        <v>0</v>
      </c>
      <c r="AE35" s="715">
        <f t="shared" si="41"/>
        <v>0</v>
      </c>
      <c r="AF35" s="715">
        <f t="shared" si="41"/>
        <v>0</v>
      </c>
      <c r="AG35" s="715">
        <f t="shared" si="41"/>
        <v>0</v>
      </c>
      <c r="AH35" s="716">
        <f t="shared" si="11"/>
        <v>0</v>
      </c>
      <c r="AI35" s="715">
        <f t="shared" si="42"/>
        <v>0</v>
      </c>
      <c r="AJ35" s="715">
        <f t="shared" si="68"/>
        <v>0</v>
      </c>
      <c r="AK35" s="715">
        <f t="shared" si="69"/>
        <v>57000</v>
      </c>
      <c r="AL35" s="715">
        <f t="shared" si="70"/>
        <v>57000</v>
      </c>
      <c r="AM35" s="716">
        <f>SUM(AI35:AL35)</f>
        <v>114000</v>
      </c>
      <c r="AN35" s="715">
        <f t="shared" si="14"/>
        <v>57000</v>
      </c>
      <c r="AO35" s="715">
        <f t="shared" si="71"/>
        <v>57000</v>
      </c>
      <c r="AP35" s="715">
        <f t="shared" si="72"/>
        <v>57000</v>
      </c>
      <c r="AQ35" s="715">
        <f t="shared" si="73"/>
        <v>57000</v>
      </c>
      <c r="AR35" s="716">
        <f t="shared" si="74"/>
        <v>228000</v>
      </c>
      <c r="AS35" s="715">
        <f t="shared" si="19"/>
        <v>57000</v>
      </c>
      <c r="AT35" s="715">
        <f t="shared" si="75"/>
        <v>57000</v>
      </c>
      <c r="AU35" s="715">
        <f t="shared" si="76"/>
        <v>57000</v>
      </c>
      <c r="AV35" s="715">
        <f t="shared" si="77"/>
        <v>57000</v>
      </c>
      <c r="AW35" s="716">
        <f t="shared" si="78"/>
        <v>228000</v>
      </c>
      <c r="AX35" s="715">
        <f t="shared" si="24"/>
        <v>57000</v>
      </c>
      <c r="AY35" s="715">
        <f t="shared" si="79"/>
        <v>57000</v>
      </c>
      <c r="AZ35" s="715">
        <f t="shared" si="80"/>
        <v>57000</v>
      </c>
      <c r="BA35" s="715">
        <f t="shared" si="81"/>
        <v>57000</v>
      </c>
      <c r="BB35" s="716">
        <f t="shared" si="82"/>
        <v>228000</v>
      </c>
      <c r="BC35" s="715">
        <f t="shared" si="83"/>
        <v>57000</v>
      </c>
      <c r="BD35" s="715">
        <f t="shared" si="84"/>
        <v>57000</v>
      </c>
      <c r="BE35" s="715">
        <f t="shared" si="85"/>
        <v>0</v>
      </c>
      <c r="BF35" s="715">
        <f t="shared" si="86"/>
        <v>0</v>
      </c>
      <c r="BG35" s="716">
        <f t="shared" si="87"/>
        <v>114000</v>
      </c>
    </row>
    <row r="36" spans="1:61" s="12" customFormat="1">
      <c r="A36" s="143" t="str">
        <f>IF('3_Comp e Produtos'!B46="Sim",'3_Comp e Produtos'!A46,"NÃO SELECIONADO")</f>
        <v>3.3. Implementação dos centros de custos</v>
      </c>
      <c r="B36" s="114">
        <v>41000</v>
      </c>
      <c r="C36" s="365">
        <v>24</v>
      </c>
      <c r="D36" s="270">
        <f t="shared" si="8"/>
        <v>41720</v>
      </c>
      <c r="E36" s="115"/>
      <c r="F36" s="115"/>
      <c r="G36" s="115" t="str">
        <f t="shared" si="88"/>
        <v xml:space="preserve"> </v>
      </c>
      <c r="H36" s="115" t="str">
        <f t="shared" si="88"/>
        <v xml:space="preserve"> </v>
      </c>
      <c r="I36" s="115" t="str">
        <f t="shared" si="88"/>
        <v xml:space="preserve"> </v>
      </c>
      <c r="J36" s="115" t="str">
        <f t="shared" si="88"/>
        <v>X</v>
      </c>
      <c r="K36" s="115" t="str">
        <f t="shared" si="88"/>
        <v>X</v>
      </c>
      <c r="L36" s="115" t="str">
        <f t="shared" si="88"/>
        <v>X</v>
      </c>
      <c r="M36" s="115" t="str">
        <f t="shared" si="88"/>
        <v>X</v>
      </c>
      <c r="N36" s="115" t="str">
        <f t="shared" si="88"/>
        <v>X</v>
      </c>
      <c r="O36" s="115" t="str">
        <f t="shared" si="88"/>
        <v>X</v>
      </c>
      <c r="P36" s="115" t="str">
        <f t="shared" si="88"/>
        <v>X</v>
      </c>
      <c r="Q36" s="115" t="str">
        <f t="shared" si="88"/>
        <v>X</v>
      </c>
      <c r="R36" s="115" t="str">
        <f t="shared" si="88"/>
        <v xml:space="preserve"> </v>
      </c>
      <c r="S36" s="115" t="str">
        <f t="shared" si="88"/>
        <v xml:space="preserve"> </v>
      </c>
      <c r="T36" s="115" t="str">
        <f t="shared" si="88"/>
        <v xml:space="preserve"> </v>
      </c>
      <c r="U36" s="115" t="str">
        <f t="shared" si="88"/>
        <v xml:space="preserve"> </v>
      </c>
      <c r="V36" s="115" t="str">
        <f t="shared" si="88"/>
        <v xml:space="preserve"> </v>
      </c>
      <c r="W36" s="115" t="str">
        <f t="shared" si="88"/>
        <v xml:space="preserve"> </v>
      </c>
      <c r="X36" s="115" t="str">
        <f t="shared" si="88"/>
        <v xml:space="preserve"> </v>
      </c>
      <c r="Y36" s="115" t="str">
        <f t="shared" si="88"/>
        <v xml:space="preserve"> </v>
      </c>
      <c r="Z36" s="115" t="str">
        <f t="shared" si="88"/>
        <v xml:space="preserve"> </v>
      </c>
      <c r="AA36" s="115"/>
      <c r="AB36" s="115"/>
      <c r="AC36" s="467">
        <f>IF(A36&lt;&gt;"NÃO SELECIONADO",'6_Componente 3'!A19,0)</f>
        <v>456500</v>
      </c>
      <c r="AD36" s="119">
        <f t="shared" si="41"/>
        <v>0</v>
      </c>
      <c r="AE36" s="119">
        <f t="shared" si="41"/>
        <v>0</v>
      </c>
      <c r="AF36" s="119">
        <f t="shared" si="41"/>
        <v>0</v>
      </c>
      <c r="AG36" s="119">
        <f t="shared" si="41"/>
        <v>0</v>
      </c>
      <c r="AH36" s="120">
        <f t="shared" si="11"/>
        <v>0</v>
      </c>
      <c r="AI36" s="119">
        <f t="shared" si="42"/>
        <v>0</v>
      </c>
      <c r="AJ36" s="119">
        <f t="shared" si="68"/>
        <v>57062.5</v>
      </c>
      <c r="AK36" s="119">
        <f t="shared" si="69"/>
        <v>57062.5</v>
      </c>
      <c r="AL36" s="119">
        <f t="shared" si="70"/>
        <v>57062.5</v>
      </c>
      <c r="AM36" s="120">
        <f t="shared" si="13"/>
        <v>171187.5</v>
      </c>
      <c r="AN36" s="119">
        <f t="shared" si="14"/>
        <v>57062.5</v>
      </c>
      <c r="AO36" s="119">
        <f t="shared" si="71"/>
        <v>57062.5</v>
      </c>
      <c r="AP36" s="119">
        <f t="shared" si="72"/>
        <v>57062.5</v>
      </c>
      <c r="AQ36" s="119">
        <f t="shared" si="73"/>
        <v>57062.5</v>
      </c>
      <c r="AR36" s="120">
        <f t="shared" si="74"/>
        <v>228250</v>
      </c>
      <c r="AS36" s="119">
        <f t="shared" si="19"/>
        <v>57062.5</v>
      </c>
      <c r="AT36" s="119">
        <f t="shared" si="75"/>
        <v>0</v>
      </c>
      <c r="AU36" s="119">
        <f t="shared" si="76"/>
        <v>0</v>
      </c>
      <c r="AV36" s="119">
        <f t="shared" si="77"/>
        <v>0</v>
      </c>
      <c r="AW36" s="120">
        <f t="shared" si="78"/>
        <v>57062.5</v>
      </c>
      <c r="AX36" s="119">
        <f t="shared" si="24"/>
        <v>0</v>
      </c>
      <c r="AY36" s="119">
        <f t="shared" si="79"/>
        <v>0</v>
      </c>
      <c r="AZ36" s="119">
        <f t="shared" si="80"/>
        <v>0</v>
      </c>
      <c r="BA36" s="119">
        <f t="shared" si="81"/>
        <v>0</v>
      </c>
      <c r="BB36" s="120">
        <f t="shared" si="82"/>
        <v>0</v>
      </c>
      <c r="BC36" s="119">
        <f t="shared" si="83"/>
        <v>0</v>
      </c>
      <c r="BD36" s="119">
        <f t="shared" si="84"/>
        <v>0</v>
      </c>
      <c r="BE36" s="119">
        <f t="shared" si="85"/>
        <v>0</v>
      </c>
      <c r="BF36" s="119">
        <f t="shared" si="86"/>
        <v>0</v>
      </c>
      <c r="BG36" s="120">
        <f t="shared" si="87"/>
        <v>0</v>
      </c>
    </row>
    <row r="37" spans="1:61" s="12" customFormat="1" ht="28.15" customHeight="1">
      <c r="A37" s="718" t="str">
        <f>IF('3_Comp e Produtos'!B47="Sim",'3_Comp e Produtos'!A47,"NÃO SELECIONADO")</f>
        <v>3.4. Revisão do modelo de gestão logística territorial e avaliação da implementação</v>
      </c>
      <c r="B37" s="719">
        <v>41091</v>
      </c>
      <c r="C37" s="720">
        <v>48</v>
      </c>
      <c r="D37" s="721">
        <f t="shared" si="8"/>
        <v>42531</v>
      </c>
      <c r="E37" s="717"/>
      <c r="F37" s="717"/>
      <c r="G37" s="717" t="str">
        <f t="shared" si="88"/>
        <v xml:space="preserve"> </v>
      </c>
      <c r="H37" s="717" t="str">
        <f t="shared" si="88"/>
        <v xml:space="preserve"> </v>
      </c>
      <c r="I37" s="717" t="str">
        <f t="shared" si="88"/>
        <v xml:space="preserve"> </v>
      </c>
      <c r="J37" s="717" t="str">
        <f t="shared" si="88"/>
        <v xml:space="preserve"> </v>
      </c>
      <c r="K37" s="717" t="str">
        <f t="shared" si="88"/>
        <v>X</v>
      </c>
      <c r="L37" s="717" t="str">
        <f t="shared" si="88"/>
        <v>X</v>
      </c>
      <c r="M37" s="717" t="str">
        <f t="shared" si="88"/>
        <v>X</v>
      </c>
      <c r="N37" s="717" t="str">
        <f t="shared" si="88"/>
        <v>X</v>
      </c>
      <c r="O37" s="717" t="str">
        <f t="shared" si="88"/>
        <v>X</v>
      </c>
      <c r="P37" s="717" t="str">
        <f t="shared" si="88"/>
        <v>X</v>
      </c>
      <c r="Q37" s="717" t="str">
        <f t="shared" si="88"/>
        <v>X</v>
      </c>
      <c r="R37" s="717" t="str">
        <f t="shared" si="88"/>
        <v>X</v>
      </c>
      <c r="S37" s="717" t="str">
        <f t="shared" si="88"/>
        <v>X</v>
      </c>
      <c r="T37" s="717" t="str">
        <f t="shared" si="88"/>
        <v>X</v>
      </c>
      <c r="U37" s="717" t="str">
        <f t="shared" si="88"/>
        <v>X</v>
      </c>
      <c r="V37" s="717" t="str">
        <f t="shared" si="88"/>
        <v>X</v>
      </c>
      <c r="W37" s="717" t="str">
        <f t="shared" si="88"/>
        <v>X</v>
      </c>
      <c r="X37" s="717" t="str">
        <f t="shared" si="88"/>
        <v>X</v>
      </c>
      <c r="Y37" s="717" t="str">
        <f t="shared" si="88"/>
        <v>X</v>
      </c>
      <c r="Z37" s="717" t="str">
        <f t="shared" si="88"/>
        <v>X</v>
      </c>
      <c r="AA37" s="717"/>
      <c r="AB37" s="717"/>
      <c r="AC37" s="714">
        <f>IF(A37&lt;&gt;"NÃO SELECIONADO",'6_Componente 3'!A24,0)</f>
        <v>456500</v>
      </c>
      <c r="AD37" s="715">
        <f t="shared" si="41"/>
        <v>0</v>
      </c>
      <c r="AE37" s="715">
        <f t="shared" si="41"/>
        <v>0</v>
      </c>
      <c r="AF37" s="715">
        <f t="shared" si="41"/>
        <v>0</v>
      </c>
      <c r="AG37" s="715">
        <f t="shared" si="41"/>
        <v>0</v>
      </c>
      <c r="AH37" s="716">
        <f t="shared" si="11"/>
        <v>0</v>
      </c>
      <c r="AI37" s="715">
        <f t="shared" si="42"/>
        <v>0</v>
      </c>
      <c r="AJ37" s="715">
        <f t="shared" si="68"/>
        <v>0</v>
      </c>
      <c r="AK37" s="715">
        <f t="shared" si="69"/>
        <v>28531.25</v>
      </c>
      <c r="AL37" s="715">
        <f t="shared" si="70"/>
        <v>28531.25</v>
      </c>
      <c r="AM37" s="716">
        <f t="shared" si="13"/>
        <v>57062.5</v>
      </c>
      <c r="AN37" s="715">
        <f t="shared" si="14"/>
        <v>28531.25</v>
      </c>
      <c r="AO37" s="715">
        <f t="shared" si="71"/>
        <v>28531.25</v>
      </c>
      <c r="AP37" s="715">
        <f t="shared" si="72"/>
        <v>28531.25</v>
      </c>
      <c r="AQ37" s="715">
        <f t="shared" si="73"/>
        <v>28531.25</v>
      </c>
      <c r="AR37" s="716">
        <f t="shared" si="74"/>
        <v>114125</v>
      </c>
      <c r="AS37" s="715">
        <f t="shared" si="19"/>
        <v>28531.25</v>
      </c>
      <c r="AT37" s="715">
        <f t="shared" si="75"/>
        <v>28531.25</v>
      </c>
      <c r="AU37" s="715">
        <f t="shared" si="76"/>
        <v>28531.25</v>
      </c>
      <c r="AV37" s="715">
        <f t="shared" si="77"/>
        <v>28531.25</v>
      </c>
      <c r="AW37" s="716">
        <f t="shared" si="78"/>
        <v>114125</v>
      </c>
      <c r="AX37" s="715">
        <f t="shared" si="24"/>
        <v>28531.25</v>
      </c>
      <c r="AY37" s="715">
        <f t="shared" si="79"/>
        <v>28531.25</v>
      </c>
      <c r="AZ37" s="715">
        <f t="shared" si="80"/>
        <v>28531.25</v>
      </c>
      <c r="BA37" s="715">
        <f t="shared" si="81"/>
        <v>28531.25</v>
      </c>
      <c r="BB37" s="716">
        <f t="shared" si="82"/>
        <v>114125</v>
      </c>
      <c r="BC37" s="715">
        <f t="shared" si="83"/>
        <v>28531.25</v>
      </c>
      <c r="BD37" s="715">
        <f t="shared" si="84"/>
        <v>28531.25</v>
      </c>
      <c r="BE37" s="715">
        <f t="shared" si="85"/>
        <v>0</v>
      </c>
      <c r="BF37" s="715">
        <f t="shared" si="86"/>
        <v>0</v>
      </c>
      <c r="BG37" s="716">
        <f t="shared" si="87"/>
        <v>57062.5</v>
      </c>
    </row>
    <row r="38" spans="1:61" s="12" customFormat="1" ht="25.5">
      <c r="A38" s="718" t="str">
        <f>IF('3_Comp e Produtos'!B48="Sim",'3_Comp e Produtos'!A48,"NÃO SELECIONADO")</f>
        <v xml:space="preserve">3.5. Implantação de Sistema Integrado de Gestão Administrativa, sincronizado ao SIAFI </v>
      </c>
      <c r="B38" s="719">
        <v>41000</v>
      </c>
      <c r="C38" s="720">
        <v>51</v>
      </c>
      <c r="D38" s="721">
        <f t="shared" si="8"/>
        <v>42530</v>
      </c>
      <c r="E38" s="717"/>
      <c r="F38" s="717"/>
      <c r="G38" s="717" t="str">
        <f t="shared" si="88"/>
        <v xml:space="preserve"> </v>
      </c>
      <c r="H38" s="717" t="str">
        <f t="shared" si="88"/>
        <v xml:space="preserve"> </v>
      </c>
      <c r="I38" s="717" t="str">
        <f t="shared" si="88"/>
        <v xml:space="preserve"> </v>
      </c>
      <c r="J38" s="717" t="str">
        <f t="shared" si="88"/>
        <v>X</v>
      </c>
      <c r="K38" s="717" t="str">
        <f t="shared" si="88"/>
        <v>X</v>
      </c>
      <c r="L38" s="717" t="str">
        <f t="shared" si="88"/>
        <v>X</v>
      </c>
      <c r="M38" s="717" t="str">
        <f t="shared" si="88"/>
        <v>X</v>
      </c>
      <c r="N38" s="717" t="str">
        <f t="shared" si="88"/>
        <v>X</v>
      </c>
      <c r="O38" s="717" t="str">
        <f t="shared" si="88"/>
        <v>X</v>
      </c>
      <c r="P38" s="717" t="str">
        <f t="shared" si="88"/>
        <v>X</v>
      </c>
      <c r="Q38" s="717" t="str">
        <f t="shared" si="88"/>
        <v>X</v>
      </c>
      <c r="R38" s="717" t="str">
        <f t="shared" si="88"/>
        <v>X</v>
      </c>
      <c r="S38" s="717" t="str">
        <f t="shared" si="88"/>
        <v>X</v>
      </c>
      <c r="T38" s="717" t="str">
        <f t="shared" si="88"/>
        <v>X</v>
      </c>
      <c r="U38" s="717" t="str">
        <f t="shared" si="88"/>
        <v>X</v>
      </c>
      <c r="V38" s="717" t="str">
        <f t="shared" si="88"/>
        <v>X</v>
      </c>
      <c r="W38" s="717" t="str">
        <f t="shared" si="88"/>
        <v>X</v>
      </c>
      <c r="X38" s="717" t="str">
        <f t="shared" si="88"/>
        <v>X</v>
      </c>
      <c r="Y38" s="717" t="str">
        <f t="shared" si="88"/>
        <v>X</v>
      </c>
      <c r="Z38" s="717" t="str">
        <f t="shared" si="88"/>
        <v>X</v>
      </c>
      <c r="AA38" s="717"/>
      <c r="AB38" s="717"/>
      <c r="AC38" s="714">
        <f>IF(A38&lt;&gt;"NÃO SELECIONADO",'6_Componente 3'!A31,0)</f>
        <v>1362000</v>
      </c>
      <c r="AD38" s="715">
        <f t="shared" si="41"/>
        <v>0</v>
      </c>
      <c r="AE38" s="715">
        <f t="shared" si="41"/>
        <v>0</v>
      </c>
      <c r="AF38" s="715">
        <f t="shared" si="41"/>
        <v>0</v>
      </c>
      <c r="AG38" s="715">
        <f t="shared" si="41"/>
        <v>0</v>
      </c>
      <c r="AH38" s="716">
        <f t="shared" si="11"/>
        <v>0</v>
      </c>
      <c r="AI38" s="715">
        <f t="shared" si="42"/>
        <v>0</v>
      </c>
      <c r="AJ38" s="715">
        <f t="shared" si="68"/>
        <v>80117.649999999994</v>
      </c>
      <c r="AK38" s="715">
        <f t="shared" si="69"/>
        <v>80117.649999999994</v>
      </c>
      <c r="AL38" s="715">
        <f t="shared" si="70"/>
        <v>80117.649999999994</v>
      </c>
      <c r="AM38" s="716">
        <f t="shared" si="13"/>
        <v>240352.95</v>
      </c>
      <c r="AN38" s="715">
        <f t="shared" si="14"/>
        <v>80117.649999999994</v>
      </c>
      <c r="AO38" s="715">
        <f t="shared" si="71"/>
        <v>80117.649999999994</v>
      </c>
      <c r="AP38" s="715">
        <f t="shared" si="72"/>
        <v>80117.649999999994</v>
      </c>
      <c r="AQ38" s="715">
        <f t="shared" si="73"/>
        <v>80117.649999999994</v>
      </c>
      <c r="AR38" s="716">
        <f t="shared" si="74"/>
        <v>320470.59999999998</v>
      </c>
      <c r="AS38" s="715">
        <f t="shared" si="19"/>
        <v>80117.649999999994</v>
      </c>
      <c r="AT38" s="715">
        <f t="shared" si="75"/>
        <v>80117.649999999994</v>
      </c>
      <c r="AU38" s="715">
        <f t="shared" si="76"/>
        <v>80117.649999999994</v>
      </c>
      <c r="AV38" s="715">
        <f t="shared" si="77"/>
        <v>80117.649999999994</v>
      </c>
      <c r="AW38" s="716">
        <f t="shared" si="78"/>
        <v>320470.59999999998</v>
      </c>
      <c r="AX38" s="715">
        <f t="shared" si="24"/>
        <v>80117.649999999994</v>
      </c>
      <c r="AY38" s="715">
        <f t="shared" si="79"/>
        <v>80117.649999999994</v>
      </c>
      <c r="AZ38" s="715">
        <f t="shared" si="80"/>
        <v>80117.649999999994</v>
      </c>
      <c r="BA38" s="715">
        <f t="shared" si="81"/>
        <v>80117.649999999994</v>
      </c>
      <c r="BB38" s="716">
        <f t="shared" si="82"/>
        <v>320470.59999999998</v>
      </c>
      <c r="BC38" s="715">
        <f t="shared" si="83"/>
        <v>80117.649999999994</v>
      </c>
      <c r="BD38" s="715">
        <f t="shared" si="84"/>
        <v>80117.649999999994</v>
      </c>
      <c r="BE38" s="715">
        <f t="shared" si="85"/>
        <v>0</v>
      </c>
      <c r="BF38" s="715">
        <f t="shared" si="86"/>
        <v>0</v>
      </c>
      <c r="BG38" s="716">
        <f t="shared" si="87"/>
        <v>160235.29999999999</v>
      </c>
    </row>
    <row r="39" spans="1:61" s="12" customFormat="1" ht="29.45" customHeight="1">
      <c r="A39" s="143" t="str">
        <f>IF('3_Comp e Produtos'!B49="Sim",'3_Comp e Produtos'!A49,"NÃO SELECIONADO")</f>
        <v>3.6. Definição conceitual, desenho e implementação do modelo de gestão por competências da AGU</v>
      </c>
      <c r="B39" s="114">
        <v>41640</v>
      </c>
      <c r="C39" s="365">
        <v>24</v>
      </c>
      <c r="D39" s="270">
        <f t="shared" si="8"/>
        <v>42360</v>
      </c>
      <c r="E39" s="115"/>
      <c r="F39" s="115"/>
      <c r="G39" s="115" t="str">
        <f t="shared" si="88"/>
        <v xml:space="preserve"> </v>
      </c>
      <c r="H39" s="115" t="str">
        <f t="shared" si="88"/>
        <v xml:space="preserve"> </v>
      </c>
      <c r="I39" s="115" t="str">
        <f t="shared" si="88"/>
        <v xml:space="preserve"> </v>
      </c>
      <c r="J39" s="115" t="str">
        <f t="shared" si="88"/>
        <v xml:space="preserve"> </v>
      </c>
      <c r="K39" s="115" t="str">
        <f t="shared" si="88"/>
        <v xml:space="preserve"> </v>
      </c>
      <c r="L39" s="115" t="str">
        <f t="shared" si="88"/>
        <v xml:space="preserve"> </v>
      </c>
      <c r="M39" s="115" t="str">
        <f t="shared" si="88"/>
        <v xml:space="preserve"> </v>
      </c>
      <c r="N39" s="115" t="str">
        <f t="shared" si="88"/>
        <v xml:space="preserve"> </v>
      </c>
      <c r="O39" s="115" t="str">
        <f t="shared" si="88"/>
        <v xml:space="preserve"> </v>
      </c>
      <c r="P39" s="115" t="str">
        <f t="shared" si="88"/>
        <v xml:space="preserve"> </v>
      </c>
      <c r="Q39" s="115" t="str">
        <f t="shared" si="88"/>
        <v>X</v>
      </c>
      <c r="R39" s="115" t="str">
        <f t="shared" si="88"/>
        <v>X</v>
      </c>
      <c r="S39" s="115" t="str">
        <f t="shared" si="88"/>
        <v>X</v>
      </c>
      <c r="T39" s="115" t="str">
        <f t="shared" si="88"/>
        <v>X</v>
      </c>
      <c r="U39" s="115" t="str">
        <f t="shared" si="88"/>
        <v>X</v>
      </c>
      <c r="V39" s="115" t="str">
        <f t="shared" si="88"/>
        <v>X</v>
      </c>
      <c r="W39" s="115" t="str">
        <f t="shared" si="88"/>
        <v>X</v>
      </c>
      <c r="X39" s="115" t="str">
        <f t="shared" si="88"/>
        <v>X</v>
      </c>
      <c r="Y39" s="115" t="str">
        <f t="shared" si="88"/>
        <v xml:space="preserve"> </v>
      </c>
      <c r="Z39" s="115" t="str">
        <f t="shared" si="88"/>
        <v xml:space="preserve"> </v>
      </c>
      <c r="AA39" s="115"/>
      <c r="AB39" s="115"/>
      <c r="AC39" s="467">
        <f>IF(A39&lt;&gt;"NÃO SELECIONADO",'6_Componente 3'!A36,0)</f>
        <v>1920000</v>
      </c>
      <c r="AD39" s="119">
        <f t="shared" si="41"/>
        <v>0</v>
      </c>
      <c r="AE39" s="119">
        <f t="shared" si="41"/>
        <v>0</v>
      </c>
      <c r="AF39" s="119">
        <f t="shared" si="41"/>
        <v>0</v>
      </c>
      <c r="AG39" s="119">
        <f t="shared" si="41"/>
        <v>0</v>
      </c>
      <c r="AH39" s="120">
        <f t="shared" si="11"/>
        <v>0</v>
      </c>
      <c r="AI39" s="119">
        <f t="shared" si="42"/>
        <v>0</v>
      </c>
      <c r="AJ39" s="119">
        <f t="shared" si="68"/>
        <v>0</v>
      </c>
      <c r="AK39" s="119">
        <f t="shared" si="69"/>
        <v>0</v>
      </c>
      <c r="AL39" s="119">
        <f t="shared" si="70"/>
        <v>0</v>
      </c>
      <c r="AM39" s="120">
        <f t="shared" si="13"/>
        <v>0</v>
      </c>
      <c r="AN39" s="119">
        <f t="shared" si="14"/>
        <v>0</v>
      </c>
      <c r="AO39" s="119">
        <f t="shared" si="71"/>
        <v>0</v>
      </c>
      <c r="AP39" s="119">
        <f t="shared" si="72"/>
        <v>0</v>
      </c>
      <c r="AQ39" s="119">
        <f t="shared" si="73"/>
        <v>0</v>
      </c>
      <c r="AR39" s="120">
        <f t="shared" si="74"/>
        <v>0</v>
      </c>
      <c r="AS39" s="119">
        <f t="shared" si="19"/>
        <v>240000</v>
      </c>
      <c r="AT39" s="119">
        <f t="shared" si="75"/>
        <v>240000</v>
      </c>
      <c r="AU39" s="119">
        <f t="shared" si="76"/>
        <v>240000</v>
      </c>
      <c r="AV39" s="119">
        <f t="shared" si="77"/>
        <v>240000</v>
      </c>
      <c r="AW39" s="120">
        <f t="shared" si="78"/>
        <v>960000</v>
      </c>
      <c r="AX39" s="119">
        <f t="shared" si="24"/>
        <v>240000</v>
      </c>
      <c r="AY39" s="119">
        <f t="shared" si="79"/>
        <v>240000</v>
      </c>
      <c r="AZ39" s="119">
        <f t="shared" si="80"/>
        <v>240000</v>
      </c>
      <c r="BA39" s="119">
        <f t="shared" si="81"/>
        <v>240000</v>
      </c>
      <c r="BB39" s="120">
        <f t="shared" si="82"/>
        <v>960000</v>
      </c>
      <c r="BC39" s="119">
        <f t="shared" si="83"/>
        <v>0</v>
      </c>
      <c r="BD39" s="119">
        <f t="shared" si="84"/>
        <v>0</v>
      </c>
      <c r="BE39" s="119">
        <f t="shared" si="85"/>
        <v>0</v>
      </c>
      <c r="BF39" s="119">
        <f t="shared" si="86"/>
        <v>0</v>
      </c>
      <c r="BG39" s="120">
        <f t="shared" si="87"/>
        <v>0</v>
      </c>
    </row>
    <row r="40" spans="1:61" s="12" customFormat="1" ht="16.899999999999999" customHeight="1">
      <c r="A40" s="451" t="str">
        <f>'3_Comp e Produtos'!A52</f>
        <v>ADMINISTRAÇÃO</v>
      </c>
      <c r="B40" s="445">
        <f>MIN(B41:B42)</f>
        <v>40909</v>
      </c>
      <c r="C40" s="446">
        <f>IF(INT((D40-B40)/30)+1&gt;21,INT((D40-B40)/30),INT((D40-B40)/30)+1)</f>
        <v>54</v>
      </c>
      <c r="D40" s="445">
        <f>MAX(D41:D42)</f>
        <v>42540</v>
      </c>
      <c r="E40" s="447" t="str">
        <f t="shared" ref="E40:AB40" si="89">IF(COUNTIF(E41:E42,"X")&lt;&gt;0,"X","")</f>
        <v/>
      </c>
      <c r="F40" s="447" t="str">
        <f t="shared" si="89"/>
        <v/>
      </c>
      <c r="G40" s="447" t="str">
        <f t="shared" si="89"/>
        <v/>
      </c>
      <c r="H40" s="447" t="str">
        <f t="shared" si="89"/>
        <v/>
      </c>
      <c r="I40" s="447" t="str">
        <f t="shared" si="89"/>
        <v>X</v>
      </c>
      <c r="J40" s="447" t="str">
        <f t="shared" si="89"/>
        <v>X</v>
      </c>
      <c r="K40" s="447" t="str">
        <f t="shared" si="89"/>
        <v>X</v>
      </c>
      <c r="L40" s="447" t="str">
        <f t="shared" si="89"/>
        <v>X</v>
      </c>
      <c r="M40" s="447" t="str">
        <f t="shared" si="89"/>
        <v>X</v>
      </c>
      <c r="N40" s="447" t="str">
        <f t="shared" si="89"/>
        <v>X</v>
      </c>
      <c r="O40" s="447" t="str">
        <f t="shared" si="89"/>
        <v>X</v>
      </c>
      <c r="P40" s="447" t="str">
        <f t="shared" si="89"/>
        <v>X</v>
      </c>
      <c r="Q40" s="447" t="str">
        <f t="shared" si="89"/>
        <v>X</v>
      </c>
      <c r="R40" s="447" t="str">
        <f t="shared" si="89"/>
        <v>X</v>
      </c>
      <c r="S40" s="447" t="str">
        <f t="shared" si="89"/>
        <v>X</v>
      </c>
      <c r="T40" s="447" t="str">
        <f t="shared" si="89"/>
        <v>X</v>
      </c>
      <c r="U40" s="447" t="str">
        <f t="shared" si="89"/>
        <v>X</v>
      </c>
      <c r="V40" s="447" t="str">
        <f t="shared" si="89"/>
        <v>X</v>
      </c>
      <c r="W40" s="447" t="str">
        <f t="shared" si="89"/>
        <v>X</v>
      </c>
      <c r="X40" s="447" t="str">
        <f t="shared" si="89"/>
        <v>X</v>
      </c>
      <c r="Y40" s="447" t="str">
        <f t="shared" si="89"/>
        <v>X</v>
      </c>
      <c r="Z40" s="447" t="str">
        <f t="shared" si="89"/>
        <v>X</v>
      </c>
      <c r="AA40" s="447" t="str">
        <f t="shared" si="89"/>
        <v/>
      </c>
      <c r="AB40" s="447" t="str">
        <f t="shared" si="89"/>
        <v/>
      </c>
      <c r="AC40" s="468">
        <f>SUM(AC41:AC42)</f>
        <v>1849620</v>
      </c>
      <c r="AD40" s="468">
        <f t="shared" ref="AD40:BG40" si="90">SUM(AD41:AD42)</f>
        <v>0</v>
      </c>
      <c r="AE40" s="468">
        <f t="shared" si="90"/>
        <v>0</v>
      </c>
      <c r="AF40" s="468">
        <f t="shared" si="90"/>
        <v>0</v>
      </c>
      <c r="AG40" s="468">
        <f t="shared" si="90"/>
        <v>0</v>
      </c>
      <c r="AH40" s="468">
        <f t="shared" si="90"/>
        <v>0</v>
      </c>
      <c r="AI40" s="468">
        <f t="shared" si="90"/>
        <v>100330.59</v>
      </c>
      <c r="AJ40" s="468">
        <f t="shared" si="90"/>
        <v>100330.59</v>
      </c>
      <c r="AK40" s="468">
        <f t="shared" si="90"/>
        <v>100330.59</v>
      </c>
      <c r="AL40" s="468">
        <f t="shared" si="90"/>
        <v>100330.59</v>
      </c>
      <c r="AM40" s="468">
        <f t="shared" si="90"/>
        <v>401322.36</v>
      </c>
      <c r="AN40" s="468">
        <f t="shared" si="90"/>
        <v>100330.59</v>
      </c>
      <c r="AO40" s="468">
        <f t="shared" si="90"/>
        <v>100330.59</v>
      </c>
      <c r="AP40" s="468">
        <f t="shared" si="90"/>
        <v>100330.59</v>
      </c>
      <c r="AQ40" s="468">
        <f t="shared" si="90"/>
        <v>100330.59</v>
      </c>
      <c r="AR40" s="468">
        <f t="shared" si="90"/>
        <v>401322.36</v>
      </c>
      <c r="AS40" s="468">
        <f t="shared" si="90"/>
        <v>114730.59</v>
      </c>
      <c r="AT40" s="468">
        <f t="shared" si="90"/>
        <v>114730.59</v>
      </c>
      <c r="AU40" s="468">
        <f t="shared" si="90"/>
        <v>114730.59</v>
      </c>
      <c r="AV40" s="468">
        <f t="shared" si="90"/>
        <v>114730.59</v>
      </c>
      <c r="AW40" s="468">
        <f t="shared" si="90"/>
        <v>458922.36</v>
      </c>
      <c r="AX40" s="468">
        <f t="shared" si="90"/>
        <v>114730.59</v>
      </c>
      <c r="AY40" s="468">
        <f t="shared" si="90"/>
        <v>114730.59</v>
      </c>
      <c r="AZ40" s="468">
        <f t="shared" si="90"/>
        <v>114730.59</v>
      </c>
      <c r="BA40" s="468">
        <f t="shared" si="90"/>
        <v>114730.59</v>
      </c>
      <c r="BB40" s="468">
        <f t="shared" si="90"/>
        <v>458922.36</v>
      </c>
      <c r="BC40" s="468">
        <f t="shared" si="90"/>
        <v>114730.59</v>
      </c>
      <c r="BD40" s="468">
        <f t="shared" si="90"/>
        <v>14400</v>
      </c>
      <c r="BE40" s="468">
        <f t="shared" si="90"/>
        <v>0</v>
      </c>
      <c r="BF40" s="468">
        <f t="shared" si="90"/>
        <v>0</v>
      </c>
      <c r="BG40" s="468">
        <f t="shared" si="90"/>
        <v>129130.59</v>
      </c>
    </row>
    <row r="41" spans="1:61" s="12" customFormat="1" ht="13.5" thickBot="1">
      <c r="A41" s="143" t="str">
        <f>IF('3_Comp e Produtos'!B53="Sim",'3_Comp e Produtos'!A53,"NÃO SELECIONADO")</f>
        <v>A1 - Gestão do Projeto</v>
      </c>
      <c r="B41" s="114">
        <v>40909</v>
      </c>
      <c r="C41" s="365">
        <v>51</v>
      </c>
      <c r="D41" s="270">
        <f t="shared" si="8"/>
        <v>42439</v>
      </c>
      <c r="E41" s="115" t="str">
        <f>IF(AND($C41&lt;&gt;0,$A41&lt;&gt;"NÃO SELECIONADO"),IF(E$5&gt;=$B41,IF(E$5&lt;=$D41,"X"," ")," "),"")</f>
        <v xml:space="preserve"> </v>
      </c>
      <c r="F41" s="115" t="str">
        <f t="shared" ref="F41:U41" si="91">IF(AND($C41&lt;&gt;0,$A41&lt;&gt;"NÃO SELECIONADO"),IF(F$5&gt;=$B41,IF(F$5&lt;=$D41,"X"," ")," "),"")</f>
        <v xml:space="preserve"> </v>
      </c>
      <c r="G41" s="115" t="str">
        <f t="shared" si="91"/>
        <v xml:space="preserve"> </v>
      </c>
      <c r="H41" s="115" t="str">
        <f t="shared" si="91"/>
        <v xml:space="preserve"> </v>
      </c>
      <c r="I41" s="115" t="str">
        <f t="shared" si="91"/>
        <v>X</v>
      </c>
      <c r="J41" s="115" t="str">
        <f t="shared" si="91"/>
        <v>X</v>
      </c>
      <c r="K41" s="115" t="str">
        <f t="shared" si="91"/>
        <v>X</v>
      </c>
      <c r="L41" s="115" t="str">
        <f t="shared" si="91"/>
        <v>X</v>
      </c>
      <c r="M41" s="115" t="str">
        <f t="shared" si="91"/>
        <v>X</v>
      </c>
      <c r="N41" s="115" t="str">
        <f t="shared" si="91"/>
        <v>X</v>
      </c>
      <c r="O41" s="115" t="str">
        <f t="shared" si="91"/>
        <v>X</v>
      </c>
      <c r="P41" s="115" t="str">
        <f t="shared" si="91"/>
        <v>X</v>
      </c>
      <c r="Q41" s="115" t="str">
        <f t="shared" si="91"/>
        <v>X</v>
      </c>
      <c r="R41" s="115" t="str">
        <f t="shared" si="91"/>
        <v>X</v>
      </c>
      <c r="S41" s="115" t="str">
        <f t="shared" si="91"/>
        <v>X</v>
      </c>
      <c r="T41" s="115" t="str">
        <f t="shared" si="91"/>
        <v>X</v>
      </c>
      <c r="U41" s="115" t="str">
        <f t="shared" si="91"/>
        <v>X</v>
      </c>
      <c r="V41" s="115" t="str">
        <f>IF(AND($C41&lt;&gt;0,$A41&lt;&gt;"NÃO SELECIONADO"),IF(V$5&gt;=$B41,IF(V$5&lt;=$D41,"X"," ")," "),"")</f>
        <v>X</v>
      </c>
      <c r="W41" s="115" t="str">
        <f>IF(AND($C41&lt;&gt;0,$A41&lt;&gt;"NÃO SELECIONADO"),IF(W$5&gt;=$B41,IF(W$5&lt;=$D41,"X"," ")," "),"")</f>
        <v>X</v>
      </c>
      <c r="X41" s="115" t="str">
        <f>IF(AND($C41&lt;&gt;0,$A41&lt;&gt;"NÃO SELECIONADO"),IF(X$5&gt;=$B41,IF(X$5&lt;=$D41,"X"," ")," "),"")</f>
        <v>X</v>
      </c>
      <c r="Y41" s="115" t="str">
        <f t="shared" ref="Y41" si="92">IF(AND($C41&lt;&gt;0,$A41&lt;&gt;"NÃO SELECIONADO"),IF(Y$5&gt;=$B41,IF(Y$5&lt;=$D41,"X"," ")," "),"")</f>
        <v>X</v>
      </c>
      <c r="Z41" s="115" t="str">
        <f>IF(AND($C41&lt;&gt;0,$A41&lt;&gt;"NÃO SELECIONADO"),IF(Z$5&gt;=$B41,IF(Z$5&lt;=$D41,"X"," ")," "),"")</f>
        <v xml:space="preserve"> </v>
      </c>
      <c r="AA41" s="115" t="str">
        <f>IF(AND($C41&lt;&gt;0,$A41&lt;&gt;"NÃO SELECIONADO"),IF(AA$5&gt;=$B41,IF(AA$5&lt;=$D41,"X"," ")," "),"")</f>
        <v xml:space="preserve"> </v>
      </c>
      <c r="AB41" s="115" t="str">
        <f>IF(AND($C41&lt;&gt;0,$A41&lt;&gt;"NÃO SELECIONADO"),IF(AB$5&gt;=$B41,IF(AB$5&lt;=$D41,"X"," ")," "),"")</f>
        <v xml:space="preserve"> </v>
      </c>
      <c r="AC41" s="467">
        <f>IF(A41&lt;&gt;"NÃO SELECIONADO",'7_ADM'!A14,0)</f>
        <v>1705620</v>
      </c>
      <c r="AD41" s="119">
        <f t="shared" si="41"/>
        <v>0</v>
      </c>
      <c r="AE41" s="119">
        <f t="shared" si="41"/>
        <v>0</v>
      </c>
      <c r="AF41" s="119">
        <f t="shared" si="41"/>
        <v>0</v>
      </c>
      <c r="AG41" s="119">
        <f t="shared" si="41"/>
        <v>0</v>
      </c>
      <c r="AH41" s="120">
        <f t="shared" si="11"/>
        <v>0</v>
      </c>
      <c r="AI41" s="472">
        <f>IF(I41="X",$AC41/$C41*3,0)</f>
        <v>100330.59</v>
      </c>
      <c r="AJ41" s="472">
        <f t="shared" ref="AJ41" si="93">IF(J41="X",$AC41/$C41*3,0)</f>
        <v>100330.59</v>
      </c>
      <c r="AK41" s="472">
        <f t="shared" ref="AK41" si="94">IF(K41="X",$AC41/$C41*3,0)</f>
        <v>100330.59</v>
      </c>
      <c r="AL41" s="472">
        <f t="shared" ref="AL41" si="95">IF(L41="X",$AC41/$C41*3,0)</f>
        <v>100330.59</v>
      </c>
      <c r="AM41" s="586">
        <f t="shared" ref="AM41" si="96">SUM(AI41:AL41)</f>
        <v>401322.36</v>
      </c>
      <c r="AN41" s="472">
        <f t="shared" ref="AN41" si="97">IF(M41="X",$AC41/$C41*3,0)</f>
        <v>100330.59</v>
      </c>
      <c r="AO41" s="472">
        <f t="shared" ref="AO41" si="98">IF(N41="X",$AC41/$C41*3,0)</f>
        <v>100330.59</v>
      </c>
      <c r="AP41" s="472">
        <f t="shared" ref="AP41" si="99">IF(O41="X",$AC41/$C41*3,0)</f>
        <v>100330.59</v>
      </c>
      <c r="AQ41" s="472">
        <f t="shared" ref="AQ41" si="100">IF(P41="X",$AC41/$C41*3,0)</f>
        <v>100330.59</v>
      </c>
      <c r="AR41" s="586">
        <f t="shared" ref="AR41" si="101">SUM(AN41:AQ41)</f>
        <v>401322.36</v>
      </c>
      <c r="AS41" s="472">
        <f t="shared" ref="AS41" si="102">IF(Q41="X",$AC41/$C41*3,0)</f>
        <v>100330.59</v>
      </c>
      <c r="AT41" s="472">
        <f t="shared" ref="AT41" si="103">IF(R41="X",$AC41/$C41*3,0)</f>
        <v>100330.59</v>
      </c>
      <c r="AU41" s="472">
        <f t="shared" ref="AU41" si="104">IF(S41="X",$AC41/$C41*3,0)</f>
        <v>100330.59</v>
      </c>
      <c r="AV41" s="472">
        <f t="shared" ref="AV41" si="105">IF(T41="X",$AC41/$C41*3,0)</f>
        <v>100330.59</v>
      </c>
      <c r="AW41" s="586">
        <f t="shared" ref="AW41" si="106">SUM(AS41:AV41)</f>
        <v>401322.36</v>
      </c>
      <c r="AX41" s="472">
        <f t="shared" ref="AX41" si="107">IF(U41="X",$AC41/$C41*3,0)</f>
        <v>100330.59</v>
      </c>
      <c r="AY41" s="472">
        <f t="shared" ref="AY41" si="108">IF(V41="X",$AC41/$C41*3,0)</f>
        <v>100330.59</v>
      </c>
      <c r="AZ41" s="472">
        <f t="shared" ref="AZ41" si="109">IF(W41="X",$AC41/$C41*3,0)</f>
        <v>100330.59</v>
      </c>
      <c r="BA41" s="472">
        <f t="shared" ref="BA41" si="110">IF(X41="X",$AC41/$C41*3,0)</f>
        <v>100330.59</v>
      </c>
      <c r="BB41" s="586">
        <f t="shared" ref="BB41" si="111">SUM(AX41:BA41)</f>
        <v>401322.36</v>
      </c>
      <c r="BC41" s="472">
        <f t="shared" ref="BC41" si="112">IF(Y41="X",$AC41/$C41*3,0)</f>
        <v>100330.59</v>
      </c>
      <c r="BD41" s="472">
        <f t="shared" ref="BD41" si="113">IF(Z41="X",$AC41/$C41*3,0)</f>
        <v>0</v>
      </c>
      <c r="BE41" s="472">
        <f t="shared" ref="BE41" si="114">IF(AA41="X",$AC41/$C41*3,0)</f>
        <v>0</v>
      </c>
      <c r="BF41" s="472">
        <f t="shared" ref="BF41" si="115">IF(AB41="X",$AC41/$C41*3,0)</f>
        <v>0</v>
      </c>
      <c r="BG41" s="120">
        <f t="shared" ref="BG41:BG42" si="116">SUM(BC41:BF41)</f>
        <v>100330.59</v>
      </c>
      <c r="BH41" s="602"/>
      <c r="BI41" s="602"/>
    </row>
    <row r="42" spans="1:61" s="12" customFormat="1" ht="13.5" thickBot="1">
      <c r="A42" s="154" t="str">
        <f>IF('3_Comp e Produtos'!B54="Sim",'3_Comp e Produtos'!A54,"NÃO SELECIONADO")</f>
        <v>A2 -Avaliação Independente</v>
      </c>
      <c r="B42" s="583">
        <v>41640</v>
      </c>
      <c r="C42" s="584">
        <v>30</v>
      </c>
      <c r="D42" s="585">
        <f t="shared" si="8"/>
        <v>42540</v>
      </c>
      <c r="E42" s="116" t="str">
        <f>IF(AND($C42&lt;&gt;0,$A42&lt;&gt;"NÃO SELECIONADO"),IF(E$5&gt;=$B42,IF(E$5&lt;=$D42,"X"," ")," "),"")</f>
        <v xml:space="preserve"> </v>
      </c>
      <c r="F42" s="116" t="str">
        <f t="shared" ref="F42:AB42" si="117">IF(AND($C42&lt;&gt;0,$A42&lt;&gt;"NÃO SELECIONADO"),IF(F$5&gt;=$B42,IF(F$5&lt;=$D42,"X"," ")," "),"")</f>
        <v xml:space="preserve"> </v>
      </c>
      <c r="G42" s="116" t="str">
        <f t="shared" si="117"/>
        <v xml:space="preserve"> </v>
      </c>
      <c r="H42" s="116" t="str">
        <f t="shared" si="117"/>
        <v xml:space="preserve"> </v>
      </c>
      <c r="I42" s="116" t="str">
        <f t="shared" si="117"/>
        <v xml:space="preserve"> </v>
      </c>
      <c r="J42" s="116" t="str">
        <f t="shared" si="117"/>
        <v xml:space="preserve"> </v>
      </c>
      <c r="K42" s="116" t="str">
        <f t="shared" si="117"/>
        <v xml:space="preserve"> </v>
      </c>
      <c r="L42" s="116" t="str">
        <f t="shared" si="117"/>
        <v xml:space="preserve"> </v>
      </c>
      <c r="M42" s="116" t="str">
        <f t="shared" si="117"/>
        <v xml:space="preserve"> </v>
      </c>
      <c r="N42" s="116" t="str">
        <f t="shared" si="117"/>
        <v xml:space="preserve"> </v>
      </c>
      <c r="O42" s="116" t="str">
        <f t="shared" si="117"/>
        <v xml:space="preserve"> </v>
      </c>
      <c r="P42" s="116" t="str">
        <f t="shared" si="117"/>
        <v xml:space="preserve"> </v>
      </c>
      <c r="Q42" s="116" t="str">
        <f t="shared" si="117"/>
        <v>X</v>
      </c>
      <c r="R42" s="116" t="str">
        <f t="shared" si="117"/>
        <v>X</v>
      </c>
      <c r="S42" s="116" t="str">
        <f t="shared" si="117"/>
        <v>X</v>
      </c>
      <c r="T42" s="116" t="str">
        <f t="shared" si="117"/>
        <v>X</v>
      </c>
      <c r="U42" s="116" t="str">
        <f t="shared" si="117"/>
        <v>X</v>
      </c>
      <c r="V42" s="116" t="str">
        <f t="shared" si="117"/>
        <v>X</v>
      </c>
      <c r="W42" s="116" t="str">
        <f t="shared" si="117"/>
        <v>X</v>
      </c>
      <c r="X42" s="116" t="str">
        <f t="shared" si="117"/>
        <v>X</v>
      </c>
      <c r="Y42" s="116" t="str">
        <f t="shared" si="117"/>
        <v>X</v>
      </c>
      <c r="Z42" s="116" t="str">
        <f t="shared" si="117"/>
        <v>X</v>
      </c>
      <c r="AA42" s="116" t="str">
        <f t="shared" si="117"/>
        <v xml:space="preserve"> </v>
      </c>
      <c r="AB42" s="116" t="str">
        <f t="shared" si="117"/>
        <v xml:space="preserve"> </v>
      </c>
      <c r="AC42" s="469">
        <f>IF(A42&lt;&gt;"NÃO SELECIONADO",'7_ADM'!A25,0)</f>
        <v>144000</v>
      </c>
      <c r="AD42" s="472">
        <f t="shared" si="41"/>
        <v>0</v>
      </c>
      <c r="AE42" s="472">
        <f t="shared" si="41"/>
        <v>0</v>
      </c>
      <c r="AF42" s="472">
        <f t="shared" si="41"/>
        <v>0</v>
      </c>
      <c r="AG42" s="472">
        <f t="shared" si="41"/>
        <v>0</v>
      </c>
      <c r="AH42" s="586">
        <f t="shared" si="11"/>
        <v>0</v>
      </c>
      <c r="AI42" s="472">
        <f>IF(I42="X",$AC42/$C42*3,0)</f>
        <v>0</v>
      </c>
      <c r="AJ42" s="472">
        <f t="shared" ref="AJ42:AL42" si="118">IF(J42="X",$AC42/$C42*3,0)</f>
        <v>0</v>
      </c>
      <c r="AK42" s="472">
        <f t="shared" si="118"/>
        <v>0</v>
      </c>
      <c r="AL42" s="472">
        <f t="shared" si="118"/>
        <v>0</v>
      </c>
      <c r="AM42" s="586">
        <f t="shared" si="13"/>
        <v>0</v>
      </c>
      <c r="AN42" s="472">
        <f t="shared" si="14"/>
        <v>0</v>
      </c>
      <c r="AO42" s="472">
        <f t="shared" ref="AO42" si="119">IF(N42="X",$AC42/$C42*3,0)</f>
        <v>0</v>
      </c>
      <c r="AP42" s="472">
        <f t="shared" ref="AP42" si="120">IF(O42="X",$AC42/$C42*3,0)</f>
        <v>0</v>
      </c>
      <c r="AQ42" s="472">
        <f t="shared" ref="AQ42" si="121">IF(P42="X",$AC42/$C42*3,0)</f>
        <v>0</v>
      </c>
      <c r="AR42" s="586">
        <f t="shared" ref="AR42" si="122">SUM(AN42:AQ42)</f>
        <v>0</v>
      </c>
      <c r="AS42" s="472">
        <f t="shared" si="19"/>
        <v>14400</v>
      </c>
      <c r="AT42" s="472">
        <f t="shared" ref="AT42" si="123">IF(R42="X",$AC42/$C42*3,0)</f>
        <v>14400</v>
      </c>
      <c r="AU42" s="472">
        <f t="shared" ref="AU42" si="124">IF(S42="X",$AC42/$C42*3,0)</f>
        <v>14400</v>
      </c>
      <c r="AV42" s="472">
        <f t="shared" ref="AV42" si="125">IF(T42="X",$AC42/$C42*3,0)</f>
        <v>14400</v>
      </c>
      <c r="AW42" s="586">
        <f t="shared" ref="AW42" si="126">SUM(AS42:AV42)</f>
        <v>57600</v>
      </c>
      <c r="AX42" s="472">
        <f t="shared" si="24"/>
        <v>14400</v>
      </c>
      <c r="AY42" s="472">
        <f t="shared" ref="AY42" si="127">IF(V42="X",$AC42/$C42*3,0)</f>
        <v>14400</v>
      </c>
      <c r="AZ42" s="472">
        <f t="shared" ref="AZ42" si="128">IF(W42="X",$AC42/$C42*3,0)</f>
        <v>14400</v>
      </c>
      <c r="BA42" s="472">
        <f t="shared" ref="BA42" si="129">IF(X42="X",$AC42/$C42*3,0)</f>
        <v>14400</v>
      </c>
      <c r="BB42" s="586">
        <f t="shared" ref="BB42" si="130">SUM(AX42:BA42)</f>
        <v>57600</v>
      </c>
      <c r="BC42" s="472">
        <f t="shared" ref="BC42" si="131">IF(Y42="X",$AC42/$C42*3,0)</f>
        <v>14400</v>
      </c>
      <c r="BD42" s="472">
        <f t="shared" ref="BD42" si="132">IF(Z42="X",$AC42/$C42*3,0)</f>
        <v>14400</v>
      </c>
      <c r="BE42" s="472">
        <f t="shared" ref="BE42" si="133">IF(AA42="X",$AC42/$C42*3,0)</f>
        <v>0</v>
      </c>
      <c r="BF42" s="472">
        <f t="shared" ref="BF42" si="134">IF(AB42="X",$AC42/$C42*3,0)</f>
        <v>0</v>
      </c>
      <c r="BG42" s="586">
        <f t="shared" si="116"/>
        <v>28800</v>
      </c>
      <c r="BH42" s="602"/>
      <c r="BI42" s="602"/>
    </row>
    <row r="43" spans="1:61" ht="27.75" customHeight="1">
      <c r="AC43" s="96"/>
      <c r="AM43" s="96"/>
      <c r="AR43" s="96"/>
      <c r="AW43" s="96"/>
      <c r="BB43" s="96"/>
      <c r="BG43" s="96"/>
    </row>
    <row r="44" spans="1:61">
      <c r="AC44" s="603"/>
      <c r="AI44" s="723"/>
      <c r="AJ44" s="723"/>
    </row>
    <row r="45" spans="1:61">
      <c r="A45" s="530"/>
      <c r="AC45" s="603"/>
      <c r="AI45" s="723"/>
      <c r="AJ45" s="723"/>
    </row>
    <row r="46" spans="1:61">
      <c r="AC46" s="603"/>
      <c r="AI46" s="723"/>
      <c r="AJ46" s="723"/>
    </row>
    <row r="47" spans="1:61">
      <c r="AC47" s="603"/>
      <c r="AI47" s="723"/>
      <c r="AJ47" s="723"/>
    </row>
    <row r="48" spans="1:61">
      <c r="AC48" s="603"/>
      <c r="AI48" s="723"/>
    </row>
    <row r="49" spans="36:36">
      <c r="AJ49" s="723"/>
    </row>
  </sheetData>
  <mergeCells count="17">
    <mergeCell ref="I3:L3"/>
    <mergeCell ref="M3:P3"/>
    <mergeCell ref="AN3:AQ3"/>
    <mergeCell ref="B2:C2"/>
    <mergeCell ref="A3:A4"/>
    <mergeCell ref="B3:B4"/>
    <mergeCell ref="C3:C4"/>
    <mergeCell ref="D3:D4"/>
    <mergeCell ref="E3:H3"/>
    <mergeCell ref="BC3:BF3"/>
    <mergeCell ref="AS3:AV3"/>
    <mergeCell ref="AX3:BA3"/>
    <mergeCell ref="Q3:T3"/>
    <mergeCell ref="U3:X3"/>
    <mergeCell ref="AD3:AG3"/>
    <mergeCell ref="AI3:AL3"/>
    <mergeCell ref="Y3:AB3"/>
  </mergeCells>
  <phoneticPr fontId="0" type="noConversion"/>
  <conditionalFormatting sqref="AA5">
    <cfRule type="cellIs" dxfId="2" priority="2" stopIfTrue="1" operator="greaterThan">
      <formula>1-8-2016</formula>
    </cfRule>
  </conditionalFormatting>
  <dataValidations count="2">
    <dataValidation type="list" allowBlank="1" showInputMessage="1" showErrorMessage="1" errorTitle="ERRO" error="Utilize múltiplos de 3. Ex.: 3,6,9..." sqref="C41:C42 C34:C39 C21:C32 C7:C19">
      <formula1>"3,6,9,12,15,18,21,24,27,30,33,36,39,42,45,48,51,54,57,60"</formula1>
    </dataValidation>
    <dataValidation type="list" allowBlank="1" showInputMessage="1" showErrorMessage="1" sqref="B41:B42 B21:B32 B34:B39 B7:B19">
      <formula1>$G$5:$Z$5</formula1>
    </dataValidation>
  </dataValidations>
  <pageMargins left="0.39370078740157483" right="0.39370078740157483" top="0.78740157480314965" bottom="0.59055118110236227" header="0.31496062992125984" footer="0.31496062992125984"/>
  <pageSetup paperSize="9" scale="75" firstPageNumber="0" orientation="landscape" r:id="rId1"/>
  <headerFooter>
    <oddHeader>&amp;LBID Modernização da AGU&amp;C
&amp;"Arial,Negrito"PLANO DE AÇÃO E DE INVESTIMENTOS - PAI</oddHeader>
    <oddFooter>&amp;L&amp;D&amp;C&amp;A&amp;R&amp;P / &amp;N</oddFooter>
  </headerFooter>
  <colBreaks count="2" manualBreakCount="2">
    <brk id="29" max="1048575" man="1"/>
    <brk id="39" max="1048575" man="1"/>
  </colBreaks>
  <ignoredErrors>
    <ignoredError sqref="E20"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36456F7D86934940A70AA772607A379A" ma:contentTypeVersion="3519" ma:contentTypeDescription="A content type to manage public (operations) IDB documents" ma:contentTypeScope="" ma:versionID="5c3be78c1a4c39d0c477b1bf535953bc">
  <xsd:schema xmlns:xsd="http://www.w3.org/2001/XMLSchema" xmlns:xs="http://www.w3.org/2001/XMLSchema" xmlns:p="http://schemas.microsoft.com/office/2006/metadata/properties" xmlns:ns2="cdc7663a-08f0-4737-9e8c-148ce897a09c" targetNamespace="http://schemas.microsoft.com/office/2006/metadata/properties" ma:root="true" ma:fieldsID="5d3781321cad55452cadae92803181b2"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3.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Business_x0020_Area xmlns="cdc7663a-08f0-4737-9e8c-148ce897a09c" xsi:nil="true"/>
    <IDBDocs_x0020_Number xmlns="cdc7663a-08f0-4737-9e8c-148ce897a09c">36298088</IDBDocs_x0020_Number>
    <TaxCatchAll xmlns="cdc7663a-08f0-4737-9e8c-148ce897a09c">
      <Value>13</Value>
      <Value>30</Value>
      <Value>1</Value>
    </TaxCatchAll>
    <Phase xmlns="cdc7663a-08f0-4737-9e8c-148ce897a09c" xsi:nil="true"/>
    <SISCOR_x0020_Number xmlns="cdc7663a-08f0-4737-9e8c-148ce897a09c" xsi:nil="true"/>
    <Division_x0020_or_x0020_Unit xmlns="cdc7663a-08f0-4737-9e8c-148ce897a09c">IFD/ICS</Division_x0020_or_x0020_Unit>
    <Approval_x0020_Number xmlns="cdc7663a-08f0-4737-9e8c-148ce897a09c" xsi:nil="true"/>
    <Document_x0020_Author xmlns="cdc7663a-08f0-4737-9e8c-148ce897a09c">Cordovez, Carlos</Document_x0020_Author>
    <Fiscal_x0020_Year_x0020_IDB xmlns="cdc7663a-08f0-4737-9e8c-148ce897a09c">2011</Fiscal_x0020_Year_x0020_IDB>
    <Other_x0020_Author xmlns="cdc7663a-08f0-4737-9e8c-148ce897a09c" xsi:nil="true"/>
    <Project_x0020_Number xmlns="cdc7663a-08f0-4737-9e8c-148ce897a09c">BR-L1277</Project_x0020_Number>
    <Package_x0020_Code xmlns="cdc7663a-08f0-4737-9e8c-148ce897a09c" xsi:nil="true"/>
    <Key_x0020_Document xmlns="cdc7663a-08f0-4737-9e8c-148ce897a09c">false</Key_x0020_Document>
    <Migration_x0020_Info xmlns="cdc7663a-08f0-4737-9e8c-148ce897a09c">&lt;div class="ExternalClass7704FEB91EE7443A8666DE715A14C705"&gt;MS EXCELLPLoan Proposal0NPO-BR-L1277-Anl109564215&lt;/div&gt;</Migration_x0020_Info>
    <Operation_x0020_Type xmlns="cdc7663a-08f0-4737-9e8c-148ce897a09c" xsi:nil="true"/>
    <Record_x0020_Number xmlns="cdc7663a-08f0-4737-9e8c-148ce897a09c">R0002799096</Record_x0020_Number>
    <Document_x0020_Language_x0020_IDB xmlns="cdc7663a-08f0-4737-9e8c-148ce897a09c">Spanish</Document_x0020_Language_x0020_IDB>
    <Identifier xmlns="cdc7663a-08f0-4737-9e8c-148ce897a09c"> TECFILE</Identifier>
    <Access_x0020_to_x0020_Information_x00a0_Policy xmlns="cdc7663a-08f0-4737-9e8c-148ce897a09c">Public</Access_x0020_to_x0020_Information_x00a0_Policy>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Loan Proposal</TermName>
          <TermId xmlns="http://schemas.microsoft.com/office/infopath/2007/PartnerControls">6ee86b6f-6e46-485b-8bfb-87a1f44622ac</TermId>
        </TermInfo>
      </Term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Related_x0020_SisCor_x0020_Number xmlns="cdc7663a-08f0-4737-9e8c-148ce897a09c" xsi:nil="true"/>
    <nddeef1749674d76abdbe4b239a70bc6 xmlns="cdc7663a-08f0-4737-9e8c-148ce897a09c">
      <Terms xmlns="http://schemas.microsoft.com/office/infopath/2007/PartnerControls"/>
    </nddeef1749674d76abdbe4b239a70bc6>
    <Abstract xmlns="cdc7663a-08f0-4737-9e8c-148ce897a09c" xsi:nil="true"/>
    <Editor1 xmlns="cdc7663a-08f0-4737-9e8c-148ce897a09c" xsi:nil="true"/>
    <Disclosure_x0020_Activity xmlns="cdc7663a-08f0-4737-9e8c-148ce897a09c">Loan Proposal</Disclosure_x0020_Activity>
    <Region xmlns="cdc7663a-08f0-4737-9e8c-148ce897a09c" xsi:nil="true"/>
    <_dlc_DocId xmlns="cdc7663a-08f0-4737-9e8c-148ce897a09c">EZSHARE-1253337450-89</_dlc_DocId>
    <Publication_x0020_Type xmlns="cdc7663a-08f0-4737-9e8c-148ce897a09c" xsi:nil="true"/>
    <Issue_x0020_Date xmlns="cdc7663a-08f0-4737-9e8c-148ce897a09c" xsi:nil="true"/>
    <KP_x0020_Topics xmlns="cdc7663a-08f0-4737-9e8c-148ce897a09c" xsi:nil="true"/>
    <Webtopic xmlns="cdc7663a-08f0-4737-9e8c-148ce897a09c">Government and Public Institutions</Webtopic>
    <Publishing_x0020_House xmlns="cdc7663a-08f0-4737-9e8c-148ce897a09c" xsi:nil="true"/>
    <Disclosed xmlns="cdc7663a-08f0-4737-9e8c-148ce897a09c">true</Disclosed>
    <_dlc_DocIdUrl xmlns="cdc7663a-08f0-4737-9e8c-148ce897a09c">
      <Url>https://idbg.sharepoint.com/teams/EZ-BR-LON/BR-L1277/_layouts/15/DocIdRedir.aspx?ID=EZSHARE-1253337450-89</Url>
      <Description>EZSHARE-1253337450-89</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B6A3438E-63E1-4EC7-BEF8-9442D65829EE}"/>
</file>

<file path=customXml/itemProps2.xml><?xml version="1.0" encoding="utf-8"?>
<ds:datastoreItem xmlns:ds="http://schemas.openxmlformats.org/officeDocument/2006/customXml" ds:itemID="{64E43300-CCEE-417A-875D-681FE50AED54}"/>
</file>

<file path=customXml/itemProps3.xml><?xml version="1.0" encoding="utf-8"?>
<ds:datastoreItem xmlns:ds="http://schemas.openxmlformats.org/officeDocument/2006/customXml" ds:itemID="{0B236C2E-81C0-42C7-BFB7-70CEF7F61222}"/>
</file>

<file path=customXml/itemProps4.xml><?xml version="1.0" encoding="utf-8"?>
<ds:datastoreItem xmlns:ds="http://schemas.openxmlformats.org/officeDocument/2006/customXml" ds:itemID="{F5B2A74A-41B1-482D-ABD2-41A3626FBA60}"/>
</file>

<file path=customXml/itemProps5.xml><?xml version="1.0" encoding="utf-8"?>
<ds:datastoreItem xmlns:ds="http://schemas.openxmlformats.org/officeDocument/2006/customXml" ds:itemID="{57B33B6E-2872-4709-BA5D-9E980A58DBB1}"/>
</file>

<file path=customXml/itemProps6.xml><?xml version="1.0" encoding="utf-8"?>
<ds:datastoreItem xmlns:ds="http://schemas.openxmlformats.org/officeDocument/2006/customXml" ds:itemID="{13428B24-7595-4A0A-BC0C-6CEF160D8E03}"/>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Worksheets</vt:lpstr>
      </vt:variant>
      <vt:variant>
        <vt:i4>13</vt:i4>
      </vt:variant>
      <vt:variant>
        <vt:lpstr>Named Ranges</vt:lpstr>
      </vt:variant>
      <vt:variant>
        <vt:i4>16</vt:i4>
      </vt:variant>
    </vt:vector>
  </HeadingPairs>
  <TitlesOfParts>
    <vt:vector size="29" baseType="lpstr">
      <vt:lpstr>1_Capa</vt:lpstr>
      <vt:lpstr>2_Índice</vt:lpstr>
      <vt:lpstr>3_Comp e Produtos</vt:lpstr>
      <vt:lpstr>4_Componente 1</vt:lpstr>
      <vt:lpstr>5_Componente 2</vt:lpstr>
      <vt:lpstr>6_Componente 3</vt:lpstr>
      <vt:lpstr>7_ADM</vt:lpstr>
      <vt:lpstr>8_Consolidação Tipo Recurso</vt:lpstr>
      <vt:lpstr>9_Cronograma Físico</vt:lpstr>
      <vt:lpstr>10_Distribuição por Fonte</vt:lpstr>
      <vt:lpstr>11_Orçamento Global</vt:lpstr>
      <vt:lpstr>12_POA 18 meses</vt:lpstr>
      <vt:lpstr>13_PA 18 meses</vt:lpstr>
      <vt:lpstr>'1_Capa'!Print_Area</vt:lpstr>
      <vt:lpstr>'3_Comp e Produtos'!Print_Area</vt:lpstr>
      <vt:lpstr>'4_Componente 1'!Print_Area</vt:lpstr>
      <vt:lpstr>'5_Componente 2'!Print_Area</vt:lpstr>
      <vt:lpstr>'6_Componente 3'!Print_Area</vt:lpstr>
      <vt:lpstr>'7_ADM'!Print_Area</vt:lpstr>
      <vt:lpstr>'8_Consolidação Tipo Recurso'!Print_Area</vt:lpstr>
      <vt:lpstr>'9_Cronograma Físico'!Print_Area</vt:lpstr>
      <vt:lpstr>'10_Distribuição por Fonte'!Print_Titles</vt:lpstr>
      <vt:lpstr>'12_POA 18 meses'!Print_Titles</vt:lpstr>
      <vt:lpstr>'3_Comp e Produtos'!Print_Titles</vt:lpstr>
      <vt:lpstr>'4_Componente 1'!Print_Titles</vt:lpstr>
      <vt:lpstr>'5_Componente 2'!Print_Titles</vt:lpstr>
      <vt:lpstr>'6_Componente 3'!Print_Titles</vt:lpstr>
      <vt:lpstr>'7_ADM'!Print_Titles</vt:lpstr>
      <vt:lpstr>'9_Cronograma Físico'!Print_Titles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Enlace obligatorio _2 Plan Operativo Anual (POA)</dc:title>
  <dc:creator>Carlos Cordovez</dc:creator>
  <cp:lastModifiedBy>IADB</cp:lastModifiedBy>
  <cp:revision>1</cp:revision>
  <cp:lastPrinted>2011-05-12T14:26:37Z</cp:lastPrinted>
  <dcterms:created xsi:type="dcterms:W3CDTF">2003-12-18T15:07:17Z</dcterms:created>
  <dcterms:modified xsi:type="dcterms:W3CDTF">2011-07-21T20:27:46Z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0x0101001A458A224826124E8B45B1D613300CFC0036456F7D86934940A70AA772607A379A</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Series Operations IDB">
    <vt:lpwstr>20;#Loan Proposal|6ee86b6f-6e46-485b-8bfb-87a1f44622ac</vt:lpwstr>
  </property>
  <property fmtid="{D5CDD505-2E9C-101B-9397-08002B2CF9AE}" pid="8" name="Country">
    <vt:lpwstr>30;#Brazil|7deb27ec-6837-4974-9aa8-6cfbac841ef8</vt:lpwstr>
  </property>
  <property fmtid="{D5CDD505-2E9C-101B-9397-08002B2CF9AE}" pid="9" name="Fund IDB">
    <vt:lpwstr/>
  </property>
  <property fmtid="{D5CDD505-2E9C-101B-9397-08002B2CF9AE}" pid="10" name="Series_x0020_Operations_x0020_IDB">
    <vt:lpwstr>20;#Loan Proposal|6ee86b6f-6e46-485b-8bfb-87a1f44622ac</vt:lpwstr>
  </property>
  <property fmtid="{D5CDD505-2E9C-101B-9397-08002B2CF9AE}" pid="13" name="Sector IDB">
    <vt:lpwstr/>
  </property>
  <property fmtid="{D5CDD505-2E9C-101B-9397-08002B2CF9AE}" pid="14" name="Function Operations IDB">
    <vt:lpwstr>1;#Project Preparation, Planning and Design|29ca0c72-1fc4-435f-a09c-28585cb5eac9</vt:lpwstr>
  </property>
  <property fmtid="{D5CDD505-2E9C-101B-9397-08002B2CF9AE}" pid="15" name="Sub-Sector">
    <vt:lpwstr/>
  </property>
  <property fmtid="{D5CDD505-2E9C-101B-9397-08002B2CF9AE}" pid="16" name="Order">
    <vt:r8>8900</vt:r8>
  </property>
  <property fmtid="{D5CDD505-2E9C-101B-9397-08002B2CF9AE}" pid="17" name="_dlc_DocIdItemGuid">
    <vt:lpwstr>fa9b1643-3de4-423a-852e-3804b7b24553</vt:lpwstr>
  </property>
</Properties>
</file>