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comments2.xml" ContentType="application/vnd.openxmlformats-officedocument.spreadsheetml.comments+xml"/>
  <Override PartName="/xl/calcChain.xml" ContentType="application/vnd.openxmlformats-officedocument.spreadsheetml.calcChain+xml"/>
  <Override PartName="/xl/comments5.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9105" yWindow="-15" windowWidth="10155" windowHeight="9120" tabRatio="916" activeTab="7"/>
  </bookViews>
  <sheets>
    <sheet name="1_Capa" sheetId="1" r:id="rId1"/>
    <sheet name="2_Índice" sheetId="2" r:id="rId2"/>
    <sheet name="3_Comp e Produtos" sheetId="3" r:id="rId3"/>
    <sheet name="4_Componente 1" sheetId="4" r:id="rId4"/>
    <sheet name="5_Componente 2" sheetId="5" r:id="rId5"/>
    <sheet name="6_Componente 3" sheetId="35" r:id="rId6"/>
    <sheet name="7_ADM" sheetId="16" r:id="rId7"/>
    <sheet name="8_Consolidação Tipo Recurso" sheetId="17" r:id="rId8"/>
    <sheet name="9_Cronograma Físico" sheetId="18" r:id="rId9"/>
    <sheet name="10_Distribuição por Fonte" sheetId="19" r:id="rId10"/>
    <sheet name="11_Orçamento Global" sheetId="21" r:id="rId11"/>
    <sheet name="12_POA 18 meses" sheetId="26" r:id="rId12"/>
    <sheet name="13_PA 18 meses" sheetId="37" r:id="rId13"/>
  </sheets>
  <definedNames>
    <definedName name="Cronogr_2">'2_Índice'!#REF!</definedName>
    <definedName name="_xlnm.Print_Area" localSheetId="0">'1_Capa'!$A$1:$I$50</definedName>
    <definedName name="_xlnm.Print_Area" localSheetId="2">'3_Comp e Produtos'!$A$1:$F$54</definedName>
    <definedName name="_xlnm.Print_Area" localSheetId="3">'4_Componente 1'!$A$1:$W$70</definedName>
    <definedName name="_xlnm.Print_Area" localSheetId="4">'5_Componente 2'!$A$1:$W$92</definedName>
    <definedName name="_xlnm.Print_Area" localSheetId="5">'6_Componente 3'!$A$1:$W$57</definedName>
    <definedName name="_xlnm.Print_Area" localSheetId="6">'7_ADM'!$A$1:$W$27</definedName>
    <definedName name="_xlnm.Print_Area" localSheetId="7">'8_Consolidação Tipo Recurso'!$A$1:$H$35</definedName>
    <definedName name="_xlnm.Print_Area" localSheetId="8">'9_Cronograma Físico'!$A$1:$AC$42</definedName>
    <definedName name="_xlnm.Print_Titles" localSheetId="9">'10_Distribuição por Fonte'!$A:$A,'10_Distribuição por Fonte'!$1:$3</definedName>
    <definedName name="_xlnm.Print_Titles" localSheetId="11">'12_POA 18 meses'!$1:$3</definedName>
    <definedName name="_xlnm.Print_Titles" localSheetId="2">'3_Comp e Produtos'!$1:$4</definedName>
    <definedName name="_xlnm.Print_Titles" localSheetId="3">'4_Componente 1'!$A:$B,'4_Componente 1'!$1:$4</definedName>
    <definedName name="_xlnm.Print_Titles" localSheetId="4">'5_Componente 2'!$A:$B,'5_Componente 2'!$1:$4</definedName>
    <definedName name="_xlnm.Print_Titles" localSheetId="5">'6_Componente 3'!$A:$B,'6_Componente 3'!$2:$4</definedName>
    <definedName name="_xlnm.Print_Titles" localSheetId="6">'7_ADM'!$A:$B,'7_ADM'!$1:$4</definedName>
    <definedName name="_xlnm.Print_Titles" localSheetId="8">'9_Cronograma Físico'!$A:$A,'9_Cronograma Físico'!$1:$4</definedName>
    <definedName name="Trimestres">#REF!</definedName>
  </definedNames>
  <calcPr calcId="125725" fullPrecision="0"/>
</workbook>
</file>

<file path=xl/calcChain.xml><?xml version="1.0" encoding="utf-8"?>
<calcChain xmlns="http://schemas.openxmlformats.org/spreadsheetml/2006/main">
  <c r="C57" i="37"/>
  <c r="C56"/>
  <c r="C54"/>
  <c r="C55"/>
  <c r="C59"/>
  <c r="C60"/>
  <c r="C61"/>
  <c r="C62"/>
  <c r="C63"/>
  <c r="C25"/>
  <c r="C24"/>
  <c r="C23"/>
  <c r="C22"/>
  <c r="C49"/>
  <c r="C48"/>
  <c r="C47"/>
  <c r="C46"/>
  <c r="C45"/>
  <c r="C43"/>
  <c r="C42"/>
  <c r="C39"/>
  <c r="C38"/>
  <c r="C37"/>
  <c r="C36"/>
  <c r="C30"/>
  <c r="C29"/>
  <c r="C28"/>
  <c r="C27"/>
  <c r="C20"/>
  <c r="C19"/>
  <c r="C18"/>
  <c r="C17"/>
  <c r="C16"/>
  <c r="C15"/>
  <c r="C14"/>
  <c r="H38" i="26"/>
  <c r="I31"/>
  <c r="K31"/>
  <c r="H36"/>
  <c r="H35"/>
  <c r="H34"/>
  <c r="H33"/>
  <c r="H31" s="1"/>
  <c r="G18"/>
  <c r="H18"/>
  <c r="I18"/>
  <c r="K18"/>
  <c r="J29"/>
  <c r="F27"/>
  <c r="F26"/>
  <c r="H16"/>
  <c r="G16" s="1"/>
  <c r="H15"/>
  <c r="D7"/>
  <c r="U35" i="19"/>
  <c r="A19" i="26"/>
  <c r="A18"/>
  <c r="A15"/>
  <c r="B15" s="1"/>
  <c r="J15"/>
  <c r="A16"/>
  <c r="B16" s="1"/>
  <c r="J16"/>
  <c r="A17"/>
  <c r="C17" s="1"/>
  <c r="J17"/>
  <c r="C14" i="21"/>
  <c r="B14"/>
  <c r="C9"/>
  <c r="C10"/>
  <c r="C30"/>
  <c r="C31"/>
  <c r="A10"/>
  <c r="A31" s="1"/>
  <c r="L20" i="19"/>
  <c r="U17"/>
  <c r="U18"/>
  <c r="U19"/>
  <c r="U41"/>
  <c r="U42"/>
  <c r="U22"/>
  <c r="U23"/>
  <c r="U24"/>
  <c r="U25"/>
  <c r="U26"/>
  <c r="U27"/>
  <c r="U28"/>
  <c r="U29"/>
  <c r="U30"/>
  <c r="U31"/>
  <c r="U20" s="1"/>
  <c r="U32"/>
  <c r="U21"/>
  <c r="O20"/>
  <c r="R20"/>
  <c r="C40"/>
  <c r="F40"/>
  <c r="I40"/>
  <c r="L40"/>
  <c r="O40"/>
  <c r="C33"/>
  <c r="F33"/>
  <c r="I33"/>
  <c r="L33"/>
  <c r="O33"/>
  <c r="C20"/>
  <c r="F20"/>
  <c r="I20"/>
  <c r="C6"/>
  <c r="F6"/>
  <c r="I6"/>
  <c r="L6"/>
  <c r="O6"/>
  <c r="O5" s="1"/>
  <c r="A21"/>
  <c r="G15" i="26" l="1"/>
  <c r="D17"/>
  <c r="B17"/>
  <c r="E17"/>
  <c r="E15"/>
  <c r="E16"/>
  <c r="C15"/>
  <c r="C16"/>
  <c r="D15"/>
  <c r="D16"/>
  <c r="L5" i="19"/>
  <c r="I5"/>
  <c r="F5"/>
  <c r="C5"/>
  <c r="U40"/>
  <c r="A20" l="1"/>
  <c r="A19"/>
  <c r="A18"/>
  <c r="A17"/>
  <c r="D19" i="18"/>
  <c r="D18"/>
  <c r="D17"/>
  <c r="A21" l="1"/>
  <c r="A20"/>
  <c r="A19"/>
  <c r="A18"/>
  <c r="A17"/>
  <c r="A7" i="17"/>
  <c r="A6"/>
  <c r="U61" i="4"/>
  <c r="I60"/>
  <c r="U56"/>
  <c r="I55"/>
  <c r="A65"/>
  <c r="S54" s="1"/>
  <c r="A60"/>
  <c r="A55"/>
  <c r="A50"/>
  <c r="W54"/>
  <c r="G54"/>
  <c r="K53"/>
  <c r="O52"/>
  <c r="S51"/>
  <c r="W50"/>
  <c r="G50"/>
  <c r="A5" i="5"/>
  <c r="A10" i="35"/>
  <c r="F18" i="18" l="1"/>
  <c r="AE18" s="1"/>
  <c r="H18"/>
  <c r="AG18" s="1"/>
  <c r="J18"/>
  <c r="L18"/>
  <c r="N18"/>
  <c r="P18"/>
  <c r="R18"/>
  <c r="T18"/>
  <c r="V18"/>
  <c r="X18"/>
  <c r="Z18"/>
  <c r="AB18"/>
  <c r="BF18" s="1"/>
  <c r="E18"/>
  <c r="AD18" s="1"/>
  <c r="G18"/>
  <c r="AF18" s="1"/>
  <c r="I18"/>
  <c r="AI18" s="1"/>
  <c r="K18"/>
  <c r="M18"/>
  <c r="O18"/>
  <c r="Q18"/>
  <c r="S18"/>
  <c r="U18"/>
  <c r="W18"/>
  <c r="Y18"/>
  <c r="AA18"/>
  <c r="E17"/>
  <c r="AD17" s="1"/>
  <c r="G17"/>
  <c r="AF17" s="1"/>
  <c r="I17"/>
  <c r="AI17" s="1"/>
  <c r="K17"/>
  <c r="M17"/>
  <c r="O17"/>
  <c r="Q17"/>
  <c r="U17"/>
  <c r="AA17"/>
  <c r="F17"/>
  <c r="AE17" s="1"/>
  <c r="H17"/>
  <c r="AG17" s="1"/>
  <c r="J17"/>
  <c r="L17"/>
  <c r="N17"/>
  <c r="P17"/>
  <c r="R17"/>
  <c r="T17"/>
  <c r="V17"/>
  <c r="X17"/>
  <c r="Z17"/>
  <c r="AB17"/>
  <c r="BF17" s="1"/>
  <c r="S17"/>
  <c r="W17"/>
  <c r="Y17"/>
  <c r="E19"/>
  <c r="AD19" s="1"/>
  <c r="G19"/>
  <c r="AF19" s="1"/>
  <c r="I19"/>
  <c r="K19"/>
  <c r="AK19" s="1"/>
  <c r="M19"/>
  <c r="AN19" s="1"/>
  <c r="O19"/>
  <c r="AP19" s="1"/>
  <c r="Q19"/>
  <c r="AS19" s="1"/>
  <c r="S19"/>
  <c r="AU19" s="1"/>
  <c r="U19"/>
  <c r="AX19" s="1"/>
  <c r="W19"/>
  <c r="AZ19" s="1"/>
  <c r="Y19"/>
  <c r="BC19" s="1"/>
  <c r="AA19"/>
  <c r="BE19" s="1"/>
  <c r="F19"/>
  <c r="AE19" s="1"/>
  <c r="H19"/>
  <c r="AG19" s="1"/>
  <c r="J19"/>
  <c r="L19"/>
  <c r="AL19" s="1"/>
  <c r="N19"/>
  <c r="AO19" s="1"/>
  <c r="P19"/>
  <c r="AQ19" s="1"/>
  <c r="R19"/>
  <c r="AT19" s="1"/>
  <c r="T19"/>
  <c r="AV19" s="1"/>
  <c r="V19"/>
  <c r="AY19" s="1"/>
  <c r="X19"/>
  <c r="BA19" s="1"/>
  <c r="Z19"/>
  <c r="BD19" s="1"/>
  <c r="AB19"/>
  <c r="BF19" s="1"/>
  <c r="O50" i="4"/>
  <c r="K51"/>
  <c r="G52"/>
  <c r="W52"/>
  <c r="S53"/>
  <c r="O54"/>
  <c r="K50"/>
  <c r="S50"/>
  <c r="G51"/>
  <c r="O51"/>
  <c r="W51"/>
  <c r="K52"/>
  <c r="S52"/>
  <c r="G53"/>
  <c r="O53"/>
  <c r="W53"/>
  <c r="K54"/>
  <c r="U6" i="5"/>
  <c r="A45" i="4"/>
  <c r="A32" i="35"/>
  <c r="A25"/>
  <c r="A15"/>
  <c r="A62" i="5"/>
  <c r="A45"/>
  <c r="A30"/>
  <c r="A20"/>
  <c r="A10"/>
  <c r="BG19" i="18" l="1"/>
  <c r="P19" i="19" s="1"/>
  <c r="N19" s="1"/>
  <c r="BB19" i="18"/>
  <c r="M19" i="19" s="1"/>
  <c r="K19" s="1"/>
  <c r="AW19" i="18"/>
  <c r="J19" i="19" s="1"/>
  <c r="H19" s="1"/>
  <c r="AR19" i="18"/>
  <c r="G19" i="19" s="1"/>
  <c r="E19" s="1"/>
  <c r="AH19" i="18"/>
  <c r="AH17"/>
  <c r="AH18"/>
  <c r="A54" i="4"/>
  <c r="E16" i="3" s="1"/>
  <c r="AC16" i="18" s="1"/>
  <c r="A67" i="5"/>
  <c r="A72"/>
  <c r="A77"/>
  <c r="A82"/>
  <c r="A87"/>
  <c r="G67" s="1"/>
  <c r="J36" i="26"/>
  <c r="J35"/>
  <c r="J34"/>
  <c r="G34" s="1"/>
  <c r="J33"/>
  <c r="J32"/>
  <c r="J30"/>
  <c r="J28"/>
  <c r="J26"/>
  <c r="J25"/>
  <c r="J24"/>
  <c r="J23"/>
  <c r="J22"/>
  <c r="J21"/>
  <c r="J20"/>
  <c r="J19"/>
  <c r="J18" s="1"/>
  <c r="J14"/>
  <c r="J13"/>
  <c r="J12"/>
  <c r="J11"/>
  <c r="G11" s="1"/>
  <c r="J10"/>
  <c r="J9"/>
  <c r="G9" s="1"/>
  <c r="J8"/>
  <c r="A31"/>
  <c r="A36"/>
  <c r="A35"/>
  <c r="A34"/>
  <c r="A33"/>
  <c r="A32"/>
  <c r="A37"/>
  <c r="A30"/>
  <c r="D30" s="1"/>
  <c r="A29"/>
  <c r="D29" s="1"/>
  <c r="A28"/>
  <c r="D28" s="1"/>
  <c r="A27"/>
  <c r="D27" s="1"/>
  <c r="A26"/>
  <c r="D26" s="1"/>
  <c r="A25"/>
  <c r="D25" s="1"/>
  <c r="A24"/>
  <c r="D24" s="1"/>
  <c r="A23"/>
  <c r="D23" s="1"/>
  <c r="A22"/>
  <c r="D22" s="1"/>
  <c r="A21"/>
  <c r="D21" s="1"/>
  <c r="A20"/>
  <c r="D20" s="1"/>
  <c r="D19"/>
  <c r="A11" i="21"/>
  <c r="A32" s="1"/>
  <c r="U39" i="19"/>
  <c r="U38"/>
  <c r="U37"/>
  <c r="U36"/>
  <c r="U34"/>
  <c r="U16"/>
  <c r="U15"/>
  <c r="U14"/>
  <c r="U13"/>
  <c r="U12"/>
  <c r="U11"/>
  <c r="U10"/>
  <c r="U9"/>
  <c r="U8"/>
  <c r="U6" s="1"/>
  <c r="R40"/>
  <c r="R33"/>
  <c r="R6"/>
  <c r="A39"/>
  <c r="A38"/>
  <c r="A37"/>
  <c r="A36"/>
  <c r="A35"/>
  <c r="A34"/>
  <c r="A33"/>
  <c r="A32"/>
  <c r="A31"/>
  <c r="A30"/>
  <c r="A29"/>
  <c r="A28"/>
  <c r="A27"/>
  <c r="A26"/>
  <c r="A25"/>
  <c r="A24"/>
  <c r="A23"/>
  <c r="A22"/>
  <c r="BF39" i="18"/>
  <c r="BE39"/>
  <c r="BF38"/>
  <c r="BE38"/>
  <c r="BF37"/>
  <c r="BE37"/>
  <c r="BF36"/>
  <c r="BE36"/>
  <c r="BF35"/>
  <c r="BE35"/>
  <c r="BF34"/>
  <c r="BF33" s="1"/>
  <c r="BE34"/>
  <c r="BE33" s="1"/>
  <c r="BF32"/>
  <c r="BE32"/>
  <c r="BF31"/>
  <c r="BE31"/>
  <c r="AE39"/>
  <c r="AE38"/>
  <c r="AE37"/>
  <c r="AE36"/>
  <c r="AE35"/>
  <c r="AE34"/>
  <c r="AE32"/>
  <c r="AE31"/>
  <c r="AD39"/>
  <c r="AD38"/>
  <c r="AD37"/>
  <c r="AD36"/>
  <c r="AD35"/>
  <c r="AD34"/>
  <c r="AD32"/>
  <c r="AD31"/>
  <c r="D42"/>
  <c r="D41"/>
  <c r="D39"/>
  <c r="D38"/>
  <c r="D37"/>
  <c r="D36"/>
  <c r="D35"/>
  <c r="D34"/>
  <c r="D32"/>
  <c r="D31"/>
  <c r="D30"/>
  <c r="D29"/>
  <c r="D28"/>
  <c r="D27"/>
  <c r="D26"/>
  <c r="D25"/>
  <c r="D24"/>
  <c r="D23"/>
  <c r="D22"/>
  <c r="D21"/>
  <c r="D16"/>
  <c r="D15"/>
  <c r="D14"/>
  <c r="D13"/>
  <c r="D12"/>
  <c r="D11"/>
  <c r="D10"/>
  <c r="D9"/>
  <c r="D8"/>
  <c r="G31" i="17"/>
  <c r="B40" i="18"/>
  <c r="B20"/>
  <c r="AB33"/>
  <c r="AA33"/>
  <c r="F33"/>
  <c r="E33"/>
  <c r="A39"/>
  <c r="A38"/>
  <c r="A37"/>
  <c r="Z37" s="1"/>
  <c r="A36"/>
  <c r="Z36" s="1"/>
  <c r="BD36" s="1"/>
  <c r="A35"/>
  <c r="Z35" s="1"/>
  <c r="A34"/>
  <c r="Z34" s="1"/>
  <c r="A33"/>
  <c r="A32"/>
  <c r="G32" s="1"/>
  <c r="A31"/>
  <c r="G31" s="1"/>
  <c r="A30"/>
  <c r="Z30" s="1"/>
  <c r="A29"/>
  <c r="Z29" s="1"/>
  <c r="A28"/>
  <c r="Z28" s="1"/>
  <c r="A27"/>
  <c r="A26"/>
  <c r="Z26" s="1"/>
  <c r="A25"/>
  <c r="E25" s="1"/>
  <c r="AD25" s="1"/>
  <c r="A24"/>
  <c r="A23"/>
  <c r="A22"/>
  <c r="D51" i="3"/>
  <c r="D50"/>
  <c r="D40"/>
  <c r="D41"/>
  <c r="D34"/>
  <c r="D33"/>
  <c r="D32"/>
  <c r="D29"/>
  <c r="D28"/>
  <c r="D27"/>
  <c r="D26"/>
  <c r="D23"/>
  <c r="C30"/>
  <c r="C29"/>
  <c r="C28"/>
  <c r="C27"/>
  <c r="E33" i="26" l="1"/>
  <c r="E35"/>
  <c r="J31"/>
  <c r="G32"/>
  <c r="AD33" i="18"/>
  <c r="AE33"/>
  <c r="U33" i="19"/>
  <c r="C11" i="21" s="1"/>
  <c r="C8" s="1"/>
  <c r="U5" i="19"/>
  <c r="U4" s="1"/>
  <c r="C32" i="21"/>
  <c r="C29" s="1"/>
  <c r="Z27" i="18"/>
  <c r="G90" i="5"/>
  <c r="E32" i="26"/>
  <c r="E34"/>
  <c r="E36"/>
  <c r="O91" i="5"/>
  <c r="O88"/>
  <c r="B33" i="18"/>
  <c r="E19" i="26"/>
  <c r="E21"/>
  <c r="E25"/>
  <c r="E27"/>
  <c r="E29"/>
  <c r="W90" i="5"/>
  <c r="K89"/>
  <c r="S87"/>
  <c r="E20" i="26"/>
  <c r="E22"/>
  <c r="E24"/>
  <c r="E26"/>
  <c r="E28"/>
  <c r="E30"/>
  <c r="W91" i="5"/>
  <c r="G91"/>
  <c r="O90"/>
  <c r="S89"/>
  <c r="W88"/>
  <c r="G88"/>
  <c r="K87"/>
  <c r="R5" i="19"/>
  <c r="AB25" i="18"/>
  <c r="BF25" s="1"/>
  <c r="AA25"/>
  <c r="F25"/>
  <c r="AE25" s="1"/>
  <c r="AB26"/>
  <c r="BF26" s="1"/>
  <c r="AA26"/>
  <c r="F26"/>
  <c r="AE26" s="1"/>
  <c r="E26"/>
  <c r="AD26" s="1"/>
  <c r="AB27"/>
  <c r="BF27" s="1"/>
  <c r="AA27"/>
  <c r="F27"/>
  <c r="AE27" s="1"/>
  <c r="E27"/>
  <c r="AD27" s="1"/>
  <c r="AB28"/>
  <c r="BF28" s="1"/>
  <c r="AA28"/>
  <c r="BE28" s="1"/>
  <c r="F28"/>
  <c r="AE28" s="1"/>
  <c r="E28"/>
  <c r="AD28" s="1"/>
  <c r="BD34"/>
  <c r="Z38"/>
  <c r="Y38"/>
  <c r="X38"/>
  <c r="W38"/>
  <c r="V38"/>
  <c r="U38"/>
  <c r="Z39"/>
  <c r="BD39" s="1"/>
  <c r="Y39"/>
  <c r="X39"/>
  <c r="W39"/>
  <c r="V39"/>
  <c r="U39"/>
  <c r="T39"/>
  <c r="S39"/>
  <c r="R39"/>
  <c r="Q39"/>
  <c r="P39"/>
  <c r="AQ39" s="1"/>
  <c r="O39"/>
  <c r="AP39" s="1"/>
  <c r="N39"/>
  <c r="AO39" s="1"/>
  <c r="M39"/>
  <c r="AN39" s="1"/>
  <c r="L39"/>
  <c r="AL39" s="1"/>
  <c r="K39"/>
  <c r="AK39" s="1"/>
  <c r="J39"/>
  <c r="AJ39" s="1"/>
  <c r="I39"/>
  <c r="AI39" s="1"/>
  <c r="H39"/>
  <c r="AG39" s="1"/>
  <c r="G39"/>
  <c r="AF39" s="1"/>
  <c r="Z25"/>
  <c r="G26"/>
  <c r="G27"/>
  <c r="G28"/>
  <c r="H26"/>
  <c r="I26"/>
  <c r="J26"/>
  <c r="K26"/>
  <c r="L26"/>
  <c r="M26"/>
  <c r="N26"/>
  <c r="O26"/>
  <c r="P26"/>
  <c r="Q26"/>
  <c r="R26"/>
  <c r="S26"/>
  <c r="T26"/>
  <c r="U26"/>
  <c r="V26"/>
  <c r="W26"/>
  <c r="X26"/>
  <c r="Y26"/>
  <c r="H27"/>
  <c r="I27"/>
  <c r="J27"/>
  <c r="K27"/>
  <c r="L27"/>
  <c r="M27"/>
  <c r="N27"/>
  <c r="O27"/>
  <c r="P27"/>
  <c r="Q27"/>
  <c r="R27"/>
  <c r="S27"/>
  <c r="T27"/>
  <c r="U27"/>
  <c r="V27"/>
  <c r="W27"/>
  <c r="X27"/>
  <c r="Y27"/>
  <c r="H28"/>
  <c r="I28"/>
  <c r="J28"/>
  <c r="K28"/>
  <c r="L28"/>
  <c r="M28"/>
  <c r="N28"/>
  <c r="O28"/>
  <c r="P28"/>
  <c r="Q28"/>
  <c r="R28"/>
  <c r="S28"/>
  <c r="T28"/>
  <c r="U28"/>
  <c r="V28"/>
  <c r="W28"/>
  <c r="X28"/>
  <c r="Y28"/>
  <c r="H29"/>
  <c r="I29"/>
  <c r="J29"/>
  <c r="K29"/>
  <c r="L29"/>
  <c r="M29"/>
  <c r="N29"/>
  <c r="O29"/>
  <c r="P29"/>
  <c r="Q29"/>
  <c r="R29"/>
  <c r="S29"/>
  <c r="T29"/>
  <c r="U29"/>
  <c r="V29"/>
  <c r="W29"/>
  <c r="X29"/>
  <c r="Y29"/>
  <c r="H30"/>
  <c r="I30"/>
  <c r="J30"/>
  <c r="K30"/>
  <c r="L30"/>
  <c r="M30"/>
  <c r="N30"/>
  <c r="O30"/>
  <c r="P30"/>
  <c r="Q30"/>
  <c r="R30"/>
  <c r="S30"/>
  <c r="T30"/>
  <c r="U30"/>
  <c r="V30"/>
  <c r="W30"/>
  <c r="X30"/>
  <c r="Y30"/>
  <c r="H31"/>
  <c r="I31"/>
  <c r="J31"/>
  <c r="K31"/>
  <c r="L31"/>
  <c r="M31"/>
  <c r="N31"/>
  <c r="O31"/>
  <c r="P31"/>
  <c r="Q31"/>
  <c r="R31"/>
  <c r="S31"/>
  <c r="T31"/>
  <c r="U31"/>
  <c r="V31"/>
  <c r="W31"/>
  <c r="X31"/>
  <c r="Y31"/>
  <c r="Z31"/>
  <c r="H32"/>
  <c r="I32"/>
  <c r="J32"/>
  <c r="K32"/>
  <c r="L32"/>
  <c r="M32"/>
  <c r="N32"/>
  <c r="O32"/>
  <c r="P32"/>
  <c r="Q32"/>
  <c r="R32"/>
  <c r="S32"/>
  <c r="T32"/>
  <c r="U32"/>
  <c r="V32"/>
  <c r="W32"/>
  <c r="X32"/>
  <c r="Y32"/>
  <c r="Z32"/>
  <c r="G34"/>
  <c r="H34"/>
  <c r="I34"/>
  <c r="J34"/>
  <c r="K34"/>
  <c r="L34"/>
  <c r="M34"/>
  <c r="N34"/>
  <c r="O34"/>
  <c r="P34"/>
  <c r="Q34"/>
  <c r="R34"/>
  <c r="S34"/>
  <c r="T34"/>
  <c r="U34"/>
  <c r="V34"/>
  <c r="W34"/>
  <c r="X34"/>
  <c r="Y34"/>
  <c r="G35"/>
  <c r="AF35" s="1"/>
  <c r="H35"/>
  <c r="AG35" s="1"/>
  <c r="K35"/>
  <c r="L35"/>
  <c r="M35"/>
  <c r="N35"/>
  <c r="O35"/>
  <c r="P35"/>
  <c r="Q35"/>
  <c r="R35"/>
  <c r="S35"/>
  <c r="T35"/>
  <c r="U35"/>
  <c r="V35"/>
  <c r="W35"/>
  <c r="X35"/>
  <c r="Y35"/>
  <c r="G36"/>
  <c r="AF36" s="1"/>
  <c r="H36"/>
  <c r="I36"/>
  <c r="J36"/>
  <c r="K36"/>
  <c r="L36"/>
  <c r="M36"/>
  <c r="N36"/>
  <c r="O36"/>
  <c r="P36"/>
  <c r="Q36"/>
  <c r="R36"/>
  <c r="AT36" s="1"/>
  <c r="S36"/>
  <c r="AU36" s="1"/>
  <c r="T36"/>
  <c r="AV36" s="1"/>
  <c r="U36"/>
  <c r="AX36" s="1"/>
  <c r="V36"/>
  <c r="AY36" s="1"/>
  <c r="W36"/>
  <c r="AZ36" s="1"/>
  <c r="X36"/>
  <c r="BA36" s="1"/>
  <c r="Y36"/>
  <c r="BC36" s="1"/>
  <c r="BG36" s="1"/>
  <c r="G37"/>
  <c r="AF37" s="1"/>
  <c r="H37"/>
  <c r="I37"/>
  <c r="J37"/>
  <c r="K37"/>
  <c r="L37"/>
  <c r="M37"/>
  <c r="N37"/>
  <c r="O37"/>
  <c r="P37"/>
  <c r="Q37"/>
  <c r="R37"/>
  <c r="S37"/>
  <c r="T37"/>
  <c r="U37"/>
  <c r="V37"/>
  <c r="W37"/>
  <c r="X37"/>
  <c r="Y37"/>
  <c r="G38"/>
  <c r="AF38" s="1"/>
  <c r="H38"/>
  <c r="I38"/>
  <c r="J38"/>
  <c r="K38"/>
  <c r="L38"/>
  <c r="M38"/>
  <c r="N38"/>
  <c r="O38"/>
  <c r="P38"/>
  <c r="Q38"/>
  <c r="R38"/>
  <c r="S38"/>
  <c r="T38"/>
  <c r="B19" i="26"/>
  <c r="B20"/>
  <c r="B21"/>
  <c r="B22"/>
  <c r="B23"/>
  <c r="B24"/>
  <c r="B25"/>
  <c r="B26"/>
  <c r="B27"/>
  <c r="B28"/>
  <c r="B29"/>
  <c r="B30"/>
  <c r="C19"/>
  <c r="C20"/>
  <c r="C21"/>
  <c r="C22"/>
  <c r="C23"/>
  <c r="C24"/>
  <c r="C25"/>
  <c r="C26"/>
  <c r="C27"/>
  <c r="C28"/>
  <c r="C29"/>
  <c r="C30"/>
  <c r="B32"/>
  <c r="B33"/>
  <c r="B34"/>
  <c r="B35"/>
  <c r="B36"/>
  <c r="C32"/>
  <c r="C33"/>
  <c r="C34"/>
  <c r="C35"/>
  <c r="C36"/>
  <c r="D32"/>
  <c r="D33"/>
  <c r="D34"/>
  <c r="D35"/>
  <c r="D36"/>
  <c r="AH35" i="18"/>
  <c r="D33"/>
  <c r="E23" i="26"/>
  <c r="S86" i="5"/>
  <c r="K86"/>
  <c r="S85"/>
  <c r="K85"/>
  <c r="W84"/>
  <c r="O84"/>
  <c r="G84"/>
  <c r="S83"/>
  <c r="K83"/>
  <c r="W82"/>
  <c r="O82"/>
  <c r="G82"/>
  <c r="W81"/>
  <c r="O81"/>
  <c r="G81"/>
  <c r="W80"/>
  <c r="O80"/>
  <c r="G80"/>
  <c r="S79"/>
  <c r="K79"/>
  <c r="W78"/>
  <c r="O78"/>
  <c r="G78"/>
  <c r="S77"/>
  <c r="K77"/>
  <c r="S76"/>
  <c r="K76"/>
  <c r="S75"/>
  <c r="K75"/>
  <c r="W74"/>
  <c r="O74"/>
  <c r="G74"/>
  <c r="S73"/>
  <c r="K73"/>
  <c r="W72"/>
  <c r="O72"/>
  <c r="G72"/>
  <c r="W71"/>
  <c r="O71"/>
  <c r="G71"/>
  <c r="W70"/>
  <c r="O70"/>
  <c r="G70"/>
  <c r="S69"/>
  <c r="K69"/>
  <c r="W68"/>
  <c r="O68"/>
  <c r="G68"/>
  <c r="S67"/>
  <c r="K67"/>
  <c r="S91"/>
  <c r="K91"/>
  <c r="S90"/>
  <c r="K90"/>
  <c r="W89"/>
  <c r="O89"/>
  <c r="G89"/>
  <c r="S88"/>
  <c r="K88"/>
  <c r="W87"/>
  <c r="O87"/>
  <c r="G87"/>
  <c r="W86"/>
  <c r="O86"/>
  <c r="G86"/>
  <c r="W85"/>
  <c r="O85"/>
  <c r="G85"/>
  <c r="S84"/>
  <c r="K84"/>
  <c r="W83"/>
  <c r="O83"/>
  <c r="G83"/>
  <c r="S82"/>
  <c r="K82"/>
  <c r="S81"/>
  <c r="K81"/>
  <c r="S80"/>
  <c r="K80"/>
  <c r="W79"/>
  <c r="O79"/>
  <c r="G79"/>
  <c r="S78"/>
  <c r="K78"/>
  <c r="W77"/>
  <c r="O77"/>
  <c r="G77"/>
  <c r="W76"/>
  <c r="O76"/>
  <c r="G76"/>
  <c r="W75"/>
  <c r="O75"/>
  <c r="G75"/>
  <c r="S74"/>
  <c r="K74"/>
  <c r="W73"/>
  <c r="O73"/>
  <c r="G73"/>
  <c r="S72"/>
  <c r="K72"/>
  <c r="S71"/>
  <c r="K71"/>
  <c r="S70"/>
  <c r="K70"/>
  <c r="W69"/>
  <c r="O69"/>
  <c r="G69"/>
  <c r="S68"/>
  <c r="K68"/>
  <c r="W67"/>
  <c r="O67"/>
  <c r="AM39" i="18"/>
  <c r="D39" i="19" s="1"/>
  <c r="B39" s="1"/>
  <c r="I25" i="18"/>
  <c r="K25"/>
  <c r="M25"/>
  <c r="O25"/>
  <c r="Q25"/>
  <c r="S25"/>
  <c r="U25"/>
  <c r="W25"/>
  <c r="Y25"/>
  <c r="G25"/>
  <c r="H25"/>
  <c r="J25"/>
  <c r="L25"/>
  <c r="N25"/>
  <c r="P25"/>
  <c r="R25"/>
  <c r="T25"/>
  <c r="V25"/>
  <c r="X25"/>
  <c r="AA30"/>
  <c r="BE30" s="1"/>
  <c r="F24"/>
  <c r="AE24" s="1"/>
  <c r="AB30"/>
  <c r="BF30" s="1"/>
  <c r="F23"/>
  <c r="AE23" s="1"/>
  <c r="AA24"/>
  <c r="U6" i="16"/>
  <c r="U5"/>
  <c r="I5"/>
  <c r="I6"/>
  <c r="J5"/>
  <c r="E5"/>
  <c r="I56" i="5"/>
  <c r="M55"/>
  <c r="U65"/>
  <c r="W65" s="1"/>
  <c r="U64"/>
  <c r="I63"/>
  <c r="K63" s="1"/>
  <c r="I62"/>
  <c r="A25" i="17"/>
  <c r="I32" i="35"/>
  <c r="I26"/>
  <c r="I25"/>
  <c r="I11"/>
  <c r="I10"/>
  <c r="A20"/>
  <c r="W24" s="1"/>
  <c r="W14"/>
  <c r="A5"/>
  <c r="M56" i="5"/>
  <c r="A52" i="35"/>
  <c r="W56" s="1"/>
  <c r="A47"/>
  <c r="W51" s="1"/>
  <c r="A42"/>
  <c r="W46" s="1"/>
  <c r="A37"/>
  <c r="W41" s="1"/>
  <c r="W36"/>
  <c r="W31"/>
  <c r="W19"/>
  <c r="I50" i="5"/>
  <c r="W49"/>
  <c r="I40"/>
  <c r="U36"/>
  <c r="U35"/>
  <c r="Q36"/>
  <c r="I35"/>
  <c r="I30"/>
  <c r="U26"/>
  <c r="I25"/>
  <c r="U23"/>
  <c r="U22"/>
  <c r="U13"/>
  <c r="U12"/>
  <c r="I21"/>
  <c r="I11"/>
  <c r="I20"/>
  <c r="I10"/>
  <c r="I5"/>
  <c r="I6"/>
  <c r="U8"/>
  <c r="U7"/>
  <c r="U21"/>
  <c r="U20"/>
  <c r="U16"/>
  <c r="I15"/>
  <c r="U5"/>
  <c r="I15" i="4"/>
  <c r="V55" i="5"/>
  <c r="U55"/>
  <c r="W55" s="1"/>
  <c r="I55"/>
  <c r="A50"/>
  <c r="A55"/>
  <c r="G55" s="1"/>
  <c r="A40"/>
  <c r="S44" s="1"/>
  <c r="A35"/>
  <c r="W39" s="1"/>
  <c r="A25"/>
  <c r="W29" s="1"/>
  <c r="S21"/>
  <c r="A15"/>
  <c r="S19" s="1"/>
  <c r="G10"/>
  <c r="C32" i="3"/>
  <c r="S9" i="5"/>
  <c r="W54"/>
  <c r="O54"/>
  <c r="G54"/>
  <c r="S53"/>
  <c r="K53"/>
  <c r="W52"/>
  <c r="O52"/>
  <c r="S51"/>
  <c r="K51"/>
  <c r="W50"/>
  <c r="O50"/>
  <c r="S61"/>
  <c r="K61"/>
  <c r="W60"/>
  <c r="O60"/>
  <c r="G60"/>
  <c r="S59"/>
  <c r="K59"/>
  <c r="W56"/>
  <c r="O56"/>
  <c r="S55"/>
  <c r="K55"/>
  <c r="A2"/>
  <c r="C33" i="3"/>
  <c r="W66" i="5"/>
  <c r="O66"/>
  <c r="G66"/>
  <c r="O65"/>
  <c r="S64"/>
  <c r="K64"/>
  <c r="W63"/>
  <c r="O63"/>
  <c r="S62"/>
  <c r="K62"/>
  <c r="S66"/>
  <c r="K66"/>
  <c r="S65"/>
  <c r="K65"/>
  <c r="W64"/>
  <c r="O64"/>
  <c r="S63"/>
  <c r="W62"/>
  <c r="O62"/>
  <c r="O55"/>
  <c r="K56"/>
  <c r="S56"/>
  <c r="G59"/>
  <c r="O59"/>
  <c r="W59"/>
  <c r="K60"/>
  <c r="S60"/>
  <c r="G61"/>
  <c r="O61"/>
  <c r="W61"/>
  <c r="S50"/>
  <c r="O51"/>
  <c r="W51"/>
  <c r="K52"/>
  <c r="S52"/>
  <c r="O53"/>
  <c r="W53"/>
  <c r="K54"/>
  <c r="S54"/>
  <c r="S34"/>
  <c r="S24"/>
  <c r="W14"/>
  <c r="A6" i="26"/>
  <c r="I6"/>
  <c r="K6"/>
  <c r="A8"/>
  <c r="A9"/>
  <c r="A10"/>
  <c r="A11"/>
  <c r="A12"/>
  <c r="C12" s="1"/>
  <c r="A13"/>
  <c r="A14"/>
  <c r="I37"/>
  <c r="I39" s="1"/>
  <c r="I40" s="1"/>
  <c r="K37"/>
  <c r="K39" s="1"/>
  <c r="K40" s="1"/>
  <c r="A38"/>
  <c r="B38" s="1"/>
  <c r="J38"/>
  <c r="G38" s="1"/>
  <c r="G37" s="1"/>
  <c r="A5" i="21"/>
  <c r="A26" s="1"/>
  <c r="A6"/>
  <c r="A27" s="1"/>
  <c r="D7"/>
  <c r="A9"/>
  <c r="A30" s="1"/>
  <c r="E12"/>
  <c r="D15"/>
  <c r="A6" i="19"/>
  <c r="A7"/>
  <c r="A8"/>
  <c r="A9"/>
  <c r="A10"/>
  <c r="A11"/>
  <c r="A12"/>
  <c r="A13"/>
  <c r="A14"/>
  <c r="A15"/>
  <c r="A16"/>
  <c r="A41"/>
  <c r="C5" i="21"/>
  <c r="A42" i="19"/>
  <c r="C6" i="21"/>
  <c r="W43" i="19"/>
  <c r="A6" i="18"/>
  <c r="B6"/>
  <c r="A7"/>
  <c r="A7" i="26" s="1"/>
  <c r="B7" s="1"/>
  <c r="D7" i="18"/>
  <c r="A8"/>
  <c r="A9"/>
  <c r="A10"/>
  <c r="A11"/>
  <c r="AA11" s="1"/>
  <c r="BE11" s="1"/>
  <c r="A12"/>
  <c r="AA12" s="1"/>
  <c r="BE12" s="1"/>
  <c r="A13"/>
  <c r="A14"/>
  <c r="A15"/>
  <c r="AA15" s="1"/>
  <c r="BE15" s="1"/>
  <c r="A16"/>
  <c r="AA16" s="1"/>
  <c r="BE16" s="1"/>
  <c r="N21"/>
  <c r="F22"/>
  <c r="AE22" s="1"/>
  <c r="V22"/>
  <c r="E22"/>
  <c r="AD22" s="1"/>
  <c r="F29"/>
  <c r="AE29" s="1"/>
  <c r="F30"/>
  <c r="AE30" s="1"/>
  <c r="E30"/>
  <c r="AD30" s="1"/>
  <c r="A40"/>
  <c r="A41"/>
  <c r="F41" s="1"/>
  <c r="AE41" s="1"/>
  <c r="A42"/>
  <c r="E42" s="1"/>
  <c r="AD42" s="1"/>
  <c r="A5" i="17"/>
  <c r="A23" s="1"/>
  <c r="A24"/>
  <c r="A11"/>
  <c r="A29" s="1"/>
  <c r="A12"/>
  <c r="A30" s="1"/>
  <c r="H19"/>
  <c r="A20"/>
  <c r="A2" i="16"/>
  <c r="A5"/>
  <c r="O5" s="1"/>
  <c r="A16"/>
  <c r="O16" s="1"/>
  <c r="A5" i="4"/>
  <c r="I5"/>
  <c r="A10"/>
  <c r="A15"/>
  <c r="S15" s="1"/>
  <c r="A20"/>
  <c r="G20" s="1"/>
  <c r="U23"/>
  <c r="A25"/>
  <c r="G25" s="1"/>
  <c r="A30"/>
  <c r="G30" s="1"/>
  <c r="A35"/>
  <c r="G35" s="1"/>
  <c r="A40"/>
  <c r="G40" s="1"/>
  <c r="G45"/>
  <c r="C7" i="3"/>
  <c r="C8"/>
  <c r="C9"/>
  <c r="C10"/>
  <c r="C11"/>
  <c r="C12"/>
  <c r="C13"/>
  <c r="C14"/>
  <c r="C15"/>
  <c r="C16"/>
  <c r="C22"/>
  <c r="C23"/>
  <c r="C24"/>
  <c r="C25"/>
  <c r="C26"/>
  <c r="C38"/>
  <c r="C53"/>
  <c r="C54"/>
  <c r="K33" i="4"/>
  <c r="X24" i="18"/>
  <c r="V24"/>
  <c r="T24"/>
  <c r="P24"/>
  <c r="N24"/>
  <c r="L24"/>
  <c r="H24"/>
  <c r="W21"/>
  <c r="G28" i="4"/>
  <c r="G48"/>
  <c r="W28"/>
  <c r="S25"/>
  <c r="S49"/>
  <c r="O46"/>
  <c r="O28"/>
  <c r="W26"/>
  <c r="K25"/>
  <c r="K6"/>
  <c r="N22" i="18"/>
  <c r="W48" i="4"/>
  <c r="K47"/>
  <c r="S45"/>
  <c r="K22"/>
  <c r="W13"/>
  <c r="O7"/>
  <c r="S21" i="18"/>
  <c r="W32" i="4"/>
  <c r="W33"/>
  <c r="O29"/>
  <c r="S28"/>
  <c r="W27"/>
  <c r="G27"/>
  <c r="K26"/>
  <c r="O25"/>
  <c r="G24"/>
  <c r="S22"/>
  <c r="G21"/>
  <c r="G13" i="16"/>
  <c r="G42" i="4"/>
  <c r="K49"/>
  <c r="O48"/>
  <c r="S47"/>
  <c r="W46"/>
  <c r="G46"/>
  <c r="K45"/>
  <c r="G38"/>
  <c r="O8"/>
  <c r="W6"/>
  <c r="K5"/>
  <c r="J22" i="18"/>
  <c r="G45" i="5"/>
  <c r="K38"/>
  <c r="W49" i="4"/>
  <c r="O49"/>
  <c r="G49"/>
  <c r="S48"/>
  <c r="K48"/>
  <c r="W47"/>
  <c r="O47"/>
  <c r="G47"/>
  <c r="S46"/>
  <c r="K46"/>
  <c r="W45"/>
  <c r="O45"/>
  <c r="O36"/>
  <c r="S12"/>
  <c r="W13" i="16"/>
  <c r="O7"/>
  <c r="M23" i="18"/>
  <c r="G5" i="5"/>
  <c r="W6"/>
  <c r="W9"/>
  <c r="S11"/>
  <c r="G20"/>
  <c r="K23"/>
  <c r="O27"/>
  <c r="O37"/>
  <c r="W45"/>
  <c r="K49"/>
  <c r="G6"/>
  <c r="G9"/>
  <c r="O12"/>
  <c r="W20"/>
  <c r="W24"/>
  <c r="K37" i="4"/>
  <c r="S24"/>
  <c r="W23"/>
  <c r="K23"/>
  <c r="O22"/>
  <c r="S21"/>
  <c r="W20"/>
  <c r="O14"/>
  <c r="W12"/>
  <c r="K11"/>
  <c r="O13" i="16"/>
  <c r="K10"/>
  <c r="G7"/>
  <c r="I23" i="18"/>
  <c r="C7" i="26"/>
  <c r="O6" i="5"/>
  <c r="G8"/>
  <c r="O9"/>
  <c r="K11"/>
  <c r="W12"/>
  <c r="S14"/>
  <c r="K21"/>
  <c r="W22"/>
  <c r="W23"/>
  <c r="K26"/>
  <c r="W27"/>
  <c r="S29"/>
  <c r="O35"/>
  <c r="G37"/>
  <c r="S38"/>
  <c r="O45"/>
  <c r="G47"/>
  <c r="S48"/>
  <c r="S24" i="18"/>
  <c r="H23"/>
  <c r="X22"/>
  <c r="G22"/>
  <c r="J24"/>
  <c r="R24"/>
  <c r="G30"/>
  <c r="W24"/>
  <c r="U24"/>
  <c r="Q24"/>
  <c r="O24"/>
  <c r="M24"/>
  <c r="I24"/>
  <c r="G24"/>
  <c r="E24"/>
  <c r="AD24" s="1"/>
  <c r="S22"/>
  <c r="K22"/>
  <c r="H22"/>
  <c r="K15" i="5"/>
  <c r="G16"/>
  <c r="K17"/>
  <c r="G18"/>
  <c r="W18"/>
  <c r="O19"/>
  <c r="K30"/>
  <c r="S30"/>
  <c r="G31"/>
  <c r="O31"/>
  <c r="W31"/>
  <c r="K32"/>
  <c r="S32"/>
  <c r="G33"/>
  <c r="O33"/>
  <c r="W33"/>
  <c r="G34"/>
  <c r="O34"/>
  <c r="W34"/>
  <c r="S40"/>
  <c r="O41"/>
  <c r="K42"/>
  <c r="G43"/>
  <c r="W43"/>
  <c r="O44"/>
  <c r="O5"/>
  <c r="K6"/>
  <c r="G7"/>
  <c r="W7"/>
  <c r="S8"/>
  <c r="K10"/>
  <c r="G11"/>
  <c r="W11"/>
  <c r="S12"/>
  <c r="O13"/>
  <c r="G14"/>
  <c r="O15"/>
  <c r="K16"/>
  <c r="G17"/>
  <c r="W17"/>
  <c r="S18"/>
  <c r="S20"/>
  <c r="O21"/>
  <c r="K22"/>
  <c r="G23"/>
  <c r="K24"/>
  <c r="S25"/>
  <c r="O26"/>
  <c r="S27"/>
  <c r="O28"/>
  <c r="G29"/>
  <c r="G30"/>
  <c r="O30"/>
  <c r="W30"/>
  <c r="K31"/>
  <c r="S31"/>
  <c r="G32"/>
  <c r="O32"/>
  <c r="W32"/>
  <c r="K33"/>
  <c r="S33"/>
  <c r="K34"/>
  <c r="K35"/>
  <c r="G36"/>
  <c r="W36"/>
  <c r="S37"/>
  <c r="O38"/>
  <c r="G39"/>
  <c r="O40"/>
  <c r="K41"/>
  <c r="G42"/>
  <c r="W42"/>
  <c r="S43"/>
  <c r="S45"/>
  <c r="O46"/>
  <c r="K47"/>
  <c r="G48"/>
  <c r="W48"/>
  <c r="O49"/>
  <c r="G16" i="16"/>
  <c r="S17"/>
  <c r="G19"/>
  <c r="S20"/>
  <c r="K22"/>
  <c r="W23"/>
  <c r="O25"/>
  <c r="K5"/>
  <c r="G6"/>
  <c r="W6"/>
  <c r="S7"/>
  <c r="O8"/>
  <c r="K9"/>
  <c r="G10"/>
  <c r="W10"/>
  <c r="S11"/>
  <c r="O12"/>
  <c r="K13"/>
  <c r="G14"/>
  <c r="W14"/>
  <c r="O38" i="4"/>
  <c r="W36"/>
  <c r="K35"/>
  <c r="G18"/>
  <c r="K42" i="18"/>
  <c r="AK42" s="1"/>
  <c r="C11" i="26"/>
  <c r="V23" i="18"/>
  <c r="N23"/>
  <c r="W39" i="4"/>
  <c r="G39"/>
  <c r="K38"/>
  <c r="O37"/>
  <c r="S36"/>
  <c r="W35"/>
  <c r="J37" i="26" l="1"/>
  <c r="S36" i="19"/>
  <c r="Q36" s="1"/>
  <c r="P36"/>
  <c r="N36" s="1"/>
  <c r="K21" i="16"/>
  <c r="O15" i="4"/>
  <c r="G31"/>
  <c r="K18"/>
  <c r="K32"/>
  <c r="K17"/>
  <c r="K15"/>
  <c r="S69"/>
  <c r="K69"/>
  <c r="W68"/>
  <c r="O68"/>
  <c r="G68"/>
  <c r="S67"/>
  <c r="K67"/>
  <c r="W66"/>
  <c r="O66"/>
  <c r="G66"/>
  <c r="S65"/>
  <c r="K65"/>
  <c r="A69" s="1"/>
  <c r="W69"/>
  <c r="O69"/>
  <c r="G69"/>
  <c r="S68"/>
  <c r="K68"/>
  <c r="W67"/>
  <c r="O67"/>
  <c r="G67"/>
  <c r="S66"/>
  <c r="K66"/>
  <c r="W65"/>
  <c r="O65"/>
  <c r="G65"/>
  <c r="C20" i="3"/>
  <c r="G10" i="4"/>
  <c r="S64"/>
  <c r="K64"/>
  <c r="W63"/>
  <c r="O63"/>
  <c r="G63"/>
  <c r="S62"/>
  <c r="K62"/>
  <c r="O61"/>
  <c r="G61"/>
  <c r="S60"/>
  <c r="K60"/>
  <c r="G60"/>
  <c r="W64"/>
  <c r="O64"/>
  <c r="G64"/>
  <c r="S63"/>
  <c r="K63"/>
  <c r="W62"/>
  <c r="O62"/>
  <c r="G62"/>
  <c r="S61"/>
  <c r="K61"/>
  <c r="W60"/>
  <c r="O60"/>
  <c r="W61"/>
  <c r="G5"/>
  <c r="W59"/>
  <c r="O59"/>
  <c r="G59"/>
  <c r="S58"/>
  <c r="K58"/>
  <c r="W57"/>
  <c r="O57"/>
  <c r="G57"/>
  <c r="S56"/>
  <c r="K56"/>
  <c r="W55"/>
  <c r="O55"/>
  <c r="S59"/>
  <c r="K59"/>
  <c r="W58"/>
  <c r="O58"/>
  <c r="G58"/>
  <c r="S57"/>
  <c r="K57"/>
  <c r="O56"/>
  <c r="G56"/>
  <c r="S55"/>
  <c r="K55"/>
  <c r="G55"/>
  <c r="W56"/>
  <c r="W41"/>
  <c r="C6" i="3"/>
  <c r="O35" i="4"/>
  <c r="K36"/>
  <c r="G37"/>
  <c r="W37"/>
  <c r="S38"/>
  <c r="O39"/>
  <c r="G36"/>
  <c r="S37"/>
  <c r="K39"/>
  <c r="O14" i="16"/>
  <c r="S13"/>
  <c r="W12"/>
  <c r="G12"/>
  <c r="K11"/>
  <c r="O10"/>
  <c r="S9"/>
  <c r="W8"/>
  <c r="G8"/>
  <c r="K7"/>
  <c r="S6"/>
  <c r="S5"/>
  <c r="G5"/>
  <c r="S8"/>
  <c r="W11"/>
  <c r="O10" i="4"/>
  <c r="G12"/>
  <c r="S13"/>
  <c r="O20"/>
  <c r="K21"/>
  <c r="G22"/>
  <c r="W22"/>
  <c r="S23"/>
  <c r="K24"/>
  <c r="S35"/>
  <c r="W38"/>
  <c r="S10" i="16"/>
  <c r="G11" i="4"/>
  <c r="K14"/>
  <c r="S39"/>
  <c r="G6"/>
  <c r="S7"/>
  <c r="K9"/>
  <c r="O6" i="16"/>
  <c r="K20" i="4"/>
  <c r="W21"/>
  <c r="O23"/>
  <c r="W24"/>
  <c r="W25"/>
  <c r="S26"/>
  <c r="O27"/>
  <c r="K28"/>
  <c r="G29"/>
  <c r="W29"/>
  <c r="S14" i="16"/>
  <c r="S10" i="4"/>
  <c r="S20"/>
  <c r="O11" i="16"/>
  <c r="O11" i="4"/>
  <c r="G26"/>
  <c r="S27"/>
  <c r="K29"/>
  <c r="G13"/>
  <c r="K27"/>
  <c r="O26"/>
  <c r="O24"/>
  <c r="A34" i="5"/>
  <c r="A91"/>
  <c r="AH39" i="18"/>
  <c r="O19" i="4"/>
  <c r="S24" i="16"/>
  <c r="G23"/>
  <c r="O21"/>
  <c r="W19"/>
  <c r="K18"/>
  <c r="S16"/>
  <c r="W44" i="4"/>
  <c r="S26" i="5"/>
  <c r="K28"/>
  <c r="G18" i="16"/>
  <c r="O24"/>
  <c r="O44" i="4"/>
  <c r="S18"/>
  <c r="K42"/>
  <c r="S34"/>
  <c r="K31"/>
  <c r="S21" i="16"/>
  <c r="G34" i="4"/>
  <c r="W20" i="16"/>
  <c r="O22"/>
  <c r="O33" i="4"/>
  <c r="K19"/>
  <c r="S31"/>
  <c r="W40"/>
  <c r="W18"/>
  <c r="W25" i="16"/>
  <c r="G25"/>
  <c r="K24"/>
  <c r="O23"/>
  <c r="S22"/>
  <c r="W21"/>
  <c r="G21"/>
  <c r="K20"/>
  <c r="O19"/>
  <c r="S18"/>
  <c r="W17"/>
  <c r="G17"/>
  <c r="K16"/>
  <c r="K44" i="5"/>
  <c r="K43"/>
  <c r="O42"/>
  <c r="S41"/>
  <c r="W40"/>
  <c r="G40"/>
  <c r="O29"/>
  <c r="W28"/>
  <c r="G28"/>
  <c r="K27"/>
  <c r="G26"/>
  <c r="K25"/>
  <c r="K19"/>
  <c r="K18"/>
  <c r="O17"/>
  <c r="S16"/>
  <c r="W15"/>
  <c r="G15"/>
  <c r="W44"/>
  <c r="G44"/>
  <c r="O43"/>
  <c r="S42"/>
  <c r="W41"/>
  <c r="G41"/>
  <c r="K40"/>
  <c r="W19"/>
  <c r="G19"/>
  <c r="O18"/>
  <c r="S17"/>
  <c r="O16"/>
  <c r="S15"/>
  <c r="S28"/>
  <c r="G27"/>
  <c r="O25"/>
  <c r="V41" i="18"/>
  <c r="K29" i="5"/>
  <c r="W25"/>
  <c r="S17" i="4"/>
  <c r="O43"/>
  <c r="K40"/>
  <c r="G25" i="5"/>
  <c r="S41" i="18"/>
  <c r="S19" i="16"/>
  <c r="W22"/>
  <c r="O18" i="4"/>
  <c r="O41"/>
  <c r="S43"/>
  <c r="O40"/>
  <c r="G17"/>
  <c r="I41" i="18"/>
  <c r="G33" i="4"/>
  <c r="O34"/>
  <c r="W31"/>
  <c r="K30"/>
  <c r="K43"/>
  <c r="S33"/>
  <c r="G32"/>
  <c r="O30"/>
  <c r="G15"/>
  <c r="G16"/>
  <c r="O18" i="16"/>
  <c r="W24"/>
  <c r="S32" i="4"/>
  <c r="K19" i="16"/>
  <c r="W34" i="4"/>
  <c r="S30"/>
  <c r="O16"/>
  <c r="W30"/>
  <c r="O32"/>
  <c r="K34"/>
  <c r="K44"/>
  <c r="O31"/>
  <c r="X7" i="18"/>
  <c r="BA7" s="1"/>
  <c r="S29" i="4"/>
  <c r="AR39" i="18"/>
  <c r="K6" i="16"/>
  <c r="W7"/>
  <c r="O9"/>
  <c r="G11"/>
  <c r="S12"/>
  <c r="S15" s="1"/>
  <c r="K14"/>
  <c r="W10" i="4"/>
  <c r="S11"/>
  <c r="O12"/>
  <c r="K13"/>
  <c r="G14"/>
  <c r="W5" i="16"/>
  <c r="G9"/>
  <c r="K12"/>
  <c r="K10" i="4"/>
  <c r="W11"/>
  <c r="O13"/>
  <c r="W14"/>
  <c r="G19"/>
  <c r="S42"/>
  <c r="G44"/>
  <c r="G41"/>
  <c r="K17" i="16"/>
  <c r="W18"/>
  <c r="O20"/>
  <c r="G22"/>
  <c r="S23"/>
  <c r="K25"/>
  <c r="S5" i="4"/>
  <c r="O6"/>
  <c r="K7"/>
  <c r="G8"/>
  <c r="W8"/>
  <c r="S9"/>
  <c r="G43"/>
  <c r="S44"/>
  <c r="W42"/>
  <c r="K41"/>
  <c r="S19"/>
  <c r="W17"/>
  <c r="K16"/>
  <c r="W9" i="16"/>
  <c r="W19" i="4"/>
  <c r="S40"/>
  <c r="S41"/>
  <c r="S16"/>
  <c r="R42" i="18"/>
  <c r="W16" i="4"/>
  <c r="K8" i="16"/>
  <c r="W16"/>
  <c r="G20"/>
  <c r="K23"/>
  <c r="W5" i="4"/>
  <c r="G9"/>
  <c r="K12"/>
  <c r="W43"/>
  <c r="O17" i="16"/>
  <c r="G24"/>
  <c r="O9" i="4"/>
  <c r="S14"/>
  <c r="S25" i="16"/>
  <c r="W15" i="4"/>
  <c r="O17"/>
  <c r="A19" s="1"/>
  <c r="O42"/>
  <c r="A49"/>
  <c r="O21"/>
  <c r="G23"/>
  <c r="S6"/>
  <c r="K8"/>
  <c r="W9"/>
  <c r="W7"/>
  <c r="G7"/>
  <c r="S8"/>
  <c r="O5"/>
  <c r="A39"/>
  <c r="B14" i="26"/>
  <c r="D14"/>
  <c r="B13"/>
  <c r="D13"/>
  <c r="B12"/>
  <c r="D12"/>
  <c r="B11"/>
  <c r="D11"/>
  <c r="B10"/>
  <c r="D10"/>
  <c r="B9"/>
  <c r="D9"/>
  <c r="B8"/>
  <c r="D8"/>
  <c r="K50" i="5"/>
  <c r="G65"/>
  <c r="G64"/>
  <c r="G63"/>
  <c r="G62"/>
  <c r="A66" s="1"/>
  <c r="G58"/>
  <c r="G57"/>
  <c r="G56"/>
  <c r="G53"/>
  <c r="G52"/>
  <c r="G51"/>
  <c r="G50"/>
  <c r="BC34" i="18"/>
  <c r="Y33"/>
  <c r="BA34"/>
  <c r="X33"/>
  <c r="AZ34"/>
  <c r="W33"/>
  <c r="AY34"/>
  <c r="V33"/>
  <c r="AX34"/>
  <c r="U33"/>
  <c r="AV34"/>
  <c r="T33"/>
  <c r="AU34"/>
  <c r="S33"/>
  <c r="AT34"/>
  <c r="R33"/>
  <c r="AS34"/>
  <c r="Q33"/>
  <c r="AQ34"/>
  <c r="P33"/>
  <c r="AP34"/>
  <c r="O33"/>
  <c r="AO34"/>
  <c r="N33"/>
  <c r="AN34"/>
  <c r="M33"/>
  <c r="AL34"/>
  <c r="L33"/>
  <c r="AK34"/>
  <c r="K33"/>
  <c r="AJ34"/>
  <c r="J33"/>
  <c r="I33"/>
  <c r="AG34"/>
  <c r="H33"/>
  <c r="G33"/>
  <c r="BB36"/>
  <c r="E14" i="26"/>
  <c r="E13"/>
  <c r="E12"/>
  <c r="E11"/>
  <c r="E10"/>
  <c r="E9"/>
  <c r="E8"/>
  <c r="Z33" i="18"/>
  <c r="A81" i="5"/>
  <c r="A71"/>
  <c r="A76"/>
  <c r="A86"/>
  <c r="W16"/>
  <c r="W26"/>
  <c r="A29" s="1"/>
  <c r="A54"/>
  <c r="E38" i="3" s="1"/>
  <c r="AC30" i="18" s="1"/>
  <c r="G49" i="5"/>
  <c r="O48"/>
  <c r="S47"/>
  <c r="W46"/>
  <c r="G46"/>
  <c r="K45"/>
  <c r="O39"/>
  <c r="W38"/>
  <c r="G38"/>
  <c r="K37"/>
  <c r="O36"/>
  <c r="S35"/>
  <c r="O23"/>
  <c r="S22"/>
  <c r="W21"/>
  <c r="G21"/>
  <c r="K20"/>
  <c r="O14"/>
  <c r="W13"/>
  <c r="G13"/>
  <c r="K12"/>
  <c r="O11"/>
  <c r="S10"/>
  <c r="K9"/>
  <c r="K8"/>
  <c r="O7"/>
  <c r="S6"/>
  <c r="W5"/>
  <c r="S49"/>
  <c r="W47"/>
  <c r="K46"/>
  <c r="S39"/>
  <c r="W37"/>
  <c r="K36"/>
  <c r="O24"/>
  <c r="S23"/>
  <c r="G22"/>
  <c r="O20"/>
  <c r="S13"/>
  <c r="G12"/>
  <c r="O10"/>
  <c r="W8"/>
  <c r="K7"/>
  <c r="S5"/>
  <c r="O22"/>
  <c r="K14"/>
  <c r="W10"/>
  <c r="S7"/>
  <c r="O47"/>
  <c r="K39"/>
  <c r="W35"/>
  <c r="G24"/>
  <c r="K13"/>
  <c r="O8"/>
  <c r="K5"/>
  <c r="S46"/>
  <c r="G35"/>
  <c r="K48"/>
  <c r="S36"/>
  <c r="E31" i="3"/>
  <c r="C8" i="26"/>
  <c r="C38"/>
  <c r="C9"/>
  <c r="C10"/>
  <c r="D38"/>
  <c r="R4" i="19"/>
  <c r="G21" i="18"/>
  <c r="P7"/>
  <c r="AQ7" s="1"/>
  <c r="U21"/>
  <c r="E7" i="26"/>
  <c r="O22" i="18"/>
  <c r="W22"/>
  <c r="P22"/>
  <c r="M41"/>
  <c r="U41"/>
  <c r="AA10"/>
  <c r="BE10" s="1"/>
  <c r="AA9"/>
  <c r="BE9" s="1"/>
  <c r="AA8"/>
  <c r="BE8" s="1"/>
  <c r="AA7"/>
  <c r="BE7" s="1"/>
  <c r="C4" i="21"/>
  <c r="R7" i="18"/>
  <c r="AT7" s="1"/>
  <c r="D40"/>
  <c r="D20"/>
  <c r="C20" s="1"/>
  <c r="N41"/>
  <c r="K41"/>
  <c r="J41"/>
  <c r="R41"/>
  <c r="G41"/>
  <c r="O41"/>
  <c r="U42"/>
  <c r="O42"/>
  <c r="AP42" s="1"/>
  <c r="Q7"/>
  <c r="AS7" s="1"/>
  <c r="S7"/>
  <c r="AU7" s="1"/>
  <c r="J42"/>
  <c r="AJ42" s="1"/>
  <c r="J7"/>
  <c r="T42"/>
  <c r="H7"/>
  <c r="T7"/>
  <c r="AV7" s="1"/>
  <c r="E8"/>
  <c r="G8"/>
  <c r="AF8" s="1"/>
  <c r="I8"/>
  <c r="AI8" s="1"/>
  <c r="K8"/>
  <c r="AK8" s="1"/>
  <c r="M8"/>
  <c r="AN8" s="1"/>
  <c r="O8"/>
  <c r="AP8" s="1"/>
  <c r="Q8"/>
  <c r="AS8" s="1"/>
  <c r="S8"/>
  <c r="AU8" s="1"/>
  <c r="U8"/>
  <c r="AX8" s="1"/>
  <c r="W8"/>
  <c r="AZ8" s="1"/>
  <c r="Y8"/>
  <c r="BC8" s="1"/>
  <c r="E9"/>
  <c r="AD9" s="1"/>
  <c r="G9"/>
  <c r="AF9" s="1"/>
  <c r="I9"/>
  <c r="AI9" s="1"/>
  <c r="K9"/>
  <c r="AK9" s="1"/>
  <c r="M9"/>
  <c r="AN9" s="1"/>
  <c r="O9"/>
  <c r="AP9" s="1"/>
  <c r="Q9"/>
  <c r="S9"/>
  <c r="U9"/>
  <c r="AX9" s="1"/>
  <c r="W9"/>
  <c r="AZ9" s="1"/>
  <c r="Y9"/>
  <c r="BC9" s="1"/>
  <c r="E10"/>
  <c r="AD10" s="1"/>
  <c r="G10"/>
  <c r="AF10" s="1"/>
  <c r="I10"/>
  <c r="AI10" s="1"/>
  <c r="K10"/>
  <c r="M10"/>
  <c r="O10"/>
  <c r="AP10" s="1"/>
  <c r="Q10"/>
  <c r="AS10" s="1"/>
  <c r="S10"/>
  <c r="AU10" s="1"/>
  <c r="U10"/>
  <c r="AX10" s="1"/>
  <c r="W10"/>
  <c r="AZ10" s="1"/>
  <c r="Y10"/>
  <c r="BC10" s="1"/>
  <c r="E11"/>
  <c r="AD11" s="1"/>
  <c r="G11"/>
  <c r="AF11" s="1"/>
  <c r="I11"/>
  <c r="AI11" s="1"/>
  <c r="K11"/>
  <c r="AK11" s="1"/>
  <c r="M11"/>
  <c r="AN11" s="1"/>
  <c r="O11"/>
  <c r="Q11"/>
  <c r="S11"/>
  <c r="U11"/>
  <c r="AX11" s="1"/>
  <c r="W11"/>
  <c r="AZ11" s="1"/>
  <c r="Y11"/>
  <c r="BC11" s="1"/>
  <c r="E12"/>
  <c r="G12"/>
  <c r="AF12" s="1"/>
  <c r="I12"/>
  <c r="K12"/>
  <c r="M12"/>
  <c r="AN12" s="1"/>
  <c r="O12"/>
  <c r="AP12" s="1"/>
  <c r="Q12"/>
  <c r="AS12" s="1"/>
  <c r="S12"/>
  <c r="AU12" s="1"/>
  <c r="U12"/>
  <c r="AX12" s="1"/>
  <c r="W12"/>
  <c r="AZ12" s="1"/>
  <c r="Y12"/>
  <c r="BC12" s="1"/>
  <c r="E13"/>
  <c r="AD13" s="1"/>
  <c r="G13"/>
  <c r="AF13" s="1"/>
  <c r="I13"/>
  <c r="AI13" s="1"/>
  <c r="K13"/>
  <c r="AK13" s="1"/>
  <c r="M13"/>
  <c r="O13"/>
  <c r="Q13"/>
  <c r="S13"/>
  <c r="U13"/>
  <c r="AX13" s="1"/>
  <c r="W13"/>
  <c r="AZ13" s="1"/>
  <c r="Y13"/>
  <c r="BC13" s="1"/>
  <c r="AA13"/>
  <c r="BE13" s="1"/>
  <c r="E14"/>
  <c r="G14"/>
  <c r="I14"/>
  <c r="K14"/>
  <c r="AK14" s="1"/>
  <c r="M14"/>
  <c r="AN14" s="1"/>
  <c r="O14"/>
  <c r="AP14" s="1"/>
  <c r="Q14"/>
  <c r="AS14" s="1"/>
  <c r="S14"/>
  <c r="AU14" s="1"/>
  <c r="U14"/>
  <c r="AX14" s="1"/>
  <c r="W14"/>
  <c r="AZ14" s="1"/>
  <c r="Y14"/>
  <c r="BC14" s="1"/>
  <c r="AA14"/>
  <c r="BE14" s="1"/>
  <c r="E15"/>
  <c r="AD15" s="1"/>
  <c r="G15"/>
  <c r="I15"/>
  <c r="K15"/>
  <c r="AK15" s="1"/>
  <c r="M15"/>
  <c r="AN15" s="1"/>
  <c r="O15"/>
  <c r="AP15" s="1"/>
  <c r="Q15"/>
  <c r="AS15" s="1"/>
  <c r="S15"/>
  <c r="AU15" s="1"/>
  <c r="U15"/>
  <c r="AX15" s="1"/>
  <c r="W15"/>
  <c r="AZ15" s="1"/>
  <c r="Y15"/>
  <c r="BC15" s="1"/>
  <c r="E16"/>
  <c r="G16"/>
  <c r="I16"/>
  <c r="AI16" s="1"/>
  <c r="K16"/>
  <c r="AK16" s="1"/>
  <c r="M16"/>
  <c r="AN16" s="1"/>
  <c r="O16"/>
  <c r="AP16" s="1"/>
  <c r="Q16"/>
  <c r="AS16" s="1"/>
  <c r="S16"/>
  <c r="AU16" s="1"/>
  <c r="U16"/>
  <c r="AX16" s="1"/>
  <c r="W16"/>
  <c r="AZ16" s="1"/>
  <c r="Y16"/>
  <c r="BC16" s="1"/>
  <c r="F8"/>
  <c r="AE8" s="1"/>
  <c r="H8"/>
  <c r="AG8" s="1"/>
  <c r="J8"/>
  <c r="L8"/>
  <c r="N8"/>
  <c r="AO8" s="1"/>
  <c r="P8"/>
  <c r="AQ8" s="1"/>
  <c r="R8"/>
  <c r="AT8" s="1"/>
  <c r="T8"/>
  <c r="AV8" s="1"/>
  <c r="V8"/>
  <c r="AY8" s="1"/>
  <c r="X8"/>
  <c r="BA8" s="1"/>
  <c r="Z8"/>
  <c r="BD8" s="1"/>
  <c r="AB8"/>
  <c r="BF8" s="1"/>
  <c r="F9"/>
  <c r="AE9" s="1"/>
  <c r="H9"/>
  <c r="AG9" s="1"/>
  <c r="J9"/>
  <c r="AJ9" s="1"/>
  <c r="L9"/>
  <c r="AL9" s="1"/>
  <c r="N9"/>
  <c r="AO9" s="1"/>
  <c r="P9"/>
  <c r="AQ9" s="1"/>
  <c r="R9"/>
  <c r="AT9" s="1"/>
  <c r="T9"/>
  <c r="AV9" s="1"/>
  <c r="V9"/>
  <c r="AY9" s="1"/>
  <c r="X9"/>
  <c r="BA9" s="1"/>
  <c r="Z9"/>
  <c r="BD9" s="1"/>
  <c r="AB9"/>
  <c r="BF9" s="1"/>
  <c r="F10"/>
  <c r="AE10" s="1"/>
  <c r="H10"/>
  <c r="AG10" s="1"/>
  <c r="J10"/>
  <c r="AJ10" s="1"/>
  <c r="L10"/>
  <c r="AL10" s="1"/>
  <c r="N10"/>
  <c r="AO10" s="1"/>
  <c r="P10"/>
  <c r="AQ10" s="1"/>
  <c r="R10"/>
  <c r="AT10" s="1"/>
  <c r="T10"/>
  <c r="AV10" s="1"/>
  <c r="V10"/>
  <c r="AY10" s="1"/>
  <c r="X10"/>
  <c r="BA10" s="1"/>
  <c r="Z10"/>
  <c r="BD10" s="1"/>
  <c r="AB10"/>
  <c r="BF10" s="1"/>
  <c r="F11"/>
  <c r="AE11" s="1"/>
  <c r="H11"/>
  <c r="AG11" s="1"/>
  <c r="J11"/>
  <c r="AJ11" s="1"/>
  <c r="L11"/>
  <c r="AL11" s="1"/>
  <c r="N11"/>
  <c r="AO11" s="1"/>
  <c r="P11"/>
  <c r="R11"/>
  <c r="T11"/>
  <c r="V11"/>
  <c r="AY11" s="1"/>
  <c r="X11"/>
  <c r="BA11" s="1"/>
  <c r="Z11"/>
  <c r="BD11" s="1"/>
  <c r="AB11"/>
  <c r="BF11" s="1"/>
  <c r="F12"/>
  <c r="AE12" s="1"/>
  <c r="H12"/>
  <c r="AG12" s="1"/>
  <c r="J12"/>
  <c r="AJ12" s="1"/>
  <c r="L12"/>
  <c r="AL12" s="1"/>
  <c r="N12"/>
  <c r="AO12" s="1"/>
  <c r="P12"/>
  <c r="AQ12" s="1"/>
  <c r="R12"/>
  <c r="AT12" s="1"/>
  <c r="T12"/>
  <c r="AV12" s="1"/>
  <c r="V12"/>
  <c r="AY12" s="1"/>
  <c r="X12"/>
  <c r="BA12" s="1"/>
  <c r="Z12"/>
  <c r="BD12" s="1"/>
  <c r="AB12"/>
  <c r="BF12" s="1"/>
  <c r="F13"/>
  <c r="AE13" s="1"/>
  <c r="H13"/>
  <c r="AG13" s="1"/>
  <c r="J13"/>
  <c r="AJ13" s="1"/>
  <c r="L13"/>
  <c r="AL13" s="1"/>
  <c r="N13"/>
  <c r="P13"/>
  <c r="R13"/>
  <c r="T13"/>
  <c r="V13"/>
  <c r="AY13" s="1"/>
  <c r="X13"/>
  <c r="BA13" s="1"/>
  <c r="Z13"/>
  <c r="BD13" s="1"/>
  <c r="AB13"/>
  <c r="BF13" s="1"/>
  <c r="F14"/>
  <c r="AE14" s="1"/>
  <c r="H14"/>
  <c r="AG14" s="1"/>
  <c r="J14"/>
  <c r="AJ14" s="1"/>
  <c r="L14"/>
  <c r="AL14" s="1"/>
  <c r="N14"/>
  <c r="AO14" s="1"/>
  <c r="P14"/>
  <c r="AQ14" s="1"/>
  <c r="R14"/>
  <c r="AT14" s="1"/>
  <c r="T14"/>
  <c r="AV14" s="1"/>
  <c r="V14"/>
  <c r="AY14" s="1"/>
  <c r="X14"/>
  <c r="BA14" s="1"/>
  <c r="Z14"/>
  <c r="BD14" s="1"/>
  <c r="AB14"/>
  <c r="BF14" s="1"/>
  <c r="F15"/>
  <c r="AE15" s="1"/>
  <c r="H15"/>
  <c r="AG15" s="1"/>
  <c r="J15"/>
  <c r="AJ15" s="1"/>
  <c r="L15"/>
  <c r="AL15" s="1"/>
  <c r="N15"/>
  <c r="AO15" s="1"/>
  <c r="P15"/>
  <c r="AQ15" s="1"/>
  <c r="R15"/>
  <c r="AT15" s="1"/>
  <c r="T15"/>
  <c r="AV15" s="1"/>
  <c r="V15"/>
  <c r="AY15" s="1"/>
  <c r="X15"/>
  <c r="BA15" s="1"/>
  <c r="Z15"/>
  <c r="BD15" s="1"/>
  <c r="AB15"/>
  <c r="BF15" s="1"/>
  <c r="F16"/>
  <c r="AE16" s="1"/>
  <c r="H16"/>
  <c r="AG16" s="1"/>
  <c r="J16"/>
  <c r="AJ16" s="1"/>
  <c r="L16"/>
  <c r="AL16" s="1"/>
  <c r="N16"/>
  <c r="AO16" s="1"/>
  <c r="P16"/>
  <c r="AQ16" s="1"/>
  <c r="R16"/>
  <c r="AT16" s="1"/>
  <c r="T16"/>
  <c r="AV16" s="1"/>
  <c r="V16"/>
  <c r="AY16" s="1"/>
  <c r="X16"/>
  <c r="BA16" s="1"/>
  <c r="Z16"/>
  <c r="BD16" s="1"/>
  <c r="AB16"/>
  <c r="BF16" s="1"/>
  <c r="E21"/>
  <c r="AD21" s="1"/>
  <c r="P21"/>
  <c r="F21"/>
  <c r="AE21" s="1"/>
  <c r="AE20" s="1"/>
  <c r="K24"/>
  <c r="X42"/>
  <c r="V21"/>
  <c r="G7"/>
  <c r="Z7"/>
  <c r="BD7" s="1"/>
  <c r="AB7"/>
  <c r="BF7" s="1"/>
  <c r="Z21"/>
  <c r="AB21"/>
  <c r="BF21" s="1"/>
  <c r="Z22"/>
  <c r="AB22"/>
  <c r="BF22" s="1"/>
  <c r="Z23"/>
  <c r="AB23"/>
  <c r="BF23" s="1"/>
  <c r="Z24"/>
  <c r="AB24"/>
  <c r="BF24" s="1"/>
  <c r="AB29"/>
  <c r="BF29" s="1"/>
  <c r="Z41"/>
  <c r="BD41" s="1"/>
  <c r="AB41"/>
  <c r="Z42"/>
  <c r="AB42"/>
  <c r="BF42" s="1"/>
  <c r="Y7"/>
  <c r="BC7" s="1"/>
  <c r="Y21"/>
  <c r="AA21"/>
  <c r="Y22"/>
  <c r="AA22"/>
  <c r="Y23"/>
  <c r="AA23"/>
  <c r="Y24"/>
  <c r="AA29"/>
  <c r="BE29" s="1"/>
  <c r="Y41"/>
  <c r="AA41"/>
  <c r="Y42"/>
  <c r="AA42"/>
  <c r="BE42" s="1"/>
  <c r="O7"/>
  <c r="AP7" s="1"/>
  <c r="W7"/>
  <c r="AZ7" s="1"/>
  <c r="M21"/>
  <c r="J23"/>
  <c r="R23"/>
  <c r="G29"/>
  <c r="E38" i="26"/>
  <c r="Q42" i="18"/>
  <c r="F42"/>
  <c r="AE42" s="1"/>
  <c r="AE40" s="1"/>
  <c r="I42"/>
  <c r="AI42" s="1"/>
  <c r="W42"/>
  <c r="I22"/>
  <c r="M22"/>
  <c r="Q22"/>
  <c r="U22"/>
  <c r="L22"/>
  <c r="T22"/>
  <c r="P23"/>
  <c r="U23"/>
  <c r="E7"/>
  <c r="AD7" s="1"/>
  <c r="M7"/>
  <c r="AN7" s="1"/>
  <c r="U7"/>
  <c r="AX7" s="1"/>
  <c r="R22"/>
  <c r="M42"/>
  <c r="K7"/>
  <c r="S42"/>
  <c r="V42"/>
  <c r="N42"/>
  <c r="AO42" s="1"/>
  <c r="H21"/>
  <c r="X21"/>
  <c r="V7"/>
  <c r="AY7" s="1"/>
  <c r="N7"/>
  <c r="AO7" s="1"/>
  <c r="L42"/>
  <c r="AL42" s="1"/>
  <c r="P42"/>
  <c r="AQ42" s="1"/>
  <c r="L7"/>
  <c r="H42"/>
  <c r="AG42" s="1"/>
  <c r="D6"/>
  <c r="C6" s="1"/>
  <c r="I21"/>
  <c r="Q21"/>
  <c r="G23"/>
  <c r="L23"/>
  <c r="O23"/>
  <c r="T23"/>
  <c r="W23"/>
  <c r="K23"/>
  <c r="Q23"/>
  <c r="H41"/>
  <c r="L41"/>
  <c r="P41"/>
  <c r="T41"/>
  <c r="X41"/>
  <c r="X23"/>
  <c r="W41"/>
  <c r="S23"/>
  <c r="Q41"/>
  <c r="K21"/>
  <c r="L21"/>
  <c r="T21"/>
  <c r="R21"/>
  <c r="J21"/>
  <c r="O21"/>
  <c r="E23"/>
  <c r="AD23" s="1"/>
  <c r="AD12"/>
  <c r="E29"/>
  <c r="AD29" s="1"/>
  <c r="AD16"/>
  <c r="AD14"/>
  <c r="E41"/>
  <c r="AD41" s="1"/>
  <c r="AD40" s="1"/>
  <c r="F7"/>
  <c r="AE7" s="1"/>
  <c r="AE6" s="1"/>
  <c r="O57" i="5"/>
  <c r="O58"/>
  <c r="W70" i="4"/>
  <c r="F5" i="17" s="1"/>
  <c r="F23" s="1"/>
  <c r="O15" i="16"/>
  <c r="W26"/>
  <c r="F12" i="17" s="1"/>
  <c r="D22" i="21"/>
  <c r="G42" i="18"/>
  <c r="AF42" s="1"/>
  <c r="C14" i="26"/>
  <c r="C13"/>
  <c r="W9" i="35"/>
  <c r="S9"/>
  <c r="O9"/>
  <c r="K9"/>
  <c r="G9"/>
  <c r="W8"/>
  <c r="S8"/>
  <c r="O8"/>
  <c r="K8"/>
  <c r="G8"/>
  <c r="W7"/>
  <c r="S7"/>
  <c r="O7"/>
  <c r="K7"/>
  <c r="G7"/>
  <c r="G5"/>
  <c r="K5"/>
  <c r="O5"/>
  <c r="S5"/>
  <c r="W5"/>
  <c r="G6"/>
  <c r="K6"/>
  <c r="O6"/>
  <c r="S6"/>
  <c r="W6"/>
  <c r="G10"/>
  <c r="K10"/>
  <c r="O10"/>
  <c r="S10"/>
  <c r="W10"/>
  <c r="G11"/>
  <c r="K11"/>
  <c r="O11"/>
  <c r="S11"/>
  <c r="W11"/>
  <c r="G12"/>
  <c r="K12"/>
  <c r="O12"/>
  <c r="S12"/>
  <c r="W12"/>
  <c r="G13"/>
  <c r="K13"/>
  <c r="O13"/>
  <c r="S13"/>
  <c r="W13"/>
  <c r="G14"/>
  <c r="K14"/>
  <c r="O14"/>
  <c r="S14"/>
  <c r="G15"/>
  <c r="K15"/>
  <c r="O15"/>
  <c r="S15"/>
  <c r="W15"/>
  <c r="G16"/>
  <c r="K16"/>
  <c r="O16"/>
  <c r="S16"/>
  <c r="W16"/>
  <c r="G17"/>
  <c r="K17"/>
  <c r="O17"/>
  <c r="S17"/>
  <c r="W17"/>
  <c r="G18"/>
  <c r="K18"/>
  <c r="O18"/>
  <c r="S18"/>
  <c r="W18"/>
  <c r="G19"/>
  <c r="K19"/>
  <c r="O19"/>
  <c r="S19"/>
  <c r="G20"/>
  <c r="K20"/>
  <c r="O20"/>
  <c r="S20"/>
  <c r="W20"/>
  <c r="G21"/>
  <c r="K21"/>
  <c r="O21"/>
  <c r="S21"/>
  <c r="W21"/>
  <c r="G22"/>
  <c r="K22"/>
  <c r="O22"/>
  <c r="S22"/>
  <c r="W22"/>
  <c r="G23"/>
  <c r="K23"/>
  <c r="O23"/>
  <c r="S23"/>
  <c r="W23"/>
  <c r="G24"/>
  <c r="K24"/>
  <c r="O24"/>
  <c r="S24"/>
  <c r="G25"/>
  <c r="K25"/>
  <c r="O25"/>
  <c r="S25"/>
  <c r="W25"/>
  <c r="G26"/>
  <c r="K26"/>
  <c r="O26"/>
  <c r="S26"/>
  <c r="W26"/>
  <c r="G27"/>
  <c r="K27"/>
  <c r="O27"/>
  <c r="S27"/>
  <c r="W27"/>
  <c r="G28"/>
  <c r="K28"/>
  <c r="O28"/>
  <c r="S28"/>
  <c r="W28"/>
  <c r="G31"/>
  <c r="K31"/>
  <c r="O31"/>
  <c r="S31"/>
  <c r="G32"/>
  <c r="K32"/>
  <c r="O32"/>
  <c r="S32"/>
  <c r="W32"/>
  <c r="G33"/>
  <c r="K33"/>
  <c r="O33"/>
  <c r="S33"/>
  <c r="W33"/>
  <c r="G34"/>
  <c r="K34"/>
  <c r="O34"/>
  <c r="S34"/>
  <c r="W34"/>
  <c r="G35"/>
  <c r="K35"/>
  <c r="O35"/>
  <c r="S35"/>
  <c r="W35"/>
  <c r="G36"/>
  <c r="K36"/>
  <c r="O36"/>
  <c r="S36"/>
  <c r="G37"/>
  <c r="K37"/>
  <c r="O37"/>
  <c r="S37"/>
  <c r="W37"/>
  <c r="G38"/>
  <c r="K38"/>
  <c r="O38"/>
  <c r="S38"/>
  <c r="W38"/>
  <c r="G39"/>
  <c r="K39"/>
  <c r="O39"/>
  <c r="S39"/>
  <c r="W39"/>
  <c r="G40"/>
  <c r="K40"/>
  <c r="O40"/>
  <c r="S40"/>
  <c r="W40"/>
  <c r="G41"/>
  <c r="K41"/>
  <c r="O41"/>
  <c r="S41"/>
  <c r="G42"/>
  <c r="K42"/>
  <c r="O42"/>
  <c r="S42"/>
  <c r="W42"/>
  <c r="G43"/>
  <c r="K43"/>
  <c r="O43"/>
  <c r="S43"/>
  <c r="W43"/>
  <c r="G44"/>
  <c r="K44"/>
  <c r="O44"/>
  <c r="S44"/>
  <c r="W44"/>
  <c r="G45"/>
  <c r="K45"/>
  <c r="O45"/>
  <c r="S45"/>
  <c r="W45"/>
  <c r="G46"/>
  <c r="K46"/>
  <c r="O46"/>
  <c r="S46"/>
  <c r="G47"/>
  <c r="K47"/>
  <c r="O47"/>
  <c r="S47"/>
  <c r="W47"/>
  <c r="G48"/>
  <c r="K48"/>
  <c r="O48"/>
  <c r="S48"/>
  <c r="W48"/>
  <c r="G49"/>
  <c r="K49"/>
  <c r="O49"/>
  <c r="S49"/>
  <c r="W49"/>
  <c r="G50"/>
  <c r="K50"/>
  <c r="O50"/>
  <c r="S50"/>
  <c r="W50"/>
  <c r="G51"/>
  <c r="K51"/>
  <c r="O51"/>
  <c r="S51"/>
  <c r="G52"/>
  <c r="K52"/>
  <c r="O52"/>
  <c r="S52"/>
  <c r="W52"/>
  <c r="G53"/>
  <c r="K53"/>
  <c r="O53"/>
  <c r="S53"/>
  <c r="W53"/>
  <c r="G54"/>
  <c r="K54"/>
  <c r="O54"/>
  <c r="S54"/>
  <c r="W54"/>
  <c r="G55"/>
  <c r="K55"/>
  <c r="O55"/>
  <c r="S55"/>
  <c r="W55"/>
  <c r="G56"/>
  <c r="K56"/>
  <c r="O56"/>
  <c r="S56"/>
  <c r="A29" i="4"/>
  <c r="E11" i="3" s="1"/>
  <c r="AC11" i="18" s="1"/>
  <c r="M36" i="19" l="1"/>
  <c r="K36"/>
  <c r="J36"/>
  <c r="G39"/>
  <c r="E39"/>
  <c r="BF6" i="18"/>
  <c r="D31" i="3"/>
  <c r="AC26" i="18"/>
  <c r="BF41"/>
  <c r="BF40" s="1"/>
  <c r="BE41"/>
  <c r="BE40" s="1"/>
  <c r="AD20"/>
  <c r="BF20"/>
  <c r="AV11"/>
  <c r="AU11"/>
  <c r="E15" i="3"/>
  <c r="E9"/>
  <c r="E19"/>
  <c r="A59" i="4"/>
  <c r="E17" i="3" s="1"/>
  <c r="A64" i="4"/>
  <c r="E18" i="3" s="1"/>
  <c r="E13"/>
  <c r="C27" i="21"/>
  <c r="AM16" i="18"/>
  <c r="D16" i="19" s="1"/>
  <c r="B16" s="1"/>
  <c r="D16" i="3"/>
  <c r="E30"/>
  <c r="G70" i="4"/>
  <c r="B5" i="17" s="1"/>
  <c r="S70" i="4"/>
  <c r="E5" i="17" s="1"/>
  <c r="E23" s="1"/>
  <c r="A34" i="4"/>
  <c r="A19" i="5"/>
  <c r="E24" i="3" s="1"/>
  <c r="AC23" i="18" s="1"/>
  <c r="A44" i="5"/>
  <c r="E36" i="3" s="1"/>
  <c r="E42"/>
  <c r="K70" i="4"/>
  <c r="C5" i="17" s="1"/>
  <c r="A24" i="4"/>
  <c r="O26" i="16"/>
  <c r="D12" i="17" s="1"/>
  <c r="D30" s="1"/>
  <c r="G15" i="16"/>
  <c r="B11" i="17" s="1"/>
  <c r="A14" i="4"/>
  <c r="K15" i="16"/>
  <c r="C11" i="17" s="1"/>
  <c r="A9" i="5"/>
  <c r="E21" i="3" s="1"/>
  <c r="O70" i="4"/>
  <c r="D5" i="17" s="1"/>
  <c r="D23" s="1"/>
  <c r="A44" i="4"/>
  <c r="E11" i="17"/>
  <c r="A9" i="4"/>
  <c r="W15" i="16"/>
  <c r="A14"/>
  <c r="G26"/>
  <c r="B12" i="17" s="1"/>
  <c r="B30" s="1"/>
  <c r="S26" i="16"/>
  <c r="E12" i="17" s="1"/>
  <c r="E30" s="1"/>
  <c r="K26" i="16"/>
  <c r="C12" i="17" s="1"/>
  <c r="C30" s="1"/>
  <c r="A25" i="16"/>
  <c r="AH12" i="18"/>
  <c r="O20"/>
  <c r="K92" i="5"/>
  <c r="C6" i="17" s="1"/>
  <c r="C24" s="1"/>
  <c r="AF7" i="18"/>
  <c r="AF15"/>
  <c r="AH15" s="1"/>
  <c r="AR34"/>
  <c r="AW34"/>
  <c r="BB34"/>
  <c r="BG34"/>
  <c r="AH42"/>
  <c r="T40"/>
  <c r="V40"/>
  <c r="M40"/>
  <c r="AN42"/>
  <c r="AR42" s="1"/>
  <c r="X40"/>
  <c r="S40"/>
  <c r="U40"/>
  <c r="AM42"/>
  <c r="D42" i="19" s="1"/>
  <c r="B42" s="1"/>
  <c r="L6" i="18"/>
  <c r="AL7"/>
  <c r="BB7"/>
  <c r="BG7"/>
  <c r="AW7"/>
  <c r="BG15"/>
  <c r="BB15"/>
  <c r="M15" i="19" s="1"/>
  <c r="K15" s="1"/>
  <c r="AW15" i="18"/>
  <c r="J15" i="19" s="1"/>
  <c r="H15" s="1"/>
  <c r="AR15" i="18"/>
  <c r="G15" i="19" s="1"/>
  <c r="E15" s="1"/>
  <c r="BG14" i="18"/>
  <c r="BB14"/>
  <c r="M14" i="19" s="1"/>
  <c r="K14" s="1"/>
  <c r="AW14" i="18"/>
  <c r="J14" i="19" s="1"/>
  <c r="H14" s="1"/>
  <c r="AR14" i="18"/>
  <c r="G14" i="19" s="1"/>
  <c r="E14" s="1"/>
  <c r="BG13" i="18"/>
  <c r="BB13"/>
  <c r="M13" i="19" s="1"/>
  <c r="K13" s="1"/>
  <c r="AM13" i="18"/>
  <c r="D13" i="19" s="1"/>
  <c r="B13" s="1"/>
  <c r="AH13" i="18"/>
  <c r="BG11"/>
  <c r="BB11"/>
  <c r="M11" i="19" s="1"/>
  <c r="K11" s="1"/>
  <c r="AM11" i="18"/>
  <c r="D11" i="19" s="1"/>
  <c r="B11" s="1"/>
  <c r="AH11" i="18"/>
  <c r="BG9"/>
  <c r="BB9"/>
  <c r="M9" i="19" s="1"/>
  <c r="K9" s="1"/>
  <c r="AR9" i="18"/>
  <c r="G9" i="19" s="1"/>
  <c r="E9" s="1"/>
  <c r="AM9" i="18"/>
  <c r="D9" i="19" s="1"/>
  <c r="B9" s="1"/>
  <c r="AH9" i="18"/>
  <c r="AR7"/>
  <c r="BG16"/>
  <c r="BB16"/>
  <c r="M16" i="19" s="1"/>
  <c r="K16" s="1"/>
  <c r="AW16" i="18"/>
  <c r="J16" i="19" s="1"/>
  <c r="H16" s="1"/>
  <c r="AR16" i="18"/>
  <c r="G16" i="19" s="1"/>
  <c r="E16" s="1"/>
  <c r="BG12" i="18"/>
  <c r="BB12"/>
  <c r="M12" i="19" s="1"/>
  <c r="K12" s="1"/>
  <c r="AW12" i="18"/>
  <c r="J12" i="19" s="1"/>
  <c r="H12" s="1"/>
  <c r="AR12" i="18"/>
  <c r="G12" i="19" s="1"/>
  <c r="E12" s="1"/>
  <c r="BG10" i="18"/>
  <c r="BB10"/>
  <c r="M10" i="19" s="1"/>
  <c r="K10" s="1"/>
  <c r="AW10" i="18"/>
  <c r="J10" i="19" s="1"/>
  <c r="H10" s="1"/>
  <c r="AH10" i="18"/>
  <c r="BG8"/>
  <c r="BB8"/>
  <c r="M8" i="19" s="1"/>
  <c r="K8" s="1"/>
  <c r="AW8" i="18"/>
  <c r="J8" i="19" s="1"/>
  <c r="H8" s="1"/>
  <c r="AR8" i="18"/>
  <c r="G8" i="19" s="1"/>
  <c r="E8" s="1"/>
  <c r="A14" i="5"/>
  <c r="E22" i="3" s="1"/>
  <c r="AC22" i="18" s="1"/>
  <c r="S92" i="5"/>
  <c r="E6" i="17" s="1"/>
  <c r="E24" s="1"/>
  <c r="A49" i="5"/>
  <c r="A39"/>
  <c r="A24"/>
  <c r="O92"/>
  <c r="D6" i="17" s="1"/>
  <c r="D24" s="1"/>
  <c r="AF21" i="18"/>
  <c r="AG26"/>
  <c r="AF26"/>
  <c r="AI26"/>
  <c r="AG23"/>
  <c r="AF23"/>
  <c r="AF22"/>
  <c r="BD28"/>
  <c r="BA28"/>
  <c r="AY28"/>
  <c r="AX28"/>
  <c r="AV28"/>
  <c r="AT28"/>
  <c r="AP28"/>
  <c r="AN28"/>
  <c r="AL28"/>
  <c r="AF28"/>
  <c r="BC28"/>
  <c r="AZ28"/>
  <c r="AU28"/>
  <c r="AS28"/>
  <c r="AQ28"/>
  <c r="AO28"/>
  <c r="AI25"/>
  <c r="AJ25"/>
  <c r="AG25"/>
  <c r="AF25"/>
  <c r="AG32"/>
  <c r="AF32"/>
  <c r="AI32"/>
  <c r="D38" i="3"/>
  <c r="BD30" i="18"/>
  <c r="BC30"/>
  <c r="BA30"/>
  <c r="AY30"/>
  <c r="AV30"/>
  <c r="AT30"/>
  <c r="AS30"/>
  <c r="AP30"/>
  <c r="AL30"/>
  <c r="AJ30"/>
  <c r="AG30"/>
  <c r="AF30"/>
  <c r="AZ30"/>
  <c r="AX30"/>
  <c r="AU30"/>
  <c r="AQ30"/>
  <c r="AK30"/>
  <c r="AI30"/>
  <c r="H40"/>
  <c r="I6"/>
  <c r="L40"/>
  <c r="O6"/>
  <c r="P40"/>
  <c r="E20"/>
  <c r="AA40"/>
  <c r="F40"/>
  <c r="Z40"/>
  <c r="Q40"/>
  <c r="W40"/>
  <c r="O40"/>
  <c r="R40"/>
  <c r="N40"/>
  <c r="C40"/>
  <c r="C33"/>
  <c r="G40"/>
  <c r="J40"/>
  <c r="K40"/>
  <c r="S20"/>
  <c r="Q6"/>
  <c r="U6"/>
  <c r="W20"/>
  <c r="H20"/>
  <c r="X6"/>
  <c r="Y40"/>
  <c r="AB40"/>
  <c r="G6"/>
  <c r="F20"/>
  <c r="I40"/>
  <c r="R20"/>
  <c r="J20"/>
  <c r="K20"/>
  <c r="P20"/>
  <c r="AA20"/>
  <c r="Z20"/>
  <c r="T20"/>
  <c r="U20"/>
  <c r="Q20"/>
  <c r="G20"/>
  <c r="V20"/>
  <c r="X20"/>
  <c r="N20"/>
  <c r="Y20"/>
  <c r="AB20"/>
  <c r="I20"/>
  <c r="L20"/>
  <c r="M20"/>
  <c r="AE5"/>
  <c r="T6"/>
  <c r="H6"/>
  <c r="E40"/>
  <c r="M6"/>
  <c r="K6"/>
  <c r="O4" i="19"/>
  <c r="AA6" i="18"/>
  <c r="AB6"/>
  <c r="Y6"/>
  <c r="Z6"/>
  <c r="N6"/>
  <c r="J6"/>
  <c r="P6"/>
  <c r="R6"/>
  <c r="W6"/>
  <c r="V6"/>
  <c r="S6"/>
  <c r="F6"/>
  <c r="AD8"/>
  <c r="AH8" s="1"/>
  <c r="E6"/>
  <c r="A61" i="5"/>
  <c r="B23" i="17"/>
  <c r="O27" i="16"/>
  <c r="D11" i="17"/>
  <c r="B15" i="16"/>
  <c r="W92" i="5"/>
  <c r="F6" i="17" s="1"/>
  <c r="F24" s="1"/>
  <c r="C28" i="21"/>
  <c r="C36"/>
  <c r="D36" s="1"/>
  <c r="B36"/>
  <c r="B28"/>
  <c r="C26"/>
  <c r="C25" s="1"/>
  <c r="F30" i="17"/>
  <c r="G12"/>
  <c r="A56" i="35"/>
  <c r="A51"/>
  <c r="A46"/>
  <c r="A41"/>
  <c r="A36"/>
  <c r="A31"/>
  <c r="A24"/>
  <c r="A19"/>
  <c r="A14"/>
  <c r="W57"/>
  <c r="F7" i="17" s="1"/>
  <c r="F25" s="1"/>
  <c r="S57" i="35"/>
  <c r="E7" i="17" s="1"/>
  <c r="E25" s="1"/>
  <c r="O57" i="35"/>
  <c r="D7" i="17" s="1"/>
  <c r="D25" s="1"/>
  <c r="K57" i="35"/>
  <c r="C7" i="17" s="1"/>
  <c r="G57" i="35"/>
  <c r="A9"/>
  <c r="G92" i="5"/>
  <c r="S8" i="19" l="1"/>
  <c r="Q8" s="1"/>
  <c r="P8"/>
  <c r="N8" s="1"/>
  <c r="S10"/>
  <c r="Q10" s="1"/>
  <c r="P10"/>
  <c r="N10" s="1"/>
  <c r="S12"/>
  <c r="Q12" s="1"/>
  <c r="P12"/>
  <c r="N12" s="1"/>
  <c r="S16"/>
  <c r="Q16" s="1"/>
  <c r="P16"/>
  <c r="N16" s="1"/>
  <c r="S9"/>
  <c r="Q9" s="1"/>
  <c r="P9"/>
  <c r="N9" s="1"/>
  <c r="S11"/>
  <c r="Q11" s="1"/>
  <c r="P11"/>
  <c r="N11" s="1"/>
  <c r="S13"/>
  <c r="Q13" s="1"/>
  <c r="P13"/>
  <c r="N13" s="1"/>
  <c r="S14"/>
  <c r="Q14" s="1"/>
  <c r="P14"/>
  <c r="N14" s="1"/>
  <c r="S15"/>
  <c r="Q15" s="1"/>
  <c r="P15"/>
  <c r="N15" s="1"/>
  <c r="S7"/>
  <c r="Q7" s="1"/>
  <c r="P7"/>
  <c r="G42"/>
  <c r="E42"/>
  <c r="M34"/>
  <c r="K34"/>
  <c r="J34"/>
  <c r="G34"/>
  <c r="E34"/>
  <c r="D36" i="3"/>
  <c r="AC28" i="18"/>
  <c r="D42" i="3"/>
  <c r="AC32" i="18"/>
  <c r="D30" i="3"/>
  <c r="AC25" i="18"/>
  <c r="G7" i="19"/>
  <c r="J7"/>
  <c r="M7"/>
  <c r="S34"/>
  <c r="P34"/>
  <c r="H34"/>
  <c r="AC21" i="18"/>
  <c r="D24" i="3"/>
  <c r="D18"/>
  <c r="AC18" i="18"/>
  <c r="D19" i="3"/>
  <c r="AC19" i="18"/>
  <c r="D15" i="3"/>
  <c r="AC15" i="18"/>
  <c r="D22" i="3"/>
  <c r="D13"/>
  <c r="AC13" i="18"/>
  <c r="F11" i="26" s="1"/>
  <c r="D17" i="3"/>
  <c r="AC17" i="18"/>
  <c r="D9" i="3"/>
  <c r="AC9" i="18"/>
  <c r="E14" i="3"/>
  <c r="D21"/>
  <c r="E8"/>
  <c r="B70" i="4"/>
  <c r="E7" i="3"/>
  <c r="AC7" i="18" s="1"/>
  <c r="E10" i="3"/>
  <c r="AC10" i="18" s="1"/>
  <c r="AN10" s="1"/>
  <c r="E12" i="3"/>
  <c r="AC12" i="18" s="1"/>
  <c r="AK12" s="1"/>
  <c r="C23" i="17"/>
  <c r="G5"/>
  <c r="F14" i="26"/>
  <c r="AG28" i="18"/>
  <c r="AI28"/>
  <c r="AF16"/>
  <c r="AH16" s="1"/>
  <c r="V16" i="19" s="1"/>
  <c r="W16" s="1"/>
  <c r="F9" i="26"/>
  <c r="AI23" i="18"/>
  <c r="AJ23"/>
  <c r="AJ8"/>
  <c r="AG7"/>
  <c r="AG6" s="1"/>
  <c r="G27" i="16"/>
  <c r="AS9" i="18"/>
  <c r="BF5"/>
  <c r="AC42"/>
  <c r="E54" i="3"/>
  <c r="D54" s="1"/>
  <c r="E53"/>
  <c r="AC41" i="18"/>
  <c r="AC40" s="1"/>
  <c r="C29" i="17"/>
  <c r="C32" s="1"/>
  <c r="C14"/>
  <c r="E29"/>
  <c r="E32" s="1"/>
  <c r="E14"/>
  <c r="B29"/>
  <c r="B32" s="1"/>
  <c r="B14"/>
  <c r="F11"/>
  <c r="W27" i="16"/>
  <c r="AI7" i="18"/>
  <c r="B26" i="16"/>
  <c r="K27"/>
  <c r="S27"/>
  <c r="G14" i="26"/>
  <c r="H14" s="1"/>
  <c r="AP11" i="18"/>
  <c r="AS11"/>
  <c r="AQ11"/>
  <c r="AT11"/>
  <c r="E44" i="3"/>
  <c r="AC34" i="18"/>
  <c r="E45" i="3"/>
  <c r="AC35" i="18"/>
  <c r="E46" i="3"/>
  <c r="D46" s="1"/>
  <c r="AC36" i="18"/>
  <c r="E47" i="3"/>
  <c r="D47" s="1"/>
  <c r="AC37" i="18"/>
  <c r="E48" i="3"/>
  <c r="D48" s="1"/>
  <c r="AC38" i="18"/>
  <c r="E49" i="3"/>
  <c r="D49" s="1"/>
  <c r="AC39" i="18"/>
  <c r="AS39" s="1"/>
  <c r="Q34" i="19"/>
  <c r="D11" i="3"/>
  <c r="Q6" i="19"/>
  <c r="S6"/>
  <c r="E37" i="3"/>
  <c r="AZ29" i="18"/>
  <c r="AS29"/>
  <c r="AO29"/>
  <c r="AI29"/>
  <c r="BA29"/>
  <c r="AX29"/>
  <c r="AT29"/>
  <c r="AJ29"/>
  <c r="AF29"/>
  <c r="BC29"/>
  <c r="AU29"/>
  <c r="AQ29"/>
  <c r="AK29"/>
  <c r="BD29"/>
  <c r="AY29"/>
  <c r="AV29"/>
  <c r="AP29"/>
  <c r="AG29"/>
  <c r="AH29" s="1"/>
  <c r="E25" i="3"/>
  <c r="E35"/>
  <c r="AI21" i="18"/>
  <c r="AH23"/>
  <c r="AH26"/>
  <c r="AG21"/>
  <c r="AH25"/>
  <c r="AW28"/>
  <c r="J28" i="19" s="1"/>
  <c r="H28" s="1"/>
  <c r="BG28" i="18"/>
  <c r="AH28"/>
  <c r="AR28"/>
  <c r="BB28"/>
  <c r="M28" i="19" s="1"/>
  <c r="K28" s="1"/>
  <c r="AM30" i="18"/>
  <c r="BB30"/>
  <c r="M30" i="19" s="1"/>
  <c r="K30" s="1"/>
  <c r="AH30" i="18"/>
  <c r="BG30"/>
  <c r="E39" i="3"/>
  <c r="AC31" i="18" s="1"/>
  <c r="AW30"/>
  <c r="J30" i="19" s="1"/>
  <c r="H30" s="1"/>
  <c r="AH32" i="18"/>
  <c r="D28" i="21"/>
  <c r="AD6" i="18"/>
  <c r="F26" i="17"/>
  <c r="C8"/>
  <c r="C16" s="1"/>
  <c r="C25"/>
  <c r="D8"/>
  <c r="D26"/>
  <c r="E8"/>
  <c r="E16" s="1"/>
  <c r="E26"/>
  <c r="E34" s="1"/>
  <c r="D29"/>
  <c r="G11"/>
  <c r="G14" s="1"/>
  <c r="H12" s="1"/>
  <c r="D14"/>
  <c r="G23"/>
  <c r="F8"/>
  <c r="B57" i="35"/>
  <c r="B7" i="17"/>
  <c r="G30"/>
  <c r="B92" i="5"/>
  <c r="B6" i="17"/>
  <c r="AC33" i="18" l="1"/>
  <c r="E20" i="3"/>
  <c r="D45"/>
  <c r="E43"/>
  <c r="D35"/>
  <c r="AC27" i="18"/>
  <c r="D37" i="3"/>
  <c r="AC29" i="18"/>
  <c r="F15" i="26"/>
  <c r="AZ17" i="18"/>
  <c r="AV17"/>
  <c r="AL17"/>
  <c r="AS17"/>
  <c r="AU17"/>
  <c r="AY17"/>
  <c r="AO17"/>
  <c r="AX17"/>
  <c r="AK17"/>
  <c r="BA17"/>
  <c r="AQ17"/>
  <c r="BE17"/>
  <c r="AN17"/>
  <c r="BC17"/>
  <c r="BD17"/>
  <c r="AT17"/>
  <c r="AJ17"/>
  <c r="AP17"/>
  <c r="N34" i="19"/>
  <c r="AV41" i="18"/>
  <c r="AO41"/>
  <c r="AS41"/>
  <c r="BA41"/>
  <c r="AP41"/>
  <c r="AP40" s="1"/>
  <c r="AK41"/>
  <c r="AI41"/>
  <c r="AI40" s="1"/>
  <c r="AL41"/>
  <c r="AJ41"/>
  <c r="AN41"/>
  <c r="AY41"/>
  <c r="AZ41"/>
  <c r="AQ41"/>
  <c r="BC41"/>
  <c r="AT41"/>
  <c r="AX41"/>
  <c r="AU41"/>
  <c r="F17" i="26"/>
  <c r="AI19" i="18"/>
  <c r="AJ19"/>
  <c r="F16" i="26"/>
  <c r="BC18" i="18"/>
  <c r="AS18"/>
  <c r="BD18"/>
  <c r="AT18"/>
  <c r="AJ18"/>
  <c r="AZ18"/>
  <c r="AP18"/>
  <c r="BA18"/>
  <c r="AQ18"/>
  <c r="AX18"/>
  <c r="AN18"/>
  <c r="AY18"/>
  <c r="AO18"/>
  <c r="BE18"/>
  <c r="AU18"/>
  <c r="AK18"/>
  <c r="AV18"/>
  <c r="AL18"/>
  <c r="K7" i="19"/>
  <c r="H7"/>
  <c r="E7"/>
  <c r="N7"/>
  <c r="E6" i="3"/>
  <c r="D12"/>
  <c r="D10"/>
  <c r="D7"/>
  <c r="D25"/>
  <c r="AC24" i="18"/>
  <c r="AC20" s="1"/>
  <c r="AH21"/>
  <c r="S30" i="19"/>
  <c r="P30"/>
  <c r="N30" s="1"/>
  <c r="D30"/>
  <c r="G28"/>
  <c r="E28" s="1"/>
  <c r="S28"/>
  <c r="Q28" s="1"/>
  <c r="P28"/>
  <c r="N28" s="1"/>
  <c r="AS36" i="18"/>
  <c r="AW36" s="1"/>
  <c r="H36" i="19" s="1"/>
  <c r="AQ36" i="18"/>
  <c r="AF34"/>
  <c r="AF33" s="1"/>
  <c r="AI34"/>
  <c r="AR10"/>
  <c r="AJ7"/>
  <c r="AJ6" s="1"/>
  <c r="AK7"/>
  <c r="AM7" s="1"/>
  <c r="F13" i="26"/>
  <c r="AI15" i="18"/>
  <c r="D8" i="3"/>
  <c r="AC8" i="18"/>
  <c r="D14" i="3"/>
  <c r="AC14" i="18"/>
  <c r="AU9"/>
  <c r="AQ13"/>
  <c r="AQ6" s="1"/>
  <c r="AP13"/>
  <c r="AT13"/>
  <c r="AT6" s="1"/>
  <c r="AS13"/>
  <c r="AV13"/>
  <c r="AV6" s="1"/>
  <c r="AU13"/>
  <c r="AO13"/>
  <c r="AO6" s="1"/>
  <c r="AN13"/>
  <c r="AN6" s="1"/>
  <c r="AW9"/>
  <c r="F7" i="26"/>
  <c r="AH7" i="18"/>
  <c r="T16" i="19"/>
  <c r="AK10" i="18"/>
  <c r="F10" i="26"/>
  <c r="AI12" i="18"/>
  <c r="AF14"/>
  <c r="B27" i="16"/>
  <c r="D53" i="3"/>
  <c r="E52"/>
  <c r="D52" s="1"/>
  <c r="AT42" i="18"/>
  <c r="AS42"/>
  <c r="BD42"/>
  <c r="BA42"/>
  <c r="AV42"/>
  <c r="AV40" s="1"/>
  <c r="AU42"/>
  <c r="AX42"/>
  <c r="AX40" s="1"/>
  <c r="AZ42"/>
  <c r="AZ40" s="1"/>
  <c r="BC42"/>
  <c r="BG42" s="1"/>
  <c r="AY42"/>
  <c r="AG22"/>
  <c r="AH22" s="1"/>
  <c r="AI22"/>
  <c r="F29" i="17"/>
  <c r="F32" s="1"/>
  <c r="F34" s="1"/>
  <c r="F14"/>
  <c r="F15" s="1"/>
  <c r="AG41" i="18"/>
  <c r="AG40" s="1"/>
  <c r="AT40"/>
  <c r="AL40"/>
  <c r="BD40"/>
  <c r="AF41"/>
  <c r="AF40" s="1"/>
  <c r="AK40"/>
  <c r="AN40"/>
  <c r="F38" i="26"/>
  <c r="BA40" i="18"/>
  <c r="AQ40"/>
  <c r="AJ40"/>
  <c r="AO40"/>
  <c r="AU40"/>
  <c r="BG29"/>
  <c r="AW29"/>
  <c r="J29" i="19" s="1"/>
  <c r="H29" s="1"/>
  <c r="BB29" i="18"/>
  <c r="M29" i="19" s="1"/>
  <c r="K29" s="1"/>
  <c r="AT39" i="18"/>
  <c r="AU39"/>
  <c r="AV39"/>
  <c r="AX39"/>
  <c r="AY39"/>
  <c r="AZ39"/>
  <c r="BA39"/>
  <c r="BC39"/>
  <c r="BG39" s="1"/>
  <c r="F36" i="26"/>
  <c r="AV38" i="18"/>
  <c r="AU38"/>
  <c r="AT38"/>
  <c r="AS38"/>
  <c r="AQ38"/>
  <c r="AP38"/>
  <c r="AO38"/>
  <c r="AN38"/>
  <c r="AL38"/>
  <c r="AK38"/>
  <c r="AJ38"/>
  <c r="AI38"/>
  <c r="AG38"/>
  <c r="AH38" s="1"/>
  <c r="AX38"/>
  <c r="AY38"/>
  <c r="AZ38"/>
  <c r="BA38"/>
  <c r="BC38"/>
  <c r="BD38"/>
  <c r="F34" i="26"/>
  <c r="AP36" i="18"/>
  <c r="AO36"/>
  <c r="AN36"/>
  <c r="AL36"/>
  <c r="AK36"/>
  <c r="AJ36"/>
  <c r="AI36"/>
  <c r="AG36"/>
  <c r="F33" i="26"/>
  <c r="BD35" i="18"/>
  <c r="BC35"/>
  <c r="BA35"/>
  <c r="AZ35"/>
  <c r="AY35"/>
  <c r="AX35"/>
  <c r="AV35"/>
  <c r="AU35"/>
  <c r="AT35"/>
  <c r="AS35"/>
  <c r="AQ35"/>
  <c r="AP35"/>
  <c r="AO35"/>
  <c r="AN35"/>
  <c r="AL35"/>
  <c r="AK35"/>
  <c r="AJ35"/>
  <c r="AI35"/>
  <c r="AW11"/>
  <c r="J11" i="19" s="1"/>
  <c r="H11" s="1"/>
  <c r="AR11" i="18"/>
  <c r="G11" i="19" s="1"/>
  <c r="E11" s="1"/>
  <c r="F35" i="26"/>
  <c r="BD37" i="18"/>
  <c r="BC37"/>
  <c r="BA37"/>
  <c r="AZ37"/>
  <c r="AY37"/>
  <c r="AX37"/>
  <c r="AV37"/>
  <c r="AU37"/>
  <c r="AT37"/>
  <c r="AS37"/>
  <c r="AQ37"/>
  <c r="AP37"/>
  <c r="AO37"/>
  <c r="AN37"/>
  <c r="AL37"/>
  <c r="AK37"/>
  <c r="AJ37"/>
  <c r="AI37"/>
  <c r="AG37"/>
  <c r="F32" i="26"/>
  <c r="F31" s="1"/>
  <c r="D43" i="3"/>
  <c r="D44"/>
  <c r="D16" i="17"/>
  <c r="G7" i="26"/>
  <c r="AF24" i="18"/>
  <c r="AG24"/>
  <c r="AI24"/>
  <c r="AI27"/>
  <c r="AF27"/>
  <c r="AG27"/>
  <c r="AI31"/>
  <c r="AG31"/>
  <c r="AF31"/>
  <c r="Q30" i="19"/>
  <c r="D39" i="3"/>
  <c r="AD5" i="18"/>
  <c r="L4" i="19"/>
  <c r="G6" i="17"/>
  <c r="B24"/>
  <c r="G7"/>
  <c r="G25" s="1"/>
  <c r="B25"/>
  <c r="D32"/>
  <c r="D34" s="1"/>
  <c r="C26"/>
  <c r="C34" s="1"/>
  <c r="E15"/>
  <c r="B15"/>
  <c r="C15"/>
  <c r="H11"/>
  <c r="H14" s="1"/>
  <c r="D15"/>
  <c r="G15"/>
  <c r="B8"/>
  <c r="AC6" i="18" l="1"/>
  <c r="AS40"/>
  <c r="G29" i="17"/>
  <c r="G32" s="1"/>
  <c r="D20" i="3"/>
  <c r="AH34" i="18"/>
  <c r="AY40"/>
  <c r="AS6"/>
  <c r="AP6"/>
  <c r="BB41"/>
  <c r="M41" i="19" s="1"/>
  <c r="AR41" i="18"/>
  <c r="G41" i="19" s="1"/>
  <c r="AM35" i="18"/>
  <c r="D6" i="3"/>
  <c r="AR17" i="18"/>
  <c r="G17" i="19" s="1"/>
  <c r="E17" s="1"/>
  <c r="AH36" i="18"/>
  <c r="AG33"/>
  <c r="D7" i="19"/>
  <c r="J9"/>
  <c r="V9" s="1"/>
  <c r="W9" s="1"/>
  <c r="G10"/>
  <c r="AM19" i="18"/>
  <c r="D19" i="19" s="1"/>
  <c r="G17" i="26"/>
  <c r="H17" s="1"/>
  <c r="BG17" i="18"/>
  <c r="BC6"/>
  <c r="BB17"/>
  <c r="AX6"/>
  <c r="AL33"/>
  <c r="AQ33"/>
  <c r="AV33"/>
  <c r="BA33"/>
  <c r="BC40"/>
  <c r="AU6"/>
  <c r="AK6"/>
  <c r="BB18"/>
  <c r="M18" i="19" s="1"/>
  <c r="K18" s="1"/>
  <c r="AW18" i="18"/>
  <c r="J18" i="19" s="1"/>
  <c r="H18" s="1"/>
  <c r="AM41" i="18"/>
  <c r="D41" i="19" s="1"/>
  <c r="AW41" i="18"/>
  <c r="J41" i="19" s="1"/>
  <c r="BE6" i="18"/>
  <c r="BA6"/>
  <c r="AY6"/>
  <c r="AW17"/>
  <c r="J17" i="19" s="1"/>
  <c r="H17" s="1"/>
  <c r="S39"/>
  <c r="Q39" s="1"/>
  <c r="P39"/>
  <c r="N39" s="1"/>
  <c r="S42"/>
  <c r="Q42" s="1"/>
  <c r="P42"/>
  <c r="AM34" i="18"/>
  <c r="AI33"/>
  <c r="AM18"/>
  <c r="D18" i="19" s="1"/>
  <c r="AM17" i="18"/>
  <c r="D17" i="19" s="1"/>
  <c r="AJ33" i="18"/>
  <c r="AO33"/>
  <c r="AT33"/>
  <c r="AY33"/>
  <c r="BD33"/>
  <c r="AK33"/>
  <c r="AN33"/>
  <c r="AP33"/>
  <c r="AS33"/>
  <c r="AU33"/>
  <c r="AX33"/>
  <c r="AZ33"/>
  <c r="BC33"/>
  <c r="E5" i="3"/>
  <c r="E3" s="1"/>
  <c r="B31" i="16" s="1"/>
  <c r="AR18" i="18"/>
  <c r="G18" i="19" s="1"/>
  <c r="E18" s="1"/>
  <c r="BG18" i="18"/>
  <c r="P18" i="19" s="1"/>
  <c r="N18" s="1"/>
  <c r="BD6" i="18"/>
  <c r="AZ6"/>
  <c r="AF20"/>
  <c r="AI20"/>
  <c r="AG20"/>
  <c r="S29" i="19"/>
  <c r="Q29" s="1"/>
  <c r="P29"/>
  <c r="N29" s="1"/>
  <c r="B30"/>
  <c r="AI14" i="18"/>
  <c r="AI6" s="1"/>
  <c r="F12" i="26"/>
  <c r="AL8" i="18"/>
  <c r="AL6" s="1"/>
  <c r="F8" i="26"/>
  <c r="F6" s="1"/>
  <c r="AM15" i="18"/>
  <c r="D15" i="19" s="1"/>
  <c r="B15" s="1"/>
  <c r="G13" i="26"/>
  <c r="H13" s="1"/>
  <c r="D5" i="3"/>
  <c r="D3" s="1"/>
  <c r="AR13" i="18"/>
  <c r="G13" i="19" s="1"/>
  <c r="E13" s="1"/>
  <c r="AW13" i="18"/>
  <c r="J13" i="19" s="1"/>
  <c r="H13" s="1"/>
  <c r="AM10" i="18"/>
  <c r="D10" i="19" s="1"/>
  <c r="B10" s="1"/>
  <c r="G10" i="26"/>
  <c r="H10" s="1"/>
  <c r="AM12" i="18"/>
  <c r="D12" i="19" s="1"/>
  <c r="B12" s="1"/>
  <c r="AH14" i="18"/>
  <c r="AF6"/>
  <c r="V7" i="19"/>
  <c r="F37" i="26"/>
  <c r="BB42" i="18"/>
  <c r="BG41"/>
  <c r="P41" i="19" s="1"/>
  <c r="AH41" i="18"/>
  <c r="AH40" s="1"/>
  <c r="F16" i="17"/>
  <c r="AW42" i="18"/>
  <c r="AM38"/>
  <c r="D38" i="19" s="1"/>
  <c r="B38" s="1"/>
  <c r="AR38" i="18"/>
  <c r="AW38"/>
  <c r="H38" i="19" s="1"/>
  <c r="AR35" i="18"/>
  <c r="AW35"/>
  <c r="BB35"/>
  <c r="BG35"/>
  <c r="AM36"/>
  <c r="D36" i="19" s="1"/>
  <c r="B36" s="1"/>
  <c r="AR36" i="18"/>
  <c r="D35" i="19"/>
  <c r="B35" s="1"/>
  <c r="BG38" i="18"/>
  <c r="BB38"/>
  <c r="BB39"/>
  <c r="AW39"/>
  <c r="H39" i="19" s="1"/>
  <c r="AH37" i="18"/>
  <c r="AM37"/>
  <c r="D37" i="19" s="1"/>
  <c r="B37" s="1"/>
  <c r="AR37" i="18"/>
  <c r="AW37"/>
  <c r="H37" i="19" s="1"/>
  <c r="BB37" i="18"/>
  <c r="BG37"/>
  <c r="P37" i="19" s="1"/>
  <c r="N37" s="1"/>
  <c r="AH27" i="18"/>
  <c r="AH24"/>
  <c r="AH31"/>
  <c r="F4" i="19"/>
  <c r="G24" i="17"/>
  <c r="G8"/>
  <c r="G16" s="1"/>
  <c r="B26"/>
  <c r="I4" i="19"/>
  <c r="B16" i="17"/>
  <c r="H30" l="1"/>
  <c r="G33"/>
  <c r="E33"/>
  <c r="D33"/>
  <c r="F33"/>
  <c r="H29"/>
  <c r="H32" s="1"/>
  <c r="C33"/>
  <c r="B33"/>
  <c r="AH33" i="18"/>
  <c r="V41" i="19"/>
  <c r="G37"/>
  <c r="E37"/>
  <c r="M39"/>
  <c r="K39"/>
  <c r="J39"/>
  <c r="M38"/>
  <c r="K38"/>
  <c r="J38"/>
  <c r="M35"/>
  <c r="K35"/>
  <c r="J35"/>
  <c r="BB33" i="18"/>
  <c r="G35" i="19"/>
  <c r="E35"/>
  <c r="AR33" i="18"/>
  <c r="G38" i="19"/>
  <c r="E38"/>
  <c r="J42"/>
  <c r="H42"/>
  <c r="M42"/>
  <c r="K42"/>
  <c r="W7"/>
  <c r="B17"/>
  <c r="V18"/>
  <c r="B18"/>
  <c r="T18" s="1"/>
  <c r="D34"/>
  <c r="AM33" i="18"/>
  <c r="B7" i="19"/>
  <c r="AR6" i="18"/>
  <c r="AW6"/>
  <c r="M37" i="19"/>
  <c r="K37"/>
  <c r="J37"/>
  <c r="S38"/>
  <c r="Q38" s="1"/>
  <c r="P38"/>
  <c r="N38" s="1"/>
  <c r="G36"/>
  <c r="E36"/>
  <c r="S35"/>
  <c r="Q35" s="1"/>
  <c r="P35"/>
  <c r="BG33" i="18"/>
  <c r="H35" i="19"/>
  <c r="H33" s="1"/>
  <c r="AW33" i="18"/>
  <c r="N42" i="19"/>
  <c r="T42" s="1"/>
  <c r="V42"/>
  <c r="V40" s="1"/>
  <c r="M17"/>
  <c r="BB6" i="18"/>
  <c r="P17" i="19"/>
  <c r="BG6" i="18"/>
  <c r="V19" i="19"/>
  <c r="B19"/>
  <c r="T19" s="1"/>
  <c r="E10"/>
  <c r="E6" s="1"/>
  <c r="G6"/>
  <c r="H9"/>
  <c r="J6"/>
  <c r="AW40" i="18"/>
  <c r="J40" i="19"/>
  <c r="H41"/>
  <c r="H40" s="1"/>
  <c r="BB40" i="18"/>
  <c r="M40" i="19"/>
  <c r="K41"/>
  <c r="K40" s="1"/>
  <c r="AR40" i="18"/>
  <c r="G40" i="19"/>
  <c r="E41"/>
  <c r="E40" s="1"/>
  <c r="AM40" i="18"/>
  <c r="S41" i="19"/>
  <c r="Q41" s="1"/>
  <c r="BG40" i="18"/>
  <c r="AH20"/>
  <c r="T13" i="19"/>
  <c r="V13"/>
  <c r="W13" s="1"/>
  <c r="T15"/>
  <c r="V15"/>
  <c r="W15" s="1"/>
  <c r="G8" i="26"/>
  <c r="AM8" i="18"/>
  <c r="AM14"/>
  <c r="D14" i="19" s="1"/>
  <c r="B14" s="1"/>
  <c r="AF5" i="18"/>
  <c r="AG5"/>
  <c r="T10" i="19"/>
  <c r="V10"/>
  <c r="W10" s="1"/>
  <c r="T12"/>
  <c r="V12"/>
  <c r="W12" s="1"/>
  <c r="G12" i="26"/>
  <c r="AH6" i="18"/>
  <c r="W42" i="19"/>
  <c r="AI5" i="18"/>
  <c r="V39" i="19"/>
  <c r="V38"/>
  <c r="V36"/>
  <c r="V34"/>
  <c r="V11"/>
  <c r="W11" s="1"/>
  <c r="S37"/>
  <c r="H6" i="17"/>
  <c r="H7"/>
  <c r="B9"/>
  <c r="H5"/>
  <c r="G26"/>
  <c r="G34" s="1"/>
  <c r="B34"/>
  <c r="G9"/>
  <c r="H15"/>
  <c r="D9"/>
  <c r="E9"/>
  <c r="F9"/>
  <c r="C9"/>
  <c r="B17"/>
  <c r="H8" i="26" l="1"/>
  <c r="G6"/>
  <c r="T9" i="19"/>
  <c r="H6"/>
  <c r="N17"/>
  <c r="N6" s="1"/>
  <c r="P6"/>
  <c r="K17"/>
  <c r="K6" s="1"/>
  <c r="M6"/>
  <c r="N35"/>
  <c r="P33"/>
  <c r="T17"/>
  <c r="G33"/>
  <c r="J33"/>
  <c r="M33"/>
  <c r="D8"/>
  <c r="AM6" i="18"/>
  <c r="D33" i="19"/>
  <c r="B34"/>
  <c r="V17"/>
  <c r="E33"/>
  <c r="K33"/>
  <c r="S40"/>
  <c r="D40"/>
  <c r="B41"/>
  <c r="B40" s="1"/>
  <c r="N41"/>
  <c r="P40"/>
  <c r="H8" i="17"/>
  <c r="T14" i="19"/>
  <c r="V14"/>
  <c r="W14" s="1"/>
  <c r="H12" i="26"/>
  <c r="Q40" i="19"/>
  <c r="B6" i="21"/>
  <c r="D6" s="1"/>
  <c r="AH5" i="18"/>
  <c r="T11" i="19"/>
  <c r="Q37"/>
  <c r="Q33" s="1"/>
  <c r="S33"/>
  <c r="B27" i="17"/>
  <c r="H24"/>
  <c r="H25"/>
  <c r="H26"/>
  <c r="H23"/>
  <c r="G17"/>
  <c r="C17"/>
  <c r="F17"/>
  <c r="E17"/>
  <c r="D17"/>
  <c r="G27"/>
  <c r="H33"/>
  <c r="D27"/>
  <c r="E27"/>
  <c r="F27"/>
  <c r="C27"/>
  <c r="B35"/>
  <c r="B33" i="19" l="1"/>
  <c r="T34"/>
  <c r="N33"/>
  <c r="V35"/>
  <c r="B8"/>
  <c r="B6" s="1"/>
  <c r="D6"/>
  <c r="N40"/>
  <c r="T41"/>
  <c r="T40" s="1"/>
  <c r="B27" i="21"/>
  <c r="V8" i="19"/>
  <c r="W41"/>
  <c r="W40" s="1"/>
  <c r="V37"/>
  <c r="D27" i="21"/>
  <c r="G35" i="17"/>
  <c r="C35"/>
  <c r="F35"/>
  <c r="E35"/>
  <c r="D35"/>
  <c r="W8" i="19" l="1"/>
  <c r="W6" s="1"/>
  <c r="V6"/>
  <c r="V33"/>
  <c r="T33"/>
  <c r="T8"/>
  <c r="B5" i="21"/>
  <c r="B11" l="1"/>
  <c r="D5"/>
  <c r="B26"/>
  <c r="B4"/>
  <c r="D4" s="1"/>
  <c r="F4" s="1"/>
  <c r="D11" l="1"/>
  <c r="B32"/>
  <c r="D26"/>
  <c r="B25"/>
  <c r="D25" s="1"/>
  <c r="D32" l="1"/>
  <c r="U7" i="19"/>
  <c r="J7" i="26"/>
  <c r="J6" s="1"/>
  <c r="J39" s="1"/>
  <c r="J40" s="1"/>
  <c r="T7" i="19"/>
  <c r="T6" s="1"/>
  <c r="B9" i="21" s="1"/>
  <c r="D9" l="1"/>
  <c r="B30"/>
  <c r="H7" i="26"/>
  <c r="H6" s="1"/>
  <c r="C4" i="19"/>
  <c r="D30" i="21" l="1"/>
  <c r="C33"/>
  <c r="C37" s="1"/>
  <c r="C12"/>
  <c r="C16" s="1"/>
  <c r="BE26" i="18" l="1"/>
  <c r="AY26"/>
  <c r="AP26"/>
  <c r="F24" i="26"/>
  <c r="AO26" i="18"/>
  <c r="AT26"/>
  <c r="AQ26"/>
  <c r="BD26"/>
  <c r="AV26"/>
  <c r="AL26"/>
  <c r="AZ26"/>
  <c r="BA26"/>
  <c r="AU26"/>
  <c r="AK26"/>
  <c r="BE25"/>
  <c r="AQ25"/>
  <c r="AY25"/>
  <c r="AP25"/>
  <c r="F23" i="26"/>
  <c r="AO25" i="18"/>
  <c r="AT25"/>
  <c r="AU25"/>
  <c r="BD25"/>
  <c r="AV25"/>
  <c r="AL25"/>
  <c r="AZ25"/>
  <c r="BA25"/>
  <c r="AK28"/>
  <c r="BA32"/>
  <c r="AL32"/>
  <c r="AQ32"/>
  <c r="AT32"/>
  <c r="AZ32"/>
  <c r="AO32"/>
  <c r="BD32"/>
  <c r="AV32"/>
  <c r="F30" i="26"/>
  <c r="AY32" i="18"/>
  <c r="AP32"/>
  <c r="AU32"/>
  <c r="AK32"/>
  <c r="AO30"/>
  <c r="F28" i="26"/>
  <c r="F21"/>
  <c r="BD23" i="18"/>
  <c r="AL23"/>
  <c r="AZ23"/>
  <c r="BA23"/>
  <c r="AU23"/>
  <c r="AP23"/>
  <c r="AQ23"/>
  <c r="AV23"/>
  <c r="BE23"/>
  <c r="AO23"/>
  <c r="AT23"/>
  <c r="AY23"/>
  <c r="AY22"/>
  <c r="F20" i="26"/>
  <c r="AV22" i="18"/>
  <c r="AO22"/>
  <c r="AT22"/>
  <c r="AK22"/>
  <c r="BD22"/>
  <c r="BE22"/>
  <c r="AP22"/>
  <c r="AQ22"/>
  <c r="AZ22"/>
  <c r="BA22"/>
  <c r="AU22"/>
  <c r="AL22"/>
  <c r="F25" i="26"/>
  <c r="AK27" i="18"/>
  <c r="AP27"/>
  <c r="AO27"/>
  <c r="AT27"/>
  <c r="BD27"/>
  <c r="AL27"/>
  <c r="BE27"/>
  <c r="AU27"/>
  <c r="AY27"/>
  <c r="AZ27"/>
  <c r="BA27"/>
  <c r="AQ27"/>
  <c r="AV27"/>
  <c r="AU24"/>
  <c r="AY24"/>
  <c r="AZ24"/>
  <c r="BA24"/>
  <c r="AQ24"/>
  <c r="AV24"/>
  <c r="F22" i="26"/>
  <c r="BE24" i="18"/>
  <c r="AK24"/>
  <c r="AP24"/>
  <c r="AO24"/>
  <c r="AT24"/>
  <c r="BD24"/>
  <c r="AL24"/>
  <c r="AN25"/>
  <c r="AR25" s="1"/>
  <c r="G25" i="19" s="1"/>
  <c r="E25" s="1"/>
  <c r="AN23" i="18"/>
  <c r="AR23" s="1"/>
  <c r="G23" i="19" s="1"/>
  <c r="E23" s="1"/>
  <c r="AZ31" i="18"/>
  <c r="BD31"/>
  <c r="AL31"/>
  <c r="AQ31"/>
  <c r="AT31"/>
  <c r="AU31"/>
  <c r="BA31"/>
  <c r="AO31"/>
  <c r="AV31"/>
  <c r="F29" i="26"/>
  <c r="AY31" i="18"/>
  <c r="AP31"/>
  <c r="AK31"/>
  <c r="AN29"/>
  <c r="AR29" s="1"/>
  <c r="AN24"/>
  <c r="BC22"/>
  <c r="BC24"/>
  <c r="BC26"/>
  <c r="BG26" s="1"/>
  <c r="AX23"/>
  <c r="AX27"/>
  <c r="AX31"/>
  <c r="BB31" s="1"/>
  <c r="M31" i="19" s="1"/>
  <c r="K31" s="1"/>
  <c r="AS27" i="18"/>
  <c r="AS31"/>
  <c r="BC27"/>
  <c r="BG27" s="1"/>
  <c r="BC31"/>
  <c r="AX22"/>
  <c r="AX26"/>
  <c r="AX32"/>
  <c r="AS22"/>
  <c r="AS24"/>
  <c r="BE21"/>
  <c r="AJ28"/>
  <c r="AM28" s="1"/>
  <c r="AN32"/>
  <c r="AS25"/>
  <c r="AN26"/>
  <c r="BC25"/>
  <c r="BC23"/>
  <c r="AJ26"/>
  <c r="AS26"/>
  <c r="AS32"/>
  <c r="AJ32"/>
  <c r="BC32"/>
  <c r="BG32" s="1"/>
  <c r="AX25"/>
  <c r="BB25" s="1"/>
  <c r="M25" i="19" s="1"/>
  <c r="K25" s="1"/>
  <c r="AK25" i="18"/>
  <c r="AL29"/>
  <c r="AM29" s="1"/>
  <c r="D29" i="19" s="1"/>
  <c r="AK23" i="18"/>
  <c r="AM23" s="1"/>
  <c r="D23" i="19" s="1"/>
  <c r="AS23" i="18"/>
  <c r="AP21"/>
  <c r="AN27"/>
  <c r="AN31"/>
  <c r="AJ22"/>
  <c r="AN22"/>
  <c r="F19" i="26"/>
  <c r="F18" s="1"/>
  <c r="F39" s="1"/>
  <c r="F40" s="1"/>
  <c r="BD21" i="18"/>
  <c r="BA21"/>
  <c r="AJ27"/>
  <c r="AJ24"/>
  <c r="AX24"/>
  <c r="AN30"/>
  <c r="AR30" s="1"/>
  <c r="AZ21"/>
  <c r="AV21"/>
  <c r="AK21"/>
  <c r="AY21"/>
  <c r="AT21"/>
  <c r="AL21"/>
  <c r="AO21"/>
  <c r="AU21"/>
  <c r="AQ21"/>
  <c r="AJ31"/>
  <c r="AM31" s="1"/>
  <c r="D31" i="19" s="1"/>
  <c r="AX21" i="18"/>
  <c r="AS21"/>
  <c r="BC21"/>
  <c r="AN21"/>
  <c r="AJ21"/>
  <c r="D28" i="19" l="1"/>
  <c r="G29"/>
  <c r="E29" s="1"/>
  <c r="BG31" i="18"/>
  <c r="AW31"/>
  <c r="J31" i="19" s="1"/>
  <c r="H31" s="1"/>
  <c r="AM25" i="18"/>
  <c r="D25" i="19" s="1"/>
  <c r="AW23" i="18"/>
  <c r="J23" i="19" s="1"/>
  <c r="H23" s="1"/>
  <c r="BB23" i="18"/>
  <c r="M23" i="19" s="1"/>
  <c r="K23" s="1"/>
  <c r="BG23" i="18"/>
  <c r="AM32"/>
  <c r="D32" i="19" s="1"/>
  <c r="AR32" i="18"/>
  <c r="AR31"/>
  <c r="AT20"/>
  <c r="AT5" s="1"/>
  <c r="AW27"/>
  <c r="J27" i="19" s="1"/>
  <c r="H27" s="1"/>
  <c r="BB27" i="18"/>
  <c r="M27" i="19" s="1"/>
  <c r="K27" s="1"/>
  <c r="AQ20" i="18"/>
  <c r="AQ5" s="1"/>
  <c r="AO20"/>
  <c r="AO5" s="1"/>
  <c r="AK20"/>
  <c r="AK5" s="1"/>
  <c r="AZ20"/>
  <c r="AZ5" s="1"/>
  <c r="BB24"/>
  <c r="M24" i="19" s="1"/>
  <c r="K24" s="1"/>
  <c r="BD20" i="18"/>
  <c r="BD5" s="1"/>
  <c r="AW24"/>
  <c r="J24" i="19" s="1"/>
  <c r="H24" s="1"/>
  <c r="AP20" i="18"/>
  <c r="AP5" s="1"/>
  <c r="AR22"/>
  <c r="G22" i="19" s="1"/>
  <c r="E22" s="1"/>
  <c r="BB22" i="18"/>
  <c r="M22" i="19" s="1"/>
  <c r="K22" s="1"/>
  <c r="AW22" i="18"/>
  <c r="J22" i="19" s="1"/>
  <c r="H22" s="1"/>
  <c r="BG22" i="18"/>
  <c r="P22" i="19" s="1"/>
  <c r="N22" s="1"/>
  <c r="AW32" i="18"/>
  <c r="J32" i="19" s="1"/>
  <c r="H32" s="1"/>
  <c r="BB32" i="18"/>
  <c r="M32" i="19" s="1"/>
  <c r="K32" s="1"/>
  <c r="S31"/>
  <c r="Q31" s="1"/>
  <c r="S27"/>
  <c r="Q27" s="1"/>
  <c r="AL20" i="18"/>
  <c r="AL5" s="1"/>
  <c r="AR27"/>
  <c r="G27" i="19" s="1"/>
  <c r="E27" s="1"/>
  <c r="AU20" i="18"/>
  <c r="AU5" s="1"/>
  <c r="AV20"/>
  <c r="AV5" s="1"/>
  <c r="AW26"/>
  <c r="J26" i="19" s="1"/>
  <c r="H26" s="1"/>
  <c r="AR26" i="18"/>
  <c r="BB26"/>
  <c r="M26" i="19" s="1"/>
  <c r="K26" s="1"/>
  <c r="P26"/>
  <c r="N26" s="1"/>
  <c r="AS20" i="18"/>
  <c r="AS5" s="1"/>
  <c r="BG24"/>
  <c r="P24" i="19" s="1"/>
  <c r="N24" s="1"/>
  <c r="BC20" i="18"/>
  <c r="BC5" s="1"/>
  <c r="AX20"/>
  <c r="AX5" s="1"/>
  <c r="AM22"/>
  <c r="D22" i="19" s="1"/>
  <c r="B22" s="1"/>
  <c r="BG21" i="18"/>
  <c r="AW21"/>
  <c r="J21" i="19" s="1"/>
  <c r="H21" s="1"/>
  <c r="BB21" i="18"/>
  <c r="AJ20"/>
  <c r="AJ5" s="1"/>
  <c r="AY20"/>
  <c r="AY5" s="1"/>
  <c r="BA20"/>
  <c r="BA5" s="1"/>
  <c r="AR21"/>
  <c r="G21" i="19" s="1"/>
  <c r="AN20" i="18"/>
  <c r="AN5" s="1"/>
  <c r="BE20"/>
  <c r="BE5" s="1"/>
  <c r="BG25"/>
  <c r="P25" i="19" s="1"/>
  <c r="N25" s="1"/>
  <c r="AW25" i="18"/>
  <c r="J25" i="19" s="1"/>
  <c r="H25" s="1"/>
  <c r="AM24" i="18"/>
  <c r="D24" i="19" s="1"/>
  <c r="B24" s="1"/>
  <c r="AR24" i="18"/>
  <c r="B31" i="19"/>
  <c r="B25"/>
  <c r="P32"/>
  <c r="N32" s="1"/>
  <c r="S32"/>
  <c r="Q32" s="1"/>
  <c r="S25"/>
  <c r="Q25" s="1"/>
  <c r="V28"/>
  <c r="B28"/>
  <c r="T28" s="1"/>
  <c r="G31"/>
  <c r="E31" s="1"/>
  <c r="B23"/>
  <c r="V29"/>
  <c r="B29"/>
  <c r="B32"/>
  <c r="P23"/>
  <c r="N23" s="1"/>
  <c r="G26"/>
  <c r="E26" s="1"/>
  <c r="G32"/>
  <c r="E32" s="1"/>
  <c r="S21"/>
  <c r="G30"/>
  <c r="P31"/>
  <c r="N31" s="1"/>
  <c r="P27"/>
  <c r="N27" s="1"/>
  <c r="S26"/>
  <c r="Q26" s="1"/>
  <c r="AM21" i="18"/>
  <c r="P21" i="19"/>
  <c r="M21"/>
  <c r="AM27" i="18"/>
  <c r="D27" i="19" s="1"/>
  <c r="AM26" i="18"/>
  <c r="D26" i="19" s="1"/>
  <c r="V30" l="1"/>
  <c r="E30"/>
  <c r="T30" s="1"/>
  <c r="S23"/>
  <c r="Q23" s="1"/>
  <c r="G24"/>
  <c r="S24"/>
  <c r="Q24" s="1"/>
  <c r="S22"/>
  <c r="Q22" s="1"/>
  <c r="BG20" i="18"/>
  <c r="AW20"/>
  <c r="V32" i="19"/>
  <c r="BB20" i="18"/>
  <c r="BB5" s="1"/>
  <c r="H20" i="19"/>
  <c r="AM20" i="18"/>
  <c r="AR20"/>
  <c r="AR5" s="1"/>
  <c r="V22" i="19"/>
  <c r="W22" s="1"/>
  <c r="V31"/>
  <c r="T29"/>
  <c r="J20"/>
  <c r="J5" s="1"/>
  <c r="J4" s="1"/>
  <c r="B27"/>
  <c r="T27" s="1"/>
  <c r="V27"/>
  <c r="M20"/>
  <c r="M5" s="1"/>
  <c r="M4" s="1"/>
  <c r="K21"/>
  <c r="K20" s="1"/>
  <c r="D21"/>
  <c r="Q21"/>
  <c r="T32"/>
  <c r="V23"/>
  <c r="W23" s="1"/>
  <c r="T25"/>
  <c r="T31"/>
  <c r="V26"/>
  <c r="B26"/>
  <c r="T26" s="1"/>
  <c r="N21"/>
  <c r="N20" s="1"/>
  <c r="P20"/>
  <c r="G20"/>
  <c r="G5" s="1"/>
  <c r="G4" s="1"/>
  <c r="E21"/>
  <c r="H5"/>
  <c r="H4" s="1"/>
  <c r="T23"/>
  <c r="V25"/>
  <c r="T22"/>
  <c r="V24" l="1"/>
  <c r="W24" s="1"/>
  <c r="E24"/>
  <c r="T24" s="1"/>
  <c r="S20"/>
  <c r="S5" s="1"/>
  <c r="S4" s="1"/>
  <c r="AW5" i="18"/>
  <c r="Q20" i="19"/>
  <c r="BG5" i="18"/>
  <c r="P5" i="19"/>
  <c r="P4" s="1"/>
  <c r="N5"/>
  <c r="N4" s="1"/>
  <c r="AM5" i="18"/>
  <c r="B21" i="19"/>
  <c r="V21"/>
  <c r="V20" s="1"/>
  <c r="D20"/>
  <c r="D5" s="1"/>
  <c r="D4" s="1"/>
  <c r="K5"/>
  <c r="K4" s="1"/>
  <c r="E20" l="1"/>
  <c r="E5" s="1"/>
  <c r="E4" s="1"/>
  <c r="V5"/>
  <c r="V4" s="1"/>
  <c r="Q5"/>
  <c r="Q4" s="1"/>
  <c r="W21"/>
  <c r="T21"/>
  <c r="T20" s="1"/>
  <c r="B20"/>
  <c r="AC5" i="18"/>
  <c r="AH3" s="1"/>
  <c r="T5" i="19" l="1"/>
  <c r="T4" s="1"/>
  <c r="B10" i="21"/>
  <c r="W5" i="19"/>
  <c r="W4" s="1"/>
  <c r="B5"/>
  <c r="B4" s="1"/>
  <c r="B31" i="21" l="1"/>
  <c r="B29" s="1"/>
  <c r="B8"/>
  <c r="B12" s="1"/>
  <c r="B16" s="1"/>
  <c r="D10"/>
  <c r="D8" s="1"/>
  <c r="D31" l="1"/>
  <c r="D29" s="1"/>
  <c r="F8"/>
  <c r="D33"/>
  <c r="B33"/>
  <c r="D12" l="1"/>
  <c r="F12" s="1"/>
  <c r="B34"/>
  <c r="C34"/>
  <c r="D35"/>
  <c r="C13" l="1"/>
  <c r="B13"/>
  <c r="B37"/>
  <c r="B38" l="1"/>
  <c r="G38"/>
  <c r="C38"/>
  <c r="D14" l="1"/>
  <c r="D16" l="1"/>
  <c r="C17" s="1"/>
  <c r="B17" l="1"/>
  <c r="H37" i="26"/>
  <c r="H39" s="1"/>
  <c r="H40" s="1"/>
  <c r="G33"/>
  <c r="G35"/>
  <c r="G36"/>
  <c r="G31" l="1"/>
  <c r="G39" s="1"/>
  <c r="G40" s="1"/>
</calcChain>
</file>

<file path=xl/comments1.xml><?xml version="1.0" encoding="utf-8"?>
<comments xmlns="http://schemas.openxmlformats.org/spreadsheetml/2006/main">
  <authors>
    <author>user</author>
  </authors>
  <commentList>
    <comment ref="A2" authorId="0">
      <text>
        <r>
          <rPr>
            <b/>
            <sz val="9"/>
            <color indexed="81"/>
            <rFont val="Tahoma"/>
            <family val="2"/>
          </rPr>
          <t>NÃO INCLUIR OU EXCLUIR LINHAS NAS PLANILHAS. ESSAS AÇÕES PODEM QUEBRAR TODOS OS VÍNCULOS DE CÁLCULO AUTOMÁTICO</t>
        </r>
        <r>
          <rPr>
            <sz val="9"/>
            <color indexed="81"/>
            <rFont val="Tahoma"/>
            <family val="2"/>
          </rPr>
          <t xml:space="preserve">
</t>
        </r>
      </text>
    </comment>
    <comment ref="E4" authorId="0">
      <text>
        <r>
          <rPr>
            <b/>
            <sz val="9"/>
            <color indexed="81"/>
            <rFont val="Tahoma"/>
            <family val="2"/>
          </rPr>
          <t>Antes de iniciar o preenchimento desta planilha  a equipe de projeto deve definir e preencher as planilhas (22A, 22B, 22C e 22D) dos “Parâmetros de Custos”, que irão nortear as equipes na alocação dos recursos do Projeto</t>
        </r>
        <r>
          <rPr>
            <sz val="9"/>
            <color indexed="81"/>
            <rFont val="Tahoma"/>
            <family val="2"/>
          </rPr>
          <t xml:space="preserve">
</t>
        </r>
      </text>
    </comment>
    <comment ref="F4" authorId="0">
      <text>
        <r>
          <rPr>
            <b/>
            <sz val="9"/>
            <color indexed="81"/>
            <rFont val="Tahoma"/>
            <family val="2"/>
          </rPr>
          <t>Esta coluna só deve ser preenchida durante a elaboração do Projeto, após a elaboração do Marco de Resultados do Projeto.</t>
        </r>
        <r>
          <rPr>
            <sz val="9"/>
            <color indexed="81"/>
            <rFont val="Tahoma"/>
            <family val="2"/>
          </rPr>
          <t xml:space="preserve">
</t>
        </r>
      </text>
    </comment>
    <comment ref="B6" authorId="0">
      <text>
        <r>
          <rPr>
            <b/>
            <sz val="9"/>
            <color indexed="81"/>
            <rFont val="Tahoma"/>
            <family val="2"/>
          </rPr>
          <t xml:space="preserve">Nesta planilha devem ser descritos os PRODUTOS que serão desenvolvidas no âmbito do Projeto Estadual. O PRODUTO deve ser descrito como uma "ação concluída": Modelo de gestão por resultados definido aprovado, divulgado e implantado. 
</t>
        </r>
        <r>
          <rPr>
            <sz val="9"/>
            <color indexed="81"/>
            <rFont val="Tahoma"/>
            <family val="2"/>
          </rPr>
          <t xml:space="preserve">
</t>
        </r>
      </text>
    </comment>
    <comment ref="F6" authorId="0">
      <text>
        <r>
          <rPr>
            <b/>
            <sz val="9"/>
            <color indexed="81"/>
            <rFont val="Tahoma"/>
            <family val="2"/>
          </rPr>
          <t>Nesta coluna devem ser indicados os produtos com ionício de execução programada para os primeiros 18 meses de execução do Projeto, de acordo com o Cronograma Físico da planilha 18.</t>
        </r>
        <r>
          <rPr>
            <sz val="9"/>
            <color indexed="81"/>
            <rFont val="Tahoma"/>
            <family val="2"/>
          </rPr>
          <t xml:space="preserve">
</t>
        </r>
      </text>
    </comment>
    <comment ref="B7" authorId="0">
      <text>
        <r>
          <rPr>
            <b/>
            <sz val="9"/>
            <color indexed="81"/>
            <rFont val="Tahoma"/>
            <family val="2"/>
          </rPr>
          <t>Deve ser selecionada a opção NÃO para que o Produto seja automaticamente EXCLUÍDO da planilha específica do Subcomponente.</t>
        </r>
        <r>
          <rPr>
            <sz val="9"/>
            <color indexed="81"/>
            <rFont val="Tahoma"/>
            <family val="2"/>
          </rPr>
          <t xml:space="preserve">
</t>
        </r>
      </text>
    </comment>
    <comment ref="F7" authorId="0">
      <text>
        <r>
          <rPr>
            <b/>
            <sz val="9"/>
            <color indexed="81"/>
            <rFont val="Tahoma"/>
            <family val="2"/>
          </rPr>
          <t>Deve ser selecionada a opção SIM para que o Produto seja incluído no Plano Operacional (POA) - 18 meses do Projeto</t>
        </r>
        <r>
          <rPr>
            <sz val="9"/>
            <color indexed="81"/>
            <rFont val="Tahoma"/>
            <family val="2"/>
          </rPr>
          <t xml:space="preserve">
</t>
        </r>
      </text>
    </comment>
  </commentList>
</comments>
</file>

<file path=xl/comments2.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3.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4.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5.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6.xml><?xml version="1.0" encoding="utf-8"?>
<comments xmlns="http://schemas.openxmlformats.org/spreadsheetml/2006/main">
  <authors>
    <author>user</author>
  </authors>
  <commentList>
    <comment ref="A2" authorId="0">
      <text>
        <r>
          <rPr>
            <b/>
            <sz val="9"/>
            <color indexed="81"/>
            <rFont val="Tahoma"/>
            <family val="2"/>
          </rPr>
          <t>Qualquer alteração no PRODUTO (descrição, inclusão alteração,exclusão) deve ser efetuada APENAS na PLANILHA 3</t>
        </r>
      </text>
    </comment>
    <comment ref="B2"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2"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List>
</comments>
</file>

<file path=xl/sharedStrings.xml><?xml version="1.0" encoding="utf-8"?>
<sst xmlns="http://schemas.openxmlformats.org/spreadsheetml/2006/main" count="877" uniqueCount="404">
  <si>
    <t>Unitário</t>
  </si>
  <si>
    <t>Dias</t>
  </si>
  <si>
    <t>Sim</t>
  </si>
  <si>
    <t>Produtos</t>
  </si>
  <si>
    <t>Atividades</t>
  </si>
  <si>
    <t>Meta e Linha de Base</t>
  </si>
  <si>
    <t>Capacitação</t>
  </si>
  <si>
    <t>Valores em R$</t>
  </si>
  <si>
    <t>Consultoria</t>
  </si>
  <si>
    <t>Eq e Sistemas de Informação</t>
  </si>
  <si>
    <t>Especificação</t>
  </si>
  <si>
    <t>Qt. Part.</t>
  </si>
  <si>
    <t>Área</t>
  </si>
  <si>
    <t>Tipo</t>
  </si>
  <si>
    <t>Qt.</t>
  </si>
  <si>
    <t>Descrição</t>
  </si>
  <si>
    <t>TOTAL</t>
  </si>
  <si>
    <t>CUSTOS TOTAIS (DIRETOS+ADM)</t>
  </si>
  <si>
    <t>A. Administração</t>
  </si>
  <si>
    <t>B. Custos Diretos</t>
  </si>
  <si>
    <t xml:space="preserve">C. Imprevistos </t>
  </si>
  <si>
    <t>D. Custos Financeiros</t>
  </si>
  <si>
    <t>TOTAL DO PROJETO</t>
  </si>
  <si>
    <t>US$</t>
  </si>
  <si>
    <t>ADMINISTRAÇÃO</t>
  </si>
  <si>
    <t>ÍNDICE</t>
  </si>
  <si>
    <t>Planilha</t>
  </si>
  <si>
    <t>Assunto</t>
  </si>
  <si>
    <t>Capa</t>
  </si>
  <si>
    <t>Índice</t>
  </si>
  <si>
    <t>A3 - Equipe de Projeto</t>
  </si>
  <si>
    <t>PRODUTOS</t>
  </si>
  <si>
    <t>Prior.</t>
  </si>
  <si>
    <t>CUSTOS DIRETOS</t>
  </si>
  <si>
    <t>BID</t>
  </si>
  <si>
    <t>Local</t>
  </si>
  <si>
    <t>1 US$ =</t>
  </si>
  <si>
    <t>ITENS</t>
  </si>
  <si>
    <t>R$</t>
  </si>
  <si>
    <t>Programação Desembolso</t>
  </si>
  <si>
    <t>Diferença</t>
  </si>
  <si>
    <t>Subtotal</t>
  </si>
  <si>
    <t>COMPONENTE / SUBCOMPONENTE</t>
  </si>
  <si>
    <t>Equip e Sistemas de Informação</t>
  </si>
  <si>
    <t>%</t>
  </si>
  <si>
    <t>SUBTOTAL CUSTOS DIRETOS</t>
  </si>
  <si>
    <t xml:space="preserve">% </t>
  </si>
  <si>
    <t>SUBTOTAL ADMINISTRAÇÃO</t>
  </si>
  <si>
    <t>TOTAL GERAL</t>
  </si>
  <si>
    <t xml:space="preserve">1 US$ = </t>
  </si>
  <si>
    <t>Valores em US$</t>
  </si>
  <si>
    <t>Início do Projeto:</t>
  </si>
  <si>
    <t>Data início</t>
  </si>
  <si>
    <t>Duração (meses)</t>
  </si>
  <si>
    <t>Data Término</t>
  </si>
  <si>
    <t>Ano 1</t>
  </si>
  <si>
    <t>Ano 2</t>
  </si>
  <si>
    <t>Ano 3</t>
  </si>
  <si>
    <t>Ano 4</t>
  </si>
  <si>
    <t>Ano 5</t>
  </si>
  <si>
    <t>Valor</t>
  </si>
  <si>
    <t>Produto</t>
  </si>
  <si>
    <t>Total</t>
  </si>
  <si>
    <t>A1 - Gestão do Projeto</t>
  </si>
  <si>
    <t>ESTA PLANILHA NÃO DEVE SER PREENCHIDA. CONSOLIDA OS RECURSOS DOS COMPONENTES E SUBCOMPONENTES.</t>
  </si>
  <si>
    <t>Antecipada</t>
  </si>
  <si>
    <t>Contrapartida</t>
  </si>
  <si>
    <t>Financiamento BID</t>
  </si>
  <si>
    <t>Valor 18M</t>
  </si>
  <si>
    <t>POA/PA</t>
  </si>
  <si>
    <t xml:space="preserve">1 US$ </t>
  </si>
  <si>
    <t>Data Início</t>
  </si>
  <si>
    <t>COMPONENTES
SUBCOMPONENTES E PRODUTOS</t>
  </si>
  <si>
    <t>REAIS (R$)</t>
  </si>
  <si>
    <t>DÓLARES (US$)</t>
  </si>
  <si>
    <t>Ramal</t>
  </si>
  <si>
    <t>Coordenadoria</t>
  </si>
  <si>
    <t>E-mail</t>
  </si>
  <si>
    <t>Líder</t>
  </si>
  <si>
    <t>Taxa de Câmbio:</t>
  </si>
  <si>
    <t>COMPONENTES</t>
  </si>
  <si>
    <t>Serviços Técnicos que nâo Consultoria</t>
  </si>
  <si>
    <t>Deslocamentos</t>
  </si>
  <si>
    <t xml:space="preserve">COMPONENTE </t>
  </si>
  <si>
    <t>IV- COMPONENTES E PRODUTOS</t>
  </si>
  <si>
    <t>V- PRODUTOS, ATIVIDADES E RECURSOS</t>
  </si>
  <si>
    <t>VI- CONSOLIDAÇÃO POR TIPO DE RECURSO (R$)</t>
  </si>
  <si>
    <t>VIII- DISTRIBUIÇÃO POR FONTE</t>
  </si>
  <si>
    <t>X- ORÇAMENTO GLOBAL (R$)</t>
  </si>
  <si>
    <t>XI- PLANO OPERACIONAL (POA) - 18 MESES</t>
  </si>
  <si>
    <t>Avaliação de projetos</t>
  </si>
  <si>
    <t>COMPONENTES E PRODUTOS</t>
  </si>
  <si>
    <t>VII- CRONOGRAMA FÍSICO E FINANCEIRO</t>
  </si>
  <si>
    <t>A2 -Avaliação Independente</t>
  </si>
  <si>
    <t>X - ORÇAMENTO GLOBAL (US$)</t>
  </si>
  <si>
    <t>VI - CONSOLIDAÇÃO POR TIPO DE RECURSO (US$)</t>
  </si>
  <si>
    <t>Ressarc.</t>
  </si>
  <si>
    <t>Vlr Total</t>
  </si>
  <si>
    <t>COMPONENTE 1: FORTALECIMENTO DA GESTÃO ESTRATÉGICA</t>
  </si>
  <si>
    <t>Passagens (120p)</t>
  </si>
  <si>
    <t>Diárias (120pX3dXR$250)</t>
  </si>
  <si>
    <t>Material p/ capacitação/implementação.</t>
  </si>
  <si>
    <t>Logistica eventos capacitação</t>
  </si>
  <si>
    <t xml:space="preserve"> Gerenciamento de riscos (3pX90dXR$800) &gt; 1 Gerente, 1 Esp. em Risco e 1 Esp. em TI</t>
  </si>
  <si>
    <t>Planejamento Estratégico/ de ação (3pX180dXR$800) &gt; 1 Gerente, 1 Esp. em Planejamento e 1 Técnico</t>
  </si>
  <si>
    <t>Gerenciamento de Risco (Esp. Internacional - Honorários)</t>
  </si>
  <si>
    <t>Passagens Equipe AGU (3pX3paises visitados)</t>
  </si>
  <si>
    <t>Diárias Equipe AGU (3pX5dX3paises)</t>
  </si>
  <si>
    <t>Passagens Esp. Internacional e Consultoria</t>
  </si>
  <si>
    <t>Diárias Esp. Internacional e Consultoria</t>
  </si>
  <si>
    <t>Logistica eventos discussão e capacitação.</t>
  </si>
  <si>
    <t>Passagens Consultor</t>
  </si>
  <si>
    <t>Diárias Consultor</t>
  </si>
  <si>
    <t>Passagens Equipe AGU (8p - 2 por RegionalX3eventos)</t>
  </si>
  <si>
    <t>Diárias Equipe AGU (8p - 2 por RegionalX3eventosX3dias)</t>
  </si>
  <si>
    <t xml:space="preserve">Ferramenta - Licença de uso </t>
  </si>
  <si>
    <t>Utilização da ferramenta</t>
  </si>
  <si>
    <t>Adequação / configuração (90 dias)</t>
  </si>
  <si>
    <t>Gestão do Conhecimento</t>
  </si>
  <si>
    <t xml:space="preserve">Solução - Licença de uso </t>
  </si>
  <si>
    <t>Utilização da Solução</t>
  </si>
  <si>
    <t>Gestão por processos (3pX60dXR$800) &gt; 1 Gerente, 2 Esp. em Gestão por processos</t>
  </si>
  <si>
    <t>Gestão de Projetos (3pX60dXR$800) &gt; 1 Gerente, 2 Esp. em Gestão de Projetos</t>
  </si>
  <si>
    <t>Gerencia de Projetos</t>
  </si>
  <si>
    <t>COMPONENTE 2: APRIMORAMENTO DA GESTÃO JURÍDICA DA AGU</t>
  </si>
  <si>
    <t xml:space="preserve">Capacitação </t>
  </si>
  <si>
    <t>2.2.1 Revisão das atuais práticas de consultoria e assessoramento, analisando a capacidade de atuação preventiva</t>
  </si>
  <si>
    <t>2.4.1 Consolidação da reestruturação dos fluxos de trabalho nos processos contenciososadministração indireta</t>
  </si>
  <si>
    <t xml:space="preserve">2.4.2 Consolidação da atual redefinição dos perfis profissionais </t>
  </si>
  <si>
    <t>2.4.3. Consolidação da reestruturação das unidades organizacionais em todos os níveis</t>
  </si>
  <si>
    <t>2.4.4 Revisão das atuais práticas de consultoria e assessoramento, analisando a capacidade de atuação preventiva</t>
  </si>
  <si>
    <t>2.6.1 Definição conceitual do Métodos Alternativos de Resolução de Conflitos (MARC)</t>
  </si>
  <si>
    <t>2.6.2 Desenho e implementação do MARC na APF</t>
  </si>
  <si>
    <t>2.6.3. Modelo de educação e sensibilização corporativa em técnicas de MARC</t>
  </si>
  <si>
    <t>2.7. Capacitação contínua de pessoal especializado em gerenciamento e recuperação de créditos</t>
  </si>
  <si>
    <t xml:space="preserve">2.8. Plano de ação para aprimoramento da integração interinstitucional entre os órgãos responsáveis pela dívida ativa </t>
  </si>
  <si>
    <t>2.11. Sistema Integrado de Gestão Jurídica da AGU desenvolvido e implantado</t>
  </si>
  <si>
    <t>2.11.1 Definição do modelo conceitual; proposta e definição de uma nova arquitetura de sistemas, incluindo as estratégias de migração dos sistemas atuais</t>
  </si>
  <si>
    <t>2.11.2 Desenvolvimento e implementação de um sistema integrado de gestão jurídica para a AGU, incluindo a interconexão com os sistemas do judiciário</t>
  </si>
  <si>
    <t>Analise de sistemas e modelo conceitual (6pX180d)</t>
  </si>
  <si>
    <t>Estações de trabalho</t>
  </si>
  <si>
    <t>Rede de comunicação</t>
  </si>
  <si>
    <t>Formação de multiplicadores (3 por Estado X 5 dias)</t>
  </si>
  <si>
    <t>Capacitação de Multiplicadores (4 turmas, 40hs/aula)</t>
  </si>
  <si>
    <t>Capacitação de Advogados (400 turmas, 20hs/aula)</t>
  </si>
  <si>
    <t>Capacitação dos Administrativos (300 turmas, 20hs/aula)</t>
  </si>
  <si>
    <t>Especificação de Sistemas - Modulos Credito Ativo (3pX90dXR$800) &gt; 1 Gerente, 1 Esp. em Credito/divida e 1 Esp. em TI</t>
  </si>
  <si>
    <t xml:space="preserve">Gestão Fiscal (3pX90dXR$800) &gt; 1 Gerente (economista ou advogado), 2 Esp. Gestão Fiscal </t>
  </si>
  <si>
    <t>Definição de Indicadores</t>
  </si>
  <si>
    <t xml:space="preserve">Gestão por resultados </t>
  </si>
  <si>
    <t>Escritorio de Gestão de Processos</t>
  </si>
  <si>
    <t>Passagens Equipe AGU (3pX8viagens)</t>
  </si>
  <si>
    <t>Diárias Equipe AGU (3pX8viagensX5dias)</t>
  </si>
  <si>
    <t>Passagens Equipe AGU (3pX3viagens)</t>
  </si>
  <si>
    <t>Diárias Equipe AGU (3pX3viagensX5dias)</t>
  </si>
  <si>
    <t>Demandas Jurídicas (3pX120dXR$800) &gt; 1 Gerente, 2 Esp. Advogados e análise de dados</t>
  </si>
  <si>
    <t>Práticas e rotinas para a prevenção   de demandas judiciais.</t>
  </si>
  <si>
    <t xml:space="preserve">Passagens </t>
  </si>
  <si>
    <t xml:space="preserve">Diárias </t>
  </si>
  <si>
    <t>Passagens Equipe AGU (3pX8viagens) - Acompanhamento dos Trabalhos</t>
  </si>
  <si>
    <t>Diárias Equipe AGU (3pX8viagensX5dias) - Acompanhamento dos Trabalhos</t>
  </si>
  <si>
    <t xml:space="preserve">Passagens Equipe AGU (2pX85viagens) - Implementação dos Processos </t>
  </si>
  <si>
    <t xml:space="preserve">Diárias Equipe AGU (2pX85viagensX5dias) - Implementação dos Processos </t>
  </si>
  <si>
    <t>Avaliação da Implementação dos Pilotos (3pX60dias/anoX4anos)</t>
  </si>
  <si>
    <t>Modelagem de Processos (8pX360dXR$800) &gt; 1 Gerente, 7 Esp. em Redesenho e Modelagem</t>
  </si>
  <si>
    <t xml:space="preserve">Passagens Equipe AGU (2pX27viagens) - Implementação dos Processos </t>
  </si>
  <si>
    <t xml:space="preserve">Diárias Equipe AGU (2pX27viagensX5dias) - Implementação dos Processos </t>
  </si>
  <si>
    <t xml:space="preserve">Passagens Equipe AGU (2pX120viagens) - Implementação dos Processos </t>
  </si>
  <si>
    <t xml:space="preserve">Diárias Equipe AGU (2pX120viagensX5dias) - Implementação dos Processos </t>
  </si>
  <si>
    <t>Métodos Alternativos de Resolução de Conflitos (3pX120dXR$800) &gt; 1 Gerente, 2 Esp. em MARC</t>
  </si>
  <si>
    <t>Logistica para eventos de dissseminação</t>
  </si>
  <si>
    <t xml:space="preserve">Material de Divulgação </t>
  </si>
  <si>
    <t>Passagens - Prospecção Internacional</t>
  </si>
  <si>
    <t>Diárias - Prospecção Internacional</t>
  </si>
  <si>
    <t>Passagens - Organização Eventos</t>
  </si>
  <si>
    <t>Diárias - Eventos</t>
  </si>
  <si>
    <t>Plano e implementação de Capacitação (2pX210d)</t>
  </si>
  <si>
    <t xml:space="preserve">Avaliação da Implementação do Plano </t>
  </si>
  <si>
    <t xml:space="preserve">Logistica para eventos de capacitação </t>
  </si>
  <si>
    <t xml:space="preserve">Material de Capacitação  </t>
  </si>
  <si>
    <t>Passagens (15pX20Eventos)</t>
  </si>
  <si>
    <t>Diárias (15pX20EventosX5dias)</t>
  </si>
  <si>
    <t xml:space="preserve">Banco de Dados e Recuperação de Créditos (3pX180dias) </t>
  </si>
  <si>
    <t xml:space="preserve">Avaliação </t>
  </si>
  <si>
    <t xml:space="preserve">Solução </t>
  </si>
  <si>
    <t xml:space="preserve">Customização </t>
  </si>
  <si>
    <t>Diagnóstico e definição de necessidades (3pX90dias)</t>
  </si>
  <si>
    <t>COMPONENTE 3: APRIMORAMENTO DA GESTÃO ADMINISTRATIVA DA AGU</t>
  </si>
  <si>
    <t>3.3. Implementação dos centros de custos</t>
  </si>
  <si>
    <t>3.6. Definição conceitual, desenho e implementação do modelo de gestão por competências da AGU</t>
  </si>
  <si>
    <t>3.6.1. Definição conceitual do modelo de gestão por competências da AGU</t>
  </si>
  <si>
    <t>3.6.2. Desenho e implementação do modelo de gestão por competências</t>
  </si>
  <si>
    <t xml:space="preserve">PLANO DE AÇÃO E DE INVESTIMENTOS (PAI) 
PLANO OPERACIONAL (POA)
</t>
  </si>
  <si>
    <t>ADVOCACIA GERAL DA UNIÃO</t>
  </si>
  <si>
    <t>AGU</t>
  </si>
  <si>
    <t>1.1. Plano de ação para a implementação da estratégia para melhorar a defesa jurídica do Estado e o papel da AGU na sustentabilidade jurídica das políticas públicas incluindo a avaliação dos riscos para o Estado (Diretrizes Estratégicas 2008/2015)</t>
  </si>
  <si>
    <t>1.4. Sistema de indicadores, metas e avaliação da gestão por resultados</t>
  </si>
  <si>
    <t>1.5. Ferramenta que permita verificar e monitorar a consistência entre os alinhamentos estratégicos e os resultados operacionais</t>
  </si>
  <si>
    <t>1.6. Criação de uma unidade de gestão do conhecimento</t>
  </si>
  <si>
    <t>1.8. Criação do Escritório de Processos</t>
  </si>
  <si>
    <t>1.10. Unidade responsável pela definição e monitoramento dos projetos institucionais (Escitório de Gestão de Projetos)</t>
  </si>
  <si>
    <t>Planejamento Estratégico (2pX90dias)</t>
  </si>
  <si>
    <t>Modelagem de Processos (4pX180dXR$800) &gt; 1 Gerente, 3 Esp. em Redesenho e Modelagem</t>
  </si>
  <si>
    <t>Avaliação da Implementação dos Pilotos (2pX30dias/anoX4anos)</t>
  </si>
  <si>
    <t>Passagens (2pX4anosX4Regionais)</t>
  </si>
  <si>
    <t>Diárias (32viagensX5dias)</t>
  </si>
  <si>
    <t>Centros de Custos (3pX120dias)</t>
  </si>
  <si>
    <t>Centros de Custos</t>
  </si>
  <si>
    <t>Logistica (3pX120dias)</t>
  </si>
  <si>
    <t>Logistica</t>
  </si>
  <si>
    <t>Modelagem de Processos (5pX270dXR$800) &gt; 1 Gerente, 7 Esp. em Redesenho e Modelagem</t>
  </si>
  <si>
    <t>Palestrantes com experiencia internacional</t>
  </si>
  <si>
    <t>RH - Gestão por competencia (Definição conceitual, desenho e implementação) &gt; (3pX720dias)</t>
  </si>
  <si>
    <t>Comunicação (2pX90dias) &gt; Plano</t>
  </si>
  <si>
    <t xml:space="preserve">Implementação assistida (Empresa de comunicação) </t>
  </si>
  <si>
    <t xml:space="preserve">Avaliação da Implementação </t>
  </si>
  <si>
    <t xml:space="preserve">Logistica p/ eventos </t>
  </si>
  <si>
    <t>Material de disseminação/divulgação</t>
  </si>
  <si>
    <t>Passagens</t>
  </si>
  <si>
    <t>Diárias</t>
  </si>
  <si>
    <t xml:space="preserve">Campanha </t>
  </si>
  <si>
    <t>Logistica p/ eventos (2 por ano)</t>
  </si>
  <si>
    <t>Campanha Interna</t>
  </si>
  <si>
    <t>Mudança Organizacional/Pesquisa (2pX120dias)</t>
  </si>
  <si>
    <t>PROGRAMA DE APOIO A MODERNIZAÇÃO DA ADVOCACIA GERAL DA UNIÃO</t>
  </si>
  <si>
    <t>CPD Central com espelho (Sevidores e Storage)</t>
  </si>
  <si>
    <t>Solução de Gestão eletronica de documentos (GED)</t>
  </si>
  <si>
    <t xml:space="preserve">Ilhas de Digitalização (Servidor e Scanner) </t>
  </si>
  <si>
    <t>Modelagem de Processos e Especificação de Calculos (8pX360dXR$800) &gt; 1 Gerente, 3 Esp. em Redesenho e Modelagem, 3 Especialistas em Calculo (algoritimos) e 1 em DBA.</t>
  </si>
  <si>
    <t xml:space="preserve">Desenvolvimento de Sistemas (6TecnicosX6mesesX12MacroP) </t>
  </si>
  <si>
    <t>Modelo Conceitual e Gestão documental (8pX360D) 1 Gerente, 1 arquivista, 3 modelo e sistemas, 3 gestão eletronica de docs.</t>
  </si>
  <si>
    <t>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t>
  </si>
  <si>
    <t xml:space="preserve">Gestão de Projetos, Monitoramento e Avaliação </t>
  </si>
  <si>
    <t>Especialista em TIC</t>
  </si>
  <si>
    <t>Tecnicos Especialistas (3px4,5anos)</t>
  </si>
  <si>
    <t>Kits multimídia.</t>
  </si>
  <si>
    <t>Passagens (8pX4vz/anoX4anos)</t>
  </si>
  <si>
    <t>Diárias (8pX4vz/anoX4anosX3diárias)</t>
  </si>
  <si>
    <t>1. Realização de avaliações intermediária e final</t>
  </si>
  <si>
    <t>Desenvolvimento Modulo Sistema (2pX60dias)</t>
  </si>
  <si>
    <t xml:space="preserve">IMPREVISTOS </t>
  </si>
  <si>
    <t>Digitalização do acervo documental (8000 metros lineares)</t>
  </si>
  <si>
    <t>Ano 6</t>
  </si>
  <si>
    <t>Não</t>
  </si>
  <si>
    <t>Consolidação por Tipo de Recurso</t>
  </si>
  <si>
    <t>Cronograma Físico e Financeiro</t>
  </si>
  <si>
    <t>ADM</t>
  </si>
  <si>
    <t>COMPONENTE 3</t>
  </si>
  <si>
    <t>COMPONENTE 2</t>
  </si>
  <si>
    <t xml:space="preserve">COMPONENTE 1 </t>
  </si>
  <si>
    <t>Componentes e Produtos</t>
  </si>
  <si>
    <t>Distribuição por Fonte</t>
  </si>
  <si>
    <t>Orçamento Global</t>
  </si>
  <si>
    <t>Plano Operacional - 18 meses (POA 18 meses)</t>
  </si>
  <si>
    <t xml:space="preserve">Plano de Aquisições - 18 meses </t>
  </si>
  <si>
    <t>2.9. Solução para avaliação de riscos do Estado e inclusões nos sistemas corporativos da AGU</t>
  </si>
  <si>
    <t>1.2 Monitoramento estratégico dos créditos ativos e riscos para o Estado</t>
  </si>
  <si>
    <r>
      <t xml:space="preserve">1.7. Instalar uma ferramenta de BI incluindo recursos para </t>
    </r>
    <r>
      <rPr>
        <b/>
        <i/>
        <sz val="9"/>
        <rFont val="Arial"/>
        <family val="2"/>
      </rPr>
      <t>Text Mining</t>
    </r>
    <r>
      <rPr>
        <b/>
        <sz val="9"/>
        <rFont val="Arial"/>
        <family val="2"/>
      </rPr>
      <t xml:space="preserve"> e </t>
    </r>
    <r>
      <rPr>
        <b/>
        <i/>
        <sz val="9"/>
        <rFont val="Arial"/>
        <family val="2"/>
      </rPr>
      <t>Data Mining</t>
    </r>
  </si>
  <si>
    <t>1.9. Modelo dinâmico de gerência, controle, otimização, integração e sustentabilidade dos processos operacionais e de gestão</t>
  </si>
  <si>
    <t>2.3. Plano de estratégias de prevenção abrangente a todos os órgãos da Administração Direta</t>
  </si>
  <si>
    <t>2.6. Métodos Alternativos de Resolução de Conflitos (MARC) definidos e implementados</t>
  </si>
  <si>
    <t>1.3. Dimensionamento do custo fiscal implícito nos processos contra o Estado</t>
  </si>
  <si>
    <t>2.5. Plano de estratégias de prevenção abrangente a todos os órgãos da Administração Indireta</t>
  </si>
  <si>
    <t xml:space="preserve">2.10. Solução para identificação e facilitação da eliminação dos pagamentos indevidos nos processos contra o Estado </t>
  </si>
  <si>
    <t>2.12. Redesenho e implementação dos fluxos de trabalho relativos a cálculos e perícias</t>
  </si>
  <si>
    <t>3.1. Elaboração do plano estratégico de gestão da Secretaria-Geral</t>
  </si>
  <si>
    <t xml:space="preserve">3.2. Reestruturação dos fluxos de trabalho dos processos administrativos </t>
  </si>
  <si>
    <t>3.4. Revisão do modelo de gestão logística territorial e avaliação da implementação</t>
  </si>
  <si>
    <t xml:space="preserve">3.5. Implantação de Sistema Integrado de Gestão Administrativa, sincronizado ao SIAFI </t>
  </si>
  <si>
    <t xml:space="preserve">Desenvolvimento de Modulos de Interconexão com o Judiciário (3TecnicosX1mesX56Tribunais) </t>
  </si>
  <si>
    <r>
      <t xml:space="preserve">1. </t>
    </r>
    <r>
      <rPr>
        <b/>
        <sz val="8"/>
        <rFont val="Arial"/>
        <family val="2"/>
      </rPr>
      <t>Seleção e Contratação</t>
    </r>
    <r>
      <rPr>
        <sz val="8"/>
        <rFont val="Arial"/>
        <family val="2"/>
      </rPr>
      <t xml:space="preserve">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t>
    </r>
    <r>
      <rPr>
        <b/>
        <sz val="8"/>
        <rFont val="Arial"/>
        <family val="2"/>
      </rPr>
      <t xml:space="preserve"> Entrega e validação </t>
    </r>
    <r>
      <rPr>
        <sz val="8"/>
        <rFont val="Arial"/>
        <family val="2"/>
      </rPr>
      <t xml:space="preserve">do documento contendo o novo modelo de trabalho e plano de implementação.  </t>
    </r>
  </si>
  <si>
    <r>
      <t xml:space="preserve">1. </t>
    </r>
    <r>
      <rPr>
        <b/>
        <sz val="8"/>
        <rFont val="Arial"/>
        <family val="2"/>
      </rPr>
      <t>Seleção e Contratação</t>
    </r>
    <r>
      <rPr>
        <sz val="8"/>
        <rFont val="Arial"/>
        <family val="2"/>
      </rPr>
      <t xml:space="preserve">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t>
    </r>
    <r>
      <rPr>
        <b/>
        <sz val="8"/>
        <rFont val="Arial"/>
        <family val="2"/>
      </rPr>
      <t xml:space="preserve">Seleção e Contratação </t>
    </r>
    <r>
      <rPr>
        <sz val="8"/>
        <rFont val="Arial"/>
        <family val="2"/>
      </rPr>
      <t xml:space="preserve">de consultoria para:
(i) Elaboração de proposta do modelo de MARC para a APF; (ii) Levantamento das necessidades de alteração de legislação; (iii) Proposta de compatibilização da legislação e normas; (iv) Disseminação do modelo conceitual do MARC na APF.
3. </t>
    </r>
    <r>
      <rPr>
        <b/>
        <sz val="8"/>
        <rFont val="Arial"/>
        <family val="2"/>
      </rPr>
      <t xml:space="preserve">Seleção e Contratação </t>
    </r>
    <r>
      <rPr>
        <sz val="8"/>
        <rFont val="Arial"/>
        <family val="2"/>
      </rPr>
      <t xml:space="preserve">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t>
    </r>
    <r>
      <rPr>
        <b/>
        <sz val="8"/>
        <rFont val="Arial"/>
        <family val="2"/>
      </rPr>
      <t>Realização</t>
    </r>
    <r>
      <rPr>
        <sz val="8"/>
        <rFont val="Arial"/>
        <family val="2"/>
      </rPr>
      <t xml:space="preserve"> de ciclos de capacitação.
5. </t>
    </r>
    <r>
      <rPr>
        <b/>
        <sz val="8"/>
        <rFont val="Arial"/>
        <family val="2"/>
      </rPr>
      <t>Seleção e Contratação</t>
    </r>
    <r>
      <rPr>
        <sz val="8"/>
        <rFont val="Arial"/>
        <family val="2"/>
      </rPr>
      <t xml:space="preserve"> de consultoria para avaliação do primeiro e demais ciclos de capacitação e implementação e sugestões de melhoria.
6.</t>
    </r>
    <r>
      <rPr>
        <b/>
        <sz val="8"/>
        <rFont val="Arial"/>
        <family val="2"/>
      </rPr>
      <t xml:space="preserve"> Promoção de parcerias</t>
    </r>
    <r>
      <rPr>
        <sz val="8"/>
        <rFont val="Arial"/>
        <family val="2"/>
      </rPr>
      <t xml:space="preserve"> com outras instituições, nacionais ou estrangeiras. (AGU) </t>
    </r>
    <r>
      <rPr>
        <b/>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</si>
  <si>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t>
    </r>
    <r>
      <rPr>
        <b/>
        <sz val="8"/>
        <rFont val="Arial"/>
        <family val="2"/>
      </rPr>
      <t xml:space="preserve">Entrega e validação </t>
    </r>
    <r>
      <rPr>
        <sz val="8"/>
        <rFont val="Arial"/>
        <family val="2"/>
      </rPr>
      <t xml:space="preserve">do documento contendo o novo modelo de trabalho e plano de implementação. 
3. </t>
    </r>
    <r>
      <rPr>
        <b/>
        <sz val="8"/>
        <rFont val="Arial"/>
        <family val="2"/>
      </rPr>
      <t xml:space="preserve">Seleção e Contratação </t>
    </r>
    <r>
      <rPr>
        <sz val="8"/>
        <rFont val="Arial"/>
        <family val="2"/>
      </rPr>
      <t xml:space="preserve">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t>
    </r>
    <r>
      <rPr>
        <b/>
        <sz val="8"/>
        <rFont val="Arial"/>
        <family val="2"/>
      </rPr>
      <t>Entrega e validação</t>
    </r>
    <r>
      <rPr>
        <sz val="8"/>
        <rFont val="Arial"/>
        <family val="2"/>
      </rPr>
      <t xml:space="preserve"> do produto da consultoria
5. </t>
    </r>
    <r>
      <rPr>
        <b/>
        <sz val="8"/>
        <rFont val="Arial"/>
        <family val="2"/>
      </rPr>
      <t>Seleção e Contratação</t>
    </r>
    <r>
      <rPr>
        <sz val="8"/>
        <rFont val="Arial"/>
        <family val="2"/>
      </rPr>
      <t xml:space="preserve">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t>
    </r>
    <r>
      <rPr>
        <b/>
        <sz val="8"/>
        <rFont val="Arial"/>
        <family val="2"/>
      </rPr>
      <t>Entrega e validação</t>
    </r>
    <r>
      <rPr>
        <sz val="8"/>
        <rFont val="Arial"/>
        <family val="2"/>
      </rPr>
      <t xml:space="preserve"> do produto da consultoria.</t>
    </r>
  </si>
  <si>
    <r>
      <t xml:space="preserve">1. </t>
    </r>
    <r>
      <rPr>
        <b/>
        <sz val="8"/>
        <rFont val="Arial"/>
        <family val="2"/>
      </rPr>
      <t>Seleção e Contratação</t>
    </r>
    <r>
      <rPr>
        <sz val="8"/>
        <rFont val="Arial"/>
        <family val="2"/>
      </rPr>
      <t xml:space="preserve">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t>
    </r>
    <r>
      <rPr>
        <b/>
        <sz val="8"/>
        <rFont val="Arial"/>
        <family val="2"/>
      </rPr>
      <t>Entrega e validação</t>
    </r>
    <r>
      <rPr>
        <sz val="8"/>
        <rFont val="Arial"/>
        <family val="2"/>
      </rPr>
      <t xml:space="preserve"> do documento contendo o novo modelo de trabalho e plano de implementação gradual.  </t>
    </r>
  </si>
  <si>
    <r>
      <t xml:space="preserve">1. </t>
    </r>
    <r>
      <rPr>
        <b/>
        <sz val="8"/>
        <rFont val="Arial"/>
        <family val="2"/>
      </rPr>
      <t>Seleção e Contratação</t>
    </r>
    <r>
      <rPr>
        <sz val="8"/>
        <rFont val="Arial"/>
        <family val="2"/>
      </rPr>
      <t xml:space="preserve">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t>
    </r>
    <r>
      <rPr>
        <b/>
        <sz val="8"/>
        <rFont val="Arial"/>
        <family val="2"/>
      </rPr>
      <t xml:space="preserve"> Seleção e Contratação</t>
    </r>
    <r>
      <rPr>
        <sz val="8"/>
        <rFont val="Arial"/>
        <family val="2"/>
      </rPr>
      <t xml:space="preserve"> de consultoria para avaliação continuada  com sugestões de melhoria
</t>
    </r>
  </si>
  <si>
    <r>
      <t xml:space="preserve">1. </t>
    </r>
    <r>
      <rPr>
        <b/>
        <sz val="8"/>
        <rFont val="Arial"/>
        <family val="2"/>
      </rPr>
      <t xml:space="preserve">Seleção e Contratação </t>
    </r>
    <r>
      <rPr>
        <sz val="8"/>
        <rFont val="Arial"/>
        <family val="2"/>
      </rPr>
      <t xml:space="preserve">de consultoria para:
(i) Identificação das necessidades de capacitação;
(ii) Identificação dos perfis profissionais;
(iii) Elaboração do plano de capacitação contínua com mecanismo de avaliação.
2. </t>
    </r>
    <r>
      <rPr>
        <b/>
        <sz val="8"/>
        <rFont val="Arial"/>
        <family val="2"/>
      </rPr>
      <t>Entrega e validação</t>
    </r>
    <r>
      <rPr>
        <sz val="8"/>
        <rFont val="Arial"/>
        <family val="2"/>
      </rPr>
      <t xml:space="preserve">.
3. </t>
    </r>
    <r>
      <rPr>
        <b/>
        <sz val="8"/>
        <rFont val="Arial"/>
        <family val="2"/>
      </rPr>
      <t>Implementação</t>
    </r>
    <r>
      <rPr>
        <sz val="8"/>
        <rFont val="Arial"/>
        <family val="2"/>
      </rPr>
      <t xml:space="preserve"> da capacitação.
4. </t>
    </r>
    <r>
      <rPr>
        <b/>
        <sz val="8"/>
        <rFont val="Arial"/>
        <family val="2"/>
      </rPr>
      <t>Seleção e Contratação</t>
    </r>
    <r>
      <rPr>
        <sz val="8"/>
        <rFont val="Arial"/>
        <family val="2"/>
      </rPr>
      <t xml:space="preserve"> de consultoria para avaliação do piloto e demais ciclos de capacitação e sugestões de melhoria
</t>
    </r>
  </si>
  <si>
    <r>
      <t xml:space="preserve">1. </t>
    </r>
    <r>
      <rPr>
        <b/>
        <sz val="8"/>
        <rFont val="Arial"/>
        <family val="2"/>
      </rPr>
      <t>Seleção e Contratação</t>
    </r>
    <r>
      <rPr>
        <sz val="8"/>
        <rFont val="Arial"/>
        <family val="2"/>
      </rPr>
      <t xml:space="preserve">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t>
    </r>
    <r>
      <rPr>
        <b/>
        <sz val="8"/>
        <rFont val="Arial"/>
        <family val="2"/>
      </rPr>
      <t xml:space="preserve">Entrega e validação
</t>
    </r>
    <r>
      <rPr>
        <sz val="8"/>
        <rFont val="Arial"/>
        <family val="2"/>
      </rPr>
      <t xml:space="preserve">3. </t>
    </r>
    <r>
      <rPr>
        <b/>
        <sz val="8"/>
        <rFont val="Arial"/>
        <family val="2"/>
      </rPr>
      <t xml:space="preserve">Seleção e Contratação </t>
    </r>
    <r>
      <rPr>
        <sz val="8"/>
        <rFont val="Arial"/>
        <family val="2"/>
      </rPr>
      <t>de consultoria para avaliação do piloto e demais ciclos e sugestões de melhoria</t>
    </r>
  </si>
  <si>
    <r>
      <t xml:space="preserve">1. </t>
    </r>
    <r>
      <rPr>
        <b/>
        <sz val="8"/>
        <rFont val="Arial"/>
        <family val="2"/>
      </rPr>
      <t>Seleção e Contratação</t>
    </r>
    <r>
      <rPr>
        <sz val="8"/>
        <rFont val="Arial"/>
        <family val="2"/>
      </rPr>
      <t xml:space="preserve"> de consultoria para:
(i) Diagnóstico SWOT da SGAGU;
(ii) Desdobramento das diretrizes estratégicas institucionais;
(iii) Definição dos desafios;
(iv) Objetivos e Diretrizes estratégicas para a SGAGU.
2. </t>
    </r>
    <r>
      <rPr>
        <b/>
        <sz val="8"/>
        <rFont val="Arial"/>
        <family val="2"/>
      </rPr>
      <t>Entrega e Validação</t>
    </r>
    <r>
      <rPr>
        <sz val="8"/>
        <rFont val="Arial"/>
        <family val="2"/>
      </rPr>
      <t>.</t>
    </r>
  </si>
  <si>
    <r>
      <t xml:space="preserve">1. </t>
    </r>
    <r>
      <rPr>
        <b/>
        <sz val="8"/>
        <color theme="1"/>
        <rFont val="Arial"/>
        <family val="2"/>
      </rPr>
      <t>Seleção e Contratação</t>
    </r>
    <r>
      <rPr>
        <sz val="8"/>
        <color theme="1"/>
        <rFont val="Arial"/>
        <family val="2"/>
      </rPr>
      <t xml:space="preserve">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t>
    </r>
    <r>
      <rPr>
        <b/>
        <sz val="8"/>
        <color theme="1"/>
        <rFont val="Arial"/>
        <family val="2"/>
      </rPr>
      <t>Entrega e Validação</t>
    </r>
    <r>
      <rPr>
        <sz val="8"/>
        <color theme="1"/>
        <rFont val="Arial"/>
        <family val="2"/>
      </rPr>
      <t xml:space="preserve">
3.</t>
    </r>
    <r>
      <rPr>
        <b/>
        <sz val="8"/>
        <color theme="1"/>
        <rFont val="Arial"/>
        <family val="2"/>
      </rPr>
      <t xml:space="preserve"> Seleção e Contratação </t>
    </r>
    <r>
      <rPr>
        <sz val="8"/>
        <color theme="1"/>
        <rFont val="Arial"/>
        <family val="2"/>
      </rPr>
      <t xml:space="preserve">de consultoria para:
(i) Implementação do piloto de plano reestruturação de processos e demais etapas do ciclo.
(ii) Capacitação contínua e disseminação
4. </t>
    </r>
    <r>
      <rPr>
        <b/>
        <sz val="8"/>
        <color theme="1"/>
        <rFont val="Arial"/>
        <family val="2"/>
      </rPr>
      <t>Entrega e validação</t>
    </r>
    <r>
      <rPr>
        <sz val="8"/>
        <color theme="1"/>
        <rFont val="Arial"/>
        <family val="2"/>
      </rPr>
      <t xml:space="preserve">
5. </t>
    </r>
    <r>
      <rPr>
        <b/>
        <sz val="8"/>
        <color theme="1"/>
        <rFont val="Arial"/>
        <family val="2"/>
      </rPr>
      <t>Seleção e Contratação</t>
    </r>
    <r>
      <rPr>
        <sz val="8"/>
        <color theme="1"/>
        <rFont val="Arial"/>
        <family val="2"/>
      </rPr>
      <t xml:space="preserve"> de consultoria para avaliação do piloto do processo reestruturado e demais ciclos de implementação com sugestões de melhoria.</t>
    </r>
  </si>
  <si>
    <r>
      <t>1.</t>
    </r>
    <r>
      <rPr>
        <b/>
        <sz val="8"/>
        <rFont val="Arial"/>
        <family val="2"/>
      </rPr>
      <t xml:space="preserve"> Seleção e Contratação</t>
    </r>
    <r>
      <rPr>
        <sz val="8"/>
        <rFont val="Arial"/>
        <family val="2"/>
      </rPr>
      <t xml:space="preserve">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t>
    </r>
    <r>
      <rPr>
        <b/>
        <sz val="8"/>
        <rFont val="Arial"/>
        <family val="2"/>
      </rPr>
      <t xml:space="preserve"> Entrega</t>
    </r>
    <r>
      <rPr>
        <sz val="8"/>
        <rFont val="Arial"/>
        <family val="2"/>
      </rPr>
      <t xml:space="preserve"> do documento de proposta de modelo de centros de custos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Entrega e validação.</t>
    </r>
    <r>
      <rPr>
        <sz val="8"/>
        <rFont val="Arial"/>
        <family val="2"/>
      </rPr>
      <t xml:space="preserve">
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</si>
  <si>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 xml:space="preserve">Seleção e Contratação </t>
    </r>
    <r>
      <rPr>
        <sz val="8"/>
        <rFont val="Arial"/>
        <family val="2"/>
      </rPr>
      <t xml:space="preserve">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t>
    </r>
    <r>
      <rPr>
        <b/>
        <sz val="8"/>
        <rFont val="Arial"/>
        <family val="2"/>
      </rPr>
      <t xml:space="preserve">Entrega </t>
    </r>
    <r>
      <rPr>
        <sz val="8"/>
        <rFont val="Arial"/>
        <family val="2"/>
      </rPr>
      <t xml:space="preserve">de documento com proposta de novo modelo de gestão logística territorial.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 xml:space="preserve">Entrega e validação.
</t>
    </r>
    <r>
      <rPr>
        <sz val="8"/>
        <rFont val="Arial"/>
        <family val="2"/>
      </rPr>
      <t xml:space="preserve">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</si>
  <si>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Seleção e Contratação</t>
    </r>
    <r>
      <rPr>
        <sz val="8"/>
        <rFont val="Arial"/>
        <family val="2"/>
      </rPr>
      <t xml:space="preserve">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t>
    </r>
    <r>
      <rPr>
        <b/>
        <sz val="8"/>
        <rFont val="Arial"/>
        <family val="2"/>
      </rPr>
      <t xml:space="preserve">Entrega e validação </t>
    </r>
    <r>
      <rPr>
        <sz val="8"/>
        <rFont val="Arial"/>
        <family val="2"/>
      </rPr>
      <t xml:space="preserve">de documento com proposta de novo modelo integrado de gestão administrativa.
3. </t>
    </r>
    <r>
      <rPr>
        <b/>
        <sz val="8"/>
        <rFont val="Arial"/>
        <family val="2"/>
      </rPr>
      <t>Seleção e Contratação</t>
    </r>
    <r>
      <rPr>
        <sz val="8"/>
        <rFont val="Arial"/>
        <family val="2"/>
      </rPr>
      <t xml:space="preserve">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t>
    </r>
    <r>
      <rPr>
        <b/>
        <sz val="8"/>
        <rFont val="Arial"/>
        <family val="2"/>
      </rPr>
      <t>Entrega e validação</t>
    </r>
    <r>
      <rPr>
        <sz val="8"/>
        <rFont val="Arial"/>
        <family val="2"/>
      </rPr>
      <t xml:space="preserve"> de documento 
5. </t>
    </r>
    <r>
      <rPr>
        <b/>
        <sz val="8"/>
        <rFont val="Arial"/>
        <family val="2"/>
      </rPr>
      <t>Seleção e Contratação</t>
    </r>
    <r>
      <rPr>
        <sz val="8"/>
        <rFont val="Arial"/>
        <family val="2"/>
      </rPr>
      <t xml:space="preserve"> de consultoria para avaliação contínua do estágio de desenvolvimento sistema e proposta de melhoria.
</t>
    </r>
  </si>
  <si>
    <r>
      <t xml:space="preserve">1. </t>
    </r>
    <r>
      <rPr>
        <b/>
        <sz val="8"/>
        <rFont val="Arial"/>
        <family val="2"/>
      </rPr>
      <t>Seleção e Contratação</t>
    </r>
    <r>
      <rPr>
        <sz val="8"/>
        <rFont val="Arial"/>
        <family val="2"/>
      </rPr>
      <t xml:space="preserve"> de consultoria para:
(i) Prospecção de boas práticas;
(ii) Análise das condicionantes, implicações e possibilidades legais para a gestão de competências;
(iii) Definição de modelo conceitual da gestão por competências;
(iv) Diagnóstico do perfil e das necessidades de qualificação da área responsável por gestão de pessoas;
(v) Capacitação e disseminação do modelo conceitual de gestão por competências;
(vi) Estratégia de implementação com etapas e escopo;
(vii) Pesquisa de grau de conhecimento do modelo.
2. </t>
    </r>
    <r>
      <rPr>
        <b/>
        <sz val="8"/>
        <rFont val="Arial"/>
        <family val="2"/>
      </rPr>
      <t xml:space="preserve">Entrega e validação </t>
    </r>
    <r>
      <rPr>
        <sz val="8"/>
        <rFont val="Arial"/>
        <family val="2"/>
      </rPr>
      <t xml:space="preserve">
3. </t>
    </r>
    <r>
      <rPr>
        <b/>
        <sz val="8"/>
        <rFont val="Arial"/>
        <family val="2"/>
      </rPr>
      <t>Seleção e Contratação</t>
    </r>
    <r>
      <rPr>
        <sz val="8"/>
        <rFont val="Arial"/>
        <family val="2"/>
      </rPr>
      <t xml:space="preserve"> de consultoria para capacitação e disseminação do modelo conceitual de gestão por competências
4. </t>
    </r>
    <r>
      <rPr>
        <b/>
        <sz val="8"/>
        <rFont val="Arial"/>
        <family val="2"/>
      </rPr>
      <t>Entrega e validação</t>
    </r>
    <r>
      <rPr>
        <sz val="8"/>
        <rFont val="Arial"/>
        <family val="2"/>
      </rPr>
      <t xml:space="preserve">
5.</t>
    </r>
    <r>
      <rPr>
        <b/>
        <sz val="8"/>
        <rFont val="Arial"/>
        <family val="2"/>
      </rPr>
      <t xml:space="preserve"> Seleção e Contratação </t>
    </r>
    <r>
      <rPr>
        <sz val="8"/>
        <rFont val="Arial"/>
        <family val="2"/>
      </rPr>
      <t xml:space="preserve">de consultoria para avaliação do modelo conceitual com sugestões de melhoria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(anos 2 a 4):
(a) Para a unidade piloto:
(i) Mapeamento das competências das unidades organizacionais requeridas e existentes (core competences);
(ii) Mapeamento das competências individuais requeridas e existentes (conhecimentos, habilidades e atitudes);
(iii) Diagnóstico e análise de lacunas entre as competências requeridas e as existentes;
(iv) Proposta e adequação das normas referentes a capacitação  ao modelo de gestão por competências;
(v) Montagem do Plano de Capacitação por competências e ações de desenvolvimento;
(vi) Identificação de requisitos para o módulo informatizado de gestão por competências com base no piloto;
(vii)  Proposta de delineamento de perfis de competências necessárias a cada grupo de funções;
(viii)  Elaboração de plano de ação para implementação gradual, incluindo capacitação e disseminação.
(ix) Proposta de mecanismo de avaliação contínua do modelo de gestão por competências.
8. </t>
    </r>
    <r>
      <rPr>
        <b/>
        <sz val="8"/>
        <rFont val="Arial"/>
        <family val="2"/>
      </rPr>
      <t xml:space="preserve">Entrega e validação
</t>
    </r>
    <r>
      <rPr>
        <sz val="8"/>
        <rFont val="Arial"/>
        <family val="2"/>
      </rPr>
      <t xml:space="preserve">9. </t>
    </r>
    <r>
      <rPr>
        <b/>
        <sz val="8"/>
        <rFont val="Arial"/>
        <family val="2"/>
      </rPr>
      <t xml:space="preserve">Seleção e Contratação </t>
    </r>
    <r>
      <rPr>
        <sz val="8"/>
        <rFont val="Arial"/>
        <family val="2"/>
      </rPr>
      <t xml:space="preserve">de consultoria para avaliação do desenvolvimento do modelo de gestão por competências (piloto).
10. </t>
    </r>
    <r>
      <rPr>
        <b/>
        <sz val="8"/>
        <rFont val="Arial"/>
        <family val="2"/>
      </rPr>
      <t>Entrega e validação.</t>
    </r>
  </si>
  <si>
    <r>
      <t xml:space="preserve">1. </t>
    </r>
    <r>
      <rPr>
        <b/>
        <sz val="8"/>
        <rFont val="Arial"/>
        <family val="2"/>
      </rPr>
      <t>Seleção e Contratação</t>
    </r>
    <r>
      <rPr>
        <sz val="8"/>
        <rFont val="Arial"/>
        <family val="2"/>
      </rPr>
      <t xml:space="preserve"> de consultoria (anos 1 a 5) para: 
(i) Prospecção e identificação de políticas e práticas de comunicação de mudanças;
(ii) Diagnóstico de comunicação externa e percepção de imagem institucional;
(iii) Proposta de política de comunicação;
(iv) Elaboração do plano de comunicação das mudanças.
(v) Elaboração de proposta de mecanismo de avaliação contínua de efetividade das ações de comunicação das mudanças.
(vi) Implementação das primeiras ações do plano de comunicação externa das mudanças.
2. </t>
    </r>
    <r>
      <rPr>
        <b/>
        <sz val="8"/>
        <rFont val="Arial"/>
        <family val="2"/>
      </rPr>
      <t>Entrega e validação</t>
    </r>
    <r>
      <rPr>
        <sz val="8"/>
        <rFont val="Arial"/>
        <family val="2"/>
      </rPr>
      <t xml:space="preserve"> da política e do plano de comunicação das mudanças.
3.</t>
    </r>
    <r>
      <rPr>
        <b/>
        <sz val="8"/>
        <rFont val="Arial"/>
        <family val="2"/>
      </rPr>
      <t xml:space="preserve">Continuação da consultoria  </t>
    </r>
    <r>
      <rPr>
        <sz val="8"/>
        <rFont val="Arial"/>
        <family val="2"/>
      </rPr>
      <t xml:space="preserve">para: 
(i) Implementação do plano de comunicação externa das mudanças.
4. </t>
    </r>
    <r>
      <rPr>
        <b/>
        <sz val="8"/>
        <rFont val="Arial"/>
        <family val="2"/>
      </rPr>
      <t xml:space="preserve">Entrega e validação </t>
    </r>
    <r>
      <rPr>
        <sz val="8"/>
        <rFont val="Arial"/>
        <family val="2"/>
      </rPr>
      <t xml:space="preserve">
5. </t>
    </r>
    <r>
      <rPr>
        <b/>
        <sz val="8"/>
        <rFont val="Arial"/>
        <family val="2"/>
      </rPr>
      <t>Seleção e Contratação</t>
    </r>
    <r>
      <rPr>
        <sz val="8"/>
        <rFont val="Arial"/>
        <family val="2"/>
      </rPr>
      <t xml:space="preserve"> de consultoria para: 
(i) Avaliação contínua da implementação e dos resultados das iniciativas de comunicação;
(ii) Análise das ações e proposta de melhorias nas ações de comunicação das mudanças.
6. </t>
    </r>
    <r>
      <rPr>
        <b/>
        <sz val="8"/>
        <rFont val="Arial"/>
        <family val="2"/>
      </rPr>
      <t>Entrega e validação</t>
    </r>
    <r>
      <rPr>
        <sz val="8"/>
        <rFont val="Arial"/>
        <family val="2"/>
      </rPr>
      <t xml:space="preserve"> da análise das ações e do plano de melhorias nas ações de comunicação das mudanças.</t>
    </r>
  </si>
  <si>
    <r>
      <t xml:space="preserve">1. </t>
    </r>
    <r>
      <rPr>
        <b/>
        <sz val="8"/>
        <color theme="1"/>
        <rFont val="Arial"/>
        <family val="2"/>
      </rPr>
      <t xml:space="preserve">Seleção e Contratação </t>
    </r>
    <r>
      <rPr>
        <sz val="8"/>
        <color theme="1"/>
        <rFont val="Arial"/>
        <family val="2"/>
      </rPr>
      <t xml:space="preserve">de consultoria (anos 1 a 5) para: 
(i) Prospecção e identificação de políticas e práticas de comunicação interna; 
(ii) Diagnóstico de comunicação interna e percepção de imagem institucional;
(iii) Proposta de política de comunicação interna;
(iv) Elaboração do plano de comunicação interna das mudanças.
(v) Elaboração de proposta de mecanismo de avaliação contínua de efetividade das ações de comunicação das mudanças.
2. </t>
    </r>
    <r>
      <rPr>
        <b/>
        <sz val="8"/>
        <color theme="1"/>
        <rFont val="Arial"/>
        <family val="2"/>
      </rPr>
      <t xml:space="preserve">Seleção e Contratação </t>
    </r>
    <r>
      <rPr>
        <sz val="8"/>
        <color theme="1"/>
        <rFont val="Arial"/>
        <family val="2"/>
      </rPr>
      <t xml:space="preserve">de consultoria para implementação das primeiras ações do plano de comunicação interna das mudanças.
3. </t>
    </r>
    <r>
      <rPr>
        <b/>
        <sz val="8"/>
        <color theme="1"/>
        <rFont val="Arial"/>
        <family val="2"/>
      </rPr>
      <t>Entrega e validação</t>
    </r>
    <r>
      <rPr>
        <sz val="8"/>
        <color theme="1"/>
        <rFont val="Arial"/>
        <family val="2"/>
      </rPr>
      <t xml:space="preserve"> da política e do plano de comunicação das mudanças.
4. </t>
    </r>
    <r>
      <rPr>
        <b/>
        <sz val="8"/>
        <color theme="1"/>
        <rFont val="Arial"/>
        <family val="2"/>
      </rPr>
      <t>Continuação</t>
    </r>
    <r>
      <rPr>
        <sz val="8"/>
        <color theme="1"/>
        <rFont val="Arial"/>
        <family val="2"/>
      </rPr>
      <t xml:space="preserve"> de consultoria para: 
(i) Implementação do plano de comunicação interna das mudanças.
5. </t>
    </r>
    <r>
      <rPr>
        <b/>
        <sz val="8"/>
        <color theme="1"/>
        <rFont val="Arial"/>
        <family val="2"/>
      </rPr>
      <t>Entrega e validação</t>
    </r>
    <r>
      <rPr>
        <sz val="8"/>
        <color theme="1"/>
        <rFont val="Arial"/>
        <family val="2"/>
      </rPr>
      <t xml:space="preserve">
6. </t>
    </r>
    <r>
      <rPr>
        <b/>
        <sz val="8"/>
        <color theme="1"/>
        <rFont val="Arial"/>
        <family val="2"/>
      </rPr>
      <t>Seleção e Contratação</t>
    </r>
    <r>
      <rPr>
        <sz val="8"/>
        <color theme="1"/>
        <rFont val="Arial"/>
        <family val="2"/>
      </rPr>
      <t xml:space="preserve"> de consultoria para: 
(i) Avaliação contínua da implementação e dos resultados das iniciativas de comunicação interna;
(ii) Análise das ações e proposta de melhorias nas ações de comunicação  interna das mudanças.
7. </t>
    </r>
    <r>
      <rPr>
        <b/>
        <sz val="8"/>
        <color theme="1"/>
        <rFont val="Arial"/>
        <family val="2"/>
      </rPr>
      <t>Entrega e validação</t>
    </r>
    <r>
      <rPr>
        <sz val="8"/>
        <color theme="1"/>
        <rFont val="Arial"/>
        <family val="2"/>
      </rPr>
      <t xml:space="preserve"> da análise das ações e do plano de melhorias nas ações de comunicação interna das mudanças.
</t>
    </r>
  </si>
  <si>
    <r>
      <t xml:space="preserve">1. </t>
    </r>
    <r>
      <rPr>
        <b/>
        <sz val="8"/>
        <rFont val="Arial"/>
        <family val="2"/>
      </rPr>
      <t>Seleção e Contratação</t>
    </r>
    <r>
      <rPr>
        <sz val="8"/>
        <rFont val="Arial"/>
        <family val="2"/>
      </rPr>
      <t xml:space="preserve">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t>
    </r>
    <r>
      <rPr>
        <b/>
        <sz val="8"/>
        <rFont val="Arial"/>
        <family val="2"/>
      </rPr>
      <t>Entrega e validação</t>
    </r>
    <r>
      <rPr>
        <sz val="8"/>
        <rFont val="Arial"/>
        <family val="2"/>
      </rPr>
      <t xml:space="preserve">
3. </t>
    </r>
    <r>
      <rPr>
        <b/>
        <sz val="8"/>
        <rFont val="Arial"/>
        <family val="2"/>
      </rPr>
      <t>Seleção e Contratação</t>
    </r>
    <r>
      <rPr>
        <sz val="8"/>
        <rFont val="Arial"/>
        <family val="2"/>
      </rPr>
      <t xml:space="preserve"> de consultoria para: 
(i) Implementação das primeiras ações do plano de gestão da mudança.
4. </t>
    </r>
    <r>
      <rPr>
        <b/>
        <sz val="8"/>
        <rFont val="Arial"/>
        <family val="2"/>
      </rPr>
      <t>Entrega e validação</t>
    </r>
    <r>
      <rPr>
        <sz val="8"/>
        <rFont val="Arial"/>
        <family val="2"/>
      </rPr>
      <t xml:space="preserve"> da política e do plano gestão das mudança.
5. </t>
    </r>
    <r>
      <rPr>
        <b/>
        <sz val="8"/>
        <rFont val="Arial"/>
        <family val="2"/>
      </rPr>
      <t>Continuação</t>
    </r>
    <r>
      <rPr>
        <sz val="8"/>
        <rFont val="Arial"/>
        <family val="2"/>
      </rPr>
      <t xml:space="preserve"> de consultoria para: 
(i) Implementação do plano das estratégias e iniciativas de mudanças.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(i) Avaliação da implementação e dos resultados das iniciativas de gestão de mudanças;
(ii) Análise das ações e proposta de melhorias nas ações de gestão das mudanças.
8. </t>
    </r>
    <r>
      <rPr>
        <b/>
        <sz val="8"/>
        <rFont val="Arial"/>
        <family val="2"/>
      </rPr>
      <t>Entrega e validação</t>
    </r>
    <r>
      <rPr>
        <sz val="8"/>
        <rFont val="Arial"/>
        <family val="2"/>
      </rPr>
      <t xml:space="preserve"> da análise das ações e do plano de gestão da mudança.</t>
    </r>
  </si>
  <si>
    <r>
      <t>1.</t>
    </r>
    <r>
      <rPr>
        <b/>
        <sz val="8"/>
        <rFont val="Arial"/>
        <family val="2"/>
      </rPr>
      <t xml:space="preserve"> Seleção e Contratação</t>
    </r>
    <r>
      <rPr>
        <sz val="8"/>
        <rFont val="Arial"/>
        <family val="2"/>
      </rPr>
      <t xml:space="preserve"> de consultoria para:
(i) Definição da metodologia (prioridades, escopo, capacitação, ferramentas);
(ii) Elaboração do plano de desdobramento estratégico e de implementação da estratégia;
(iii) Proposta de comunicação interna e externa.
2. </t>
    </r>
    <r>
      <rPr>
        <b/>
        <sz val="8"/>
        <rFont val="Arial"/>
        <family val="2"/>
      </rPr>
      <t xml:space="preserve">Entrega e validação </t>
    </r>
    <r>
      <rPr>
        <sz val="8"/>
        <rFont val="Arial"/>
        <family val="2"/>
      </rPr>
      <t xml:space="preserve">do plano de ação.
3. </t>
    </r>
    <r>
      <rPr>
        <b/>
        <sz val="8"/>
        <rFont val="Arial"/>
        <family val="2"/>
      </rPr>
      <t>Implementação</t>
    </r>
    <r>
      <rPr>
        <sz val="8"/>
        <rFont val="Arial"/>
        <family val="2"/>
      </rPr>
      <t xml:space="preserve"> do plano de ação.</t>
    </r>
  </si>
  <si>
    <r>
      <t xml:space="preserve">1. </t>
    </r>
    <r>
      <rPr>
        <b/>
        <sz val="8"/>
        <color theme="1"/>
        <rFont val="Arial"/>
        <family val="2"/>
      </rPr>
      <t>Conclusão</t>
    </r>
    <r>
      <rPr>
        <sz val="8"/>
        <color theme="1"/>
        <rFont val="Arial"/>
        <family val="2"/>
      </rPr>
      <t xml:space="preserve"> do Projeto Lógico dos módulos do sistema Sisdat: pré-inscrição, inscrição, pagamento, parcelamento de créditos;
2. </t>
    </r>
    <r>
      <rPr>
        <b/>
        <sz val="8"/>
        <color theme="1"/>
        <rFont val="Arial"/>
        <family val="2"/>
      </rPr>
      <t>Seleção e Contratação</t>
    </r>
    <r>
      <rPr>
        <sz val="8"/>
        <color theme="1"/>
        <rFont val="Arial"/>
        <family val="2"/>
      </rPr>
      <t xml:space="preserve"> de consultoria para Prospecção de boas práticas em gerenciamento de riscos: (i) para troca de experiências nacionais e internacionais; (ii) análises de viabilidade de implementação de melhorias no sistema existente e integração ao e-AGU; 
3. </t>
    </r>
    <r>
      <rPr>
        <b/>
        <sz val="8"/>
        <color theme="1"/>
        <rFont val="Arial"/>
        <family val="2"/>
      </rPr>
      <t xml:space="preserve"> Projeto</t>
    </r>
    <r>
      <rPr>
        <sz val="8"/>
        <color theme="1"/>
        <rFont val="Arial"/>
        <family val="2"/>
      </rPr>
      <t xml:space="preserve"> Lógico do Sistema de gestão de riscos elaborado.
</t>
    </r>
  </si>
  <si>
    <r>
      <t xml:space="preserve">1. </t>
    </r>
    <r>
      <rPr>
        <b/>
        <sz val="8"/>
        <rFont val="Arial"/>
        <family val="2"/>
      </rPr>
      <t>Seleção e Contratação</t>
    </r>
    <r>
      <rPr>
        <sz val="8"/>
        <rFont val="Arial"/>
        <family val="2"/>
      </rPr>
      <t xml:space="preserve"> de consultoria para: estudo do dimensionamento do custo fiscal (passivos contingentes) implícito em todos os processos contra o Estado;
2.</t>
    </r>
    <r>
      <rPr>
        <b/>
        <sz val="8"/>
        <rFont val="Arial"/>
        <family val="2"/>
      </rPr>
      <t xml:space="preserve"> Entrega e validação</t>
    </r>
    <r>
      <rPr>
        <sz val="8"/>
        <rFont val="Arial"/>
        <family val="2"/>
      </rPr>
      <t xml:space="preserve"> do estudo.</t>
    </r>
  </si>
  <si>
    <r>
      <t>1.</t>
    </r>
    <r>
      <rPr>
        <b/>
        <sz val="8"/>
        <rFont val="Arial"/>
        <family val="2"/>
      </rPr>
      <t xml:space="preserve"> Seleção e Contratação</t>
    </r>
    <r>
      <rPr>
        <sz val="8"/>
        <rFont val="Arial"/>
        <family val="2"/>
      </rPr>
      <t xml:space="preserve"> de consultoria para: 
(i) prospecção de boas práticas nos setores público e privado, incluindo troca de experiências internacionais;
(ii) elaboração dos indicadores e metas de gestão;
(iii) Prospecção de soluções informatizadas.
2.</t>
    </r>
    <r>
      <rPr>
        <b/>
        <sz val="8"/>
        <rFont val="Arial"/>
        <family val="2"/>
      </rPr>
      <t xml:space="preserve"> Entrega e validação.</t>
    </r>
  </si>
  <si>
    <r>
      <t xml:space="preserve">1. </t>
    </r>
    <r>
      <rPr>
        <b/>
        <sz val="8"/>
        <rFont val="Arial"/>
        <family val="2"/>
      </rPr>
      <t>Seleção e Contratação</t>
    </r>
    <r>
      <rPr>
        <sz val="8"/>
        <rFont val="Arial"/>
        <family val="2"/>
      </rPr>
      <t xml:space="preserve">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t>
    </r>
    <r>
      <rPr>
        <b/>
        <sz val="8"/>
        <rFont val="Arial"/>
        <family val="2"/>
      </rPr>
      <t xml:space="preserve">Entrega e validação
</t>
    </r>
    <r>
      <rPr>
        <sz val="8"/>
        <rFont val="Arial"/>
        <family val="2"/>
      </rPr>
      <t>3.</t>
    </r>
    <r>
      <rPr>
        <b/>
        <sz val="8"/>
        <rFont val="Arial"/>
        <family val="2"/>
      </rPr>
      <t xml:space="preserve"> Resolução</t>
    </r>
    <r>
      <rPr>
        <sz val="8"/>
        <rFont val="Arial"/>
        <family val="2"/>
      </rPr>
      <t xml:space="preserve"> de criação da unidade.</t>
    </r>
  </si>
  <si>
    <r>
      <t xml:space="preserve">1. </t>
    </r>
    <r>
      <rPr>
        <b/>
        <sz val="8"/>
        <rFont val="Arial"/>
        <family val="2"/>
      </rPr>
      <t>Seleção e Contratação</t>
    </r>
    <r>
      <rPr>
        <sz val="8"/>
        <rFont val="Arial"/>
        <family val="2"/>
      </rPr>
      <t xml:space="preserve"> de consultoria para: 
(i) Prospecção de ferramentas existentes no mercado.
(ii) Levantamento das necessidades de recursos tecnológicos e técnicos da GTI. 
(iii) Elaboração de termos de referência para a contratação da ferramenta; 
2.</t>
    </r>
    <r>
      <rPr>
        <b/>
        <sz val="8"/>
        <rFont val="Arial"/>
        <family val="2"/>
      </rPr>
      <t xml:space="preserve"> Entrega e validação.</t>
    </r>
    <r>
      <rPr>
        <sz val="8"/>
        <rFont val="Arial"/>
        <family val="2"/>
      </rPr>
      <t xml:space="preserve">
3. </t>
    </r>
    <r>
      <rPr>
        <b/>
        <sz val="8"/>
        <rFont val="Arial"/>
        <family val="2"/>
      </rPr>
      <t>Aquisição</t>
    </r>
    <r>
      <rPr>
        <sz val="8"/>
        <rFont val="Arial"/>
        <family val="2"/>
      </rPr>
      <t xml:space="preserve"> da solução e de recursos tecnológicos necessários (incluindo instalação e capacitação da área de TI). 
4. </t>
    </r>
    <r>
      <rPr>
        <b/>
        <sz val="8"/>
        <rFont val="Arial"/>
        <family val="2"/>
      </rPr>
      <t>Instalação e adequação</t>
    </r>
    <r>
      <rPr>
        <sz val="8"/>
        <rFont val="Arial"/>
        <family val="2"/>
      </rPr>
      <t xml:space="preserve"> da ferramenta (incluindo a regulamentação de uso). 
5. </t>
    </r>
    <r>
      <rPr>
        <b/>
        <sz val="8"/>
        <rFont val="Arial"/>
        <family val="2"/>
      </rPr>
      <t>Avaliação</t>
    </r>
    <r>
      <rPr>
        <sz val="8"/>
        <rFont val="Arial"/>
        <family val="2"/>
      </rPr>
      <t xml:space="preserve"> da ferramenta.
6. </t>
    </r>
    <r>
      <rPr>
        <b/>
        <sz val="8"/>
        <rFont val="Arial"/>
        <family val="2"/>
      </rPr>
      <t>Capacitação</t>
    </r>
    <r>
      <rPr>
        <sz val="8"/>
        <rFont val="Arial"/>
        <family val="2"/>
      </rPr>
      <t xml:space="preserve"> dos servidores.</t>
    </r>
  </si>
  <si>
    <r>
      <t xml:space="preserve">1. </t>
    </r>
    <r>
      <rPr>
        <b/>
        <sz val="8"/>
        <rFont val="Arial"/>
        <family val="2"/>
      </rPr>
      <t>Seleção e Contratação</t>
    </r>
    <r>
      <rPr>
        <sz val="8"/>
        <rFont val="Arial"/>
        <family val="2"/>
      </rPr>
      <t xml:space="preserve"> de consultoria para:
(i) Prospecção e "Benchmarking";
(ii) Definição das atribuições do Escritório;
(iii) Definição da estrutura do Escritório e sua vinculação;
(iv) Definição dos recursos;
2. </t>
    </r>
    <r>
      <rPr>
        <b/>
        <sz val="8"/>
        <rFont val="Arial"/>
        <family val="2"/>
      </rPr>
      <t>Entrega e validação</t>
    </r>
    <r>
      <rPr>
        <sz val="8"/>
        <rFont val="Arial"/>
        <family val="2"/>
      </rPr>
      <t xml:space="preserve">
3. </t>
    </r>
    <r>
      <rPr>
        <b/>
        <sz val="8"/>
        <rFont val="Arial"/>
        <family val="2"/>
      </rPr>
      <t>Instituição</t>
    </r>
    <r>
      <rPr>
        <sz val="8"/>
        <rFont val="Arial"/>
        <family val="2"/>
      </rPr>
      <t xml:space="preserve"> do Escritório de  Processos</t>
    </r>
  </si>
  <si>
    <r>
      <t xml:space="preserve">1. </t>
    </r>
    <r>
      <rPr>
        <b/>
        <sz val="8"/>
        <rFont val="Arial"/>
        <family val="2"/>
      </rPr>
      <t>Seleção e Contratação</t>
    </r>
    <r>
      <rPr>
        <sz val="8"/>
        <rFont val="Arial"/>
        <family val="2"/>
      </rPr>
      <t xml:space="preserve"> de consultoria para: 
(i) Definição da Metodologia; 
(ii) Definição da Ferramenta; 
(iii) Definição do modelo de capacitação; 
(iv) Plano de Implementação gradual 
2. </t>
    </r>
    <r>
      <rPr>
        <b/>
        <sz val="8"/>
        <rFont val="Arial"/>
        <family val="2"/>
      </rPr>
      <t>Entrega e validação.</t>
    </r>
    <r>
      <rPr>
        <sz val="8"/>
        <rFont val="Arial"/>
        <family val="2"/>
      </rPr>
      <t xml:space="preserve">
3. </t>
    </r>
    <r>
      <rPr>
        <b/>
        <sz val="8"/>
        <rFont val="Arial"/>
        <family val="2"/>
      </rPr>
      <t>Aquisição</t>
    </r>
    <r>
      <rPr>
        <sz val="8"/>
        <rFont val="Arial"/>
        <family val="2"/>
      </rPr>
      <t xml:space="preserve"> de ferramenta de modelagem;
4.</t>
    </r>
    <r>
      <rPr>
        <b/>
        <sz val="8"/>
        <rFont val="Arial"/>
        <family val="2"/>
      </rPr>
      <t xml:space="preserve"> Implementar </t>
    </r>
    <r>
      <rPr>
        <sz val="8"/>
        <rFont val="Arial"/>
        <family val="2"/>
      </rPr>
      <t xml:space="preserve">metodologia.
5. </t>
    </r>
    <r>
      <rPr>
        <b/>
        <sz val="8"/>
        <rFont val="Arial"/>
        <family val="2"/>
      </rPr>
      <t>Avaliação</t>
    </r>
    <r>
      <rPr>
        <sz val="8"/>
        <rFont val="Arial"/>
        <family val="2"/>
      </rPr>
      <t xml:space="preserve"> da implementação e sugestões de melhoria.
</t>
    </r>
  </si>
  <si>
    <r>
      <t xml:space="preserve">1. </t>
    </r>
    <r>
      <rPr>
        <b/>
        <sz val="8"/>
        <rFont val="Arial"/>
        <family val="2"/>
      </rPr>
      <t>Seleção e Contratação</t>
    </r>
    <r>
      <rPr>
        <sz val="8"/>
        <rFont val="Arial"/>
        <family val="2"/>
      </rPr>
      <t xml:space="preserve"> de consultoria para:
(i) Prospecção e "Benchmarking";
(ii) Definição das atribuições da unidade;
(iii) Definição da estrutura da (EGP) e sua vinculação hierárquica;
(iv) Definição dos recursos.
2. </t>
    </r>
    <r>
      <rPr>
        <b/>
        <sz val="8"/>
        <rFont val="Arial"/>
        <family val="2"/>
      </rPr>
      <t>Instituição</t>
    </r>
    <r>
      <rPr>
        <sz val="8"/>
        <rFont val="Arial"/>
        <family val="2"/>
      </rPr>
      <t xml:space="preserve"> do EGP.
3. </t>
    </r>
    <r>
      <rPr>
        <b/>
        <sz val="8"/>
        <rFont val="Arial"/>
        <family val="2"/>
      </rPr>
      <t xml:space="preserve">Seleção e Contratação </t>
    </r>
    <r>
      <rPr>
        <sz val="8"/>
        <rFont val="Arial"/>
        <family val="2"/>
      </rPr>
      <t>de consultoria para:
(i) definição de uma metodologia e sistemática de gestão de projetos, incluindo a capacitação da (EGP); 
(ii) Aprovação da metodologia;
(iii) Implementação da metodologia e da capacitação; 
(iv) Definição da ferramenta de gerenciamento de projetos;
4.</t>
    </r>
    <r>
      <rPr>
        <b/>
        <sz val="8"/>
        <rFont val="Arial"/>
        <family val="2"/>
      </rPr>
      <t xml:space="preserve"> Aquisição</t>
    </r>
    <r>
      <rPr>
        <sz val="8"/>
        <rFont val="Arial"/>
        <family val="2"/>
      </rPr>
      <t xml:space="preserve"> da ferramenta e capacitação dos usuários.</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</si>
  <si>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t>
    </r>
    <r>
      <rPr>
        <b/>
        <sz val="8"/>
        <rFont val="Arial"/>
        <family val="2"/>
      </rPr>
      <t>Entrega e validação</t>
    </r>
    <r>
      <rPr>
        <sz val="8"/>
        <rFont val="Arial"/>
        <family val="2"/>
      </rPr>
      <t xml:space="preserve"> do documento contendo o novo modelo de trabalho e plano de implementação
3. </t>
    </r>
    <r>
      <rPr>
        <b/>
        <sz val="8"/>
        <rFont val="Arial"/>
        <family val="2"/>
      </rPr>
      <t>Seleção e Contratação</t>
    </r>
    <r>
      <rPr>
        <sz val="8"/>
        <rFont val="Arial"/>
        <family val="2"/>
      </rPr>
      <t xml:space="preserve"> de consultoria para:                            
(i) Harmonização de conceitos com o judiciário 
(ii) Definição do mecanimso de disseminação do novo modelo de trabalho com formação de multiplicadores
4. </t>
    </r>
    <r>
      <rPr>
        <b/>
        <sz val="8"/>
        <rFont val="Arial"/>
        <family val="2"/>
      </rPr>
      <t>Entrega e validação</t>
    </r>
    <r>
      <rPr>
        <sz val="8"/>
        <rFont val="Arial"/>
        <family val="2"/>
      </rPr>
      <t xml:space="preserve">  do documento com análise de desenvolvimento do modelo 
5. </t>
    </r>
    <r>
      <rPr>
        <b/>
        <sz val="8"/>
        <rFont val="Arial"/>
        <family val="2"/>
      </rPr>
      <t>Normatização</t>
    </r>
    <r>
      <rPr>
        <sz val="8"/>
        <rFont val="Arial"/>
        <family val="2"/>
      </rPr>
      <t xml:space="preserve"> do novo modelo (AGU)
6. </t>
    </r>
    <r>
      <rPr>
        <b/>
        <sz val="8"/>
        <rFont val="Arial"/>
        <family val="2"/>
      </rPr>
      <t xml:space="preserve">Contratação de consultoria </t>
    </r>
    <r>
      <rPr>
        <sz val="8"/>
        <rFont val="Arial"/>
        <family val="2"/>
      </rPr>
      <t xml:space="preserve">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t>
    </r>
    <r>
      <rPr>
        <b/>
        <sz val="8"/>
        <rFont val="Arial"/>
        <family val="2"/>
      </rPr>
      <t>Entrega e validação</t>
    </r>
    <r>
      <rPr>
        <sz val="8"/>
        <rFont val="Arial"/>
        <family val="2"/>
      </rPr>
      <t xml:space="preserve"> do produto.
8.</t>
    </r>
    <r>
      <rPr>
        <b/>
        <sz val="8"/>
        <rFont val="Arial"/>
        <family val="2"/>
      </rPr>
      <t xml:space="preserve"> Implementação</t>
    </r>
    <r>
      <rPr>
        <sz val="8"/>
        <rFont val="Arial"/>
        <family val="2"/>
      </rPr>
      <t xml:space="preserve"> do novo modelo.
                          </t>
    </r>
  </si>
  <si>
    <r>
      <t xml:space="preserve">1. </t>
    </r>
    <r>
      <rPr>
        <b/>
        <sz val="8"/>
        <rFont val="Arial"/>
        <family val="2"/>
      </rPr>
      <t>Seleção e Contratação</t>
    </r>
    <r>
      <rPr>
        <sz val="8"/>
        <rFont val="Arial"/>
        <family val="2"/>
      </rPr>
      <t xml:space="preserve">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t>
    </r>
    <r>
      <rPr>
        <b/>
        <sz val="8"/>
        <rFont val="Arial"/>
        <family val="2"/>
      </rPr>
      <t>Entrega e validação</t>
    </r>
    <r>
      <rPr>
        <sz val="8"/>
        <rFont val="Arial"/>
        <family val="2"/>
      </rPr>
      <t xml:space="preserve"> do documento contendo o novo modelo de trabalho e plano de implementação gradual.  
3. </t>
    </r>
    <r>
      <rPr>
        <b/>
        <sz val="8"/>
        <rFont val="Arial"/>
        <family val="2"/>
      </rPr>
      <t>Implementação</t>
    </r>
    <r>
      <rPr>
        <sz val="8"/>
        <rFont val="Arial"/>
        <family val="2"/>
      </rPr>
      <t xml:space="preserve"> do piloto do novo modelo de consultoria e assessoramento; Disseminação do novo modelo de trabalho. 
4. </t>
    </r>
    <r>
      <rPr>
        <b/>
        <sz val="8"/>
        <rFont val="Arial"/>
        <family val="2"/>
      </rPr>
      <t>Seleção e Contratação</t>
    </r>
    <r>
      <rPr>
        <sz val="8"/>
        <rFont val="Arial"/>
        <family val="2"/>
      </rPr>
      <t xml:space="preserve"> de consultoria para </t>
    </r>
    <r>
      <rPr>
        <b/>
        <sz val="8"/>
        <rFont val="Arial"/>
        <family val="2"/>
      </rPr>
      <t>avaliação da implementação</t>
    </r>
    <r>
      <rPr>
        <sz val="8"/>
        <rFont val="Arial"/>
        <family val="2"/>
      </rPr>
      <t xml:space="preserve"> do piloto e demais etapas da implementação
6. </t>
    </r>
    <r>
      <rPr>
        <b/>
        <sz val="8"/>
        <rFont val="Arial"/>
        <family val="2"/>
      </rPr>
      <t>Entrega e validação</t>
    </r>
    <r>
      <rPr>
        <sz val="8"/>
        <rFont val="Arial"/>
        <family val="2"/>
      </rPr>
      <t xml:space="preserve"> do documento </t>
    </r>
  </si>
  <si>
    <r>
      <t xml:space="preserve">1. </t>
    </r>
    <r>
      <rPr>
        <b/>
        <sz val="8"/>
        <rFont val="Arial"/>
        <family val="2"/>
      </rPr>
      <t xml:space="preserve">Seleção e Contratação </t>
    </r>
    <r>
      <rPr>
        <sz val="8"/>
        <rFont val="Arial"/>
        <family val="2"/>
      </rPr>
      <t>de Consultoria para desenvolvimento, customização e implantação do sistema integrado.
2</t>
    </r>
    <r>
      <rPr>
        <b/>
        <sz val="8"/>
        <rFont val="Arial"/>
        <family val="2"/>
      </rPr>
      <t xml:space="preserve">. Seleção e Contratação </t>
    </r>
    <r>
      <rPr>
        <sz val="8"/>
        <rFont val="Arial"/>
        <family val="2"/>
      </rPr>
      <t xml:space="preserve">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t>
    </r>
    <r>
      <rPr>
        <b/>
        <sz val="8"/>
        <rFont val="Arial"/>
        <family val="2"/>
      </rPr>
      <t>Entrega e validação</t>
    </r>
    <r>
      <rPr>
        <sz val="8"/>
        <rFont val="Arial"/>
        <family val="2"/>
      </rPr>
      <t>.</t>
    </r>
  </si>
  <si>
    <r>
      <t xml:space="preserve">Projeto Lógico do Sistema de gestão de riscos elaborado e implementado.
1. </t>
    </r>
    <r>
      <rPr>
        <b/>
        <sz val="8"/>
        <rFont val="Arial"/>
        <family val="2"/>
      </rPr>
      <t>Seleção e Contratação</t>
    </r>
    <r>
      <rPr>
        <sz val="8"/>
        <rFont val="Arial"/>
        <family val="2"/>
      </rPr>
      <t xml:space="preserve">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 </t>
    </r>
    <r>
      <rPr>
        <b/>
        <sz val="8"/>
        <rFont val="Arial"/>
        <family val="2"/>
      </rPr>
      <t xml:space="preserve">Seleção e Contratação </t>
    </r>
    <r>
      <rPr>
        <sz val="8"/>
        <rFont val="Arial"/>
        <family val="2"/>
      </rPr>
      <t xml:space="preserve">de consultoria para avaliação do piloto e demais ciclos e sugestões de melhoria
5. </t>
    </r>
    <r>
      <rPr>
        <b/>
        <sz val="8"/>
        <rFont val="Arial"/>
        <family val="2"/>
      </rPr>
      <t>Entrega e validação</t>
    </r>
    <r>
      <rPr>
        <sz val="8"/>
        <rFont val="Arial"/>
        <family val="2"/>
      </rPr>
      <t xml:space="preserve">
6. </t>
    </r>
    <r>
      <rPr>
        <b/>
        <sz val="8"/>
        <rFont val="Arial"/>
        <family val="2"/>
      </rPr>
      <t xml:space="preserve">Adequação </t>
    </r>
    <r>
      <rPr>
        <sz val="8"/>
        <rFont val="Arial"/>
        <family val="2"/>
      </rPr>
      <t xml:space="preserve">dos normativos e manualização (AGU)
7. </t>
    </r>
    <r>
      <rPr>
        <b/>
        <sz val="8"/>
        <rFont val="Arial"/>
        <family val="2"/>
      </rPr>
      <t>Capacitação e disseminação</t>
    </r>
    <r>
      <rPr>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</si>
  <si>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t>
    </r>
    <r>
      <rPr>
        <b/>
        <sz val="8"/>
        <rFont val="Arial"/>
        <family val="2"/>
      </rPr>
      <t xml:space="preserve">Entrega </t>
    </r>
    <r>
      <rPr>
        <sz val="8"/>
        <rFont val="Arial"/>
        <family val="2"/>
      </rPr>
      <t xml:space="preserve">do documento contendo o redesenho e o plano de implementação.
3. </t>
    </r>
    <r>
      <rPr>
        <b/>
        <sz val="8"/>
        <rFont val="Arial"/>
        <family val="2"/>
      </rPr>
      <t>Implementação</t>
    </r>
    <r>
      <rPr>
        <sz val="8"/>
        <rFont val="Arial"/>
        <family val="2"/>
      </rPr>
      <t xml:space="preserve">
3. </t>
    </r>
    <r>
      <rPr>
        <b/>
        <sz val="8"/>
        <rFont val="Arial"/>
        <family val="2"/>
      </rPr>
      <t xml:space="preserve">Seleção e Contratação </t>
    </r>
    <r>
      <rPr>
        <sz val="8"/>
        <rFont val="Arial"/>
        <family val="2"/>
      </rPr>
      <t xml:space="preserve">de consultoria para avaliação do piloto e demais ciclos e sugestões de melhoria.
4. </t>
    </r>
    <r>
      <rPr>
        <b/>
        <sz val="8"/>
        <rFont val="Arial"/>
        <family val="2"/>
      </rPr>
      <t xml:space="preserve">Adequação </t>
    </r>
    <r>
      <rPr>
        <sz val="8"/>
        <rFont val="Arial"/>
        <family val="2"/>
      </rPr>
      <t xml:space="preserve">dos normativos (AGU)
5. </t>
    </r>
    <r>
      <rPr>
        <b/>
        <sz val="8"/>
        <rFont val="Arial"/>
        <family val="2"/>
      </rPr>
      <t>Capacitação e disseminação</t>
    </r>
  </si>
  <si>
    <r>
      <t>1.</t>
    </r>
    <r>
      <rPr>
        <b/>
        <sz val="8"/>
        <rFont val="Arial"/>
        <family val="2"/>
      </rPr>
      <t xml:space="preserve"> Aquisição</t>
    </r>
    <r>
      <rPr>
        <sz val="8"/>
        <rFont val="Arial"/>
        <family val="2"/>
      </rPr>
      <t xml:space="preserve"> de ferramenta de monitoramento estratégico.
2. </t>
    </r>
    <r>
      <rPr>
        <b/>
        <sz val="8"/>
        <rFont val="Arial"/>
        <family val="2"/>
      </rPr>
      <t>Instalação e adequação</t>
    </r>
    <r>
      <rPr>
        <sz val="8"/>
        <rFont val="Arial"/>
        <family val="2"/>
      </rPr>
      <t xml:space="preserve"> da  ferramenta de monitoramento estratégico. 
3.</t>
    </r>
    <r>
      <rPr>
        <b/>
        <sz val="8"/>
        <rFont val="Arial"/>
        <family val="2"/>
      </rPr>
      <t xml:space="preserve"> Entrega e validação.</t>
    </r>
    <r>
      <rPr>
        <sz val="8"/>
        <rFont val="Arial"/>
        <family val="2"/>
      </rPr>
      <t xml:space="preserve">
4. </t>
    </r>
    <r>
      <rPr>
        <b/>
        <sz val="8"/>
        <rFont val="Arial"/>
        <family val="2"/>
      </rPr>
      <t>Capacitação</t>
    </r>
    <r>
      <rPr>
        <sz val="8"/>
        <rFont val="Arial"/>
        <family val="2"/>
      </rPr>
      <t xml:space="preserve"> dos usuários da ferramenta.
5. </t>
    </r>
    <r>
      <rPr>
        <b/>
        <sz val="8"/>
        <rFont val="Arial"/>
        <family val="2"/>
      </rPr>
      <t>Implementação</t>
    </r>
    <r>
      <rPr>
        <sz val="8"/>
        <rFont val="Arial"/>
        <family val="2"/>
      </rPr>
      <t xml:space="preserve"> da ferramenta de monitoramento do(s) macroprocesso(s) prioritário(s).</t>
    </r>
  </si>
  <si>
    <t>1.11. Política de comunicação das mudanças aos cidadãos, sobre as ações previstas no Projeto, desenhada e implementada</t>
  </si>
  <si>
    <t>1.12. Plano de comunicação interna de mudanças desenhado e implementado</t>
  </si>
  <si>
    <t>1.13. Plano de Gestão da Mudança desenhado e implementado</t>
  </si>
  <si>
    <t>Ano 1/12</t>
  </si>
  <si>
    <t>Ano 2/13</t>
  </si>
  <si>
    <t>Ano 3/14</t>
  </si>
  <si>
    <t>Ano 4/15</t>
  </si>
  <si>
    <t>Ano 5/16</t>
  </si>
  <si>
    <t>2.1. Fluxos de trabalho Contenciosos da Administração Direta modelados e implantados</t>
  </si>
  <si>
    <t>2.2. Fluxos de trabalho de Consultoria e Assessoramento Jurídicos na Administração Direta modelados e implantados</t>
  </si>
  <si>
    <t>2.4. Fluxos de trabalho Contenciosos, de Consultoria e Assessoramento Jurídicos na Administração Indireta modelados e implantados</t>
  </si>
  <si>
    <t>MAIO DE 2011</t>
  </si>
  <si>
    <t>Diarias</t>
  </si>
  <si>
    <t>Passagens Equipe AGU - Acompanhamento dos Trabalhos</t>
  </si>
  <si>
    <t>Diárias Equipe AGU  - Acompanhamento dos Trabalhos</t>
  </si>
  <si>
    <t xml:space="preserve">Passagens Equipe AGU - Implementação dos Processos </t>
  </si>
  <si>
    <t xml:space="preserve">Diárias Equipe AGU - Implementação dos Processos </t>
  </si>
  <si>
    <t>Passagens Equipe AGU</t>
  </si>
  <si>
    <t xml:space="preserve">Diárias Equipe AGU </t>
  </si>
  <si>
    <t xml:space="preserve">R$ </t>
  </si>
  <si>
    <t>BRASIL</t>
  </si>
  <si>
    <t>Projeto BR-L1277</t>
  </si>
  <si>
    <t xml:space="preserve">PLANO DE AQUISIÇÕES (PA) - 18 MESES </t>
  </si>
  <si>
    <r>
      <t xml:space="preserve">Atualizado por: </t>
    </r>
    <r>
      <rPr>
        <b/>
        <sz val="11"/>
        <color rgb="FFFF0000"/>
        <rFont val="Calibri"/>
        <family val="2"/>
        <scheme val="minor"/>
      </rPr>
      <t>[indicar]</t>
    </r>
  </si>
  <si>
    <t>Nº</t>
  </si>
  <si>
    <t>Descrição do Contrato</t>
  </si>
  <si>
    <t>Custo</t>
  </si>
  <si>
    <t>Método</t>
  </si>
  <si>
    <t>Revisão</t>
  </si>
  <si>
    <t>Fonte</t>
  </si>
  <si>
    <t>Datas Estimadas</t>
  </si>
  <si>
    <t>Status</t>
  </si>
  <si>
    <t>Comentário</t>
  </si>
  <si>
    <t>Aquisição</t>
  </si>
  <si>
    <t>Publicação</t>
  </si>
  <si>
    <t>Término</t>
  </si>
  <si>
    <t>(1)</t>
  </si>
  <si>
    <t>(2)</t>
  </si>
  <si>
    <t>(%)</t>
  </si>
  <si>
    <t>Anúncio</t>
  </si>
  <si>
    <t>Contrato</t>
  </si>
  <si>
    <t>(3)</t>
  </si>
  <si>
    <t>1. SERVIÇOS DE CONSULTORIA</t>
  </si>
  <si>
    <t>Seleção e Contratação de Consultoria para elaboração de um Plano de ação para a implementação da estratégia para melhorar a defesa jurídica do Estado e o papel da AGU na sustentabilidade jurídica das políticas públicas incluindo a avaliação dos riscos para o Estado (Diretrizes Estratégicas 2008/2015)</t>
  </si>
  <si>
    <t>SBMC</t>
  </si>
  <si>
    <t>ex-ante</t>
  </si>
  <si>
    <t>P</t>
  </si>
  <si>
    <t xml:space="preserve">Seleção e Contratação de consultoria para Prospecção de boas práticas em gerenciamento de riscos: a) p/ troca de experiências nacionais e internacionais; b) análises de viabilidade de implementação de melhorias no sistema existente e integração ao e-AGU. </t>
  </si>
  <si>
    <t>SQC</t>
  </si>
  <si>
    <t>Seleção e Contratação de Consultoria para Conclusão do Projeto Lógico dos módulos Crédito Ativo.</t>
  </si>
  <si>
    <t>Seleção e Contratação de Consultor Individual Internacional</t>
  </si>
  <si>
    <t>CI</t>
  </si>
  <si>
    <t>Seleção e Contratação de 02 Consultores Individuais para elaboração de Sistema de indicadores, metas e avaliação da gestão por resultados</t>
  </si>
  <si>
    <t>Seleção e Contratação de Consultor Individual especialista em gestão do conhecimento</t>
  </si>
  <si>
    <t>Seleção e Contratação de Consultor Individual especialista em  gestão/desenho de processos</t>
  </si>
  <si>
    <t xml:space="preserve">Modelo dinâmico de gerência, controle, otimização, integração e sustentabilidade dos processos operacionais e de gestão - Seleção e Contratação de consultoria para: (i) Definição da Metodologia; (ii) Definição da Ferramenta; (iii) Definição do modelo de capacitação; (iv) Plano de Implementação gradual; e  (v) Implementar metodologia.
</t>
  </si>
  <si>
    <t>Unidade responsável pela definição e monitoramento dos projetos institucionais (Escitório de Gestão de Projetos)</t>
  </si>
  <si>
    <t>SBQC</t>
  </si>
  <si>
    <t xml:space="preserve">Seleção e Contratação de Consultoria para elaborar Plano de estratégias de prevenção abrangente a todos os órgãos da Administração Direta </t>
  </si>
  <si>
    <t>Seleção e Contratação de Consultoria para elaborar Plano de estratégias de prevenção abrangente a todos os órgãos da Administração Indireta</t>
  </si>
  <si>
    <t xml:space="preserve">Seleção e Contratação de Consultoria para definição e implementação de Métodos Alternativos de Resolução de Conflitos (MARC) </t>
  </si>
  <si>
    <t>Seleção e Contratação de Consultoria para elaboração de Plano de Capacitação contínua de pessoal especializado em gerenciamento e recuperação de créditos</t>
  </si>
  <si>
    <t xml:space="preserve">Seleção e Contratação de Consultoria para elaboração de um Plano de ação para aprimoramento da integração interinstitucional entre os órgãos responsáveis pela dívida ativa </t>
  </si>
  <si>
    <t>SBQ</t>
  </si>
  <si>
    <t xml:space="preserve">Seleção e Contratação de Consultoria para identificar Solução para identificação e facilitação da eliminação dos pagamentos indevidos nos processos contra o Estado pela dívida ativa </t>
  </si>
  <si>
    <t xml:space="preserve">Seleção e Contratação de Consultoria Especializada em Análise de Sistemas e Modelo Conceitual de Dados para o Sistema Integrado de Gestão Jurídica da AGU </t>
  </si>
  <si>
    <t>Seleção e Contratação de Consultoria Especializada em Gestão documental - GED</t>
  </si>
  <si>
    <t>Seleção e Contratação de Consultoria para Redesenho e implementação dos fluxos de trabalho relativos a cálculos e perícias</t>
  </si>
  <si>
    <t>Seleção e Contratação de Consultoria para elaboração do plano estratégico de gestão da Secretaria-Geral</t>
  </si>
  <si>
    <t xml:space="preserve">Seleção e Contratação de Consultoria para Reestruturação dos fluxos de trabalho dos processos administrativos </t>
  </si>
  <si>
    <t>Seleção e Contratação de Consultoria para Implementação dos centros de custos</t>
  </si>
  <si>
    <t>Seleção e Contratação de Consultoria para Revisão do modelo de gestão logística territorial e avaliação da implementação</t>
  </si>
  <si>
    <t xml:space="preserve">Seleção e Contratação de Consultoria para Implantação de Sistema Integrado de Gestão Administrativa, sincronizado ao SIAFI </t>
  </si>
  <si>
    <t>Seleção e Contratação de Consultoria para desenho e implementação da Política de comunicação das mudanças aos cidadãos, sobre as ações previstas no Projeto</t>
  </si>
  <si>
    <t xml:space="preserve">Seleção e Contratação de Consultoria para elaboração e implementação do Plano de comunicação interna de mudanças </t>
  </si>
  <si>
    <t xml:space="preserve"> Seleção e Contratação de Consultoria para elaboração e implementação do Plano de Gestão da Mudança</t>
  </si>
  <si>
    <t>SUBTORAL DE CONSULTORIA</t>
  </si>
  <si>
    <t>Notas:</t>
  </si>
  <si>
    <r>
      <rPr>
        <b/>
        <sz val="10"/>
        <color theme="1"/>
        <rFont val="Calibri"/>
        <family val="2"/>
        <scheme val="minor"/>
      </rPr>
      <t>Revisões BID</t>
    </r>
    <r>
      <rPr>
        <sz val="10"/>
        <color theme="1"/>
        <rFont val="Calibri"/>
        <family val="2"/>
        <scheme val="minor"/>
      </rPr>
      <t xml:space="preserve">: i) </t>
    </r>
    <r>
      <rPr>
        <i/>
        <sz val="10"/>
        <color theme="1"/>
        <rFont val="Calibri"/>
        <family val="2"/>
        <scheme val="minor"/>
      </rPr>
      <t>Ex-ante &gt; anterior a seleção/contratação; ii) Ex-post &gt; posterior a seleção/contratação</t>
    </r>
  </si>
  <si>
    <r>
      <rPr>
        <b/>
        <sz val="10"/>
        <color theme="1"/>
        <rFont val="Calibri"/>
        <family val="2"/>
        <scheme val="minor"/>
      </rPr>
      <t>Status</t>
    </r>
    <r>
      <rPr>
        <sz val="10"/>
        <color theme="1"/>
        <rFont val="Calibri"/>
        <family val="2"/>
        <scheme val="minor"/>
      </rPr>
      <t>: Pendente (P); Em Processo  (EP); Adjudicado (A); Cancelado (C )</t>
    </r>
  </si>
  <si>
    <r>
      <t xml:space="preserve">Atualizado em: </t>
    </r>
    <r>
      <rPr>
        <b/>
        <sz val="11"/>
        <color rgb="FFFF0000"/>
        <rFont val="Calibri"/>
        <family val="2"/>
        <scheme val="minor"/>
      </rPr>
      <t xml:space="preserve"> Maio/2011</t>
    </r>
  </si>
  <si>
    <t>Atualização Nº: 2</t>
  </si>
  <si>
    <t xml:space="preserve">Seleção e Contratação de Consultoria para modelar e implantar os Fluxos de trabalho Jurídicos da Administração Direta </t>
  </si>
  <si>
    <t xml:space="preserve">Seleção e Contratação de Consultoria para modelar e implantar os Fluxos de trabalho de Consultoria e Assessoramento Jurídicos na Administração Direta </t>
  </si>
  <si>
    <t>Seleção e Contratação de Consultoria para modelar e implantar os Fluxos de trabalho Jurídicos na Administração Indireta</t>
  </si>
  <si>
    <t>dez/2016</t>
  </si>
  <si>
    <t>SUBTORAL DE EQUIPAMENTOS E SERVIÇOS</t>
  </si>
  <si>
    <t>PE</t>
  </si>
  <si>
    <t>Seleção e Contratação de Serviços Graficos</t>
  </si>
  <si>
    <t xml:space="preserve">Seleção e Contratação de Serviços de Logistica de Eventos </t>
  </si>
  <si>
    <t>Referente a 3.250 estações (50% do total previsto).</t>
  </si>
  <si>
    <t>ex-post</t>
  </si>
  <si>
    <t xml:space="preserve">Aquisição de Estações de Trabalho </t>
  </si>
  <si>
    <t>Aquisição de CPD Central com espelho (Sevidores e Storage)</t>
  </si>
  <si>
    <t>Aquisição, customização e implementação de Solução para avaliação de Riscos</t>
  </si>
  <si>
    <t>CP</t>
  </si>
  <si>
    <t xml:space="preserve">Aquisição, instalação e implementação de Ferramenta de Gerenciamento de Projetos </t>
  </si>
  <si>
    <t>Aquisição, instalação e implementação de Ferramenta de Modelagem de Processos na AGU</t>
  </si>
  <si>
    <t>Aquisição e adequação/customização e instalação de Ferramenta de BI incluindo recursos para Text Mining e Data Mining</t>
  </si>
  <si>
    <t>2. BENS E SERVIÇOS (QUE NÃO SEJAM DE CONSULTORIA)</t>
  </si>
  <si>
    <r>
      <rPr>
        <b/>
        <sz val="10"/>
        <color theme="1"/>
        <rFont val="Calibri"/>
        <family val="2"/>
        <scheme val="minor"/>
      </rPr>
      <t>Métodos de Seleção de Consultoria</t>
    </r>
    <r>
      <rPr>
        <sz val="10"/>
        <color theme="1"/>
        <rFont val="Calibri"/>
        <family val="2"/>
        <scheme val="minor"/>
      </rPr>
      <t xml:space="preserve">: i) </t>
    </r>
    <r>
      <rPr>
        <b/>
        <sz val="10"/>
        <color theme="1"/>
        <rFont val="Calibri"/>
        <family val="2"/>
        <scheme val="minor"/>
      </rPr>
      <t>SBQC:</t>
    </r>
    <r>
      <rPr>
        <sz val="10"/>
        <color theme="1"/>
        <rFont val="Calibri"/>
        <family val="2"/>
        <scheme val="minor"/>
      </rPr>
      <t xml:space="preserve"> Seleção Baseada na Qualidade e no Custo; ii) </t>
    </r>
    <r>
      <rPr>
        <b/>
        <sz val="10"/>
        <color theme="1"/>
        <rFont val="Calibri"/>
        <family val="2"/>
        <scheme val="minor"/>
      </rPr>
      <t xml:space="preserve">SQC: </t>
    </r>
    <r>
      <rPr>
        <sz val="10"/>
        <color theme="1"/>
        <rFont val="Calibri"/>
        <family val="2"/>
        <scheme val="minor"/>
      </rPr>
      <t xml:space="preserve">Seleção Baseada nas Qualificações dos Consultores; iii) </t>
    </r>
    <r>
      <rPr>
        <b/>
        <sz val="10"/>
        <color theme="1"/>
        <rFont val="Calibri"/>
        <family val="2"/>
        <scheme val="minor"/>
      </rPr>
      <t xml:space="preserve">SBMC: </t>
    </r>
    <r>
      <rPr>
        <sz val="10"/>
        <color theme="1"/>
        <rFont val="Calibri"/>
        <family val="2"/>
        <scheme val="minor"/>
      </rPr>
      <t xml:space="preserve">Seleção Baseada no Menor Custo; iv) </t>
    </r>
    <r>
      <rPr>
        <b/>
        <sz val="10"/>
        <color theme="1"/>
        <rFont val="Calibri"/>
        <family val="2"/>
        <scheme val="minor"/>
      </rPr>
      <t xml:space="preserve">SBQ: </t>
    </r>
    <r>
      <rPr>
        <sz val="10"/>
        <color theme="1"/>
        <rFont val="Calibri"/>
        <family val="2"/>
        <scheme val="minor"/>
      </rPr>
      <t xml:space="preserve">Seleção Baseada na Qualidade; v) SBOF: Seleção Baseada no Orçamento Fixo; vi) </t>
    </r>
    <r>
      <rPr>
        <b/>
        <sz val="10"/>
        <color theme="1"/>
        <rFont val="Calibri"/>
        <family val="2"/>
        <scheme val="minor"/>
      </rPr>
      <t>CD:</t>
    </r>
    <r>
      <rPr>
        <sz val="10"/>
        <color theme="1"/>
        <rFont val="Calibri"/>
        <family val="2"/>
        <scheme val="minor"/>
      </rPr>
      <t xml:space="preserve"> Contratação Direta; vii) </t>
    </r>
    <r>
      <rPr>
        <b/>
        <sz val="10"/>
        <color theme="1"/>
        <rFont val="Calibri"/>
        <family val="2"/>
        <scheme val="minor"/>
      </rPr>
      <t>CI:</t>
    </r>
    <r>
      <rPr>
        <sz val="10"/>
        <color theme="1"/>
        <rFont val="Calibri"/>
        <family val="2"/>
        <scheme val="minor"/>
      </rPr>
      <t xml:space="preserve"> Consultor Individual.
</t>
    </r>
    <r>
      <rPr>
        <b/>
        <sz val="10"/>
        <color theme="1"/>
        <rFont val="Calibri"/>
        <family val="2"/>
        <scheme val="minor"/>
      </rPr>
      <t>Modalidades de Aquisição:</t>
    </r>
    <r>
      <rPr>
        <sz val="10"/>
        <color theme="1"/>
        <rFont val="Calibri"/>
        <family val="2"/>
        <scheme val="minor"/>
      </rPr>
      <t xml:space="preserve">i) LPI: Licitação Pública Internacional; ii) LPN: Licitação Pública Nacional; iii) CP: Comparação de Preços; iv) PE: Pregão Eletronico. </t>
    </r>
  </si>
  <si>
    <t>(US$ )</t>
  </si>
  <si>
    <t xml:space="preserve">Estimado </t>
  </si>
</sst>
</file>

<file path=xl/styles.xml><?xml version="1.0" encoding="utf-8"?>
<styleSheet xmlns="http://schemas.openxmlformats.org/spreadsheetml/2006/main">
  <numFmts count="15">
    <numFmt numFmtId="43" formatCode="_(* #,##0.00_);_(* \(#,##0.00\);_(* &quot;-&quot;??_);_(@_)"/>
    <numFmt numFmtId="164" formatCode="_-* #,##0.00_-;\-* #,##0.00_-;_-* &quot;-&quot;??_-;_-@_-"/>
    <numFmt numFmtId="165" formatCode="mm/yy"/>
    <numFmt numFmtId="166" formatCode="_(* #,##0.00_);_(* \(#,##0.00\);_(* \-??_);_(@_)"/>
    <numFmt numFmtId="167" formatCode="_(* #,##0_);_(* \(#,##0\);_(* \-??_);_(@_)"/>
    <numFmt numFmtId="168" formatCode="&quot;R$ &quot;#,##0.00_);[Red]&quot;(R$ &quot;#,##0.00\)"/>
    <numFmt numFmtId="169" formatCode="dd/mm/yy"/>
    <numFmt numFmtId="170" formatCode="#,##0.00&quot;   &quot;;\-#,##0.00&quot;   &quot;"/>
    <numFmt numFmtId="171" formatCode="_(* #,##0_);_(* \(#,##0\);_(* &quot;-&quot;??_);_(@_)"/>
    <numFmt numFmtId="172" formatCode="[$-416]mmm\-yy;@"/>
    <numFmt numFmtId="173" formatCode="_(* #,##0.0_);_(* \(#,##0.0\);_(* \-??_);_(@_)"/>
    <numFmt numFmtId="174" formatCode="&quot;R$&quot;\ #,##0.00"/>
    <numFmt numFmtId="175" formatCode="_(* #,##0.000_);_(* \(#,##0.000\);_(* &quot;-&quot;???_);_(@_)"/>
    <numFmt numFmtId="176" formatCode="_(* #,##0.00000000_);_(* \(#,##0.00000000\);_(* \-??_);_(@_)"/>
    <numFmt numFmtId="177" formatCode="_(* #,##0.000_);_(* \(#,##0.000\);_(* \-??_);_(@_)"/>
  </numFmts>
  <fonts count="53">
    <font>
      <sz val="10"/>
      <name val="Arial"/>
    </font>
    <font>
      <sz val="10"/>
      <name val="Arial"/>
      <family val="2"/>
    </font>
    <font>
      <b/>
      <sz val="10"/>
      <name val="Arial"/>
      <family val="2"/>
    </font>
    <font>
      <b/>
      <sz val="14"/>
      <color indexed="10"/>
      <name val="Arial"/>
      <family val="2"/>
    </font>
    <font>
      <b/>
      <sz val="12"/>
      <name val="Arial"/>
      <family val="2"/>
    </font>
    <font>
      <b/>
      <sz val="11"/>
      <name val="Arial"/>
      <family val="2"/>
    </font>
    <font>
      <sz val="10"/>
      <name val="Arial"/>
      <family val="2"/>
    </font>
    <font>
      <b/>
      <sz val="10"/>
      <color indexed="12"/>
      <name val="Arial"/>
      <family val="2"/>
    </font>
    <font>
      <b/>
      <sz val="12"/>
      <color indexed="10"/>
      <name val="Arial"/>
      <family val="2"/>
    </font>
    <font>
      <b/>
      <sz val="10"/>
      <color indexed="10"/>
      <name val="Arial"/>
      <family val="2"/>
    </font>
    <font>
      <sz val="10"/>
      <color indexed="10"/>
      <name val="Arial"/>
      <family val="2"/>
    </font>
    <font>
      <u/>
      <sz val="10"/>
      <color indexed="12"/>
      <name val="Arial"/>
      <family val="2"/>
    </font>
    <font>
      <b/>
      <sz val="10"/>
      <name val="Arial"/>
      <family val="2"/>
    </font>
    <font>
      <sz val="10"/>
      <name val="Arial"/>
      <family val="2"/>
    </font>
    <font>
      <sz val="9"/>
      <color indexed="81"/>
      <name val="Tahoma"/>
      <family val="2"/>
    </font>
    <font>
      <b/>
      <sz val="9"/>
      <color indexed="81"/>
      <name val="Tahoma"/>
      <family val="2"/>
    </font>
    <font>
      <sz val="9"/>
      <name val="Arial"/>
      <family val="2"/>
    </font>
    <font>
      <b/>
      <sz val="9"/>
      <color indexed="12"/>
      <name val="Arial"/>
      <family val="2"/>
    </font>
    <font>
      <b/>
      <sz val="9"/>
      <name val="Arial"/>
      <family val="2"/>
    </font>
    <font>
      <b/>
      <sz val="10"/>
      <color indexed="10"/>
      <name val="Arial"/>
      <family val="2"/>
    </font>
    <font>
      <b/>
      <sz val="10"/>
      <color indexed="30"/>
      <name val="Arial"/>
      <family val="2"/>
    </font>
    <font>
      <sz val="10"/>
      <name val="Times New Roman"/>
      <family val="1"/>
    </font>
    <font>
      <sz val="10"/>
      <color indexed="10"/>
      <name val="Times New Roman"/>
      <family val="1"/>
    </font>
    <font>
      <b/>
      <sz val="10"/>
      <color indexed="10"/>
      <name val="Arial"/>
      <family val="2"/>
    </font>
    <font>
      <sz val="10"/>
      <name val="Arial"/>
      <family val="2"/>
    </font>
    <font>
      <sz val="10"/>
      <color indexed="8"/>
      <name val="Arial"/>
      <family val="2"/>
    </font>
    <font>
      <b/>
      <sz val="14"/>
      <name val="Arial"/>
      <family val="2"/>
    </font>
    <font>
      <sz val="10"/>
      <color rgb="FFFF0000"/>
      <name val="Arial"/>
      <family val="2"/>
    </font>
    <font>
      <sz val="10"/>
      <color rgb="FF3333FF"/>
      <name val="Arial"/>
      <family val="2"/>
    </font>
    <font>
      <b/>
      <sz val="10"/>
      <color rgb="FF0000FF"/>
      <name val="Arial"/>
      <family val="2"/>
    </font>
    <font>
      <sz val="10"/>
      <color theme="1"/>
      <name val="Arial"/>
      <family val="2"/>
    </font>
    <font>
      <b/>
      <sz val="14"/>
      <color rgb="FF3333FF"/>
      <name val="Arial"/>
      <family val="2"/>
    </font>
    <font>
      <sz val="8"/>
      <name val="Arial"/>
      <family val="2"/>
    </font>
    <font>
      <sz val="8"/>
      <color theme="1"/>
      <name val="Arial"/>
      <family val="2"/>
    </font>
    <font>
      <b/>
      <sz val="11"/>
      <color rgb="FFFF0000"/>
      <name val="Arial"/>
      <family val="2"/>
    </font>
    <font>
      <b/>
      <i/>
      <sz val="9"/>
      <name val="Arial"/>
      <family val="2"/>
    </font>
    <font>
      <b/>
      <sz val="8"/>
      <name val="Arial"/>
      <family val="2"/>
    </font>
    <font>
      <b/>
      <sz val="8"/>
      <color theme="1"/>
      <name val="Arial"/>
      <family val="2"/>
    </font>
    <font>
      <b/>
      <sz val="11"/>
      <color theme="1"/>
      <name val="Calibri"/>
      <family val="2"/>
      <scheme val="minor"/>
    </font>
    <font>
      <b/>
      <sz val="14"/>
      <color theme="1"/>
      <name val="Calibri"/>
      <family val="2"/>
      <scheme val="minor"/>
    </font>
    <font>
      <b/>
      <sz val="11"/>
      <color rgb="FFFF0000"/>
      <name val="Calibri"/>
      <family val="2"/>
      <scheme val="minor"/>
    </font>
    <font>
      <b/>
      <sz val="10"/>
      <color theme="1"/>
      <name val="Calibri"/>
      <family val="2"/>
      <scheme val="minor"/>
    </font>
    <font>
      <sz val="12"/>
      <color theme="1"/>
      <name val="Times New Roman"/>
      <family val="1"/>
    </font>
    <font>
      <b/>
      <sz val="10"/>
      <name val="Calibri"/>
      <family val="2"/>
      <scheme val="minor"/>
    </font>
    <font>
      <sz val="10"/>
      <name val="Calibri"/>
      <family val="2"/>
      <scheme val="minor"/>
    </font>
    <font>
      <i/>
      <sz val="10"/>
      <name val="Calibri"/>
      <family val="2"/>
      <scheme val="minor"/>
    </font>
    <font>
      <sz val="10"/>
      <color rgb="FF3333CC"/>
      <name val="Calibri"/>
      <family val="2"/>
      <scheme val="minor"/>
    </font>
    <font>
      <i/>
      <sz val="10"/>
      <color rgb="FF3333CC"/>
      <name val="Calibri"/>
      <family val="2"/>
      <scheme val="minor"/>
    </font>
    <font>
      <sz val="8"/>
      <color theme="1"/>
      <name val="Calibri"/>
      <family val="2"/>
      <scheme val="minor"/>
    </font>
    <font>
      <b/>
      <sz val="12"/>
      <color theme="1"/>
      <name val="Calibri"/>
      <family val="2"/>
      <scheme val="minor"/>
    </font>
    <font>
      <sz val="10"/>
      <color theme="1"/>
      <name val="Calibri"/>
      <family val="2"/>
      <scheme val="minor"/>
    </font>
    <font>
      <i/>
      <sz val="10"/>
      <color theme="1"/>
      <name val="Calibri"/>
      <family val="2"/>
      <scheme val="minor"/>
    </font>
    <font>
      <b/>
      <sz val="11"/>
      <color rgb="FF3333CC"/>
      <name val="Calibri"/>
      <family val="2"/>
      <scheme val="minor"/>
    </font>
  </fonts>
  <fills count="30">
    <fill>
      <patternFill patternType="none"/>
    </fill>
    <fill>
      <patternFill patternType="gray125"/>
    </fill>
    <fill>
      <patternFill patternType="solid">
        <fgColor indexed="22"/>
        <bgColor indexed="31"/>
      </patternFill>
    </fill>
    <fill>
      <patternFill patternType="solid">
        <fgColor indexed="43"/>
        <bgColor indexed="26"/>
      </patternFill>
    </fill>
    <fill>
      <patternFill patternType="solid">
        <fgColor indexed="47"/>
        <bgColor indexed="22"/>
      </patternFill>
    </fill>
    <fill>
      <patternFill patternType="solid">
        <fgColor indexed="42"/>
        <bgColor indexed="27"/>
      </patternFill>
    </fill>
    <fill>
      <patternFill patternType="solid">
        <fgColor indexed="22"/>
        <bgColor indexed="26"/>
      </patternFill>
    </fill>
    <fill>
      <patternFill patternType="solid">
        <fgColor indexed="22"/>
        <bgColor indexed="64"/>
      </patternFill>
    </fill>
    <fill>
      <patternFill patternType="solid">
        <fgColor indexed="42"/>
        <bgColor indexed="64"/>
      </patternFill>
    </fill>
    <fill>
      <patternFill patternType="solid">
        <fgColor indexed="55"/>
        <bgColor indexed="64"/>
      </patternFill>
    </fill>
    <fill>
      <patternFill patternType="solid">
        <fgColor indexed="43"/>
        <bgColor indexed="64"/>
      </patternFill>
    </fill>
    <fill>
      <patternFill patternType="solid">
        <fgColor indexed="27"/>
        <bgColor indexed="41"/>
      </patternFill>
    </fill>
    <fill>
      <patternFill patternType="solid">
        <fgColor indexed="44"/>
        <bgColor indexed="31"/>
      </patternFill>
    </fill>
    <fill>
      <patternFill patternType="solid">
        <fgColor indexed="13"/>
        <bgColor indexed="34"/>
      </patternFill>
    </fill>
    <fill>
      <patternFill patternType="solid">
        <fgColor rgb="FFFFFF00"/>
        <bgColor indexed="64"/>
      </patternFill>
    </fill>
    <fill>
      <patternFill patternType="solid">
        <fgColor rgb="FF92D050"/>
        <bgColor indexed="64"/>
      </patternFill>
    </fill>
    <fill>
      <patternFill patternType="solid">
        <fgColor rgb="FF92D050"/>
        <bgColor indexed="26"/>
      </patternFill>
    </fill>
    <fill>
      <patternFill patternType="solid">
        <fgColor theme="3" tint="0.39997558519241921"/>
        <bgColor indexed="64"/>
      </patternFill>
    </fill>
    <fill>
      <patternFill patternType="solid">
        <fgColor theme="0"/>
        <bgColor indexed="64"/>
      </patternFill>
    </fill>
    <fill>
      <patternFill patternType="solid">
        <fgColor theme="0"/>
        <bgColor indexed="31"/>
      </patternFill>
    </fill>
    <fill>
      <patternFill patternType="solid">
        <fgColor theme="2" tint="-0.249977111117893"/>
        <bgColor indexed="27"/>
      </patternFill>
    </fill>
    <fill>
      <patternFill patternType="solid">
        <fgColor rgb="FFFF0000"/>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tint="-0.249977111117893"/>
        <bgColor indexed="26"/>
      </patternFill>
    </fill>
    <fill>
      <patternFill patternType="solid">
        <fgColor theme="0" tint="-0.14996795556505021"/>
        <bgColor indexed="64"/>
      </patternFill>
    </fill>
    <fill>
      <patternFill patternType="solid">
        <fgColor theme="4" tint="0.39997558519241921"/>
        <bgColor indexed="64"/>
      </patternFill>
    </fill>
    <fill>
      <patternFill patternType="solid">
        <fgColor rgb="FFFFFF00"/>
        <bgColor indexed="31"/>
      </patternFill>
    </fill>
    <fill>
      <patternFill patternType="solid">
        <fgColor rgb="FFFFFF00"/>
        <bgColor indexed="22"/>
      </patternFill>
    </fill>
    <fill>
      <patternFill patternType="solid">
        <fgColor rgb="FFFFFF00"/>
        <bgColor indexed="27"/>
      </patternFill>
    </fill>
  </fills>
  <borders count="167">
    <border>
      <left/>
      <right/>
      <top/>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thin">
        <color indexed="8"/>
      </left>
      <right style="thin">
        <color indexed="8"/>
      </right>
      <top style="medium">
        <color indexed="8"/>
      </top>
      <bottom/>
      <diagonal/>
    </border>
    <border>
      <left style="thin">
        <color indexed="8"/>
      </left>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bottom/>
      <diagonal/>
    </border>
    <border>
      <left style="medium">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8"/>
      </right>
      <top/>
      <bottom style="thin">
        <color indexed="8"/>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right style="thin">
        <color indexed="8"/>
      </right>
      <top style="medium">
        <color indexed="64"/>
      </top>
      <bottom style="thin">
        <color indexed="8"/>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8"/>
      </left>
      <right style="medium">
        <color indexed="8"/>
      </right>
      <top/>
      <bottom style="thin">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medium">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8"/>
      </right>
      <top style="thin">
        <color indexed="8"/>
      </top>
      <bottom style="thin">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diagonal/>
    </border>
    <border>
      <left style="thin">
        <color indexed="8"/>
      </left>
      <right style="medium">
        <color indexed="64"/>
      </right>
      <top style="thin">
        <color indexed="8"/>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8"/>
      </left>
      <right style="thin">
        <color indexed="8"/>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8"/>
      </right>
      <top style="medium">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64"/>
      </right>
      <top style="thin">
        <color indexed="64"/>
      </top>
      <bottom style="thin">
        <color indexed="8"/>
      </bottom>
      <diagonal/>
    </border>
    <border>
      <left style="medium">
        <color indexed="8"/>
      </left>
      <right style="thin">
        <color indexed="64"/>
      </right>
      <top style="thin">
        <color indexed="8"/>
      </top>
      <bottom/>
      <diagonal/>
    </border>
    <border>
      <left style="medium">
        <color indexed="8"/>
      </left>
      <right style="thin">
        <color indexed="64"/>
      </right>
      <top/>
      <bottom/>
      <diagonal/>
    </border>
    <border>
      <left style="medium">
        <color indexed="8"/>
      </left>
      <right style="thin">
        <color indexed="64"/>
      </right>
      <top/>
      <bottom style="thin">
        <color indexed="8"/>
      </bottom>
      <diagonal/>
    </border>
    <border>
      <left style="medium">
        <color indexed="8"/>
      </left>
      <right/>
      <top style="medium">
        <color indexed="8"/>
      </top>
      <bottom style="thin">
        <color indexed="8"/>
      </bottom>
      <diagonal/>
    </border>
    <border>
      <left/>
      <right style="thin">
        <color indexed="64"/>
      </right>
      <top style="medium">
        <color indexed="8"/>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8"/>
      </left>
      <right style="medium">
        <color indexed="64"/>
      </right>
      <top/>
      <bottom/>
      <diagonal/>
    </border>
    <border>
      <left style="thin">
        <color indexed="8"/>
      </left>
      <right style="medium">
        <color indexed="64"/>
      </right>
      <top/>
      <bottom style="medium">
        <color indexed="8"/>
      </bottom>
      <diagonal/>
    </border>
    <border>
      <left style="thin">
        <color indexed="8"/>
      </left>
      <right style="thin">
        <color indexed="8"/>
      </right>
      <top/>
      <bottom style="medium">
        <color indexed="8"/>
      </bottom>
      <diagonal/>
    </border>
    <border>
      <left style="medium">
        <color indexed="64"/>
      </left>
      <right style="thin">
        <color indexed="8"/>
      </right>
      <top style="medium">
        <color indexed="64"/>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8"/>
      </top>
      <bottom style="medium">
        <color indexed="64"/>
      </bottom>
      <diagonal/>
    </border>
    <border>
      <left style="medium">
        <color indexed="8"/>
      </left>
      <right/>
      <top style="medium">
        <color indexed="64"/>
      </top>
      <bottom style="thin">
        <color indexed="8"/>
      </bottom>
      <diagonal/>
    </border>
    <border>
      <left/>
      <right style="medium">
        <color indexed="8"/>
      </right>
      <top style="medium">
        <color indexed="64"/>
      </top>
      <bottom style="thin">
        <color indexed="8"/>
      </bottom>
      <diagonal/>
    </border>
    <border>
      <left/>
      <right/>
      <top style="medium">
        <color indexed="64"/>
      </top>
      <bottom style="thin">
        <color indexed="8"/>
      </bottom>
      <diagonal/>
    </border>
    <border>
      <left style="thin">
        <color indexed="8"/>
      </left>
      <right style="medium">
        <color indexed="8"/>
      </right>
      <top style="medium">
        <color indexed="64"/>
      </top>
      <bottom style="medium">
        <color indexed="8"/>
      </bottom>
      <diagonal/>
    </border>
    <border>
      <left style="thin">
        <color indexed="8"/>
      </left>
      <right style="medium">
        <color indexed="8"/>
      </right>
      <top style="medium">
        <color indexed="8"/>
      </top>
      <bottom style="medium">
        <color indexed="64"/>
      </bottom>
      <diagonal/>
    </border>
    <border>
      <left style="medium">
        <color indexed="8"/>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right/>
      <top/>
      <bottom style="medium">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64"/>
      </bottom>
      <diagonal/>
    </border>
    <border>
      <left style="thin">
        <color indexed="64"/>
      </left>
      <right style="thin">
        <color indexed="8"/>
      </right>
      <top style="thin">
        <color indexed="64"/>
      </top>
      <bottom style="thin">
        <color indexed="64"/>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thin">
        <color indexed="8"/>
      </right>
      <top style="medium">
        <color indexed="8"/>
      </top>
      <bottom/>
      <diagonal/>
    </border>
    <border>
      <left/>
      <right style="medium">
        <color indexed="64"/>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bottom/>
      <diagonal/>
    </border>
    <border>
      <left style="medium">
        <color indexed="64"/>
      </left>
      <right style="thin">
        <color indexed="64"/>
      </right>
      <top/>
      <bottom style="medium">
        <color indexed="64"/>
      </bottom>
      <diagonal/>
    </border>
    <border>
      <left style="medium">
        <color auto="1"/>
      </left>
      <right style="medium">
        <color auto="1"/>
      </right>
      <top style="medium">
        <color auto="1"/>
      </top>
      <bottom/>
      <diagonal/>
    </border>
    <border>
      <left/>
      <right style="medium">
        <color indexed="64"/>
      </right>
      <top style="medium">
        <color indexed="64"/>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indexed="64"/>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5">
    <xf numFmtId="0" fontId="0" fillId="0" borderId="0"/>
    <xf numFmtId="0" fontId="11" fillId="0" borderId="0" applyNumberFormat="0" applyFill="0" applyBorder="0" applyAlignment="0" applyProtection="0">
      <alignment vertical="top"/>
      <protection locked="0"/>
    </xf>
    <xf numFmtId="9" fontId="13" fillId="0" borderId="0" applyFill="0" applyBorder="0" applyAlignment="0" applyProtection="0"/>
    <xf numFmtId="166" fontId="13" fillId="0" borderId="0" applyFill="0" applyBorder="0" applyAlignment="0" applyProtection="0"/>
    <xf numFmtId="166" fontId="6" fillId="0" borderId="0" applyFill="0" applyBorder="0" applyAlignment="0" applyProtection="0"/>
  </cellStyleXfs>
  <cellXfs count="911">
    <xf numFmtId="0" fontId="0" fillId="0" borderId="0" xfId="0"/>
    <xf numFmtId="0" fontId="0" fillId="0" borderId="0" xfId="0" applyProtection="1">
      <protection locked="0"/>
    </xf>
    <xf numFmtId="0" fontId="0" fillId="0" borderId="0" xfId="0" applyAlignment="1">
      <alignment horizontal="center"/>
    </xf>
    <xf numFmtId="0" fontId="2" fillId="0" borderId="0" xfId="0" applyFont="1" applyAlignment="1" applyProtection="1">
      <alignment horizontal="right"/>
      <protection locked="0"/>
    </xf>
    <xf numFmtId="0" fontId="5" fillId="0" borderId="0" xfId="0" applyFont="1" applyAlignment="1">
      <alignment horizontal="center"/>
    </xf>
    <xf numFmtId="0" fontId="0" fillId="0" borderId="0" xfId="0" applyAlignment="1" applyProtection="1">
      <alignment horizontal="center"/>
      <protection locked="0"/>
    </xf>
    <xf numFmtId="0" fontId="5" fillId="0" borderId="1" xfId="0" applyFont="1" applyBorder="1" applyAlignment="1" applyProtection="1">
      <alignment horizontal="center"/>
      <protection locked="0"/>
    </xf>
    <xf numFmtId="0" fontId="5" fillId="0" borderId="2" xfId="0" applyFont="1" applyBorder="1" applyProtection="1">
      <protection locked="0"/>
    </xf>
    <xf numFmtId="0" fontId="5" fillId="0" borderId="0" xfId="0" applyFont="1" applyBorder="1" applyAlignment="1" applyProtection="1">
      <alignment horizontal="center"/>
      <protection locked="0"/>
    </xf>
    <xf numFmtId="0" fontId="5" fillId="0" borderId="3" xfId="0" applyFont="1" applyBorder="1" applyProtection="1">
      <protection locked="0"/>
    </xf>
    <xf numFmtId="0" fontId="5" fillId="0" borderId="0" xfId="0" applyFont="1" applyAlignment="1" applyProtection="1">
      <alignment horizontal="center"/>
      <protection locked="0"/>
    </xf>
    <xf numFmtId="0" fontId="5" fillId="0" borderId="3" xfId="0" applyFont="1" applyBorder="1" applyAlignment="1">
      <alignment horizontal="left"/>
    </xf>
    <xf numFmtId="0" fontId="6" fillId="0" borderId="0" xfId="0" applyFont="1"/>
    <xf numFmtId="0" fontId="6" fillId="0" borderId="0" xfId="0" applyFont="1" applyAlignment="1">
      <alignment horizontal="center"/>
    </xf>
    <xf numFmtId="167" fontId="0" fillId="0" borderId="0" xfId="3" applyNumberFormat="1" applyFont="1" applyFill="1" applyBorder="1" applyAlignment="1" applyProtection="1"/>
    <xf numFmtId="166" fontId="0" fillId="0" borderId="0" xfId="3" applyFont="1" applyFill="1" applyBorder="1" applyAlignment="1" applyProtection="1"/>
    <xf numFmtId="167" fontId="0" fillId="0" borderId="0" xfId="3" applyNumberFormat="1" applyFont="1" applyFill="1" applyBorder="1" applyAlignment="1" applyProtection="1">
      <alignment horizontal="center"/>
    </xf>
    <xf numFmtId="166" fontId="0" fillId="0" borderId="0" xfId="3" applyNumberFormat="1" applyFont="1" applyFill="1" applyBorder="1" applyAlignment="1" applyProtection="1"/>
    <xf numFmtId="0" fontId="7" fillId="0" borderId="4" xfId="0" applyFont="1" applyFill="1" applyBorder="1" applyAlignment="1">
      <alignment horizontal="left" vertical="center"/>
    </xf>
    <xf numFmtId="0" fontId="2" fillId="0" borderId="5" xfId="0" applyFont="1" applyFill="1" applyBorder="1" applyAlignment="1">
      <alignment horizontal="left" vertical="center"/>
    </xf>
    <xf numFmtId="0" fontId="6" fillId="0" borderId="5" xfId="0" applyFont="1" applyFill="1" applyBorder="1" applyAlignment="1">
      <alignment horizontal="left" vertical="center"/>
    </xf>
    <xf numFmtId="167" fontId="6" fillId="0" borderId="5" xfId="3" applyNumberFormat="1" applyFont="1" applyFill="1" applyBorder="1" applyAlignment="1" applyProtection="1"/>
    <xf numFmtId="166" fontId="6" fillId="0" borderId="5" xfId="3" applyFont="1" applyFill="1" applyBorder="1" applyAlignment="1" applyProtection="1"/>
    <xf numFmtId="0" fontId="6" fillId="0" borderId="5" xfId="0" applyFont="1" applyFill="1" applyBorder="1" applyAlignment="1">
      <alignment horizontal="left"/>
    </xf>
    <xf numFmtId="167" fontId="6" fillId="0" borderId="5" xfId="3" applyNumberFormat="1" applyFont="1" applyFill="1" applyBorder="1" applyAlignment="1" applyProtection="1">
      <alignment horizontal="center"/>
    </xf>
    <xf numFmtId="166" fontId="6" fillId="0" borderId="5" xfId="3" applyNumberFormat="1" applyFont="1" applyFill="1" applyBorder="1" applyAlignment="1" applyProtection="1">
      <alignment horizontal="left"/>
    </xf>
    <xf numFmtId="167" fontId="6" fillId="0" borderId="5" xfId="3" applyNumberFormat="1" applyFont="1" applyFill="1" applyBorder="1" applyAlignment="1" applyProtection="1">
      <alignment horizontal="left"/>
    </xf>
    <xf numFmtId="166" fontId="6" fillId="0" borderId="5" xfId="3" applyFont="1" applyFill="1" applyBorder="1" applyAlignment="1" applyProtection="1">
      <alignment horizontal="left"/>
    </xf>
    <xf numFmtId="0" fontId="0" fillId="0" borderId="0" xfId="0" applyFill="1" applyAlignment="1">
      <alignment wrapText="1"/>
    </xf>
    <xf numFmtId="0" fontId="0" fillId="0" borderId="0" xfId="0" applyAlignment="1">
      <alignment wrapText="1"/>
    </xf>
    <xf numFmtId="0" fontId="2" fillId="2" borderId="6" xfId="0" applyFont="1" applyFill="1" applyBorder="1" applyAlignment="1">
      <alignment horizontal="right" vertical="top" wrapText="1"/>
    </xf>
    <xf numFmtId="166" fontId="2" fillId="2" borderId="7" xfId="3" applyFont="1" applyFill="1" applyBorder="1" applyAlignment="1" applyProtection="1"/>
    <xf numFmtId="166" fontId="2" fillId="2" borderId="5" xfId="3" applyFont="1" applyFill="1" applyBorder="1" applyAlignment="1" applyProtection="1">
      <alignment vertical="top" wrapText="1"/>
    </xf>
    <xf numFmtId="167" fontId="2" fillId="2" borderId="5" xfId="3" applyNumberFormat="1" applyFont="1" applyFill="1" applyBorder="1" applyAlignment="1" applyProtection="1">
      <alignment vertical="top"/>
    </xf>
    <xf numFmtId="166" fontId="2" fillId="2" borderId="4" xfId="3" applyFont="1" applyFill="1" applyBorder="1" applyAlignment="1" applyProtection="1">
      <alignment vertical="top"/>
    </xf>
    <xf numFmtId="166" fontId="6" fillId="0" borderId="8" xfId="3" applyFont="1" applyFill="1" applyBorder="1" applyAlignment="1" applyProtection="1">
      <alignment horizontal="left"/>
    </xf>
    <xf numFmtId="0" fontId="0" fillId="0" borderId="9" xfId="0" applyFill="1" applyBorder="1" applyAlignment="1">
      <alignment wrapText="1"/>
    </xf>
    <xf numFmtId="167" fontId="0" fillId="0" borderId="9" xfId="3" applyNumberFormat="1" applyFont="1" applyFill="1" applyBorder="1" applyAlignment="1" applyProtection="1">
      <alignment wrapText="1"/>
    </xf>
    <xf numFmtId="166" fontId="0" fillId="0" borderId="9" xfId="3" applyFont="1" applyFill="1" applyBorder="1" applyAlignment="1" applyProtection="1">
      <alignment wrapText="1"/>
    </xf>
    <xf numFmtId="167" fontId="0" fillId="0" borderId="9" xfId="3" applyNumberFormat="1" applyFont="1" applyFill="1" applyBorder="1" applyAlignment="1" applyProtection="1">
      <alignment horizontal="center" wrapText="1"/>
    </xf>
    <xf numFmtId="166" fontId="0" fillId="0" borderId="9" xfId="3" applyNumberFormat="1" applyFont="1" applyFill="1" applyBorder="1" applyAlignment="1" applyProtection="1">
      <alignment wrapText="1"/>
    </xf>
    <xf numFmtId="0" fontId="0" fillId="0" borderId="0" xfId="0" applyProtection="1"/>
    <xf numFmtId="0" fontId="6" fillId="0" borderId="0" xfId="0" applyFont="1" applyProtection="1"/>
    <xf numFmtId="0" fontId="0" fillId="0" borderId="0" xfId="0" applyAlignment="1" applyProtection="1">
      <alignment horizontal="left"/>
    </xf>
    <xf numFmtId="0" fontId="2" fillId="3" borderId="6"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166" fontId="0" fillId="0" borderId="0" xfId="0" applyNumberFormat="1" applyProtection="1"/>
    <xf numFmtId="166" fontId="2" fillId="0" borderId="0" xfId="0" applyNumberFormat="1" applyFont="1" applyProtection="1"/>
    <xf numFmtId="0" fontId="2" fillId="0" borderId="0" xfId="0" applyFont="1" applyProtection="1"/>
    <xf numFmtId="166" fontId="2" fillId="0" borderId="0" xfId="0" applyNumberFormat="1" applyFont="1" applyFill="1" applyProtection="1"/>
    <xf numFmtId="0" fontId="2" fillId="0" borderId="0" xfId="0" applyFont="1" applyFill="1" applyProtection="1"/>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7" fillId="0" borderId="5" xfId="0" applyFont="1" applyFill="1" applyBorder="1" applyAlignment="1" applyProtection="1">
      <alignment horizontal="right" vertical="center"/>
    </xf>
    <xf numFmtId="168" fontId="2" fillId="0" borderId="8" xfId="0" applyNumberFormat="1" applyFont="1" applyFill="1" applyBorder="1" applyAlignment="1" applyProtection="1">
      <alignment vertical="center"/>
      <protection locked="0"/>
    </xf>
    <xf numFmtId="0" fontId="2" fillId="4" borderId="6"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0" borderId="11"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6" fillId="0" borderId="11" xfId="0" applyFont="1" applyBorder="1" applyAlignment="1" applyProtection="1">
      <alignment horizontal="left" vertical="top" wrapText="1"/>
    </xf>
    <xf numFmtId="0" fontId="0" fillId="0" borderId="0" xfId="0" applyFill="1" applyProtection="1"/>
    <xf numFmtId="0" fontId="0" fillId="0" borderId="0" xfId="0" applyFont="1" applyBorder="1" applyProtection="1"/>
    <xf numFmtId="0" fontId="0" fillId="0" borderId="0" xfId="0" applyFont="1" applyProtection="1"/>
    <xf numFmtId="0" fontId="7" fillId="3" borderId="8" xfId="0" applyFont="1" applyFill="1" applyBorder="1" applyAlignment="1" applyProtection="1">
      <alignment horizontal="center" vertical="center"/>
    </xf>
    <xf numFmtId="4" fontId="10" fillId="0" borderId="21" xfId="2" applyNumberFormat="1" applyFont="1" applyFill="1" applyBorder="1" applyAlignment="1" applyProtection="1">
      <alignment horizontal="right" vertical="center"/>
    </xf>
    <xf numFmtId="4" fontId="10" fillId="0" borderId="22" xfId="0" applyNumberFormat="1" applyFont="1" applyBorder="1" applyProtection="1"/>
    <xf numFmtId="4" fontId="10" fillId="0" borderId="21" xfId="0" applyNumberFormat="1" applyFont="1" applyBorder="1" applyAlignment="1" applyProtection="1">
      <alignment horizontal="right" vertical="center"/>
    </xf>
    <xf numFmtId="0" fontId="2" fillId="0" borderId="11" xfId="0" applyFont="1" applyBorder="1" applyAlignment="1" applyProtection="1">
      <alignment horizontal="left" vertical="top" wrapText="1"/>
    </xf>
    <xf numFmtId="4" fontId="9" fillId="0" borderId="21" xfId="0" applyNumberFormat="1" applyFont="1" applyBorder="1" applyAlignment="1" applyProtection="1">
      <alignment horizontal="right" vertical="center"/>
    </xf>
    <xf numFmtId="4" fontId="9" fillId="0" borderId="22" xfId="0" applyNumberFormat="1" applyFont="1" applyBorder="1" applyProtection="1"/>
    <xf numFmtId="0" fontId="2" fillId="0" borderId="0" xfId="0" applyFont="1" applyBorder="1" applyProtection="1"/>
    <xf numFmtId="0" fontId="10" fillId="0" borderId="0" xfId="0" applyFont="1" applyBorder="1" applyProtection="1"/>
    <xf numFmtId="0" fontId="2" fillId="0" borderId="23" xfId="0" applyFont="1" applyFill="1" applyBorder="1" applyAlignment="1" applyProtection="1">
      <alignment horizontal="center" vertical="top" wrapText="1"/>
    </xf>
    <xf numFmtId="9" fontId="2" fillId="2" borderId="12" xfId="2" applyNumberFormat="1" applyFont="1" applyFill="1" applyBorder="1" applyAlignment="1" applyProtection="1">
      <alignment horizontal="center" vertical="center"/>
    </xf>
    <xf numFmtId="9" fontId="2" fillId="2" borderId="24" xfId="2" applyNumberFormat="1" applyFont="1" applyFill="1" applyBorder="1" applyAlignment="1" applyProtection="1">
      <alignment horizontal="center" vertical="center"/>
    </xf>
    <xf numFmtId="4" fontId="10" fillId="0" borderId="25" xfId="0" applyNumberFormat="1" applyFont="1" applyBorder="1" applyAlignment="1" applyProtection="1">
      <alignment horizontal="right" vertical="center"/>
    </xf>
    <xf numFmtId="4" fontId="10" fillId="0" borderId="24" xfId="0" applyNumberFormat="1" applyFont="1" applyBorder="1" applyProtection="1"/>
    <xf numFmtId="0" fontId="9" fillId="4" borderId="26" xfId="0" applyFont="1" applyFill="1" applyBorder="1" applyAlignment="1" applyProtection="1">
      <alignment horizontal="center"/>
    </xf>
    <xf numFmtId="0" fontId="2" fillId="4" borderId="27" xfId="0" applyFont="1" applyFill="1" applyBorder="1" applyAlignment="1" applyProtection="1">
      <alignment horizontal="center"/>
    </xf>
    <xf numFmtId="0" fontId="2" fillId="4" borderId="29" xfId="0" applyFont="1" applyFill="1" applyBorder="1" applyAlignment="1" applyProtection="1">
      <alignment horizontal="center" vertical="top" wrapText="1"/>
    </xf>
    <xf numFmtId="0" fontId="2" fillId="4" borderId="30" xfId="0" applyFont="1" applyFill="1" applyBorder="1" applyAlignment="1" applyProtection="1">
      <alignment horizontal="center" vertical="top" wrapText="1"/>
    </xf>
    <xf numFmtId="0" fontId="2" fillId="0" borderId="32" xfId="0" applyFont="1" applyFill="1" applyBorder="1" applyAlignment="1" applyProtection="1">
      <alignment horizontal="center" vertical="top" wrapText="1"/>
    </xf>
    <xf numFmtId="0" fontId="0" fillId="0" borderId="33" xfId="0" applyBorder="1" applyAlignment="1" applyProtection="1">
      <alignment vertical="top" wrapText="1"/>
      <protection locked="0"/>
    </xf>
    <xf numFmtId="0" fontId="6" fillId="0" borderId="34" xfId="0" applyFont="1" applyBorder="1"/>
    <xf numFmtId="171" fontId="6" fillId="0" borderId="35" xfId="3" applyNumberFormat="1" applyFont="1" applyBorder="1" applyAlignment="1" applyProtection="1">
      <alignment vertical="top"/>
      <protection locked="0"/>
    </xf>
    <xf numFmtId="0" fontId="6" fillId="0" borderId="33" xfId="0" applyFont="1" applyBorder="1" applyAlignment="1" applyProtection="1">
      <alignment vertical="top"/>
      <protection locked="0"/>
    </xf>
    <xf numFmtId="166" fontId="6" fillId="0" borderId="5" xfId="3" applyFont="1" applyFill="1" applyBorder="1" applyAlignment="1" applyProtection="1">
      <alignment wrapText="1"/>
    </xf>
    <xf numFmtId="0" fontId="6" fillId="0" borderId="32" xfId="0" applyFont="1" applyBorder="1" applyAlignment="1" applyProtection="1">
      <alignment vertical="top"/>
      <protection locked="0"/>
    </xf>
    <xf numFmtId="0" fontId="6" fillId="0" borderId="11" xfId="0" applyFont="1" applyBorder="1" applyAlignment="1" applyProtection="1">
      <alignment vertical="top"/>
      <protection locked="0"/>
    </xf>
    <xf numFmtId="167" fontId="6" fillId="0" borderId="20" xfId="3" applyNumberFormat="1" applyFont="1" applyFill="1" applyBorder="1" applyAlignment="1" applyProtection="1">
      <alignment vertical="top"/>
      <protection locked="0"/>
    </xf>
    <xf numFmtId="0" fontId="6" fillId="0" borderId="11" xfId="0" applyFont="1" applyBorder="1" applyAlignment="1" applyProtection="1">
      <alignment vertical="top" wrapText="1"/>
      <protection locked="0"/>
    </xf>
    <xf numFmtId="0" fontId="6" fillId="0" borderId="32" xfId="0" applyFont="1" applyBorder="1" applyAlignment="1" applyProtection="1">
      <alignment vertical="top" wrapText="1"/>
      <protection locked="0"/>
    </xf>
    <xf numFmtId="166" fontId="6" fillId="0" borderId="0" xfId="3" applyFont="1" applyFill="1" applyBorder="1" applyAlignment="1" applyProtection="1"/>
    <xf numFmtId="166" fontId="0" fillId="0" borderId="15" xfId="3" applyFont="1" applyFill="1" applyBorder="1" applyAlignment="1" applyProtection="1">
      <alignment wrapText="1"/>
    </xf>
    <xf numFmtId="43" fontId="0" fillId="0" borderId="0" xfId="0" applyNumberFormat="1"/>
    <xf numFmtId="166" fontId="2" fillId="0" borderId="0" xfId="0" applyNumberFormat="1" applyFont="1" applyFill="1" applyBorder="1" applyProtection="1"/>
    <xf numFmtId="0" fontId="6" fillId="0" borderId="36" xfId="0" applyFont="1" applyBorder="1"/>
    <xf numFmtId="166" fontId="13" fillId="0" borderId="0" xfId="3"/>
    <xf numFmtId="0" fontId="2" fillId="3" borderId="36" xfId="0" applyFont="1" applyFill="1" applyBorder="1" applyAlignment="1">
      <alignment horizontal="center" vertical="top" wrapText="1"/>
    </xf>
    <xf numFmtId="0" fontId="6" fillId="0" borderId="37" xfId="0" applyFont="1" applyBorder="1" applyAlignment="1" applyProtection="1">
      <alignment horizontal="left" vertical="top" wrapText="1"/>
    </xf>
    <xf numFmtId="0" fontId="6" fillId="0" borderId="38" xfId="0" applyFont="1" applyBorder="1" applyAlignment="1" applyProtection="1">
      <alignment horizontal="left" vertical="top" wrapText="1"/>
    </xf>
    <xf numFmtId="166" fontId="13" fillId="0" borderId="0" xfId="3" applyBorder="1" applyProtection="1"/>
    <xf numFmtId="9" fontId="2" fillId="2" borderId="39" xfId="2" applyFont="1" applyFill="1" applyBorder="1" applyAlignment="1" applyProtection="1">
      <alignment horizontal="center" vertical="center" wrapText="1"/>
    </xf>
    <xf numFmtId="2" fontId="0" fillId="0" borderId="0" xfId="0" applyNumberFormat="1" applyFont="1" applyBorder="1" applyProtection="1"/>
    <xf numFmtId="0" fontId="0" fillId="0" borderId="0" xfId="0" applyAlignment="1" applyProtection="1">
      <alignment vertical="top"/>
    </xf>
    <xf numFmtId="0" fontId="2" fillId="0" borderId="0" xfId="0" applyFont="1" applyAlignment="1" applyProtection="1">
      <alignment vertical="top"/>
    </xf>
    <xf numFmtId="0" fontId="12" fillId="2" borderId="6" xfId="0" applyFont="1" applyFill="1" applyBorder="1" applyAlignment="1">
      <alignment horizontal="right" vertical="top" wrapText="1"/>
    </xf>
    <xf numFmtId="166" fontId="12" fillId="2" borderId="7" xfId="3" applyFont="1" applyFill="1" applyBorder="1" applyAlignment="1" applyProtection="1"/>
    <xf numFmtId="166" fontId="12" fillId="2" borderId="5" xfId="3" applyFont="1" applyFill="1" applyBorder="1" applyAlignment="1" applyProtection="1">
      <alignment vertical="top" wrapText="1"/>
    </xf>
    <xf numFmtId="167" fontId="12" fillId="2" borderId="5" xfId="3" applyNumberFormat="1" applyFont="1" applyFill="1" applyBorder="1" applyAlignment="1" applyProtection="1">
      <alignment vertical="top"/>
    </xf>
    <xf numFmtId="166" fontId="12" fillId="2" borderId="4" xfId="3" applyFont="1" applyFill="1" applyBorder="1" applyAlignment="1" applyProtection="1">
      <alignment vertical="top"/>
    </xf>
    <xf numFmtId="0" fontId="13" fillId="0" borderId="0" xfId="0" applyFont="1"/>
    <xf numFmtId="172" fontId="6" fillId="0" borderId="34" xfId="0" applyNumberFormat="1" applyFont="1" applyBorder="1" applyAlignment="1" applyProtection="1">
      <alignment horizontal="center" vertical="top" wrapText="1"/>
      <protection locked="0"/>
    </xf>
    <xf numFmtId="0" fontId="2" fillId="5" borderId="34" xfId="0" applyFont="1" applyFill="1" applyBorder="1" applyAlignment="1">
      <alignment horizontal="center" vertical="center"/>
    </xf>
    <xf numFmtId="0" fontId="2" fillId="5" borderId="40" xfId="0" applyFont="1" applyFill="1" applyBorder="1" applyAlignment="1">
      <alignment horizontal="center" vertical="center"/>
    </xf>
    <xf numFmtId="0" fontId="6" fillId="0" borderId="41" xfId="0" applyFont="1" applyBorder="1" applyAlignment="1">
      <alignment horizontal="left" vertical="top" wrapText="1"/>
    </xf>
    <xf numFmtId="0" fontId="6" fillId="0" borderId="0" xfId="0" applyFont="1" applyAlignment="1" applyProtection="1">
      <alignment vertical="top"/>
    </xf>
    <xf numFmtId="166" fontId="13" fillId="4" borderId="33" xfId="3" applyFill="1" applyBorder="1" applyAlignment="1" applyProtection="1">
      <alignment horizontal="center" vertical="center"/>
    </xf>
    <xf numFmtId="166" fontId="13" fillId="2" borderId="42" xfId="3" applyFill="1" applyBorder="1" applyAlignment="1" applyProtection="1">
      <alignment horizontal="center" vertical="center"/>
    </xf>
    <xf numFmtId="0" fontId="2" fillId="3" borderId="29" xfId="0" applyFont="1" applyFill="1" applyBorder="1" applyAlignment="1" applyProtection="1">
      <alignment horizontal="center" vertical="center" wrapText="1"/>
    </xf>
    <xf numFmtId="0" fontId="0" fillId="0" borderId="9" xfId="0" applyBorder="1" applyProtection="1"/>
    <xf numFmtId="0" fontId="0" fillId="0" borderId="15" xfId="0" applyBorder="1" applyProtection="1"/>
    <xf numFmtId="0" fontId="9" fillId="3" borderId="2"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9" fillId="3" borderId="44" xfId="0" applyFont="1" applyFill="1" applyBorder="1" applyAlignment="1" applyProtection="1">
      <alignment horizontal="center" vertical="center"/>
    </xf>
    <xf numFmtId="0" fontId="2" fillId="3" borderId="30" xfId="0" applyFont="1" applyFill="1" applyBorder="1" applyAlignment="1" applyProtection="1">
      <alignment horizontal="center" vertical="center" wrapText="1"/>
    </xf>
    <xf numFmtId="0" fontId="2" fillId="3" borderId="31" xfId="0" applyFont="1" applyFill="1" applyBorder="1" applyAlignment="1" applyProtection="1">
      <alignment horizontal="center" vertical="center"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170" fontId="2" fillId="2" borderId="47" xfId="3" applyNumberFormat="1" applyFont="1" applyFill="1" applyBorder="1" applyAlignment="1" applyProtection="1">
      <alignment horizontal="right" vertical="center" wrapText="1"/>
    </xf>
    <xf numFmtId="0" fontId="2" fillId="2" borderId="48" xfId="0" applyFont="1" applyFill="1" applyBorder="1" applyAlignment="1" applyProtection="1">
      <alignment horizontal="left" vertical="top" wrapText="1"/>
    </xf>
    <xf numFmtId="0" fontId="2" fillId="2" borderId="49" xfId="0" applyFont="1" applyFill="1" applyBorder="1" applyAlignment="1" applyProtection="1">
      <alignment horizontal="left" vertical="top" wrapText="1"/>
    </xf>
    <xf numFmtId="166" fontId="2" fillId="5" borderId="50" xfId="3" applyFont="1" applyFill="1" applyBorder="1" applyAlignment="1" applyProtection="1">
      <alignment vertical="center"/>
    </xf>
    <xf numFmtId="43" fontId="2" fillId="0" borderId="29" xfId="0" applyNumberFormat="1" applyFont="1" applyFill="1" applyBorder="1" applyAlignment="1" applyProtection="1">
      <alignment horizontal="center"/>
    </xf>
    <xf numFmtId="0" fontId="7" fillId="0" borderId="14" xfId="0" applyFont="1" applyBorder="1" applyAlignment="1" applyProtection="1">
      <alignment vertical="center" wrapText="1"/>
    </xf>
    <xf numFmtId="0" fontId="0" fillId="0" borderId="0" xfId="0" applyAlignment="1" applyProtection="1">
      <alignment wrapText="1"/>
    </xf>
    <xf numFmtId="0" fontId="16" fillId="0" borderId="33" xfId="0" applyFont="1" applyBorder="1" applyAlignment="1">
      <alignment horizontal="left" vertical="center" wrapText="1"/>
    </xf>
    <xf numFmtId="0" fontId="17" fillId="0" borderId="51" xfId="0" applyFont="1" applyFill="1" applyBorder="1" applyAlignment="1">
      <alignment vertical="center" wrapText="1"/>
    </xf>
    <xf numFmtId="0" fontId="18" fillId="3" borderId="52" xfId="0" applyFont="1" applyFill="1" applyBorder="1" applyAlignment="1">
      <alignment vertical="top" wrapText="1"/>
    </xf>
    <xf numFmtId="0" fontId="16" fillId="0" borderId="0" xfId="0" applyFont="1"/>
    <xf numFmtId="43" fontId="0" fillId="0" borderId="0" xfId="0" applyNumberFormat="1" applyFont="1" applyBorder="1" applyProtection="1"/>
    <xf numFmtId="0" fontId="6" fillId="0" borderId="33" xfId="0" applyFont="1" applyBorder="1" applyAlignment="1">
      <alignment horizontal="left" vertical="top" wrapText="1"/>
    </xf>
    <xf numFmtId="0" fontId="6" fillId="0" borderId="0" xfId="0" applyFont="1" applyBorder="1"/>
    <xf numFmtId="0" fontId="6" fillId="0" borderId="53" xfId="0" applyFont="1" applyBorder="1"/>
    <xf numFmtId="0" fontId="8" fillId="0" borderId="54" xfId="0" applyFont="1" applyFill="1" applyBorder="1" applyAlignment="1">
      <alignment horizontal="center" vertical="center" wrapText="1"/>
    </xf>
    <xf numFmtId="0" fontId="19" fillId="0" borderId="51" xfId="0" applyFont="1" applyBorder="1" applyAlignment="1">
      <alignment horizontal="right"/>
    </xf>
    <xf numFmtId="0" fontId="19" fillId="0" borderId="53" xfId="0" applyFont="1" applyBorder="1" applyAlignment="1">
      <alignment horizontal="right"/>
    </xf>
    <xf numFmtId="0" fontId="19" fillId="0" borderId="53" xfId="0" applyFont="1" applyFill="1" applyBorder="1" applyAlignment="1">
      <alignment horizontal="center" vertical="center" wrapText="1"/>
    </xf>
    <xf numFmtId="174" fontId="19" fillId="0" borderId="53" xfId="3" applyNumberFormat="1" applyFont="1" applyBorder="1" applyAlignment="1">
      <alignment horizontal="center" vertical="center"/>
    </xf>
    <xf numFmtId="0" fontId="6" fillId="0" borderId="54" xfId="0" applyFont="1" applyBorder="1"/>
    <xf numFmtId="0" fontId="9" fillId="3" borderId="55" xfId="0" applyFont="1" applyFill="1" applyBorder="1" applyAlignment="1">
      <alignment horizontal="center" vertical="top" wrapText="1"/>
    </xf>
    <xf numFmtId="0" fontId="1" fillId="0" borderId="34" xfId="0" applyFont="1" applyBorder="1" applyAlignment="1" applyProtection="1">
      <alignment horizontal="left" vertical="top" wrapText="1"/>
      <protection locked="0"/>
    </xf>
    <xf numFmtId="0" fontId="6" fillId="0" borderId="56" xfId="0" applyFont="1" applyBorder="1" applyAlignment="1">
      <alignment horizontal="left" vertical="top" wrapText="1"/>
    </xf>
    <xf numFmtId="0" fontId="2" fillId="3" borderId="43" xfId="0" applyFont="1" applyFill="1" applyBorder="1" applyAlignment="1">
      <alignment horizontal="center" vertical="center" wrapText="1"/>
    </xf>
    <xf numFmtId="0" fontId="2" fillId="6" borderId="53" xfId="0" applyFont="1" applyFill="1" applyBorder="1" applyAlignment="1">
      <alignment horizontal="center" vertical="center"/>
    </xf>
    <xf numFmtId="0" fontId="2" fillId="6" borderId="53"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1" fillId="0" borderId="58" xfId="0" applyFont="1" applyBorder="1" applyAlignment="1" applyProtection="1">
      <alignment vertical="top" wrapText="1"/>
      <protection locked="0"/>
    </xf>
    <xf numFmtId="171" fontId="1" fillId="0" borderId="59" xfId="3" applyNumberFormat="1" applyFont="1" applyBorder="1" applyAlignment="1" applyProtection="1">
      <alignment vertical="top"/>
      <protection locked="0"/>
    </xf>
    <xf numFmtId="3" fontId="7" fillId="0" borderId="4" xfId="0" applyNumberFormat="1" applyFont="1" applyFill="1" applyBorder="1" applyAlignment="1">
      <alignment horizontal="left" vertical="center"/>
    </xf>
    <xf numFmtId="3" fontId="2" fillId="0" borderId="5" xfId="0" applyNumberFormat="1" applyFont="1" applyFill="1" applyBorder="1" applyAlignment="1">
      <alignment horizontal="left" vertical="center"/>
    </xf>
    <xf numFmtId="3" fontId="6" fillId="0" borderId="5" xfId="0" applyNumberFormat="1" applyFont="1" applyFill="1" applyBorder="1" applyAlignment="1">
      <alignment horizontal="left" vertical="center"/>
    </xf>
    <xf numFmtId="3" fontId="6" fillId="0" borderId="5" xfId="3" applyNumberFormat="1" applyFont="1" applyFill="1" applyBorder="1" applyAlignment="1" applyProtection="1"/>
    <xf numFmtId="3" fontId="6" fillId="0" borderId="5" xfId="0" applyNumberFormat="1" applyFont="1" applyFill="1" applyBorder="1" applyAlignment="1">
      <alignment horizontal="left"/>
    </xf>
    <xf numFmtId="3" fontId="6" fillId="0" borderId="5" xfId="3" applyNumberFormat="1" applyFont="1" applyFill="1" applyBorder="1" applyAlignment="1" applyProtection="1">
      <alignment horizontal="center"/>
    </xf>
    <xf numFmtId="3" fontId="6" fillId="0" borderId="5" xfId="3" applyNumberFormat="1" applyFont="1" applyFill="1" applyBorder="1" applyAlignment="1" applyProtection="1">
      <alignment horizontal="left"/>
    </xf>
    <xf numFmtId="3" fontId="6" fillId="0" borderId="5" xfId="0" applyNumberFormat="1" applyFont="1" applyFill="1" applyBorder="1" applyAlignment="1">
      <alignment horizontal="left" wrapText="1"/>
    </xf>
    <xf numFmtId="3" fontId="0" fillId="0" borderId="0" xfId="0" applyNumberFormat="1"/>
    <xf numFmtId="3" fontId="0" fillId="0" borderId="5" xfId="0" applyNumberFormat="1" applyFill="1" applyBorder="1" applyAlignment="1">
      <alignment wrapText="1"/>
    </xf>
    <xf numFmtId="3" fontId="0" fillId="0" borderId="5" xfId="3" applyNumberFormat="1" applyFont="1" applyFill="1" applyBorder="1" applyAlignment="1" applyProtection="1">
      <alignment wrapText="1"/>
    </xf>
    <xf numFmtId="3" fontId="0" fillId="0" borderId="5" xfId="3" applyNumberFormat="1" applyFont="1" applyFill="1" applyBorder="1" applyAlignment="1" applyProtection="1">
      <alignment horizontal="center" wrapText="1"/>
    </xf>
    <xf numFmtId="3" fontId="0" fillId="0" borderId="0" xfId="0" applyNumberFormat="1" applyFill="1" applyAlignment="1">
      <alignment wrapText="1"/>
    </xf>
    <xf numFmtId="3" fontId="0" fillId="0" borderId="0" xfId="0" applyNumberFormat="1" applyAlignment="1">
      <alignment wrapText="1"/>
    </xf>
    <xf numFmtId="3" fontId="2" fillId="0" borderId="23" xfId="0" applyNumberFormat="1" applyFont="1" applyFill="1" applyBorder="1" applyAlignment="1">
      <alignment horizontal="center" vertical="top" wrapText="1"/>
    </xf>
    <xf numFmtId="3" fontId="2" fillId="0" borderId="12" xfId="3" applyNumberFormat="1" applyFont="1" applyFill="1" applyBorder="1" applyAlignment="1" applyProtection="1">
      <alignment horizontal="center" vertical="top" wrapText="1"/>
    </xf>
    <xf numFmtId="3" fontId="2" fillId="0" borderId="18" xfId="0" applyNumberFormat="1" applyFont="1" applyFill="1" applyBorder="1" applyAlignment="1">
      <alignment horizontal="center" vertical="top" wrapText="1"/>
    </xf>
    <xf numFmtId="3" fontId="2" fillId="3" borderId="23" xfId="0" applyNumberFormat="1" applyFont="1" applyFill="1" applyBorder="1" applyAlignment="1">
      <alignment horizontal="center" vertical="top" wrapText="1"/>
    </xf>
    <xf numFmtId="3" fontId="2" fillId="3" borderId="12" xfId="3" applyNumberFormat="1" applyFont="1" applyFill="1" applyBorder="1" applyAlignment="1" applyProtection="1">
      <alignment horizontal="center" vertical="top" wrapText="1"/>
    </xf>
    <xf numFmtId="3" fontId="2" fillId="3" borderId="18" xfId="0" applyNumberFormat="1" applyFont="1" applyFill="1" applyBorder="1" applyAlignment="1">
      <alignment horizontal="center" vertical="top" wrapText="1"/>
    </xf>
    <xf numFmtId="3" fontId="6" fillId="0" borderId="41" xfId="0" applyNumberFormat="1" applyFont="1" applyBorder="1" applyAlignment="1" applyProtection="1">
      <alignment vertical="top" wrapText="1"/>
      <protection locked="0"/>
    </xf>
    <xf numFmtId="3" fontId="6" fillId="0" borderId="60" xfId="3" applyNumberFormat="1" applyFont="1" applyBorder="1" applyAlignment="1" applyProtection="1">
      <alignment vertical="top"/>
      <protection locked="0"/>
    </xf>
    <xf numFmtId="3" fontId="1" fillId="0" borderId="41" xfId="0" applyNumberFormat="1" applyFont="1" applyBorder="1" applyAlignment="1" applyProtection="1">
      <alignment vertical="top" wrapText="1"/>
      <protection locked="0"/>
    </xf>
    <xf numFmtId="3" fontId="1" fillId="0" borderId="61" xfId="3" applyNumberFormat="1" applyFont="1" applyBorder="1" applyAlignment="1" applyProtection="1">
      <alignment vertical="top"/>
      <protection locked="0"/>
    </xf>
    <xf numFmtId="3" fontId="13" fillId="0" borderId="60" xfId="3" applyNumberFormat="1" applyBorder="1" applyAlignment="1" applyProtection="1">
      <alignment vertical="top"/>
      <protection locked="0"/>
    </xf>
    <xf numFmtId="3" fontId="0" fillId="0" borderId="41" xfId="0" applyNumberFormat="1" applyBorder="1" applyAlignment="1" applyProtection="1">
      <alignment vertical="top" wrapText="1"/>
      <protection locked="0"/>
    </xf>
    <xf numFmtId="3" fontId="13" fillId="0" borderId="61" xfId="3" applyNumberFormat="1" applyBorder="1" applyAlignment="1" applyProtection="1">
      <alignment vertical="top"/>
      <protection locked="0"/>
    </xf>
    <xf numFmtId="3" fontId="0" fillId="0" borderId="32" xfId="0" applyNumberFormat="1" applyBorder="1" applyAlignment="1" applyProtection="1">
      <alignment vertical="top"/>
      <protection locked="0"/>
    </xf>
    <xf numFmtId="3" fontId="6" fillId="0" borderId="33" xfId="0" applyNumberFormat="1" applyFont="1" applyBorder="1" applyAlignment="1" applyProtection="1">
      <alignment vertical="top" wrapText="1"/>
      <protection locked="0"/>
    </xf>
    <xf numFmtId="3" fontId="0" fillId="0" borderId="11" xfId="0" applyNumberFormat="1" applyBorder="1" applyAlignment="1" applyProtection="1">
      <alignment vertical="top" wrapText="1"/>
      <protection locked="0"/>
    </xf>
    <xf numFmtId="3" fontId="0" fillId="0" borderId="33" xfId="0" applyNumberFormat="1" applyBorder="1" applyAlignment="1" applyProtection="1">
      <alignment vertical="top"/>
      <protection locked="0"/>
    </xf>
    <xf numFmtId="3" fontId="0" fillId="0" borderId="11" xfId="0" applyNumberFormat="1" applyBorder="1" applyAlignment="1" applyProtection="1">
      <alignment vertical="top"/>
      <protection locked="0"/>
    </xf>
    <xf numFmtId="3" fontId="0" fillId="0" borderId="33" xfId="0" applyNumberFormat="1" applyBorder="1" applyAlignment="1" applyProtection="1">
      <alignment vertical="top" wrapText="1"/>
      <protection locked="0"/>
    </xf>
    <xf numFmtId="3" fontId="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protection locked="0"/>
    </xf>
    <xf numFmtId="3" fontId="21" fillId="0" borderId="34" xfId="0" applyNumberFormat="1" applyFont="1" applyFill="1" applyBorder="1" applyAlignment="1" applyProtection="1">
      <alignment horizontal="center" vertical="top" wrapText="1"/>
      <protection locked="0"/>
    </xf>
    <xf numFmtId="3" fontId="21" fillId="0" borderId="34" xfId="0" applyNumberFormat="1" applyFont="1" applyFill="1" applyBorder="1" applyAlignment="1">
      <alignment wrapText="1"/>
    </xf>
    <xf numFmtId="3" fontId="21" fillId="0" borderId="34" xfId="0" applyNumberFormat="1" applyFont="1" applyFill="1" applyBorder="1" applyAlignment="1">
      <alignment horizontal="center"/>
    </xf>
    <xf numFmtId="3" fontId="21" fillId="0" borderId="34" xfId="0" applyNumberFormat="1" applyFont="1" applyFill="1" applyBorder="1"/>
    <xf numFmtId="3" fontId="21" fillId="0" borderId="34" xfId="0" applyNumberFormat="1" applyFont="1" applyBorder="1" applyAlignment="1">
      <alignment horizontal="left" vertical="top" wrapText="1"/>
    </xf>
    <xf numFmtId="3" fontId="21" fillId="0" borderId="34" xfId="0" applyNumberFormat="1" applyFont="1" applyBorder="1" applyAlignment="1">
      <alignment horizontal="center" vertical="top" wrapText="1"/>
    </xf>
    <xf numFmtId="3" fontId="21" fillId="0" borderId="34" xfId="0" applyNumberFormat="1" applyFont="1" applyBorder="1" applyAlignment="1">
      <alignment horizontal="right" vertical="top" wrapText="1"/>
    </xf>
    <xf numFmtId="3" fontId="21" fillId="0" borderId="33" xfId="0" applyNumberFormat="1" applyFont="1" applyBorder="1" applyAlignment="1" applyProtection="1">
      <alignment vertical="top"/>
      <protection locked="0"/>
    </xf>
    <xf numFmtId="3" fontId="2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wrapText="1"/>
      <protection locked="0"/>
    </xf>
    <xf numFmtId="3" fontId="22" fillId="0" borderId="33" xfId="0" applyNumberFormat="1" applyFont="1" applyBorder="1" applyAlignment="1" applyProtection="1">
      <alignment vertical="top"/>
      <protection locked="0"/>
    </xf>
    <xf numFmtId="3" fontId="21" fillId="0" borderId="34" xfId="0" applyNumberFormat="1" applyFont="1" applyBorder="1" applyAlignment="1">
      <alignment wrapText="1"/>
    </xf>
    <xf numFmtId="3" fontId="21" fillId="0" borderId="34" xfId="0" applyNumberFormat="1" applyFont="1" applyBorder="1" applyAlignment="1">
      <alignment horizontal="center"/>
    </xf>
    <xf numFmtId="3" fontId="21" fillId="0" borderId="34" xfId="0" applyNumberFormat="1" applyFont="1" applyBorder="1"/>
    <xf numFmtId="3" fontId="0" fillId="0" borderId="62" xfId="0" applyNumberFormat="1" applyFill="1" applyBorder="1" applyAlignment="1" applyProtection="1">
      <alignment vertical="top" wrapText="1"/>
      <protection locked="0"/>
    </xf>
    <xf numFmtId="3" fontId="2" fillId="2" borderId="6" xfId="0" applyNumberFormat="1" applyFont="1" applyFill="1" applyBorder="1" applyAlignment="1">
      <alignment horizontal="right" vertical="top" wrapText="1"/>
    </xf>
    <xf numFmtId="3" fontId="2" fillId="2" borderId="7" xfId="3" applyNumberFormat="1" applyFont="1" applyFill="1" applyBorder="1" applyAlignment="1" applyProtection="1"/>
    <xf numFmtId="3" fontId="2" fillId="2" borderId="5" xfId="3" applyNumberFormat="1" applyFont="1" applyFill="1" applyBorder="1" applyAlignment="1" applyProtection="1">
      <alignment vertical="top" wrapText="1"/>
    </xf>
    <xf numFmtId="3" fontId="2" fillId="2" borderId="5" xfId="3" applyNumberFormat="1" applyFont="1" applyFill="1" applyBorder="1" applyAlignment="1" applyProtection="1">
      <alignment vertical="top"/>
    </xf>
    <xf numFmtId="3" fontId="2" fillId="2" borderId="4" xfId="3" applyNumberFormat="1" applyFont="1" applyFill="1" applyBorder="1" applyAlignment="1" applyProtection="1">
      <alignment vertical="top"/>
    </xf>
    <xf numFmtId="3" fontId="2" fillId="2" borderId="4" xfId="3" applyNumberFormat="1" applyFont="1" applyFill="1" applyBorder="1" applyAlignment="1" applyProtection="1">
      <alignment vertical="top" wrapText="1"/>
    </xf>
    <xf numFmtId="3" fontId="6" fillId="0" borderId="0" xfId="0" applyNumberFormat="1" applyFont="1"/>
    <xf numFmtId="3" fontId="0" fillId="0" borderId="0" xfId="3" applyNumberFormat="1" applyFont="1" applyFill="1" applyBorder="1" applyAlignment="1" applyProtection="1"/>
    <xf numFmtId="3" fontId="0" fillId="0" borderId="0" xfId="3" applyNumberFormat="1" applyFont="1" applyFill="1" applyBorder="1" applyAlignment="1" applyProtection="1">
      <alignment horizontal="center"/>
    </xf>
    <xf numFmtId="3" fontId="6" fillId="0" borderId="34" xfId="3" applyNumberFormat="1" applyFont="1" applyBorder="1" applyAlignment="1" applyProtection="1">
      <alignment horizontal="center" vertical="top"/>
      <protection locked="0"/>
    </xf>
    <xf numFmtId="3" fontId="13" fillId="0" borderId="34" xfId="3" applyNumberFormat="1" applyBorder="1" applyAlignment="1" applyProtection="1">
      <alignment horizontal="center" vertical="top"/>
      <protection locked="0"/>
    </xf>
    <xf numFmtId="3" fontId="1" fillId="0" borderId="34" xfId="3" applyNumberFormat="1" applyFont="1" applyBorder="1" applyAlignment="1" applyProtection="1">
      <alignment horizontal="center" vertical="top"/>
      <protection locked="0"/>
    </xf>
    <xf numFmtId="3" fontId="1" fillId="0" borderId="35" xfId="3" applyNumberFormat="1" applyFont="1" applyBorder="1" applyAlignment="1" applyProtection="1">
      <alignment horizontal="center" vertical="top"/>
      <protection locked="0"/>
    </xf>
    <xf numFmtId="3" fontId="2" fillId="2" borderId="5" xfId="3" applyNumberFormat="1" applyFont="1" applyFill="1" applyBorder="1" applyAlignment="1" applyProtection="1">
      <alignment horizontal="center" vertical="top"/>
    </xf>
    <xf numFmtId="3" fontId="13" fillId="0" borderId="35" xfId="3" applyNumberFormat="1" applyBorder="1" applyAlignment="1" applyProtection="1">
      <alignment horizontal="center" vertical="top"/>
      <protection locked="0"/>
    </xf>
    <xf numFmtId="3" fontId="21" fillId="0" borderId="34" xfId="0" applyNumberFormat="1" applyFont="1" applyFill="1" applyBorder="1" applyAlignment="1">
      <alignment horizontal="left" vertical="top" wrapText="1"/>
    </xf>
    <xf numFmtId="3" fontId="21" fillId="0" borderId="34" xfId="0" applyNumberFormat="1" applyFont="1" applyFill="1" applyBorder="1" applyAlignment="1">
      <alignment horizontal="center" vertical="top"/>
    </xf>
    <xf numFmtId="3" fontId="21" fillId="0" borderId="34" xfId="0" applyNumberFormat="1" applyFont="1" applyFill="1" applyBorder="1" applyAlignment="1">
      <alignment horizontal="right" vertical="top"/>
    </xf>
    <xf numFmtId="167" fontId="6" fillId="2" borderId="63" xfId="3" applyNumberFormat="1" applyFont="1" applyFill="1" applyBorder="1" applyAlignment="1" applyProtection="1">
      <alignment vertical="top"/>
    </xf>
    <xf numFmtId="167" fontId="6" fillId="2" borderId="22" xfId="3" applyNumberFormat="1" applyFont="1" applyFill="1" applyBorder="1" applyAlignment="1" applyProtection="1">
      <alignment vertical="top"/>
    </xf>
    <xf numFmtId="167" fontId="6" fillId="0" borderId="60" xfId="3" applyNumberFormat="1" applyFont="1" applyBorder="1" applyAlignment="1" applyProtection="1">
      <alignment vertical="top"/>
      <protection locked="0"/>
    </xf>
    <xf numFmtId="167" fontId="2" fillId="2" borderId="16" xfId="3" applyNumberFormat="1" applyFont="1" applyFill="1" applyBorder="1" applyAlignment="1" applyProtection="1"/>
    <xf numFmtId="167" fontId="2" fillId="2" borderId="64" xfId="3" applyNumberFormat="1" applyFont="1" applyFill="1" applyBorder="1" applyAlignment="1" applyProtection="1"/>
    <xf numFmtId="167" fontId="12" fillId="2" borderId="10" xfId="3" applyNumberFormat="1" applyFont="1" applyFill="1" applyBorder="1" applyAlignment="1" applyProtection="1"/>
    <xf numFmtId="167" fontId="0" fillId="0" borderId="0" xfId="0" applyNumberFormat="1" applyProtection="1"/>
    <xf numFmtId="167" fontId="2" fillId="0" borderId="0" xfId="0" applyNumberFormat="1" applyFont="1" applyProtection="1"/>
    <xf numFmtId="167" fontId="6" fillId="0" borderId="0" xfId="0" applyNumberFormat="1" applyFont="1" applyAlignment="1" applyProtection="1">
      <alignment vertical="top"/>
    </xf>
    <xf numFmtId="167" fontId="2" fillId="2" borderId="19" xfId="3" applyNumberFormat="1" applyFont="1" applyFill="1" applyBorder="1" applyAlignment="1" applyProtection="1">
      <alignment horizontal="right" vertical="center" wrapText="1"/>
    </xf>
    <xf numFmtId="167" fontId="2" fillId="2" borderId="65" xfId="3" applyNumberFormat="1" applyFont="1" applyFill="1" applyBorder="1" applyAlignment="1" applyProtection="1">
      <alignment horizontal="right" vertical="center" wrapText="1"/>
    </xf>
    <xf numFmtId="167" fontId="0" fillId="2" borderId="17" xfId="3" applyNumberFormat="1" applyFont="1" applyFill="1" applyBorder="1" applyAlignment="1" applyProtection="1">
      <alignment horizontal="right" vertical="center" wrapText="1"/>
    </xf>
    <xf numFmtId="167" fontId="6" fillId="2" borderId="20" xfId="3" applyNumberFormat="1" applyFont="1" applyFill="1" applyBorder="1" applyAlignment="1" applyProtection="1">
      <alignment horizontal="right" vertical="center" wrapText="1"/>
    </xf>
    <xf numFmtId="167" fontId="6" fillId="2" borderId="63" xfId="3" applyNumberFormat="1" applyFont="1" applyFill="1" applyBorder="1" applyAlignment="1" applyProtection="1">
      <alignment horizontal="right" vertical="center" wrapText="1"/>
    </xf>
    <xf numFmtId="167" fontId="0" fillId="2" borderId="66" xfId="3" applyNumberFormat="1" applyFont="1" applyFill="1" applyBorder="1" applyAlignment="1" applyProtection="1">
      <alignment horizontal="right" vertical="center" wrapText="1"/>
    </xf>
    <xf numFmtId="167" fontId="6" fillId="2" borderId="67" xfId="3" applyNumberFormat="1" applyFont="1" applyFill="1" applyBorder="1" applyAlignment="1" applyProtection="1">
      <alignment horizontal="right" vertical="center" wrapText="1"/>
    </xf>
    <xf numFmtId="167" fontId="6" fillId="2" borderId="68" xfId="3" applyNumberFormat="1" applyFont="1" applyFill="1" applyBorder="1" applyAlignment="1" applyProtection="1">
      <alignment horizontal="right" vertical="center" wrapText="1"/>
    </xf>
    <xf numFmtId="167" fontId="0" fillId="2" borderId="3" xfId="3" applyNumberFormat="1" applyFont="1" applyFill="1" applyBorder="1" applyAlignment="1" applyProtection="1">
      <alignment horizontal="right" vertical="center" wrapText="1"/>
    </xf>
    <xf numFmtId="167" fontId="6" fillId="0" borderId="30" xfId="3" applyNumberFormat="1" applyFont="1" applyFill="1" applyBorder="1" applyAlignment="1" applyProtection="1">
      <alignment horizontal="right" vertical="center" wrapText="1"/>
      <protection locked="0"/>
    </xf>
    <xf numFmtId="167" fontId="2" fillId="2" borderId="20" xfId="3" applyNumberFormat="1" applyFont="1" applyFill="1" applyBorder="1" applyAlignment="1" applyProtection="1">
      <alignment horizontal="right" vertical="center" wrapText="1"/>
    </xf>
    <xf numFmtId="167" fontId="2" fillId="2" borderId="22" xfId="3" applyNumberFormat="1" applyFont="1" applyFill="1" applyBorder="1" applyAlignment="1" applyProtection="1">
      <alignment horizontal="right" vertical="center" wrapText="1"/>
    </xf>
    <xf numFmtId="167" fontId="2" fillId="2" borderId="39" xfId="3" applyNumberFormat="1" applyFont="1" applyFill="1" applyBorder="1" applyAlignment="1" applyProtection="1">
      <alignment horizontal="right" vertical="center" wrapText="1"/>
    </xf>
    <xf numFmtId="167" fontId="9" fillId="0" borderId="21" xfId="0" applyNumberFormat="1" applyFont="1" applyBorder="1" applyAlignment="1" applyProtection="1">
      <alignment horizontal="right" vertical="center"/>
    </xf>
    <xf numFmtId="167" fontId="9" fillId="0" borderId="22" xfId="0" applyNumberFormat="1" applyFont="1" applyBorder="1" applyProtection="1"/>
    <xf numFmtId="167" fontId="2" fillId="0" borderId="0" xfId="0" applyNumberFormat="1" applyFont="1" applyBorder="1" applyProtection="1"/>
    <xf numFmtId="167" fontId="2" fillId="2" borderId="63" xfId="3" applyNumberFormat="1" applyFont="1" applyFill="1" applyBorder="1" applyAlignment="1" applyProtection="1">
      <alignment horizontal="right" vertical="center" wrapText="1"/>
    </xf>
    <xf numFmtId="167" fontId="2" fillId="2" borderId="69" xfId="3" applyNumberFormat="1" applyFont="1" applyFill="1" applyBorder="1" applyAlignment="1" applyProtection="1">
      <alignment horizontal="right" vertical="center" wrapText="1"/>
    </xf>
    <xf numFmtId="167" fontId="2" fillId="2" borderId="70" xfId="3" applyNumberFormat="1" applyFont="1" applyFill="1" applyBorder="1" applyAlignment="1" applyProtection="1">
      <alignment horizontal="right" vertical="center" wrapText="1"/>
    </xf>
    <xf numFmtId="167" fontId="2" fillId="2" borderId="71" xfId="3" applyNumberFormat="1" applyFont="1" applyFill="1" applyBorder="1" applyAlignment="1" applyProtection="1">
      <alignment horizontal="right" vertical="center" wrapText="1"/>
    </xf>
    <xf numFmtId="43" fontId="0" fillId="0" borderId="0" xfId="0" applyNumberFormat="1" applyProtection="1"/>
    <xf numFmtId="167" fontId="0" fillId="0" borderId="0" xfId="0" applyNumberFormat="1" applyFont="1" applyProtection="1"/>
    <xf numFmtId="175" fontId="0" fillId="0" borderId="0" xfId="0" applyNumberFormat="1" applyFont="1" applyProtection="1"/>
    <xf numFmtId="176" fontId="13" fillId="0" borderId="0" xfId="3" applyNumberFormat="1" applyProtection="1"/>
    <xf numFmtId="167" fontId="2" fillId="0" borderId="0" xfId="2" applyNumberFormat="1" applyFont="1" applyFill="1" applyBorder="1" applyAlignment="1" applyProtection="1">
      <alignment horizontal="center" vertical="center"/>
    </xf>
    <xf numFmtId="167" fontId="0" fillId="0" borderId="0" xfId="0" applyNumberFormat="1" applyFont="1" applyBorder="1" applyProtection="1"/>
    <xf numFmtId="166" fontId="13" fillId="0" borderId="0" xfId="3" applyProtection="1"/>
    <xf numFmtId="171" fontId="0" fillId="0" borderId="0" xfId="0" applyNumberFormat="1" applyAlignment="1" applyProtection="1">
      <alignment vertical="top"/>
    </xf>
    <xf numFmtId="0" fontId="1" fillId="0" borderId="35" xfId="0" applyFont="1" applyBorder="1" applyAlignment="1" applyProtection="1">
      <alignment horizontal="left" vertical="top" wrapText="1"/>
      <protection locked="0"/>
    </xf>
    <xf numFmtId="172" fontId="6" fillId="0" borderId="35" xfId="0" applyNumberFormat="1" applyFont="1" applyBorder="1" applyAlignment="1" applyProtection="1">
      <alignment horizontal="center" vertical="center" wrapText="1"/>
      <protection locked="0"/>
    </xf>
    <xf numFmtId="167" fontId="6" fillId="0" borderId="35" xfId="3" applyNumberFormat="1" applyFont="1" applyBorder="1" applyAlignment="1" applyProtection="1">
      <alignment horizontal="right" vertical="center" wrapText="1"/>
      <protection locked="0"/>
    </xf>
    <xf numFmtId="167" fontId="6" fillId="0" borderId="72" xfId="3" applyNumberFormat="1" applyFont="1" applyBorder="1" applyAlignment="1" applyProtection="1">
      <alignment horizontal="right" vertical="center" wrapText="1"/>
      <protection locked="0"/>
    </xf>
    <xf numFmtId="172" fontId="6" fillId="5" borderId="34" xfId="3" applyNumberFormat="1" applyFont="1" applyFill="1" applyBorder="1" applyAlignment="1" applyProtection="1">
      <alignment horizontal="center" vertical="top" wrapText="1"/>
    </xf>
    <xf numFmtId="0" fontId="23" fillId="6" borderId="53" xfId="0" applyFont="1" applyFill="1" applyBorder="1" applyAlignment="1">
      <alignment horizontal="right" vertical="center" wrapText="1"/>
    </xf>
    <xf numFmtId="0" fontId="23" fillId="6" borderId="51" xfId="0" applyFont="1" applyFill="1" applyBorder="1" applyAlignment="1">
      <alignment horizontal="center" vertical="center"/>
    </xf>
    <xf numFmtId="167" fontId="6" fillId="6" borderId="73" xfId="3" applyNumberFormat="1" applyFont="1" applyFill="1" applyBorder="1" applyAlignment="1">
      <alignment horizontal="center" vertical="center" wrapText="1"/>
    </xf>
    <xf numFmtId="167" fontId="6" fillId="6" borderId="74" xfId="3" applyNumberFormat="1" applyFont="1" applyFill="1" applyBorder="1" applyAlignment="1">
      <alignment horizontal="center" vertical="center" wrapText="1"/>
    </xf>
    <xf numFmtId="0" fontId="2" fillId="2" borderId="75" xfId="0" applyFont="1" applyFill="1" applyBorder="1" applyAlignment="1" applyProtection="1">
      <alignment horizontal="left" vertical="top" wrapText="1"/>
    </xf>
    <xf numFmtId="0" fontId="2" fillId="0" borderId="45" xfId="0" applyFont="1" applyFill="1" applyBorder="1" applyAlignment="1" applyProtection="1">
      <alignment horizontal="center" vertical="top" wrapText="1"/>
    </xf>
    <xf numFmtId="0" fontId="2" fillId="0" borderId="49" xfId="0" applyFont="1" applyFill="1" applyBorder="1" applyAlignment="1" applyProtection="1">
      <alignment horizontal="center" vertical="top" wrapText="1"/>
    </xf>
    <xf numFmtId="9" fontId="2" fillId="2" borderId="76" xfId="2" applyNumberFormat="1" applyFont="1" applyFill="1" applyBorder="1" applyAlignment="1" applyProtection="1">
      <alignment horizontal="center" vertical="center"/>
    </xf>
    <xf numFmtId="9" fontId="2" fillId="2" borderId="77" xfId="2" applyNumberFormat="1" applyFont="1" applyFill="1" applyBorder="1" applyAlignment="1" applyProtection="1">
      <alignment horizontal="center" vertical="center"/>
    </xf>
    <xf numFmtId="173" fontId="6" fillId="2" borderId="78" xfId="3" applyNumberFormat="1" applyFont="1" applyFill="1" applyBorder="1" applyAlignment="1" applyProtection="1">
      <alignment horizontal="right" vertical="center" wrapText="1"/>
    </xf>
    <xf numFmtId="173" fontId="6" fillId="2" borderId="79" xfId="3" applyNumberFormat="1" applyFont="1" applyFill="1" applyBorder="1" applyAlignment="1" applyProtection="1">
      <alignment horizontal="right" vertical="center" wrapText="1"/>
    </xf>
    <xf numFmtId="170" fontId="2" fillId="7" borderId="76" xfId="3" applyNumberFormat="1" applyFont="1" applyFill="1" applyBorder="1" applyAlignment="1" applyProtection="1">
      <alignment horizontal="right" vertical="center" wrapText="1"/>
      <protection locked="0"/>
    </xf>
    <xf numFmtId="170" fontId="2" fillId="2" borderId="76" xfId="3" applyNumberFormat="1" applyFont="1" applyFill="1" applyBorder="1" applyAlignment="1" applyProtection="1">
      <alignment horizontal="right" vertical="center" wrapText="1"/>
    </xf>
    <xf numFmtId="0" fontId="2" fillId="0" borderId="80" xfId="0" applyFont="1" applyFill="1" applyBorder="1" applyAlignment="1" applyProtection="1">
      <alignment horizontal="left" vertical="top" wrapText="1"/>
    </xf>
    <xf numFmtId="166" fontId="13" fillId="0" borderId="80" xfId="3" applyBorder="1" applyProtection="1"/>
    <xf numFmtId="0" fontId="2" fillId="0" borderId="0" xfId="0" applyFont="1" applyFill="1" applyBorder="1" applyAlignment="1" applyProtection="1">
      <alignment horizontal="left" vertical="top" wrapText="1"/>
    </xf>
    <xf numFmtId="166" fontId="6" fillId="0" borderId="11" xfId="3" applyFont="1" applyBorder="1" applyAlignment="1">
      <alignment horizontal="left" vertical="top" wrapText="1"/>
    </xf>
    <xf numFmtId="3" fontId="2" fillId="0" borderId="0" xfId="0" applyNumberFormat="1" applyFont="1"/>
    <xf numFmtId="167" fontId="6" fillId="7" borderId="81" xfId="3" applyNumberFormat="1" applyFont="1" applyFill="1" applyBorder="1" applyAlignment="1">
      <alignment wrapText="1"/>
    </xf>
    <xf numFmtId="167" fontId="6" fillId="7" borderId="36" xfId="3" applyNumberFormat="1" applyFont="1" applyFill="1" applyBorder="1"/>
    <xf numFmtId="167" fontId="6" fillId="0" borderId="60" xfId="3" applyNumberFormat="1" applyFont="1" applyBorder="1" applyAlignment="1">
      <alignment wrapText="1"/>
    </xf>
    <xf numFmtId="167" fontId="6" fillId="0" borderId="34" xfId="3" applyNumberFormat="1" applyFont="1" applyBorder="1"/>
    <xf numFmtId="0" fontId="6" fillId="0" borderId="0" xfId="0" applyFont="1" applyBorder="1" applyAlignment="1"/>
    <xf numFmtId="167" fontId="6" fillId="8" borderId="82" xfId="3" applyNumberFormat="1" applyFont="1" applyFill="1" applyBorder="1"/>
    <xf numFmtId="167" fontId="6" fillId="8" borderId="83" xfId="3" applyNumberFormat="1" applyFont="1" applyFill="1" applyBorder="1"/>
    <xf numFmtId="3" fontId="2" fillId="0" borderId="49" xfId="0" applyNumberFormat="1" applyFont="1" applyFill="1" applyBorder="1" applyAlignment="1">
      <alignment horizontal="center" vertical="top" wrapText="1"/>
    </xf>
    <xf numFmtId="3" fontId="2" fillId="0" borderId="76" xfId="3" applyNumberFormat="1" applyFont="1" applyFill="1" applyBorder="1" applyAlignment="1" applyProtection="1">
      <alignment horizontal="center" vertical="top" wrapText="1"/>
    </xf>
    <xf numFmtId="3" fontId="2" fillId="0" borderId="77" xfId="0" applyNumberFormat="1" applyFont="1" applyFill="1" applyBorder="1" applyAlignment="1">
      <alignment horizontal="center" vertical="top" wrapText="1"/>
    </xf>
    <xf numFmtId="3" fontId="0" fillId="0" borderId="9" xfId="0" applyNumberFormat="1" applyFill="1" applyBorder="1" applyAlignment="1">
      <alignment wrapText="1"/>
    </xf>
    <xf numFmtId="3" fontId="0" fillId="0" borderId="9" xfId="3" applyNumberFormat="1" applyFont="1" applyFill="1" applyBorder="1" applyAlignment="1" applyProtection="1">
      <alignment horizontal="center" wrapText="1"/>
    </xf>
    <xf numFmtId="3" fontId="0" fillId="0" borderId="9" xfId="3" applyNumberFormat="1" applyFont="1" applyFill="1" applyBorder="1" applyAlignment="1" applyProtection="1">
      <alignment wrapText="1"/>
    </xf>
    <xf numFmtId="166" fontId="6" fillId="0" borderId="15" xfId="3" applyFont="1" applyFill="1" applyBorder="1" applyAlignment="1" applyProtection="1">
      <alignment wrapText="1"/>
    </xf>
    <xf numFmtId="3" fontId="2" fillId="0" borderId="84"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wrapText="1"/>
    </xf>
    <xf numFmtId="3" fontId="2" fillId="3" borderId="84" xfId="0" applyNumberFormat="1" applyFont="1" applyFill="1" applyBorder="1" applyAlignment="1">
      <alignment horizontal="center" vertical="top" wrapText="1"/>
    </xf>
    <xf numFmtId="3" fontId="2" fillId="3" borderId="76" xfId="3" applyNumberFormat="1" applyFont="1" applyFill="1" applyBorder="1" applyAlignment="1" applyProtection="1">
      <alignment horizontal="center" vertical="top" wrapText="1"/>
    </xf>
    <xf numFmtId="3" fontId="2" fillId="3" borderId="85" xfId="0" applyNumberFormat="1" applyFont="1" applyFill="1" applyBorder="1" applyAlignment="1">
      <alignment horizontal="center" vertical="top" wrapText="1"/>
    </xf>
    <xf numFmtId="0" fontId="2" fillId="0" borderId="86" xfId="0" applyFont="1" applyFill="1" applyBorder="1" applyAlignment="1">
      <alignment horizontal="left" vertical="top" wrapText="1"/>
    </xf>
    <xf numFmtId="0" fontId="2" fillId="0" borderId="9" xfId="0" applyFont="1" applyFill="1" applyBorder="1" applyAlignment="1">
      <alignment horizontal="left" vertical="top" wrapText="1"/>
    </xf>
    <xf numFmtId="167" fontId="6" fillId="2" borderId="8" xfId="3" applyNumberFormat="1" applyFont="1" applyFill="1" applyBorder="1" applyAlignment="1" applyProtection="1">
      <alignment vertical="top"/>
    </xf>
    <xf numFmtId="167" fontId="6" fillId="0" borderId="61" xfId="3" applyNumberFormat="1" applyFont="1" applyBorder="1" applyAlignment="1" applyProtection="1">
      <alignment vertical="top"/>
      <protection locked="0"/>
    </xf>
    <xf numFmtId="167" fontId="6" fillId="7" borderId="72" xfId="3" applyNumberFormat="1" applyFont="1" applyFill="1" applyBorder="1" applyAlignment="1">
      <alignment vertical="top"/>
    </xf>
    <xf numFmtId="167" fontId="6" fillId="0" borderId="17" xfId="3" applyNumberFormat="1" applyFont="1" applyFill="1" applyBorder="1" applyAlignment="1" applyProtection="1">
      <alignment vertical="top"/>
      <protection locked="0"/>
    </xf>
    <xf numFmtId="167" fontId="6" fillId="2" borderId="5" xfId="3" applyNumberFormat="1" applyFont="1" applyFill="1" applyBorder="1" applyAlignment="1" applyProtection="1">
      <alignment vertical="top"/>
    </xf>
    <xf numFmtId="0" fontId="6" fillId="0" borderId="41" xfId="0" applyFont="1" applyBorder="1" applyAlignment="1" applyProtection="1">
      <alignment vertical="top" wrapText="1"/>
      <protection locked="0"/>
    </xf>
    <xf numFmtId="3" fontId="6" fillId="0" borderId="33" xfId="0" applyNumberFormat="1" applyFont="1" applyBorder="1" applyAlignment="1" applyProtection="1">
      <alignment horizontal="left" vertical="top" wrapText="1"/>
      <protection locked="0"/>
    </xf>
    <xf numFmtId="167" fontId="6" fillId="0" borderId="11" xfId="3" applyNumberFormat="1" applyFont="1" applyBorder="1" applyAlignment="1">
      <alignment horizontal="left" vertical="top" wrapText="1"/>
    </xf>
    <xf numFmtId="3" fontId="6" fillId="0" borderId="33" xfId="0" applyNumberFormat="1" applyFont="1" applyBorder="1" applyAlignment="1" applyProtection="1">
      <alignment vertical="top"/>
      <protection locked="0"/>
    </xf>
    <xf numFmtId="167" fontId="6" fillId="0" borderId="60" xfId="3" applyNumberFormat="1" applyFont="1" applyBorder="1" applyAlignment="1" applyProtection="1">
      <alignment vertical="center"/>
      <protection locked="0"/>
    </xf>
    <xf numFmtId="3" fontId="6" fillId="0" borderId="62" xfId="0" applyNumberFormat="1" applyFont="1" applyFill="1" applyBorder="1" applyAlignment="1" applyProtection="1">
      <alignment vertical="top" wrapText="1"/>
      <protection locked="0"/>
    </xf>
    <xf numFmtId="3" fontId="6" fillId="0" borderId="11" xfId="0" applyNumberFormat="1" applyFont="1" applyBorder="1" applyAlignment="1" applyProtection="1">
      <alignment vertical="top" wrapText="1"/>
      <protection locked="0"/>
    </xf>
    <xf numFmtId="167" fontId="6" fillId="8" borderId="34" xfId="3" applyNumberFormat="1" applyFont="1" applyFill="1" applyBorder="1"/>
    <xf numFmtId="167" fontId="6" fillId="0" borderId="11" xfId="0" applyNumberFormat="1" applyFont="1" applyBorder="1" applyAlignment="1">
      <alignment horizontal="left" vertical="top" wrapText="1"/>
    </xf>
    <xf numFmtId="3" fontId="6" fillId="0" borderId="33" xfId="0" applyNumberFormat="1" applyFont="1" applyFill="1" applyBorder="1" applyAlignment="1" applyProtection="1">
      <alignment vertical="top" wrapText="1"/>
      <protection locked="0"/>
    </xf>
    <xf numFmtId="0" fontId="6" fillId="0" borderId="34" xfId="3" applyNumberFormat="1" applyFont="1" applyBorder="1"/>
    <xf numFmtId="167" fontId="6" fillId="0" borderId="34" xfId="3" applyNumberFormat="1" applyFont="1" applyBorder="1" applyAlignment="1" applyProtection="1">
      <alignment horizontal="center" vertical="top"/>
      <protection locked="0"/>
    </xf>
    <xf numFmtId="167" fontId="6" fillId="0" borderId="61" xfId="3" applyNumberFormat="1" applyFont="1" applyFill="1" applyBorder="1" applyAlignment="1" applyProtection="1">
      <alignment vertical="top"/>
      <protection locked="0"/>
    </xf>
    <xf numFmtId="167" fontId="6" fillId="0" borderId="60" xfId="3" applyNumberFormat="1" applyFont="1" applyBorder="1" applyAlignment="1" applyProtection="1">
      <alignment horizontal="center" vertical="top"/>
      <protection locked="0"/>
    </xf>
    <xf numFmtId="167" fontId="6" fillId="0" borderId="0" xfId="3" applyNumberFormat="1" applyFont="1" applyAlignment="1" applyProtection="1">
      <alignment horizontal="center" vertical="top"/>
      <protection locked="0"/>
    </xf>
    <xf numFmtId="167" fontId="6" fillId="0" borderId="35" xfId="3" applyNumberFormat="1" applyFont="1" applyBorder="1" applyAlignment="1" applyProtection="1">
      <alignment horizontal="center" vertical="top"/>
      <protection locked="0"/>
    </xf>
    <xf numFmtId="167" fontId="6" fillId="0" borderId="34" xfId="3" applyNumberFormat="1" applyFont="1" applyBorder="1" applyAlignment="1" applyProtection="1">
      <alignment vertical="center"/>
      <protection locked="0"/>
    </xf>
    <xf numFmtId="167" fontId="6" fillId="0" borderId="0" xfId="3" applyNumberFormat="1" applyFont="1" applyAlignment="1" applyProtection="1">
      <alignment vertical="center"/>
      <protection locked="0"/>
    </xf>
    <xf numFmtId="167" fontId="6" fillId="0" borderId="20" xfId="4" applyNumberFormat="1" applyFont="1" applyFill="1" applyBorder="1" applyAlignment="1" applyProtection="1">
      <alignment vertical="top"/>
      <protection locked="0"/>
    </xf>
    <xf numFmtId="167" fontId="6" fillId="0" borderId="17" xfId="4" applyNumberFormat="1" applyFont="1" applyFill="1" applyBorder="1" applyAlignment="1" applyProtection="1">
      <alignment vertical="top"/>
      <protection locked="0"/>
    </xf>
    <xf numFmtId="171" fontId="6" fillId="0" borderId="34" xfId="4" applyNumberFormat="1" applyFont="1" applyBorder="1" applyAlignment="1" applyProtection="1">
      <alignment vertical="top"/>
      <protection locked="0"/>
    </xf>
    <xf numFmtId="167" fontId="6" fillId="0" borderId="60" xfId="4" applyNumberFormat="1" applyFont="1" applyBorder="1" applyAlignment="1" applyProtection="1">
      <alignment vertical="top"/>
      <protection locked="0"/>
    </xf>
    <xf numFmtId="167" fontId="6" fillId="0" borderId="17" xfId="4" applyNumberFormat="1" applyFill="1" applyBorder="1" applyAlignment="1" applyProtection="1">
      <alignment vertical="top"/>
      <protection locked="0"/>
    </xf>
    <xf numFmtId="171" fontId="6" fillId="0" borderId="35" xfId="4" applyNumberFormat="1" applyFont="1" applyBorder="1" applyAlignment="1" applyProtection="1">
      <alignment vertical="top"/>
      <protection locked="0"/>
    </xf>
    <xf numFmtId="167" fontId="6" fillId="0" borderId="61" xfId="4" applyNumberFormat="1" applyFont="1" applyBorder="1" applyAlignment="1" applyProtection="1">
      <alignment vertical="top"/>
      <protection locked="0"/>
    </xf>
    <xf numFmtId="10" fontId="6" fillId="0" borderId="0" xfId="2" applyNumberFormat="1" applyFont="1"/>
    <xf numFmtId="0" fontId="6" fillId="0" borderId="41" xfId="0" applyFont="1" applyFill="1" applyBorder="1" applyAlignment="1" applyProtection="1">
      <alignment vertical="top" wrapText="1"/>
      <protection locked="0"/>
    </xf>
    <xf numFmtId="171" fontId="6" fillId="0" borderId="34" xfId="4" applyNumberFormat="1" applyFont="1" applyFill="1" applyBorder="1" applyAlignment="1" applyProtection="1">
      <alignment vertical="top"/>
      <protection locked="0"/>
    </xf>
    <xf numFmtId="167" fontId="6" fillId="0" borderId="60" xfId="4" applyNumberFormat="1" applyFont="1" applyFill="1" applyBorder="1" applyAlignment="1" applyProtection="1">
      <alignment vertical="top"/>
      <protection locked="0"/>
    </xf>
    <xf numFmtId="0" fontId="6" fillId="0" borderId="62" xfId="0" applyFont="1" applyFill="1" applyBorder="1" applyAlignment="1">
      <alignment horizontal="left" vertical="top" wrapText="1"/>
    </xf>
    <xf numFmtId="0" fontId="6" fillId="0" borderId="41" xfId="0" applyFont="1" applyFill="1" applyBorder="1" applyAlignment="1">
      <alignment horizontal="left" vertical="top" wrapText="1"/>
    </xf>
    <xf numFmtId="3" fontId="0" fillId="0" borderId="11" xfId="0" applyNumberFormat="1" applyFill="1" applyBorder="1" applyAlignment="1" applyProtection="1">
      <alignment vertical="top" wrapText="1"/>
      <protection locked="0"/>
    </xf>
    <xf numFmtId="3" fontId="6" fillId="0" borderId="34" xfId="4" applyNumberFormat="1" applyFill="1" applyBorder="1" applyAlignment="1" applyProtection="1">
      <alignment horizontal="center" vertical="top"/>
      <protection locked="0"/>
    </xf>
    <xf numFmtId="3" fontId="6" fillId="0" borderId="60" xfId="4" applyNumberFormat="1" applyFill="1" applyBorder="1" applyAlignment="1" applyProtection="1">
      <alignment vertical="top"/>
      <protection locked="0"/>
    </xf>
    <xf numFmtId="172" fontId="6" fillId="0" borderId="34" xfId="0" applyNumberFormat="1" applyFont="1" applyFill="1" applyBorder="1" applyAlignment="1" applyProtection="1">
      <alignment horizontal="center" vertical="top" wrapText="1"/>
      <protection locked="0"/>
    </xf>
    <xf numFmtId="3" fontId="6" fillId="0" borderId="34" xfId="4" applyNumberFormat="1" applyBorder="1" applyAlignment="1" applyProtection="1">
      <alignment horizontal="center" vertical="top"/>
      <protection locked="0"/>
    </xf>
    <xf numFmtId="3" fontId="6" fillId="0" borderId="60" xfId="4" applyNumberFormat="1" applyBorder="1" applyAlignment="1" applyProtection="1">
      <alignment vertical="top"/>
      <protection locked="0"/>
    </xf>
    <xf numFmtId="3" fontId="6" fillId="0" borderId="34" xfId="4" applyNumberFormat="1" applyFont="1" applyBorder="1" applyAlignment="1" applyProtection="1">
      <alignment horizontal="center" vertical="top"/>
      <protection locked="0"/>
    </xf>
    <xf numFmtId="3" fontId="6" fillId="0" borderId="60" xfId="4" applyNumberFormat="1" applyFont="1" applyBorder="1" applyAlignment="1" applyProtection="1">
      <alignment vertical="top"/>
      <protection locked="0"/>
    </xf>
    <xf numFmtId="167" fontId="0" fillId="0" borderId="39" xfId="4" applyNumberFormat="1" applyFont="1" applyFill="1" applyBorder="1" applyAlignment="1" applyProtection="1">
      <alignment vertical="top"/>
      <protection locked="0"/>
    </xf>
    <xf numFmtId="167" fontId="0" fillId="0" borderId="2" xfId="4" applyNumberFormat="1" applyFont="1" applyFill="1" applyBorder="1" applyAlignment="1" applyProtection="1">
      <alignment vertical="top"/>
      <protection locked="0"/>
    </xf>
    <xf numFmtId="0" fontId="6" fillId="0" borderId="34" xfId="0" applyFont="1" applyFill="1" applyBorder="1" applyAlignment="1" applyProtection="1">
      <alignment vertical="top" wrapText="1"/>
      <protection locked="0"/>
    </xf>
    <xf numFmtId="0" fontId="6" fillId="0" borderId="32" xfId="0" applyFont="1" applyFill="1" applyBorder="1" applyAlignment="1" applyProtection="1">
      <alignment vertical="top" wrapText="1"/>
      <protection locked="0"/>
    </xf>
    <xf numFmtId="171" fontId="6" fillId="0" borderId="35" xfId="4" applyNumberFormat="1" applyFont="1" applyFill="1" applyBorder="1" applyAlignment="1" applyProtection="1">
      <alignment vertical="top"/>
      <protection locked="0"/>
    </xf>
    <xf numFmtId="0" fontId="6" fillId="0" borderId="11" xfId="0" applyFont="1" applyFill="1" applyBorder="1" applyAlignment="1" applyProtection="1">
      <alignment vertical="top" wrapText="1"/>
      <protection locked="0"/>
    </xf>
    <xf numFmtId="0" fontId="6" fillId="0" borderId="32" xfId="0" applyFont="1" applyFill="1" applyBorder="1" applyAlignment="1" applyProtection="1">
      <alignment horizontal="left" vertical="top" wrapText="1"/>
      <protection locked="0"/>
    </xf>
    <xf numFmtId="0" fontId="6" fillId="0" borderId="87" xfId="0" applyFont="1" applyBorder="1" applyAlignment="1" applyProtection="1">
      <alignment vertical="top" wrapText="1"/>
      <protection locked="0"/>
    </xf>
    <xf numFmtId="167" fontId="6" fillId="0" borderId="61" xfId="4" applyNumberFormat="1" applyFont="1" applyFill="1" applyBorder="1" applyAlignment="1" applyProtection="1">
      <alignment vertical="top"/>
      <protection locked="0"/>
    </xf>
    <xf numFmtId="3" fontId="0" fillId="0" borderId="33" xfId="0" applyNumberFormat="1" applyFill="1" applyBorder="1" applyAlignment="1" applyProtection="1">
      <alignment vertical="top" wrapText="1"/>
      <protection locked="0"/>
    </xf>
    <xf numFmtId="3" fontId="24" fillId="0" borderId="60" xfId="4" applyNumberFormat="1" applyFont="1" applyBorder="1" applyAlignment="1" applyProtection="1">
      <alignment vertical="top"/>
      <protection locked="0"/>
    </xf>
    <xf numFmtId="0" fontId="6" fillId="0" borderId="34" xfId="4" applyNumberFormat="1" applyFont="1" applyFill="1" applyBorder="1" applyAlignment="1" applyProtection="1">
      <alignment horizontal="center" vertical="top" wrapText="1"/>
      <protection locked="0"/>
    </xf>
    <xf numFmtId="167" fontId="10" fillId="0" borderId="0" xfId="0" applyNumberFormat="1" applyFont="1" applyBorder="1" applyProtection="1"/>
    <xf numFmtId="166" fontId="6" fillId="0" borderId="0" xfId="3" applyFont="1" applyBorder="1" applyProtection="1"/>
    <xf numFmtId="166" fontId="6" fillId="2" borderId="77" xfId="3" applyFont="1" applyFill="1" applyBorder="1" applyAlignment="1" applyProtection="1">
      <alignment horizontal="right" vertical="center" wrapText="1"/>
    </xf>
    <xf numFmtId="167" fontId="6" fillId="0" borderId="35" xfId="3" applyNumberFormat="1" applyFont="1" applyBorder="1" applyAlignment="1" applyProtection="1">
      <alignment horizontal="center" vertical="center" wrapText="1"/>
      <protection locked="0"/>
    </xf>
    <xf numFmtId="167" fontId="6" fillId="0" borderId="35" xfId="3" applyNumberFormat="1" applyFont="1" applyFill="1" applyBorder="1" applyAlignment="1" applyProtection="1">
      <alignment horizontal="right" vertical="center" wrapText="1"/>
      <protection locked="0"/>
    </xf>
    <xf numFmtId="0" fontId="20" fillId="0" borderId="53" xfId="0" applyFont="1" applyFill="1" applyBorder="1" applyAlignment="1">
      <alignment wrapText="1"/>
    </xf>
    <xf numFmtId="0" fontId="6" fillId="0" borderId="34" xfId="0" applyFont="1" applyFill="1" applyBorder="1" applyAlignment="1" applyProtection="1">
      <alignment horizontal="center" vertical="center" wrapText="1"/>
      <protection locked="0"/>
    </xf>
    <xf numFmtId="0" fontId="6" fillId="0" borderId="34" xfId="0" applyFont="1" applyBorder="1" applyAlignment="1">
      <alignment vertical="center"/>
    </xf>
    <xf numFmtId="167" fontId="6" fillId="0" borderId="34" xfId="3" applyNumberFormat="1" applyFont="1" applyBorder="1" applyAlignment="1">
      <alignment vertical="center"/>
    </xf>
    <xf numFmtId="0" fontId="6" fillId="0" borderId="34" xfId="3" applyNumberFormat="1" applyFont="1" applyBorder="1" applyAlignment="1">
      <alignment horizontal="center"/>
    </xf>
    <xf numFmtId="167" fontId="6" fillId="0" borderId="34" xfId="3" quotePrefix="1" applyNumberFormat="1" applyFont="1" applyBorder="1" applyAlignment="1">
      <alignment horizontal="center"/>
    </xf>
    <xf numFmtId="0" fontId="9" fillId="0" borderId="53" xfId="0" applyFont="1" applyBorder="1" applyAlignment="1">
      <alignment horizontal="right"/>
    </xf>
    <xf numFmtId="3" fontId="25" fillId="0" borderId="33" xfId="0" applyNumberFormat="1" applyFont="1" applyBorder="1" applyAlignment="1" applyProtection="1">
      <alignment horizontal="left" vertical="top" wrapText="1"/>
      <protection locked="0"/>
    </xf>
    <xf numFmtId="3" fontId="25" fillId="0" borderId="33" xfId="0" applyNumberFormat="1" applyFont="1" applyBorder="1" applyAlignment="1" applyProtection="1">
      <alignment vertical="top" wrapText="1"/>
      <protection locked="0"/>
    </xf>
    <xf numFmtId="167" fontId="6" fillId="0" borderId="60" xfId="3" applyNumberFormat="1" applyFont="1" applyFill="1" applyBorder="1" applyAlignment="1" applyProtection="1">
      <alignment horizontal="center" vertical="top"/>
      <protection locked="0"/>
    </xf>
    <xf numFmtId="3" fontId="25" fillId="0" borderId="34" xfId="4" applyNumberFormat="1" applyFont="1" applyFill="1" applyBorder="1" applyAlignment="1" applyProtection="1">
      <alignment horizontal="center" vertical="top"/>
      <protection locked="0"/>
    </xf>
    <xf numFmtId="3" fontId="25" fillId="0" borderId="60" xfId="4" applyNumberFormat="1" applyFont="1" applyFill="1" applyBorder="1" applyAlignment="1" applyProtection="1">
      <alignment vertical="top"/>
      <protection locked="0"/>
    </xf>
    <xf numFmtId="9" fontId="6" fillId="0" borderId="0" xfId="2" applyFont="1"/>
    <xf numFmtId="3" fontId="6" fillId="0" borderId="34" xfId="3" quotePrefix="1" applyNumberFormat="1" applyFont="1" applyBorder="1" applyAlignment="1">
      <alignment horizontal="right"/>
    </xf>
    <xf numFmtId="166" fontId="6" fillId="0" borderId="0" xfId="3" applyFont="1" applyAlignment="1" applyProtection="1">
      <alignment vertical="top"/>
    </xf>
    <xf numFmtId="167" fontId="6" fillId="0" borderId="0" xfId="3" applyNumberFormat="1" applyFont="1" applyAlignment="1" applyProtection="1">
      <alignment vertical="top"/>
    </xf>
    <xf numFmtId="0" fontId="16" fillId="0" borderId="33" xfId="0" applyFont="1" applyFill="1" applyBorder="1"/>
    <xf numFmtId="3" fontId="0" fillId="0" borderId="0" xfId="0" applyNumberFormat="1" applyAlignment="1">
      <alignment vertical="center"/>
    </xf>
    <xf numFmtId="4" fontId="13" fillId="0" borderId="61" xfId="3" applyNumberFormat="1" applyBorder="1" applyAlignment="1" applyProtection="1">
      <alignment vertical="top"/>
      <protection locked="0"/>
    </xf>
    <xf numFmtId="3" fontId="6" fillId="0" borderId="32" xfId="0" applyNumberFormat="1" applyFont="1" applyBorder="1" applyAlignment="1" applyProtection="1">
      <alignment vertical="top" wrapText="1"/>
      <protection locked="0"/>
    </xf>
    <xf numFmtId="0" fontId="6" fillId="0" borderId="42" xfId="0" applyFont="1" applyBorder="1" applyAlignment="1" applyProtection="1">
      <alignment horizontal="center" vertical="center" wrapText="1"/>
      <protection locked="0"/>
    </xf>
    <xf numFmtId="0" fontId="6" fillId="0" borderId="40" xfId="0" applyFont="1" applyFill="1" applyBorder="1" applyAlignment="1" applyProtection="1">
      <alignment horizontal="center" vertical="center" wrapText="1"/>
      <protection locked="0"/>
    </xf>
    <xf numFmtId="0" fontId="6" fillId="0" borderId="40" xfId="0" applyFont="1" applyBorder="1" applyAlignment="1">
      <alignment vertical="center"/>
    </xf>
    <xf numFmtId="0" fontId="6" fillId="0" borderId="43" xfId="0" applyFont="1" applyBorder="1" applyAlignment="1" applyProtection="1">
      <alignment horizontal="center" vertical="center" wrapText="1"/>
      <protection locked="0"/>
    </xf>
    <xf numFmtId="0" fontId="18" fillId="2" borderId="88" xfId="0" applyFont="1" applyFill="1" applyBorder="1" applyAlignment="1">
      <alignment vertical="top" wrapText="1"/>
    </xf>
    <xf numFmtId="0" fontId="2" fillId="2" borderId="0" xfId="0" applyFont="1" applyFill="1" applyBorder="1" applyAlignment="1">
      <alignment vertical="top" wrapText="1"/>
    </xf>
    <xf numFmtId="167" fontId="2" fillId="9" borderId="80" xfId="0" applyNumberFormat="1" applyFont="1" applyFill="1" applyBorder="1"/>
    <xf numFmtId="0" fontId="2" fillId="2" borderId="89" xfId="0" applyFont="1" applyFill="1" applyBorder="1" applyAlignment="1">
      <alignment vertical="top" wrapText="1"/>
    </xf>
    <xf numFmtId="0" fontId="2" fillId="5" borderId="34" xfId="0" applyFont="1" applyFill="1" applyBorder="1" applyAlignment="1">
      <alignment vertical="top" wrapText="1"/>
    </xf>
    <xf numFmtId="0" fontId="2" fillId="2" borderId="34" xfId="0" applyFont="1" applyFill="1" applyBorder="1" applyAlignment="1">
      <alignment vertical="top" wrapText="1"/>
    </xf>
    <xf numFmtId="167" fontId="2" fillId="7" borderId="34" xfId="3" applyNumberFormat="1" applyFont="1" applyFill="1" applyBorder="1"/>
    <xf numFmtId="0" fontId="2" fillId="2" borderId="34" xfId="0" applyFont="1" applyFill="1" applyBorder="1" applyAlignment="1">
      <alignment vertical="center" wrapText="1"/>
    </xf>
    <xf numFmtId="167" fontId="2" fillId="7" borderId="34" xfId="3" applyNumberFormat="1" applyFont="1" applyFill="1" applyBorder="1" applyAlignment="1">
      <alignment vertical="center"/>
    </xf>
    <xf numFmtId="0" fontId="2" fillId="5" borderId="34" xfId="0" applyFont="1" applyFill="1" applyBorder="1" applyAlignment="1">
      <alignment vertical="center" wrapText="1"/>
    </xf>
    <xf numFmtId="166" fontId="2" fillId="10" borderId="36" xfId="3" applyFont="1" applyFill="1" applyBorder="1" applyAlignment="1">
      <alignment horizontal="center"/>
    </xf>
    <xf numFmtId="0" fontId="18" fillId="5" borderId="33" xfId="0" applyFont="1" applyFill="1" applyBorder="1" applyAlignment="1">
      <alignment vertical="top" wrapText="1"/>
    </xf>
    <xf numFmtId="0" fontId="2" fillId="5" borderId="42" xfId="0" applyFont="1" applyFill="1" applyBorder="1" applyAlignment="1">
      <alignment vertical="top" wrapText="1"/>
    </xf>
    <xf numFmtId="0" fontId="18" fillId="2" borderId="33" xfId="0" applyFont="1" applyFill="1" applyBorder="1" applyAlignment="1">
      <alignment vertical="top" wrapText="1"/>
    </xf>
    <xf numFmtId="0" fontId="2" fillId="2" borderId="42" xfId="0" applyFont="1" applyFill="1" applyBorder="1" applyAlignment="1">
      <alignment vertical="top" wrapText="1"/>
    </xf>
    <xf numFmtId="0" fontId="2" fillId="2" borderId="42" xfId="0" applyFont="1" applyFill="1" applyBorder="1" applyAlignment="1">
      <alignment vertical="center" wrapText="1"/>
    </xf>
    <xf numFmtId="0" fontId="6" fillId="0" borderId="42" xfId="0" applyFont="1" applyFill="1" applyBorder="1" applyAlignment="1" applyProtection="1">
      <alignment horizontal="center" vertical="center" wrapText="1"/>
      <protection locked="0"/>
    </xf>
    <xf numFmtId="0" fontId="2" fillId="5" borderId="42" xfId="0" applyFont="1" applyFill="1" applyBorder="1" applyAlignment="1">
      <alignment vertical="center" wrapText="1"/>
    </xf>
    <xf numFmtId="167" fontId="6" fillId="0" borderId="40" xfId="3" applyNumberFormat="1" applyFont="1" applyBorder="1" applyAlignment="1">
      <alignment vertical="center"/>
    </xf>
    <xf numFmtId="0" fontId="5" fillId="0" borderId="0" xfId="0" applyFont="1" applyAlignment="1">
      <alignment horizontal="center" vertical="top"/>
    </xf>
    <xf numFmtId="0" fontId="5" fillId="0" borderId="3" xfId="0" applyFont="1" applyBorder="1" applyAlignment="1">
      <alignment horizontal="left" wrapText="1"/>
    </xf>
    <xf numFmtId="3" fontId="27" fillId="0" borderId="33" xfId="0" applyNumberFormat="1" applyFont="1" applyBorder="1" applyAlignment="1" applyProtection="1">
      <alignment vertical="top" wrapText="1"/>
      <protection locked="0"/>
    </xf>
    <xf numFmtId="3" fontId="27" fillId="0" borderId="34" xfId="0" applyNumberFormat="1" applyFont="1" applyBorder="1" applyAlignment="1">
      <alignment horizontal="left" vertical="top" wrapText="1"/>
    </xf>
    <xf numFmtId="3" fontId="27" fillId="0" borderId="41" xfId="0" applyNumberFormat="1" applyFont="1" applyBorder="1" applyAlignment="1" applyProtection="1">
      <alignment vertical="top" wrapText="1"/>
      <protection locked="0"/>
    </xf>
    <xf numFmtId="167" fontId="2" fillId="0" borderId="20" xfId="3" applyNumberFormat="1" applyFont="1" applyFill="1" applyBorder="1" applyAlignment="1" applyProtection="1">
      <alignment horizontal="left" vertical="center" wrapText="1"/>
    </xf>
    <xf numFmtId="10" fontId="2" fillId="0" borderId="22" xfId="2" applyNumberFormat="1" applyFont="1" applyFill="1" applyBorder="1" applyAlignment="1" applyProtection="1">
      <alignment horizontal="right" vertical="center"/>
    </xf>
    <xf numFmtId="167" fontId="2" fillId="0" borderId="39" xfId="3" applyNumberFormat="1" applyFont="1" applyFill="1" applyBorder="1" applyAlignment="1" applyProtection="1">
      <alignment horizontal="left" vertical="center" wrapText="1"/>
    </xf>
    <xf numFmtId="10" fontId="2" fillId="0" borderId="63" xfId="0" applyNumberFormat="1" applyFont="1" applyFill="1" applyBorder="1" applyAlignment="1" applyProtection="1">
      <alignment horizontal="right"/>
    </xf>
    <xf numFmtId="0" fontId="2" fillId="0" borderId="86" xfId="0" applyFont="1" applyFill="1" applyBorder="1" applyAlignment="1" applyProtection="1">
      <alignment horizontal="center" vertical="top" wrapText="1"/>
    </xf>
    <xf numFmtId="10" fontId="2" fillId="0" borderId="92" xfId="2" applyNumberFormat="1" applyFont="1" applyFill="1" applyBorder="1" applyAlignment="1" applyProtection="1">
      <alignment horizontal="right"/>
    </xf>
    <xf numFmtId="10" fontId="2" fillId="0" borderId="93" xfId="2" applyNumberFormat="1" applyFont="1" applyFill="1" applyBorder="1" applyAlignment="1" applyProtection="1">
      <alignment horizontal="right" vertical="center"/>
    </xf>
    <xf numFmtId="0" fontId="2" fillId="0" borderId="48" xfId="0" applyFont="1" applyFill="1" applyBorder="1" applyAlignment="1" applyProtection="1">
      <alignment horizontal="left" vertical="top" wrapText="1"/>
    </xf>
    <xf numFmtId="167" fontId="0" fillId="0" borderId="20" xfId="3" applyNumberFormat="1" applyFont="1" applyFill="1" applyBorder="1" applyAlignment="1" applyProtection="1">
      <alignment horizontal="left" vertical="center" wrapText="1"/>
    </xf>
    <xf numFmtId="10" fontId="2" fillId="0" borderId="71" xfId="2" applyNumberFormat="1" applyFont="1" applyFill="1" applyBorder="1" applyAlignment="1" applyProtection="1">
      <alignment horizontal="right" vertical="center"/>
    </xf>
    <xf numFmtId="0" fontId="2" fillId="0" borderId="48" xfId="0" applyFont="1" applyFill="1" applyBorder="1" applyAlignment="1" applyProtection="1">
      <alignment horizontal="center" vertical="top" wrapText="1"/>
    </xf>
    <xf numFmtId="10" fontId="2" fillId="0" borderId="79" xfId="2" applyNumberFormat="1" applyFont="1" applyFill="1" applyBorder="1" applyAlignment="1" applyProtection="1">
      <alignment horizontal="right" vertical="center"/>
    </xf>
    <xf numFmtId="0" fontId="2" fillId="0" borderId="75" xfId="0" applyFont="1" applyFill="1" applyBorder="1" applyAlignment="1" applyProtection="1">
      <alignment horizontal="center" vertical="top" wrapText="1"/>
    </xf>
    <xf numFmtId="10" fontId="2" fillId="0" borderId="78" xfId="2" applyNumberFormat="1" applyFont="1" applyFill="1" applyBorder="1" applyAlignment="1" applyProtection="1">
      <alignment horizontal="right"/>
    </xf>
    <xf numFmtId="0" fontId="2" fillId="15" borderId="33" xfId="0" applyFont="1" applyFill="1" applyBorder="1" applyAlignment="1" applyProtection="1">
      <alignment horizontal="center" vertical="top" wrapText="1"/>
    </xf>
    <xf numFmtId="167" fontId="2" fillId="15" borderId="34" xfId="3" applyNumberFormat="1" applyFont="1" applyFill="1" applyBorder="1" applyAlignment="1" applyProtection="1">
      <alignment vertical="top" wrapText="1"/>
    </xf>
    <xf numFmtId="0" fontId="2" fillId="15" borderId="56" xfId="0" applyFont="1" applyFill="1" applyBorder="1" applyAlignment="1" applyProtection="1">
      <alignment horizontal="center" vertical="top" wrapText="1"/>
    </xf>
    <xf numFmtId="10" fontId="2" fillId="15" borderId="40" xfId="2" applyNumberFormat="1" applyFont="1" applyFill="1" applyBorder="1" applyAlignment="1" applyProtection="1">
      <alignment vertical="top" wrapText="1"/>
    </xf>
    <xf numFmtId="10" fontId="2" fillId="16" borderId="94" xfId="2" applyNumberFormat="1" applyFont="1" applyFill="1" applyBorder="1" applyAlignment="1" applyProtection="1">
      <alignment vertical="center"/>
    </xf>
    <xf numFmtId="0" fontId="2" fillId="0" borderId="9" xfId="0" applyFont="1" applyFill="1" applyBorder="1" applyAlignment="1">
      <alignment horizontal="left" vertical="center"/>
    </xf>
    <xf numFmtId="0" fontId="0" fillId="0" borderId="9" xfId="0" applyBorder="1" applyAlignment="1">
      <alignment horizontal="left"/>
    </xf>
    <xf numFmtId="0" fontId="0" fillId="0" borderId="9" xfId="0" applyBorder="1" applyAlignment="1"/>
    <xf numFmtId="0" fontId="0" fillId="0" borderId="15" xfId="0" applyBorder="1" applyAlignment="1">
      <alignment horizontal="left"/>
    </xf>
    <xf numFmtId="0" fontId="2" fillId="5" borderId="34" xfId="0" applyFont="1" applyFill="1" applyBorder="1" applyAlignment="1">
      <alignment horizontal="center" vertical="top" wrapText="1"/>
    </xf>
    <xf numFmtId="169" fontId="2" fillId="5" borderId="34" xfId="0" applyNumberFormat="1" applyFont="1" applyFill="1" applyBorder="1" applyAlignment="1">
      <alignment horizontal="center" vertical="top" wrapText="1"/>
    </xf>
    <xf numFmtId="166" fontId="2" fillId="11" borderId="34" xfId="3" applyFont="1" applyFill="1" applyBorder="1" applyAlignment="1" applyProtection="1">
      <alignment horizontal="center" vertical="top" wrapText="1"/>
    </xf>
    <xf numFmtId="172" fontId="2" fillId="2" borderId="34" xfId="3" applyNumberFormat="1" applyFont="1" applyFill="1" applyBorder="1" applyAlignment="1" applyProtection="1">
      <alignment horizontal="center" vertical="top" wrapText="1"/>
    </xf>
    <xf numFmtId="0" fontId="2" fillId="2" borderId="34" xfId="3" applyNumberFormat="1" applyFont="1" applyFill="1" applyBorder="1" applyAlignment="1" applyProtection="1">
      <alignment horizontal="center" vertical="top" wrapText="1"/>
    </xf>
    <xf numFmtId="0" fontId="2" fillId="2" borderId="34" xfId="0" applyFont="1" applyFill="1" applyBorder="1" applyAlignment="1">
      <alignment horizontal="center" vertical="center"/>
    </xf>
    <xf numFmtId="10" fontId="2" fillId="11" borderId="42" xfId="2" applyNumberFormat="1" applyFont="1" applyFill="1" applyBorder="1" applyAlignment="1" applyProtection="1">
      <alignment horizontal="center" vertical="top" wrapText="1"/>
    </xf>
    <xf numFmtId="0" fontId="2" fillId="11" borderId="42" xfId="0" applyFont="1" applyFill="1" applyBorder="1" applyAlignment="1">
      <alignment horizontal="center" vertical="top" wrapText="1"/>
    </xf>
    <xf numFmtId="0" fontId="2" fillId="5" borderId="33" xfId="0" applyFont="1" applyFill="1" applyBorder="1" applyAlignment="1">
      <alignment horizontal="center" vertical="top" wrapText="1"/>
    </xf>
    <xf numFmtId="0" fontId="2" fillId="2" borderId="33" xfId="0" applyFont="1" applyFill="1" applyBorder="1" applyAlignment="1">
      <alignment horizontal="left" vertical="top" wrapText="1"/>
    </xf>
    <xf numFmtId="0" fontId="9" fillId="0" borderId="95" xfId="0" applyFont="1" applyFill="1" applyBorder="1" applyAlignment="1">
      <alignment horizontal="right" vertical="top"/>
    </xf>
    <xf numFmtId="0" fontId="2" fillId="0" borderId="96" xfId="0" applyFont="1" applyFill="1" applyBorder="1" applyAlignment="1">
      <alignment horizontal="left" vertical="top"/>
    </xf>
    <xf numFmtId="0" fontId="9" fillId="0" borderId="96" xfId="0" applyFont="1" applyFill="1" applyBorder="1" applyAlignment="1">
      <alignment horizontal="left" vertical="top"/>
    </xf>
    <xf numFmtId="0" fontId="0" fillId="0" borderId="96" xfId="0" applyBorder="1" applyAlignment="1">
      <alignment horizontal="left" vertical="top"/>
    </xf>
    <xf numFmtId="0" fontId="9" fillId="0" borderId="95" xfId="0" applyFont="1" applyFill="1" applyBorder="1" applyAlignment="1">
      <alignment horizontal="left" vertical="top"/>
    </xf>
    <xf numFmtId="0" fontId="0" fillId="0" borderId="95" xfId="0" applyBorder="1" applyAlignment="1">
      <alignment horizontal="left" vertical="top"/>
    </xf>
    <xf numFmtId="0" fontId="0" fillId="0" borderId="96" xfId="0" applyBorder="1"/>
    <xf numFmtId="0" fontId="7" fillId="0" borderId="97" xfId="0" applyFont="1" applyFill="1" applyBorder="1" applyAlignment="1">
      <alignment horizontal="left" vertical="center"/>
    </xf>
    <xf numFmtId="0" fontId="2" fillId="0" borderId="80" xfId="0" applyFont="1" applyFill="1" applyBorder="1" applyAlignment="1">
      <alignment horizontal="left" vertical="center"/>
    </xf>
    <xf numFmtId="0" fontId="0" fillId="0" borderId="80" xfId="0" applyBorder="1" applyAlignment="1">
      <alignment horizontal="left"/>
    </xf>
    <xf numFmtId="0" fontId="0" fillId="0" borderId="80" xfId="0" applyBorder="1" applyAlignment="1"/>
    <xf numFmtId="0" fontId="0" fillId="0" borderId="98" xfId="0" applyNumberFormat="1" applyBorder="1" applyAlignment="1"/>
    <xf numFmtId="0" fontId="0" fillId="0" borderId="99" xfId="0" applyBorder="1" applyAlignment="1">
      <alignment horizontal="left" vertical="top"/>
    </xf>
    <xf numFmtId="0" fontId="2" fillId="12" borderId="42" xfId="0" applyFont="1" applyFill="1" applyBorder="1" applyAlignment="1">
      <alignment horizontal="center" vertical="top" wrapText="1"/>
    </xf>
    <xf numFmtId="166" fontId="2" fillId="2" borderId="42" xfId="0" applyNumberFormat="1" applyFont="1" applyFill="1" applyBorder="1" applyAlignment="1">
      <alignment horizontal="center" vertical="center"/>
    </xf>
    <xf numFmtId="166" fontId="6" fillId="12" borderId="42" xfId="0" applyNumberFormat="1" applyFont="1" applyFill="1" applyBorder="1" applyAlignment="1">
      <alignment horizontal="center" vertical="center"/>
    </xf>
    <xf numFmtId="166" fontId="2" fillId="2" borderId="42" xfId="3" applyFont="1" applyFill="1" applyBorder="1" applyAlignment="1" applyProtection="1">
      <alignment horizontal="center" vertical="center" wrapText="1"/>
    </xf>
    <xf numFmtId="166" fontId="6" fillId="12" borderId="43" xfId="0" applyNumberFormat="1" applyFont="1" applyFill="1" applyBorder="1" applyAlignment="1">
      <alignment horizontal="center" vertical="center"/>
    </xf>
    <xf numFmtId="0" fontId="9" fillId="0" borderId="99" xfId="0" applyFont="1" applyFill="1" applyBorder="1" applyAlignment="1">
      <alignment horizontal="left" vertical="top"/>
    </xf>
    <xf numFmtId="166" fontId="2" fillId="2" borderId="33" xfId="3" applyFont="1" applyFill="1" applyBorder="1" applyAlignment="1" applyProtection="1">
      <alignment horizontal="center" vertical="center"/>
    </xf>
    <xf numFmtId="166" fontId="13" fillId="4" borderId="56" xfId="3" applyFill="1" applyBorder="1" applyAlignment="1" applyProtection="1">
      <alignment horizontal="center" vertical="center"/>
    </xf>
    <xf numFmtId="0" fontId="0" fillId="0" borderId="99" xfId="0" applyBorder="1"/>
    <xf numFmtId="0" fontId="2" fillId="11" borderId="60" xfId="0" applyFont="1" applyFill="1" applyBorder="1" applyAlignment="1">
      <alignment horizontal="center" vertical="top" wrapText="1"/>
    </xf>
    <xf numFmtId="0" fontId="0" fillId="0" borderId="97" xfId="0" applyBorder="1" applyAlignment="1">
      <alignment horizontal="left"/>
    </xf>
    <xf numFmtId="0" fontId="0" fillId="0" borderId="98" xfId="0" applyBorder="1" applyAlignment="1"/>
    <xf numFmtId="173" fontId="6" fillId="0" borderId="34" xfId="3" applyNumberFormat="1" applyFont="1" applyBorder="1" applyAlignment="1" applyProtection="1">
      <alignment horizontal="center" vertical="top"/>
      <protection locked="0"/>
    </xf>
    <xf numFmtId="173" fontId="6" fillId="0" borderId="60" xfId="3" applyNumberFormat="1" applyFont="1" applyBorder="1" applyAlignment="1" applyProtection="1">
      <alignment vertical="top"/>
      <protection locked="0"/>
    </xf>
    <xf numFmtId="167" fontId="6" fillId="13" borderId="101" xfId="3" applyNumberFormat="1" applyFont="1" applyFill="1" applyBorder="1" applyAlignment="1" applyProtection="1">
      <alignment vertical="center"/>
    </xf>
    <xf numFmtId="167" fontId="6" fillId="13" borderId="34" xfId="3" applyNumberFormat="1" applyFont="1" applyFill="1" applyBorder="1" applyAlignment="1" applyProtection="1">
      <alignment vertical="center"/>
    </xf>
    <xf numFmtId="167" fontId="6" fillId="3" borderId="34" xfId="3" applyNumberFormat="1" applyFont="1" applyFill="1" applyBorder="1" applyAlignment="1" applyProtection="1">
      <alignment vertical="center"/>
    </xf>
    <xf numFmtId="167" fontId="6" fillId="0" borderId="34" xfId="3" applyNumberFormat="1" applyFont="1" applyFill="1" applyBorder="1" applyAlignment="1" applyProtection="1">
      <alignment vertical="center"/>
      <protection locked="0"/>
    </xf>
    <xf numFmtId="167" fontId="6" fillId="2" borderId="34" xfId="3" applyNumberFormat="1" applyFont="1" applyFill="1" applyBorder="1" applyAlignment="1" applyProtection="1">
      <alignment vertical="center"/>
    </xf>
    <xf numFmtId="0" fontId="2" fillId="4" borderId="40" xfId="0" applyFont="1" applyFill="1" applyBorder="1" applyAlignment="1" applyProtection="1">
      <alignment horizontal="center"/>
    </xf>
    <xf numFmtId="0" fontId="2" fillId="0" borderId="40" xfId="0" applyFont="1" applyFill="1" applyBorder="1" applyAlignment="1" applyProtection="1">
      <alignment horizontal="center"/>
    </xf>
    <xf numFmtId="0" fontId="2" fillId="12" borderId="40" xfId="0" applyFont="1" applyFill="1" applyBorder="1" applyAlignment="1" applyProtection="1">
      <alignment horizontal="center"/>
    </xf>
    <xf numFmtId="0" fontId="2" fillId="12" borderId="43" xfId="0" applyFont="1" applyFill="1" applyBorder="1" applyAlignment="1" applyProtection="1">
      <alignment horizontal="center"/>
    </xf>
    <xf numFmtId="0" fontId="2" fillId="0" borderId="102" xfId="0" applyFont="1" applyFill="1" applyBorder="1" applyAlignment="1" applyProtection="1">
      <alignment horizontal="left" vertical="center" wrapText="1"/>
    </xf>
    <xf numFmtId="167" fontId="6" fillId="0" borderId="73" xfId="3" applyNumberFormat="1" applyFont="1" applyFill="1" applyBorder="1" applyAlignment="1" applyProtection="1">
      <alignment horizontal="center"/>
    </xf>
    <xf numFmtId="0" fontId="2" fillId="5" borderId="52" xfId="0" applyFont="1" applyFill="1" applyBorder="1" applyAlignment="1" applyProtection="1">
      <alignment horizontal="left" vertical="top" wrapText="1"/>
    </xf>
    <xf numFmtId="167" fontId="6" fillId="5" borderId="36" xfId="3" applyNumberFormat="1" applyFont="1" applyFill="1" applyBorder="1" applyAlignment="1" applyProtection="1">
      <alignment vertical="center" wrapText="1"/>
    </xf>
    <xf numFmtId="0" fontId="2" fillId="13" borderId="33" xfId="0" applyFont="1" applyFill="1" applyBorder="1" applyAlignment="1" applyProtection="1">
      <alignment horizontal="left" vertical="top" wrapText="1"/>
    </xf>
    <xf numFmtId="0" fontId="6" fillId="0" borderId="33" xfId="0" applyFont="1" applyBorder="1" applyAlignment="1" applyProtection="1">
      <alignment horizontal="left" vertical="top" wrapText="1"/>
    </xf>
    <xf numFmtId="167" fontId="6" fillId="2" borderId="42" xfId="3" applyNumberFormat="1" applyFont="1" applyFill="1" applyBorder="1" applyAlignment="1" applyProtection="1">
      <alignment vertical="center"/>
    </xf>
    <xf numFmtId="0" fontId="6" fillId="0" borderId="56" xfId="0" applyFont="1" applyBorder="1" applyAlignment="1" applyProtection="1">
      <alignment horizontal="left" vertical="top" wrapText="1"/>
    </xf>
    <xf numFmtId="167" fontId="6" fillId="0" borderId="40" xfId="3" applyNumberFormat="1" applyFont="1" applyFill="1" applyBorder="1" applyAlignment="1" applyProtection="1">
      <alignment vertical="center"/>
      <protection locked="0"/>
    </xf>
    <xf numFmtId="0" fontId="2" fillId="4" borderId="100" xfId="0" applyFont="1" applyFill="1" applyBorder="1" applyAlignment="1" applyProtection="1">
      <alignment horizontal="center"/>
    </xf>
    <xf numFmtId="167" fontId="6" fillId="0" borderId="103" xfId="3" applyNumberFormat="1" applyFont="1" applyFill="1" applyBorder="1" applyAlignment="1" applyProtection="1">
      <alignment horizontal="center"/>
    </xf>
    <xf numFmtId="0" fontId="2" fillId="12" borderId="56" xfId="0" applyFont="1" applyFill="1" applyBorder="1" applyAlignment="1" applyProtection="1">
      <alignment horizontal="center"/>
    </xf>
    <xf numFmtId="167" fontId="6" fillId="0" borderId="102" xfId="3" applyNumberFormat="1" applyFont="1" applyFill="1" applyBorder="1" applyAlignment="1" applyProtection="1">
      <alignment horizontal="center"/>
    </xf>
    <xf numFmtId="0" fontId="6" fillId="0" borderId="0" xfId="0" applyFont="1" applyProtection="1">
      <protection locked="0"/>
    </xf>
    <xf numFmtId="0" fontId="26" fillId="0" borderId="0" xfId="0" applyFont="1" applyBorder="1" applyAlignment="1" applyProtection="1">
      <alignment horizontal="center" vertical="top" wrapText="1"/>
      <protection locked="0"/>
    </xf>
    <xf numFmtId="0" fontId="28" fillId="0" borderId="0" xfId="0" applyFont="1" applyProtection="1">
      <protection locked="0"/>
    </xf>
    <xf numFmtId="0" fontId="2" fillId="17" borderId="73" xfId="0" applyFont="1" applyFill="1" applyBorder="1" applyAlignment="1">
      <alignment horizontal="center"/>
    </xf>
    <xf numFmtId="166" fontId="2" fillId="17" borderId="73" xfId="3" applyFont="1" applyFill="1" applyBorder="1" applyAlignment="1">
      <alignment horizontal="center"/>
    </xf>
    <xf numFmtId="0" fontId="2" fillId="17" borderId="74" xfId="0" applyFont="1" applyFill="1" applyBorder="1" applyAlignment="1">
      <alignment horizontal="center"/>
    </xf>
    <xf numFmtId="0" fontId="2" fillId="17" borderId="102" xfId="0" applyFont="1" applyFill="1" applyBorder="1" applyAlignment="1">
      <alignment horizontal="center"/>
    </xf>
    <xf numFmtId="167" fontId="6" fillId="8" borderId="62" xfId="3" applyNumberFormat="1" applyFont="1" applyFill="1" applyBorder="1"/>
    <xf numFmtId="167" fontId="6" fillId="8" borderId="104" xfId="3" applyNumberFormat="1" applyFont="1" applyFill="1" applyBorder="1"/>
    <xf numFmtId="167" fontId="6" fillId="7" borderId="52" xfId="3" applyNumberFormat="1" applyFont="1" applyFill="1" applyBorder="1"/>
    <xf numFmtId="167" fontId="6" fillId="7" borderId="55" xfId="3" applyNumberFormat="1" applyFont="1" applyFill="1" applyBorder="1"/>
    <xf numFmtId="167" fontId="6" fillId="0" borderId="33" xfId="3" applyNumberFormat="1" applyFont="1" applyBorder="1"/>
    <xf numFmtId="167" fontId="11" fillId="0" borderId="42" xfId="1" applyNumberFormat="1" applyBorder="1" applyAlignment="1" applyProtection="1"/>
    <xf numFmtId="167" fontId="6" fillId="0" borderId="42" xfId="3" applyNumberFormat="1" applyFont="1" applyBorder="1"/>
    <xf numFmtId="167" fontId="6" fillId="0" borderId="56" xfId="3" applyNumberFormat="1" applyFont="1" applyBorder="1"/>
    <xf numFmtId="167" fontId="6" fillId="0" borderId="100" xfId="3" applyNumberFormat="1" applyFont="1" applyBorder="1" applyAlignment="1">
      <alignment wrapText="1"/>
    </xf>
    <xf numFmtId="0" fontId="6" fillId="0" borderId="40" xfId="3" applyNumberFormat="1" applyFont="1" applyBorder="1"/>
    <xf numFmtId="167" fontId="11" fillId="0" borderId="43" xfId="1" applyNumberFormat="1" applyBorder="1" applyAlignment="1" applyProtection="1"/>
    <xf numFmtId="167" fontId="6" fillId="0" borderId="58" xfId="3" applyNumberFormat="1" applyFont="1" applyBorder="1"/>
    <xf numFmtId="167" fontId="6" fillId="0" borderId="90" xfId="3" applyNumberFormat="1" applyFont="1" applyBorder="1" applyAlignment="1">
      <alignment wrapText="1"/>
    </xf>
    <xf numFmtId="167" fontId="6" fillId="0" borderId="59" xfId="3" applyNumberFormat="1" applyFont="1" applyBorder="1"/>
    <xf numFmtId="167" fontId="6" fillId="0" borderId="91" xfId="3" applyNumberFormat="1" applyFont="1" applyBorder="1"/>
    <xf numFmtId="167" fontId="6" fillId="8" borderId="52" xfId="3" applyNumberFormat="1" applyFont="1" applyFill="1" applyBorder="1"/>
    <xf numFmtId="167" fontId="6" fillId="8" borderId="81" xfId="3" applyNumberFormat="1" applyFont="1" applyFill="1" applyBorder="1" applyAlignment="1">
      <alignment wrapText="1"/>
    </xf>
    <xf numFmtId="167" fontId="6" fillId="8" borderId="36" xfId="3" applyNumberFormat="1" applyFont="1" applyFill="1" applyBorder="1"/>
    <xf numFmtId="167" fontId="6" fillId="8" borderId="55" xfId="3" applyNumberFormat="1" applyFont="1" applyFill="1" applyBorder="1"/>
    <xf numFmtId="0" fontId="6" fillId="0" borderId="80" xfId="0" applyFont="1" applyFill="1" applyBorder="1" applyAlignment="1">
      <alignment horizontal="left" vertical="center"/>
    </xf>
    <xf numFmtId="0" fontId="6" fillId="0" borderId="98" xfId="0" applyFont="1" applyFill="1" applyBorder="1" applyAlignment="1">
      <alignment horizontal="left" vertical="center"/>
    </xf>
    <xf numFmtId="0" fontId="29" fillId="0" borderId="51" xfId="0" applyFont="1" applyFill="1" applyBorder="1" applyAlignment="1">
      <alignment horizontal="left" vertical="center"/>
    </xf>
    <xf numFmtId="0" fontId="0" fillId="0" borderId="0" xfId="0" applyNumberFormat="1"/>
    <xf numFmtId="3" fontId="6" fillId="0" borderId="61" xfId="3" applyNumberFormat="1" applyFont="1" applyBorder="1" applyAlignment="1" applyProtection="1">
      <alignment vertical="top"/>
      <protection locked="0"/>
    </xf>
    <xf numFmtId="3" fontId="6" fillId="0" borderId="11" xfId="0" applyNumberFormat="1" applyFont="1" applyBorder="1" applyAlignment="1" applyProtection="1">
      <alignment vertical="top"/>
      <protection locked="0"/>
    </xf>
    <xf numFmtId="3" fontId="6" fillId="0" borderId="34" xfId="0" applyNumberFormat="1" applyFont="1" applyBorder="1" applyAlignment="1">
      <alignment horizontal="left" vertical="top" wrapText="1"/>
    </xf>
    <xf numFmtId="3" fontId="6" fillId="0" borderId="34" xfId="0" applyNumberFormat="1" applyFont="1" applyBorder="1" applyAlignment="1">
      <alignment horizontal="center" vertical="top" wrapText="1"/>
    </xf>
    <xf numFmtId="3" fontId="0" fillId="0" borderId="107" xfId="0" applyNumberFormat="1" applyBorder="1" applyAlignment="1" applyProtection="1">
      <alignment vertical="top"/>
      <protection locked="0"/>
    </xf>
    <xf numFmtId="3" fontId="30" fillId="0" borderId="33" xfId="0" applyNumberFormat="1" applyFont="1" applyBorder="1" applyAlignment="1" applyProtection="1">
      <alignment vertical="top" wrapText="1"/>
      <protection locked="0"/>
    </xf>
    <xf numFmtId="167" fontId="6" fillId="7" borderId="41" xfId="3" applyNumberFormat="1" applyFont="1" applyFill="1" applyBorder="1"/>
    <xf numFmtId="167" fontId="6" fillId="7" borderId="61" xfId="3" applyNumberFormat="1" applyFont="1" applyFill="1" applyBorder="1" applyAlignment="1">
      <alignment wrapText="1"/>
    </xf>
    <xf numFmtId="167" fontId="6" fillId="7" borderId="35" xfId="3" applyNumberFormat="1" applyFont="1" applyFill="1" applyBorder="1"/>
    <xf numFmtId="167" fontId="6" fillId="7" borderId="72" xfId="3" applyNumberFormat="1" applyFont="1" applyFill="1" applyBorder="1"/>
    <xf numFmtId="3" fontId="0" fillId="14" borderId="32" xfId="0" applyNumberFormat="1" applyFill="1" applyBorder="1" applyAlignment="1" applyProtection="1">
      <alignment vertical="top" wrapText="1"/>
      <protection locked="0"/>
    </xf>
    <xf numFmtId="3" fontId="13" fillId="14" borderId="34" xfId="3" applyNumberFormat="1" applyFill="1" applyBorder="1" applyAlignment="1" applyProtection="1">
      <alignment horizontal="center" vertical="top"/>
      <protection locked="0"/>
    </xf>
    <xf numFmtId="3" fontId="13" fillId="14" borderId="60" xfId="3" applyNumberFormat="1" applyFill="1" applyBorder="1" applyAlignment="1" applyProtection="1">
      <alignment vertical="top"/>
      <protection locked="0"/>
    </xf>
    <xf numFmtId="167" fontId="2" fillId="2" borderId="10" xfId="3" applyNumberFormat="1" applyFont="1" applyFill="1" applyBorder="1" applyAlignment="1" applyProtection="1"/>
    <xf numFmtId="3" fontId="30" fillId="0" borderId="41" xfId="0" applyNumberFormat="1" applyFont="1" applyBorder="1" applyAlignment="1" applyProtection="1">
      <alignment vertical="top" wrapText="1"/>
      <protection locked="0"/>
    </xf>
    <xf numFmtId="167" fontId="6" fillId="0" borderId="62" xfId="3" applyNumberFormat="1" applyFont="1" applyBorder="1"/>
    <xf numFmtId="167" fontId="6" fillId="0" borderId="83" xfId="3" applyNumberFormat="1" applyFont="1" applyBorder="1" applyAlignment="1">
      <alignment wrapText="1"/>
    </xf>
    <xf numFmtId="167" fontId="6" fillId="0" borderId="82" xfId="3" applyNumberFormat="1" applyFont="1" applyBorder="1"/>
    <xf numFmtId="167" fontId="6" fillId="0" borderId="104" xfId="3" applyNumberFormat="1" applyFont="1" applyBorder="1"/>
    <xf numFmtId="0" fontId="18" fillId="0" borderId="33" xfId="0" applyFont="1" applyBorder="1" applyAlignment="1">
      <alignment horizontal="left" vertical="center" wrapText="1"/>
    </xf>
    <xf numFmtId="167" fontId="6" fillId="0" borderId="0" xfId="3" applyNumberFormat="1" applyFont="1" applyBorder="1" applyAlignment="1" applyProtection="1">
      <alignment vertical="center"/>
      <protection locked="0"/>
    </xf>
    <xf numFmtId="0" fontId="18" fillId="0" borderId="33" xfId="0" applyFont="1" applyFill="1" applyBorder="1" applyAlignment="1">
      <alignment horizontal="left" vertical="center" wrapText="1"/>
    </xf>
    <xf numFmtId="0" fontId="18" fillId="0" borderId="33" xfId="0" applyFont="1" applyFill="1" applyBorder="1" applyAlignment="1">
      <alignment wrapText="1"/>
    </xf>
    <xf numFmtId="0" fontId="18" fillId="0" borderId="33" xfId="1" applyFont="1" applyFill="1" applyBorder="1" applyAlignment="1" applyProtection="1">
      <alignment wrapText="1"/>
    </xf>
    <xf numFmtId="0" fontId="18" fillId="19" borderId="33" xfId="0" applyFont="1" applyFill="1" applyBorder="1" applyAlignment="1">
      <alignment vertical="top" wrapText="1"/>
    </xf>
    <xf numFmtId="167" fontId="6" fillId="0" borderId="142" xfId="3" applyNumberFormat="1" applyFont="1" applyBorder="1" applyAlignment="1" applyProtection="1">
      <alignment vertical="center"/>
      <protection locked="0"/>
    </xf>
    <xf numFmtId="167" fontId="6" fillId="0" borderId="34" xfId="3" applyNumberFormat="1" applyFont="1" applyBorder="1" applyAlignment="1" applyProtection="1">
      <alignment vertical="top"/>
      <protection locked="0"/>
    </xf>
    <xf numFmtId="3" fontId="13" fillId="0" borderId="34" xfId="3" applyNumberFormat="1" applyBorder="1" applyAlignment="1" applyProtection="1">
      <alignment vertical="top"/>
      <protection locked="0"/>
    </xf>
    <xf numFmtId="3" fontId="30" fillId="18" borderId="11" xfId="0" applyNumberFormat="1" applyFont="1" applyFill="1" applyBorder="1" applyAlignment="1" applyProtection="1">
      <alignment vertical="top" wrapText="1"/>
      <protection locked="0"/>
    </xf>
    <xf numFmtId="3" fontId="6" fillId="18" borderId="32" xfId="0" applyNumberFormat="1" applyFont="1" applyFill="1" applyBorder="1" applyAlignment="1" applyProtection="1">
      <alignment vertical="top" wrapText="1"/>
      <protection locked="0"/>
    </xf>
    <xf numFmtId="3" fontId="13" fillId="18" borderId="34" xfId="3" applyNumberFormat="1" applyFill="1" applyBorder="1" applyAlignment="1" applyProtection="1">
      <alignment horizontal="center" vertical="top"/>
      <protection locked="0"/>
    </xf>
    <xf numFmtId="3" fontId="13" fillId="18" borderId="60" xfId="3" applyNumberFormat="1" applyFill="1" applyBorder="1" applyAlignment="1" applyProtection="1">
      <alignment vertical="top"/>
      <protection locked="0"/>
    </xf>
    <xf numFmtId="0" fontId="6" fillId="18" borderId="34" xfId="0" applyFont="1" applyFill="1" applyBorder="1" applyAlignment="1">
      <alignment vertical="center"/>
    </xf>
    <xf numFmtId="167" fontId="6" fillId="18" borderId="34" xfId="3" applyNumberFormat="1" applyFont="1" applyFill="1" applyBorder="1" applyAlignment="1">
      <alignment vertical="center"/>
    </xf>
    <xf numFmtId="0" fontId="2" fillId="18" borderId="11" xfId="0" applyFont="1" applyFill="1" applyBorder="1" applyAlignment="1" applyProtection="1">
      <alignment horizontal="left" vertical="top" wrapText="1"/>
    </xf>
    <xf numFmtId="167" fontId="2" fillId="18" borderId="20" xfId="3" applyNumberFormat="1" applyFont="1" applyFill="1" applyBorder="1" applyAlignment="1" applyProtection="1">
      <alignment horizontal="left" vertical="center" wrapText="1"/>
    </xf>
    <xf numFmtId="10" fontId="2" fillId="18" borderId="22" xfId="2" applyNumberFormat="1" applyFont="1" applyFill="1" applyBorder="1" applyAlignment="1" applyProtection="1">
      <alignment horizontal="right" vertical="center"/>
    </xf>
    <xf numFmtId="167" fontId="2" fillId="18" borderId="39" xfId="3" applyNumberFormat="1" applyFont="1" applyFill="1" applyBorder="1" applyAlignment="1" applyProtection="1">
      <alignment horizontal="left" vertical="center" wrapText="1"/>
    </xf>
    <xf numFmtId="0" fontId="2" fillId="18" borderId="32" xfId="0" applyFont="1" applyFill="1" applyBorder="1" applyAlignment="1" applyProtection="1">
      <alignment horizontal="center" vertical="top" wrapText="1"/>
    </xf>
    <xf numFmtId="0" fontId="2" fillId="18" borderId="86" xfId="0" applyFont="1" applyFill="1" applyBorder="1" applyAlignment="1" applyProtection="1">
      <alignment horizontal="center" vertical="top" wrapText="1"/>
    </xf>
    <xf numFmtId="10" fontId="2" fillId="18" borderId="92" xfId="2" applyNumberFormat="1" applyFont="1" applyFill="1" applyBorder="1" applyAlignment="1" applyProtection="1">
      <alignment horizontal="right"/>
    </xf>
    <xf numFmtId="10" fontId="2" fillId="18" borderId="93" xfId="2" applyNumberFormat="1" applyFont="1" applyFill="1" applyBorder="1" applyAlignment="1" applyProtection="1">
      <alignment horizontal="right" vertical="center"/>
    </xf>
    <xf numFmtId="3" fontId="30" fillId="18" borderId="33" xfId="0" applyNumberFormat="1" applyFont="1" applyFill="1" applyBorder="1" applyAlignment="1" applyProtection="1">
      <alignment vertical="top" wrapText="1"/>
      <protection locked="0"/>
    </xf>
    <xf numFmtId="166" fontId="2" fillId="21" borderId="42" xfId="0" applyNumberFormat="1" applyFont="1" applyFill="1" applyBorder="1" applyAlignment="1">
      <alignment horizontal="left" vertical="top"/>
    </xf>
    <xf numFmtId="0" fontId="1" fillId="0" borderId="34" xfId="0" applyFont="1" applyFill="1" applyBorder="1" applyAlignment="1" applyProtection="1">
      <alignment horizontal="center" vertical="center" wrapText="1"/>
      <protection locked="0"/>
    </xf>
    <xf numFmtId="167" fontId="1" fillId="8" borderId="34" xfId="3" applyNumberFormat="1" applyFont="1" applyFill="1" applyBorder="1" applyAlignment="1">
      <alignment vertical="center"/>
    </xf>
    <xf numFmtId="167" fontId="1" fillId="0" borderId="0" xfId="0" applyNumberFormat="1" applyFont="1" applyProtection="1"/>
    <xf numFmtId="0" fontId="2" fillId="3" borderId="34" xfId="0" applyFont="1" applyFill="1" applyBorder="1" applyAlignment="1">
      <alignment horizontal="center" vertical="top" wrapText="1"/>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0" fontId="18" fillId="0" borderId="56" xfId="0" applyFont="1" applyFill="1" applyBorder="1" applyAlignment="1">
      <alignment horizontal="left" vertical="center" wrapText="1"/>
    </xf>
    <xf numFmtId="166" fontId="2" fillId="11" borderId="42" xfId="3" applyFont="1" applyFill="1" applyBorder="1" applyAlignment="1" applyProtection="1">
      <alignment horizontal="center" vertical="top" wrapText="1"/>
    </xf>
    <xf numFmtId="172" fontId="6" fillId="0" borderId="40" xfId="0" applyNumberFormat="1" applyFont="1" applyBorder="1" applyAlignment="1" applyProtection="1">
      <alignment horizontal="center" vertical="top" wrapText="1"/>
      <protection locked="0"/>
    </xf>
    <xf numFmtId="0" fontId="6" fillId="0" borderId="40" xfId="4" applyNumberFormat="1" applyFont="1" applyFill="1" applyBorder="1" applyAlignment="1" applyProtection="1">
      <alignment horizontal="center" vertical="top" wrapText="1"/>
      <protection locked="0"/>
    </xf>
    <xf numFmtId="172" fontId="6" fillId="5" borderId="40" xfId="3" applyNumberFormat="1" applyFont="1" applyFill="1" applyBorder="1" applyAlignment="1" applyProtection="1">
      <alignment horizontal="center" vertical="top" wrapText="1"/>
    </xf>
    <xf numFmtId="166" fontId="13" fillId="2" borderId="43" xfId="3" applyFill="1" applyBorder="1" applyAlignment="1" applyProtection="1">
      <alignment horizontal="center" vertical="center"/>
    </xf>
    <xf numFmtId="167" fontId="6" fillId="3" borderId="40" xfId="3" applyNumberFormat="1" applyFont="1" applyFill="1" applyBorder="1" applyAlignment="1" applyProtection="1">
      <alignment vertical="center"/>
    </xf>
    <xf numFmtId="167" fontId="2" fillId="2" borderId="17" xfId="3" applyNumberFormat="1" applyFont="1" applyFill="1" applyBorder="1" applyAlignment="1" applyProtection="1">
      <alignment horizontal="right" vertical="center" wrapText="1"/>
    </xf>
    <xf numFmtId="167" fontId="2" fillId="0" borderId="17" xfId="3" applyNumberFormat="1" applyFont="1" applyFill="1" applyBorder="1" applyAlignment="1" applyProtection="1">
      <alignment horizontal="right" vertical="center" wrapText="1"/>
      <protection locked="0"/>
    </xf>
    <xf numFmtId="173" fontId="2" fillId="2" borderId="71" xfId="3" applyNumberFormat="1" applyFont="1" applyFill="1" applyBorder="1" applyAlignment="1" applyProtection="1">
      <alignment horizontal="right" vertical="center" wrapText="1"/>
    </xf>
    <xf numFmtId="0" fontId="34" fillId="0" borderId="0" xfId="0" applyFont="1" applyBorder="1" applyAlignment="1">
      <alignment horizontal="center"/>
    </xf>
    <xf numFmtId="0" fontId="34" fillId="0" borderId="90" xfId="0" applyFont="1" applyBorder="1" applyAlignment="1">
      <alignment horizontal="left"/>
    </xf>
    <xf numFmtId="0" fontId="34" fillId="0" borderId="0" xfId="0" applyFont="1" applyAlignment="1">
      <alignment horizontal="center"/>
    </xf>
    <xf numFmtId="0" fontId="34" fillId="0" borderId="3" xfId="0" applyFont="1" applyBorder="1" applyAlignment="1">
      <alignment horizontal="left"/>
    </xf>
    <xf numFmtId="0" fontId="2" fillId="3" borderId="34" xfId="0" applyFont="1" applyFill="1" applyBorder="1" applyAlignment="1">
      <alignment horizontal="center" vertical="top" wrapText="1"/>
    </xf>
    <xf numFmtId="0" fontId="18" fillId="22" borderId="33" xfId="0" applyFont="1" applyFill="1" applyBorder="1" applyAlignment="1">
      <alignment vertical="top" wrapText="1"/>
    </xf>
    <xf numFmtId="0" fontId="2" fillId="22" borderId="34" xfId="0" applyFont="1" applyFill="1" applyBorder="1" applyAlignment="1">
      <alignment vertical="center" wrapText="1"/>
    </xf>
    <xf numFmtId="0" fontId="6" fillId="23" borderId="34" xfId="0" applyFont="1" applyFill="1" applyBorder="1" applyAlignment="1">
      <alignment vertical="center"/>
    </xf>
    <xf numFmtId="167" fontId="2" fillId="23" borderId="34" xfId="3" applyNumberFormat="1" applyFont="1" applyFill="1" applyBorder="1" applyAlignment="1">
      <alignment vertical="center"/>
    </xf>
    <xf numFmtId="0" fontId="6" fillId="23" borderId="42" xfId="0" applyFont="1" applyFill="1" applyBorder="1" applyAlignment="1" applyProtection="1">
      <alignment horizontal="center" vertical="center" wrapText="1"/>
      <protection locked="0"/>
    </xf>
    <xf numFmtId="166" fontId="13" fillId="2" borderId="60" xfId="3" applyFill="1" applyBorder="1" applyAlignment="1" applyProtection="1">
      <alignment horizontal="center" vertical="center"/>
    </xf>
    <xf numFmtId="166" fontId="6" fillId="0" borderId="0" xfId="0" applyNumberFormat="1" applyFont="1"/>
    <xf numFmtId="166" fontId="0" fillId="0" borderId="0" xfId="0" applyNumberFormat="1"/>
    <xf numFmtId="167" fontId="2" fillId="0" borderId="0" xfId="0" applyNumberFormat="1" applyFont="1" applyAlignment="1" applyProtection="1">
      <alignment vertical="top"/>
    </xf>
    <xf numFmtId="167" fontId="0" fillId="0" borderId="0" xfId="0" applyNumberFormat="1" applyFill="1" applyAlignment="1" applyProtection="1">
      <alignment vertical="top"/>
    </xf>
    <xf numFmtId="177" fontId="2" fillId="0" borderId="0" xfId="0" applyNumberFormat="1" applyFont="1" applyAlignment="1" applyProtection="1">
      <alignment vertical="top"/>
    </xf>
    <xf numFmtId="0" fontId="9" fillId="0" borderId="140" xfId="0" applyFont="1" applyFill="1" applyBorder="1" applyAlignment="1" applyProtection="1">
      <alignment vertical="center"/>
    </xf>
    <xf numFmtId="0" fontId="9" fillId="4" borderId="143" xfId="0" applyFont="1" applyFill="1" applyBorder="1" applyAlignment="1" applyProtection="1">
      <alignment horizontal="center" vertical="center"/>
    </xf>
    <xf numFmtId="0" fontId="9" fillId="4" borderId="143" xfId="0" applyFont="1" applyFill="1" applyBorder="1" applyAlignment="1" applyProtection="1">
      <alignment horizontal="right" vertical="center"/>
    </xf>
    <xf numFmtId="168" fontId="9" fillId="4" borderId="144" xfId="0" applyNumberFormat="1" applyFont="1" applyFill="1" applyBorder="1" applyAlignment="1" applyProtection="1">
      <alignment horizontal="left" vertical="center"/>
    </xf>
    <xf numFmtId="0" fontId="9" fillId="4" borderId="146" xfId="0" applyFont="1" applyFill="1" applyBorder="1" applyAlignment="1" applyProtection="1">
      <alignment horizontal="center"/>
    </xf>
    <xf numFmtId="0" fontId="2" fillId="4" borderId="118" xfId="0" applyFont="1" applyFill="1" applyBorder="1" applyAlignment="1" applyProtection="1">
      <alignment horizontal="center" vertical="top" wrapText="1"/>
    </xf>
    <xf numFmtId="0" fontId="2" fillId="2" borderId="147" xfId="0" applyFont="1" applyFill="1" applyBorder="1" applyAlignment="1" applyProtection="1">
      <alignment horizontal="left" vertical="top" wrapText="1"/>
    </xf>
    <xf numFmtId="167" fontId="2" fillId="2" borderId="148" xfId="3" applyNumberFormat="1" applyFont="1" applyFill="1" applyBorder="1" applyAlignment="1" applyProtection="1">
      <alignment horizontal="right" vertical="center" wrapText="1"/>
    </xf>
    <xf numFmtId="0" fontId="6" fillId="0" borderId="48" xfId="0" applyFont="1" applyBorder="1" applyAlignment="1" applyProtection="1">
      <alignment horizontal="left" vertical="top" wrapText="1"/>
    </xf>
    <xf numFmtId="167" fontId="1" fillId="2" borderId="47" xfId="3" applyNumberFormat="1" applyFont="1" applyFill="1" applyBorder="1" applyAlignment="1" applyProtection="1">
      <alignment horizontal="right" vertical="center" wrapText="1"/>
    </xf>
    <xf numFmtId="167" fontId="1" fillId="2" borderId="149" xfId="3" applyNumberFormat="1" applyFont="1" applyFill="1" applyBorder="1" applyAlignment="1" applyProtection="1">
      <alignment horizontal="right" vertical="center" wrapText="1"/>
    </xf>
    <xf numFmtId="0" fontId="6" fillId="0" borderId="150" xfId="0" applyFont="1" applyBorder="1" applyAlignment="1" applyProtection="1">
      <alignment horizontal="left" vertical="top" wrapText="1"/>
    </xf>
    <xf numFmtId="167" fontId="2" fillId="2" borderId="118" xfId="3" applyNumberFormat="1" applyFont="1" applyFill="1" applyBorder="1" applyAlignment="1" applyProtection="1">
      <alignment horizontal="right" vertical="center" wrapText="1"/>
    </xf>
    <xf numFmtId="0" fontId="2" fillId="0" borderId="48" xfId="0" applyFont="1" applyBorder="1" applyAlignment="1" applyProtection="1">
      <alignment horizontal="left" vertical="top" wrapText="1"/>
    </xf>
    <xf numFmtId="0" fontId="2" fillId="3" borderId="40" xfId="0" applyFont="1" applyFill="1" applyBorder="1" applyAlignment="1">
      <alignment horizontal="center" vertical="center" wrapText="1"/>
    </xf>
    <xf numFmtId="3" fontId="1" fillId="0" borderId="32" xfId="0" applyNumberFormat="1" applyFont="1" applyBorder="1" applyAlignment="1" applyProtection="1">
      <alignment vertical="top" wrapText="1"/>
      <protection locked="0"/>
    </xf>
    <xf numFmtId="3" fontId="1" fillId="0" borderId="11" xfId="0" applyNumberFormat="1" applyFont="1" applyBorder="1" applyAlignment="1" applyProtection="1">
      <alignment vertical="top" wrapText="1"/>
      <protection locked="0"/>
    </xf>
    <xf numFmtId="167" fontId="6" fillId="5" borderId="34" xfId="3" applyNumberFormat="1" applyFont="1" applyFill="1" applyBorder="1" applyAlignment="1" applyProtection="1">
      <alignment vertical="center"/>
    </xf>
    <xf numFmtId="167" fontId="6" fillId="0" borderId="94" xfId="3" applyNumberFormat="1" applyFont="1" applyFill="1" applyBorder="1" applyAlignment="1" applyProtection="1">
      <alignment horizontal="center"/>
    </xf>
    <xf numFmtId="167" fontId="6" fillId="5" borderId="55" xfId="3" applyNumberFormat="1" applyFont="1" applyFill="1" applyBorder="1" applyAlignment="1" applyProtection="1">
      <alignment vertical="center" wrapText="1"/>
    </xf>
    <xf numFmtId="167" fontId="6" fillId="13" borderId="42" xfId="3" applyNumberFormat="1" applyFont="1" applyFill="1" applyBorder="1" applyAlignment="1" applyProtection="1">
      <alignment vertical="center"/>
    </xf>
    <xf numFmtId="0" fontId="2" fillId="5" borderId="33" xfId="0" applyFont="1" applyFill="1" applyBorder="1" applyAlignment="1" applyProtection="1">
      <alignment horizontal="left" vertical="top" wrapText="1"/>
    </xf>
    <xf numFmtId="167" fontId="6" fillId="5" borderId="42" xfId="3" applyNumberFormat="1" applyFont="1" applyFill="1" applyBorder="1" applyAlignment="1" applyProtection="1">
      <alignment vertical="center"/>
    </xf>
    <xf numFmtId="167" fontId="6" fillId="2" borderId="40" xfId="3" applyNumberFormat="1" applyFont="1" applyFill="1" applyBorder="1" applyAlignment="1" applyProtection="1">
      <alignment vertical="center"/>
    </xf>
    <xf numFmtId="167" fontId="6" fillId="2" borderId="43" xfId="3" applyNumberFormat="1" applyFont="1" applyFill="1" applyBorder="1" applyAlignment="1" applyProtection="1">
      <alignment vertical="center"/>
    </xf>
    <xf numFmtId="0" fontId="6" fillId="0" borderId="151" xfId="0" applyFont="1" applyBorder="1" applyAlignment="1">
      <alignment horizontal="left" vertical="top" wrapText="1"/>
    </xf>
    <xf numFmtId="0" fontId="1" fillId="0" borderId="105" xfId="0" applyFont="1" applyBorder="1" applyAlignment="1" applyProtection="1">
      <alignment horizontal="left" vertical="top" wrapText="1"/>
      <protection locked="0"/>
    </xf>
    <xf numFmtId="172" fontId="6" fillId="0" borderId="105" xfId="0"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right" vertical="center" wrapText="1"/>
      <protection locked="0"/>
    </xf>
    <xf numFmtId="167" fontId="6" fillId="0" borderId="105" xfId="3" applyNumberFormat="1" applyFont="1" applyFill="1" applyBorder="1" applyAlignment="1" applyProtection="1">
      <alignment horizontal="right" vertical="center" wrapText="1"/>
      <protection locked="0"/>
    </xf>
    <xf numFmtId="167" fontId="6" fillId="0" borderId="106" xfId="3" applyNumberFormat="1" applyFont="1" applyBorder="1" applyAlignment="1" applyProtection="1">
      <alignment horizontal="right" vertical="center" wrapText="1"/>
      <protection locked="0"/>
    </xf>
    <xf numFmtId="167" fontId="2" fillId="0" borderId="73" xfId="3" applyNumberFormat="1" applyFont="1" applyFill="1" applyBorder="1" applyAlignment="1">
      <alignment horizontal="left" vertical="center"/>
    </xf>
    <xf numFmtId="167" fontId="2" fillId="0" borderId="74" xfId="3" applyNumberFormat="1" applyFont="1" applyFill="1" applyBorder="1" applyAlignment="1">
      <alignment horizontal="left" vertical="center"/>
    </xf>
    <xf numFmtId="167" fontId="2" fillId="0" borderId="73" xfId="3" applyNumberFormat="1" applyFont="1" applyFill="1" applyBorder="1" applyAlignment="1">
      <alignment wrapText="1"/>
    </xf>
    <xf numFmtId="167" fontId="2" fillId="0" borderId="74" xfId="3" applyNumberFormat="1" applyFont="1" applyFill="1" applyBorder="1" applyAlignment="1">
      <alignment wrapText="1"/>
    </xf>
    <xf numFmtId="167" fontId="2" fillId="6" borderId="73" xfId="3" applyNumberFormat="1" applyFont="1" applyFill="1" applyBorder="1" applyAlignment="1">
      <alignment horizontal="center" vertical="center" wrapText="1"/>
    </xf>
    <xf numFmtId="0" fontId="9" fillId="6" borderId="51" xfId="0" applyFont="1" applyFill="1" applyBorder="1" applyAlignment="1">
      <alignment horizontal="center" vertical="center"/>
    </xf>
    <xf numFmtId="0" fontId="38" fillId="0" borderId="0" xfId="0" applyFont="1" applyAlignment="1">
      <alignment horizontal="center" vertical="center"/>
    </xf>
    <xf numFmtId="0" fontId="38" fillId="0" borderId="0" xfId="0" applyFont="1" applyAlignment="1">
      <alignment horizontal="left" vertical="center"/>
    </xf>
    <xf numFmtId="0" fontId="0" fillId="0" borderId="0" xfId="0" applyAlignment="1">
      <alignment horizontal="center" vertical="center"/>
    </xf>
    <xf numFmtId="0" fontId="38" fillId="0" borderId="0" xfId="0" applyFont="1"/>
    <xf numFmtId="172" fontId="0" fillId="0" borderId="0" xfId="0" applyNumberFormat="1"/>
    <xf numFmtId="0" fontId="41" fillId="0" borderId="152" xfId="0" applyFont="1" applyBorder="1" applyAlignment="1">
      <alignment horizontal="center"/>
    </xf>
    <xf numFmtId="0" fontId="41" fillId="0" borderId="155" xfId="0" applyFont="1" applyBorder="1" applyAlignment="1">
      <alignment horizontal="center"/>
    </xf>
    <xf numFmtId="0" fontId="41" fillId="0" borderId="156" xfId="0" applyFont="1" applyBorder="1" applyAlignment="1">
      <alignment horizontal="center" vertical="center"/>
    </xf>
    <xf numFmtId="172" fontId="41" fillId="0" borderId="156" xfId="0" applyNumberFormat="1" applyFont="1" applyBorder="1" applyAlignment="1">
      <alignment horizontal="center"/>
    </xf>
    <xf numFmtId="0" fontId="41" fillId="0" borderId="157" xfId="0" applyFont="1" applyBorder="1" applyAlignment="1">
      <alignment horizontal="center"/>
    </xf>
    <xf numFmtId="49" fontId="41" fillId="0" borderId="157" xfId="0" applyNumberFormat="1" applyFont="1" applyBorder="1" applyAlignment="1">
      <alignment horizontal="center"/>
    </xf>
    <xf numFmtId="0" fontId="41" fillId="0" borderId="157" xfId="0" applyFont="1" applyBorder="1" applyAlignment="1">
      <alignment horizontal="center" vertical="center"/>
    </xf>
    <xf numFmtId="172" fontId="41" fillId="0" borderId="157" xfId="0" applyNumberFormat="1" applyFont="1" applyBorder="1" applyAlignment="1">
      <alignment horizontal="center"/>
    </xf>
    <xf numFmtId="0" fontId="42" fillId="0" borderId="0" xfId="0" applyFont="1"/>
    <xf numFmtId="0" fontId="44" fillId="0" borderId="162" xfId="0" applyFont="1" applyBorder="1" applyAlignment="1">
      <alignment horizontal="center" vertical="center"/>
    </xf>
    <xf numFmtId="0" fontId="44" fillId="0" borderId="162" xfId="0" applyFont="1" applyBorder="1" applyAlignment="1">
      <alignment horizontal="justify" vertical="center" wrapText="1"/>
    </xf>
    <xf numFmtId="4" fontId="44" fillId="0" borderId="162" xfId="0" applyNumberFormat="1" applyFont="1" applyBorder="1" applyAlignment="1">
      <alignment horizontal="center" vertical="center" wrapText="1"/>
    </xf>
    <xf numFmtId="0" fontId="45" fillId="0" borderId="162" xfId="0" applyFont="1" applyBorder="1" applyAlignment="1">
      <alignment horizontal="center" vertical="center" wrapText="1"/>
    </xf>
    <xf numFmtId="9" fontId="44" fillId="0" borderId="162" xfId="0" applyNumberFormat="1" applyFont="1" applyBorder="1" applyAlignment="1">
      <alignment horizontal="center" vertical="center" wrapText="1"/>
    </xf>
    <xf numFmtId="172" fontId="44" fillId="0" borderId="162" xfId="0" applyNumberFormat="1" applyFont="1" applyBorder="1" applyAlignment="1">
      <alignment horizontal="center" vertical="center" wrapText="1"/>
    </xf>
    <xf numFmtId="0" fontId="44" fillId="0" borderId="162" xfId="0" applyFont="1" applyBorder="1" applyAlignment="1">
      <alignment horizontal="center" vertical="center" wrapText="1"/>
    </xf>
    <xf numFmtId="0" fontId="46" fillId="0" borderId="162" xfId="0" applyFont="1" applyBorder="1" applyAlignment="1">
      <alignment horizontal="center" vertical="center" wrapText="1"/>
    </xf>
    <xf numFmtId="0" fontId="44" fillId="0" borderId="156" xfId="0" applyFont="1" applyBorder="1" applyAlignment="1">
      <alignment horizontal="center" vertical="center"/>
    </xf>
    <xf numFmtId="0" fontId="44" fillId="0" borderId="156" xfId="0" applyFont="1" applyBorder="1" applyAlignment="1">
      <alignment horizontal="justify" vertical="center" wrapText="1"/>
    </xf>
    <xf numFmtId="4" fontId="44" fillId="0" borderId="156" xfId="0" applyNumberFormat="1" applyFont="1" applyBorder="1" applyAlignment="1">
      <alignment horizontal="center" vertical="center" wrapText="1"/>
    </xf>
    <xf numFmtId="0" fontId="44" fillId="0" borderId="156" xfId="0" applyFont="1" applyBorder="1" applyAlignment="1">
      <alignment horizontal="center" vertical="center" wrapText="1"/>
    </xf>
    <xf numFmtId="0" fontId="45" fillId="0" borderId="156" xfId="0" applyFont="1" applyBorder="1" applyAlignment="1">
      <alignment horizontal="center" vertical="center" wrapText="1"/>
    </xf>
    <xf numFmtId="9" fontId="44" fillId="0" borderId="156" xfId="0" applyNumberFormat="1" applyFont="1" applyBorder="1" applyAlignment="1">
      <alignment horizontal="center" vertical="center" wrapText="1"/>
    </xf>
    <xf numFmtId="172" fontId="44" fillId="0" borderId="156" xfId="0" applyNumberFormat="1" applyFont="1" applyBorder="1" applyAlignment="1">
      <alignment horizontal="center" vertical="center" wrapText="1"/>
    </xf>
    <xf numFmtId="0" fontId="46" fillId="0" borderId="156" xfId="0" applyFont="1" applyBorder="1" applyAlignment="1">
      <alignment horizontal="center" vertical="center" wrapText="1"/>
    </xf>
    <xf numFmtId="4" fontId="44" fillId="0" borderId="162" xfId="0" applyNumberFormat="1" applyFont="1" applyBorder="1" applyAlignment="1">
      <alignment horizontal="center" vertical="center"/>
    </xf>
    <xf numFmtId="0" fontId="45" fillId="0" borderId="162" xfId="0" applyFont="1" applyBorder="1" applyAlignment="1">
      <alignment horizontal="center" vertical="center"/>
    </xf>
    <xf numFmtId="0" fontId="44" fillId="0" borderId="162" xfId="0" applyFont="1" applyBorder="1" applyAlignment="1">
      <alignment horizontal="center"/>
    </xf>
    <xf numFmtId="4" fontId="0" fillId="0" borderId="0" xfId="0" applyNumberFormat="1"/>
    <xf numFmtId="0" fontId="46" fillId="0" borderId="162" xfId="0" applyFont="1" applyBorder="1" applyAlignment="1">
      <alignment horizontal="center"/>
    </xf>
    <xf numFmtId="0" fontId="44" fillId="0" borderId="166" xfId="0" applyFont="1" applyBorder="1" applyAlignment="1">
      <alignment horizontal="center" vertical="center"/>
    </xf>
    <xf numFmtId="0" fontId="44" fillId="0" borderId="166" xfId="0" applyFont="1" applyBorder="1" applyAlignment="1">
      <alignment horizontal="justify" vertical="center" wrapText="1"/>
    </xf>
    <xf numFmtId="4" fontId="44" fillId="0" borderId="166" xfId="0" applyNumberFormat="1" applyFont="1" applyBorder="1" applyAlignment="1">
      <alignment horizontal="center" vertical="center"/>
    </xf>
    <xf numFmtId="0" fontId="45" fillId="0" borderId="166" xfId="0" applyFont="1" applyBorder="1" applyAlignment="1">
      <alignment horizontal="center" vertical="center"/>
    </xf>
    <xf numFmtId="9" fontId="44" fillId="0" borderId="166" xfId="0" applyNumberFormat="1" applyFont="1" applyBorder="1" applyAlignment="1">
      <alignment horizontal="center" vertical="center" wrapText="1"/>
    </xf>
    <xf numFmtId="0" fontId="44" fillId="0" borderId="166" xfId="0" applyFont="1" applyBorder="1" applyAlignment="1">
      <alignment horizontal="center" vertical="center" wrapText="1"/>
    </xf>
    <xf numFmtId="0" fontId="41" fillId="0" borderId="154" xfId="0" applyFont="1" applyBorder="1" applyAlignment="1">
      <alignment horizontal="center"/>
    </xf>
    <xf numFmtId="0" fontId="44" fillId="18" borderId="162" xfId="0" applyFont="1" applyFill="1" applyBorder="1" applyAlignment="1">
      <alignment horizontal="justify" vertical="center" wrapText="1"/>
    </xf>
    <xf numFmtId="2" fontId="44" fillId="0" borderId="162" xfId="0" applyNumberFormat="1" applyFont="1" applyBorder="1" applyAlignment="1">
      <alignment horizontal="center" vertical="center"/>
    </xf>
    <xf numFmtId="4" fontId="43" fillId="0" borderId="162" xfId="0" applyNumberFormat="1" applyFont="1" applyBorder="1" applyAlignment="1">
      <alignment horizontal="center"/>
    </xf>
    <xf numFmtId="0" fontId="46" fillId="26" borderId="163" xfId="0" applyFont="1" applyFill="1" applyBorder="1" applyAlignment="1">
      <alignment horizontal="center"/>
    </xf>
    <xf numFmtId="0" fontId="47" fillId="26" borderId="164" xfId="0" applyFont="1" applyFill="1" applyBorder="1" applyAlignment="1">
      <alignment horizontal="center"/>
    </xf>
    <xf numFmtId="1" fontId="46" fillId="26" borderId="164" xfId="0" applyNumberFormat="1" applyFont="1" applyFill="1" applyBorder="1" applyAlignment="1">
      <alignment horizontal="center"/>
    </xf>
    <xf numFmtId="172" fontId="46" fillId="26" borderId="164" xfId="0" applyNumberFormat="1" applyFont="1" applyFill="1" applyBorder="1"/>
    <xf numFmtId="0" fontId="46" fillId="26" borderId="164" xfId="0" applyFont="1" applyFill="1" applyBorder="1" applyAlignment="1">
      <alignment horizontal="center"/>
    </xf>
    <xf numFmtId="0" fontId="46" fillId="26" borderId="165" xfId="0" applyFont="1" applyFill="1" applyBorder="1" applyAlignment="1">
      <alignment horizontal="center"/>
    </xf>
    <xf numFmtId="49" fontId="50" fillId="0" borderId="0" xfId="0" applyNumberFormat="1" applyFont="1" applyAlignment="1">
      <alignment horizontal="center" vertical="center"/>
    </xf>
    <xf numFmtId="49" fontId="50" fillId="0" borderId="0" xfId="0" applyNumberFormat="1" applyFont="1" applyAlignment="1">
      <alignment horizontal="center"/>
    </xf>
    <xf numFmtId="0" fontId="50" fillId="0" borderId="0" xfId="0" applyFont="1"/>
    <xf numFmtId="172" fontId="50" fillId="0" borderId="0" xfId="0" applyNumberFormat="1" applyFont="1"/>
    <xf numFmtId="4" fontId="46" fillId="0" borderId="162" xfId="0" applyNumberFormat="1" applyFont="1" applyBorder="1" applyAlignment="1">
      <alignment horizontal="center"/>
    </xf>
    <xf numFmtId="4" fontId="46" fillId="0" borderId="166" xfId="0" applyNumberFormat="1" applyFont="1" applyBorder="1" applyAlignment="1">
      <alignment horizontal="center"/>
    </xf>
    <xf numFmtId="0" fontId="44" fillId="0" borderId="166" xfId="0" applyFont="1" applyBorder="1" applyAlignment="1">
      <alignment horizontal="center" wrapText="1"/>
    </xf>
    <xf numFmtId="0" fontId="45" fillId="0" borderId="166" xfId="0" applyFont="1" applyBorder="1" applyAlignment="1">
      <alignment horizontal="center" vertical="center" wrapText="1"/>
    </xf>
    <xf numFmtId="4" fontId="44" fillId="0" borderId="156" xfId="0" applyNumberFormat="1" applyFont="1" applyBorder="1" applyAlignment="1">
      <alignment horizontal="center" vertical="center"/>
    </xf>
    <xf numFmtId="4" fontId="46" fillId="0" borderId="156" xfId="0" applyNumberFormat="1" applyFont="1" applyBorder="1" applyAlignment="1">
      <alignment horizontal="center"/>
    </xf>
    <xf numFmtId="4" fontId="43" fillId="0" borderId="166" xfId="0" applyNumberFormat="1" applyFont="1" applyBorder="1" applyAlignment="1">
      <alignment horizontal="center"/>
    </xf>
    <xf numFmtId="0" fontId="46" fillId="26" borderId="158" xfId="0" applyFont="1" applyFill="1" applyBorder="1" applyAlignment="1">
      <alignment horizontal="center"/>
    </xf>
    <xf numFmtId="0" fontId="47" fillId="26" borderId="159" xfId="0" applyFont="1" applyFill="1" applyBorder="1" applyAlignment="1">
      <alignment horizontal="center"/>
    </xf>
    <xf numFmtId="1" fontId="46" fillId="26" borderId="159" xfId="0" applyNumberFormat="1" applyFont="1" applyFill="1" applyBorder="1" applyAlignment="1">
      <alignment horizontal="center"/>
    </xf>
    <xf numFmtId="172" fontId="46" fillId="26" borderId="159" xfId="0" applyNumberFormat="1" applyFont="1" applyFill="1" applyBorder="1"/>
    <xf numFmtId="0" fontId="46" fillId="26" borderId="159" xfId="0" applyFont="1" applyFill="1" applyBorder="1" applyAlignment="1">
      <alignment horizontal="center"/>
    </xf>
    <xf numFmtId="0" fontId="46" fillId="26" borderId="160" xfId="0" applyFont="1" applyFill="1" applyBorder="1" applyAlignment="1">
      <alignment horizontal="center"/>
    </xf>
    <xf numFmtId="49" fontId="48" fillId="0" borderId="51" xfId="0" applyNumberFormat="1" applyFont="1" applyBorder="1" applyAlignment="1">
      <alignment horizontal="center" vertical="center"/>
    </xf>
    <xf numFmtId="166" fontId="6" fillId="27" borderId="42" xfId="0" applyNumberFormat="1" applyFont="1" applyFill="1" applyBorder="1" applyAlignment="1">
      <alignment horizontal="center" vertical="center"/>
    </xf>
    <xf numFmtId="166" fontId="13" fillId="28" borderId="33" xfId="3" applyFill="1" applyBorder="1" applyAlignment="1" applyProtection="1">
      <alignment horizontal="center" vertical="center"/>
    </xf>
    <xf numFmtId="166" fontId="13" fillId="27" borderId="42" xfId="3" applyFill="1" applyBorder="1" applyAlignment="1" applyProtection="1">
      <alignment horizontal="center" vertical="center"/>
    </xf>
    <xf numFmtId="0" fontId="2" fillId="29" borderId="34" xfId="0" applyFont="1" applyFill="1" applyBorder="1" applyAlignment="1">
      <alignment horizontal="center" vertical="center"/>
    </xf>
    <xf numFmtId="0" fontId="6" fillId="14" borderId="33" xfId="0" applyFont="1" applyFill="1" applyBorder="1" applyAlignment="1">
      <alignment horizontal="left" vertical="top" wrapText="1"/>
    </xf>
    <xf numFmtId="172" fontId="6" fillId="14" borderId="34" xfId="0" applyNumberFormat="1" applyFont="1" applyFill="1" applyBorder="1" applyAlignment="1" applyProtection="1">
      <alignment horizontal="center" vertical="top" wrapText="1"/>
      <protection locked="0"/>
    </xf>
    <xf numFmtId="0" fontId="6" fillId="14" borderId="34" xfId="4" applyNumberFormat="1" applyFont="1" applyFill="1" applyBorder="1" applyAlignment="1" applyProtection="1">
      <alignment horizontal="center" vertical="top" wrapText="1"/>
      <protection locked="0"/>
    </xf>
    <xf numFmtId="172" fontId="6" fillId="29" borderId="34" xfId="3" applyNumberFormat="1" applyFont="1" applyFill="1" applyBorder="1" applyAlignment="1" applyProtection="1">
      <alignment horizontal="center" vertical="top" wrapText="1"/>
    </xf>
    <xf numFmtId="166" fontId="2" fillId="27" borderId="42" xfId="0" applyNumberFormat="1" applyFont="1" applyFill="1" applyBorder="1" applyAlignment="1">
      <alignment horizontal="center" vertical="center"/>
    </xf>
    <xf numFmtId="164" fontId="0" fillId="0" borderId="0" xfId="0" applyNumberFormat="1"/>
    <xf numFmtId="165" fontId="4" fillId="0" borderId="0" xfId="0" applyNumberFormat="1" applyFont="1" applyBorder="1" applyAlignment="1" applyProtection="1">
      <alignment horizontal="center"/>
      <protection locked="0"/>
    </xf>
    <xf numFmtId="0" fontId="2" fillId="0" borderId="0" xfId="0" applyFont="1" applyBorder="1" applyProtection="1">
      <protection locked="0"/>
    </xf>
    <xf numFmtId="0" fontId="2" fillId="0" borderId="0" xfId="0" applyFont="1" applyAlignment="1" applyProtection="1">
      <alignment horizontal="center"/>
      <protection locked="0"/>
    </xf>
    <xf numFmtId="0" fontId="3" fillId="0" borderId="0" xfId="0" applyFont="1" applyAlignment="1" applyProtection="1">
      <alignment horizontal="center"/>
      <protection locked="0"/>
    </xf>
    <xf numFmtId="0" fontId="31" fillId="0" borderId="0" xfId="0" applyFont="1" applyBorder="1" applyAlignment="1" applyProtection="1">
      <alignment horizontal="center" vertical="center" wrapText="1"/>
      <protection locked="0"/>
    </xf>
    <xf numFmtId="0" fontId="26" fillId="0" borderId="0" xfId="0" applyFont="1" applyBorder="1" applyAlignment="1" applyProtection="1">
      <alignment horizontal="center" vertical="center" wrapText="1"/>
      <protection locked="0"/>
    </xf>
    <xf numFmtId="0" fontId="4" fillId="0" borderId="0" xfId="0" applyFont="1" applyBorder="1" applyAlignment="1">
      <alignment horizontal="center"/>
    </xf>
    <xf numFmtId="3" fontId="6" fillId="0" borderId="11" xfId="0" applyNumberFormat="1" applyFont="1" applyBorder="1" applyAlignment="1">
      <alignment horizontal="left" vertical="top" wrapText="1"/>
    </xf>
    <xf numFmtId="3" fontId="1" fillId="0" borderId="63" xfId="0" applyNumberFormat="1" applyFont="1" applyBorder="1" applyAlignment="1" applyProtection="1">
      <alignment horizontal="left" vertical="top" wrapText="1"/>
      <protection locked="0"/>
    </xf>
    <xf numFmtId="3" fontId="32" fillId="0" borderId="20" xfId="0" applyNumberFormat="1" applyFont="1" applyBorder="1" applyAlignment="1" applyProtection="1">
      <alignment horizontal="left" vertical="top" wrapText="1"/>
      <protection locked="0"/>
    </xf>
    <xf numFmtId="3" fontId="1" fillId="0" borderId="22" xfId="0" applyNumberFormat="1" applyFont="1" applyBorder="1" applyAlignment="1" applyProtection="1">
      <alignment horizontal="left" vertical="top" wrapText="1"/>
      <protection locked="0"/>
    </xf>
    <xf numFmtId="3" fontId="32" fillId="0" borderId="59" xfId="0" applyNumberFormat="1" applyFont="1" applyBorder="1" applyAlignment="1" applyProtection="1">
      <alignment horizontal="left" vertical="top" wrapText="1"/>
      <protection locked="0"/>
    </xf>
    <xf numFmtId="3" fontId="32" fillId="0" borderId="82" xfId="0" applyNumberFormat="1" applyFont="1" applyBorder="1" applyAlignment="1" applyProtection="1">
      <alignment horizontal="left" vertical="top" wrapText="1"/>
      <protection locked="0"/>
    </xf>
    <xf numFmtId="3" fontId="32" fillId="0" borderId="35" xfId="0" applyNumberFormat="1" applyFont="1" applyBorder="1" applyAlignment="1" applyProtection="1">
      <alignment horizontal="left" vertical="top" wrapText="1"/>
      <protection locked="0"/>
    </xf>
    <xf numFmtId="3" fontId="6" fillId="0" borderId="104" xfId="0" applyNumberFormat="1" applyFont="1" applyBorder="1" applyAlignment="1" applyProtection="1">
      <alignment horizontal="left" vertical="top" wrapText="1"/>
      <protection locked="0"/>
    </xf>
    <xf numFmtId="3" fontId="6" fillId="0" borderId="72" xfId="0" applyNumberFormat="1" applyFont="1" applyBorder="1" applyAlignment="1" applyProtection="1">
      <alignment horizontal="left" vertical="top" wrapText="1"/>
      <protection locked="0"/>
    </xf>
    <xf numFmtId="3" fontId="33" fillId="18" borderId="59" xfId="0" applyNumberFormat="1" applyFont="1" applyFill="1" applyBorder="1" applyAlignment="1" applyProtection="1">
      <alignment horizontal="left" vertical="top" wrapText="1"/>
      <protection locked="0"/>
    </xf>
    <xf numFmtId="3" fontId="33" fillId="18" borderId="82" xfId="0" applyNumberFormat="1" applyFont="1" applyFill="1" applyBorder="1" applyAlignment="1" applyProtection="1">
      <alignment horizontal="left" vertical="top" wrapText="1"/>
      <protection locked="0"/>
    </xf>
    <xf numFmtId="3" fontId="33" fillId="18" borderId="35" xfId="0" applyNumberFormat="1" applyFont="1" applyFill="1" applyBorder="1" applyAlignment="1" applyProtection="1">
      <alignment horizontal="left" vertical="top" wrapText="1"/>
      <protection locked="0"/>
    </xf>
    <xf numFmtId="3" fontId="6" fillId="0" borderId="13" xfId="0" applyNumberFormat="1" applyFont="1" applyBorder="1" applyAlignment="1">
      <alignment horizontal="left" vertical="top" wrapText="1"/>
    </xf>
    <xf numFmtId="3" fontId="6" fillId="0" borderId="91" xfId="0" applyNumberFormat="1" applyFont="1" applyBorder="1" applyAlignment="1" applyProtection="1">
      <alignment horizontal="left" vertical="top" wrapText="1"/>
      <protection locked="0"/>
    </xf>
    <xf numFmtId="3" fontId="2" fillId="0" borderId="4" xfId="0" applyNumberFormat="1" applyFont="1" applyFill="1" applyBorder="1" applyAlignment="1">
      <alignment horizontal="left" vertical="top" wrapText="1"/>
    </xf>
    <xf numFmtId="3" fontId="2" fillId="3" borderId="6" xfId="0" applyNumberFormat="1" applyFont="1" applyFill="1" applyBorder="1" applyAlignment="1">
      <alignment horizontal="center" vertical="center"/>
    </xf>
    <xf numFmtId="3" fontId="2" fillId="3" borderId="10" xfId="0" applyNumberFormat="1" applyFont="1" applyFill="1" applyBorder="1" applyAlignment="1">
      <alignment horizontal="center" vertical="center"/>
    </xf>
    <xf numFmtId="3" fontId="2" fillId="3" borderId="7" xfId="0" applyNumberFormat="1" applyFont="1" applyFill="1" applyBorder="1" applyAlignment="1">
      <alignment horizontal="center" vertical="center" wrapText="1"/>
    </xf>
    <xf numFmtId="3" fontId="6" fillId="0" borderId="108" xfId="0" applyNumberFormat="1" applyFont="1" applyBorder="1" applyAlignment="1">
      <alignment horizontal="left" vertical="top" wrapText="1"/>
    </xf>
    <xf numFmtId="3" fontId="6" fillId="0" borderId="109" xfId="0" applyNumberFormat="1" applyFont="1" applyBorder="1"/>
    <xf numFmtId="3" fontId="6" fillId="0" borderId="110" xfId="0" applyNumberFormat="1" applyFont="1" applyBorder="1"/>
    <xf numFmtId="3" fontId="6" fillId="18" borderId="86" xfId="0" applyNumberFormat="1" applyFont="1" applyFill="1" applyBorder="1" applyAlignment="1">
      <alignment horizontal="left" vertical="top" wrapText="1"/>
    </xf>
    <xf numFmtId="3" fontId="6" fillId="18" borderId="37" xfId="0" applyNumberFormat="1" applyFont="1" applyFill="1" applyBorder="1" applyAlignment="1">
      <alignment horizontal="left" vertical="top" wrapText="1"/>
    </xf>
    <xf numFmtId="3" fontId="2" fillId="3" borderId="111" xfId="0" applyNumberFormat="1" applyFont="1" applyFill="1" applyBorder="1" applyAlignment="1">
      <alignment horizontal="center" vertical="center"/>
    </xf>
    <xf numFmtId="3" fontId="2" fillId="3" borderId="112" xfId="0" applyNumberFormat="1" applyFont="1" applyFill="1" applyBorder="1" applyAlignment="1">
      <alignment horizontal="center" vertical="center"/>
    </xf>
    <xf numFmtId="3" fontId="2" fillId="0" borderId="111" xfId="0" applyNumberFormat="1" applyFont="1" applyBorder="1" applyAlignment="1">
      <alignment horizontal="center" vertical="center"/>
    </xf>
    <xf numFmtId="3" fontId="2" fillId="0" borderId="27" xfId="0" applyNumberFormat="1" applyFont="1" applyBorder="1" applyAlignment="1">
      <alignment horizontal="center" vertical="center"/>
    </xf>
    <xf numFmtId="3" fontId="2" fillId="0" borderId="113" xfId="0" applyNumberFormat="1" applyFont="1" applyBorder="1" applyAlignment="1">
      <alignment horizontal="center" vertical="center"/>
    </xf>
    <xf numFmtId="3" fontId="2" fillId="0" borderId="28" xfId="0" applyNumberFormat="1" applyFont="1" applyBorder="1" applyAlignment="1">
      <alignment horizontal="center" vertical="center"/>
    </xf>
    <xf numFmtId="0" fontId="6" fillId="0" borderId="59" xfId="0" applyFont="1" applyBorder="1" applyAlignment="1" applyProtection="1">
      <alignment horizontal="left" vertical="top" wrapText="1"/>
      <protection locked="0"/>
    </xf>
    <xf numFmtId="0" fontId="6" fillId="0" borderId="82" xfId="0" applyFont="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0" fontId="32" fillId="0" borderId="59" xfId="0" applyFont="1" applyBorder="1" applyAlignment="1" applyProtection="1">
      <alignment horizontal="left" vertical="top" wrapText="1"/>
      <protection locked="0"/>
    </xf>
    <xf numFmtId="0" fontId="32" fillId="0" borderId="82" xfId="0" applyFont="1" applyBorder="1" applyAlignment="1" applyProtection="1">
      <alignment horizontal="left" vertical="top" wrapText="1"/>
      <protection locked="0"/>
    </xf>
    <xf numFmtId="0" fontId="32" fillId="0" borderId="35" xfId="0" applyFont="1" applyBorder="1" applyAlignment="1" applyProtection="1">
      <alignment horizontal="left" vertical="top" wrapText="1"/>
      <protection locked="0"/>
    </xf>
    <xf numFmtId="3" fontId="6" fillId="0" borderId="32" xfId="0" applyNumberFormat="1" applyFont="1" applyBorder="1" applyAlignment="1">
      <alignment horizontal="left" vertical="top" wrapText="1"/>
    </xf>
    <xf numFmtId="3" fontId="2" fillId="0" borderId="114" xfId="0" applyNumberFormat="1" applyFont="1" applyFill="1" applyBorder="1" applyAlignment="1">
      <alignment horizontal="center" vertical="center"/>
    </xf>
    <xf numFmtId="3" fontId="2" fillId="0" borderId="115" xfId="0" applyNumberFormat="1" applyFont="1" applyFill="1" applyBorder="1" applyAlignment="1">
      <alignment horizontal="center" vertical="center"/>
    </xf>
    <xf numFmtId="3" fontId="2" fillId="0" borderId="112" xfId="0" applyNumberFormat="1" applyFont="1" applyBorder="1" applyAlignment="1">
      <alignment horizontal="center" vertical="center"/>
    </xf>
    <xf numFmtId="3" fontId="2" fillId="3" borderId="111" xfId="0" applyNumberFormat="1" applyFont="1" applyFill="1" applyBorder="1" applyAlignment="1">
      <alignment horizontal="left" vertical="center" wrapText="1"/>
    </xf>
    <xf numFmtId="3" fontId="2" fillId="3" borderId="27" xfId="0" applyNumberFormat="1" applyFont="1" applyFill="1" applyBorder="1" applyAlignment="1">
      <alignment horizontal="left" vertical="center" wrapText="1"/>
    </xf>
    <xf numFmtId="3" fontId="2" fillId="3" borderId="113" xfId="0" applyNumberFormat="1" applyFont="1" applyFill="1" applyBorder="1" applyAlignment="1">
      <alignment horizontal="center" vertical="center"/>
    </xf>
    <xf numFmtId="3" fontId="2" fillId="3" borderId="28" xfId="0" applyNumberFormat="1" applyFont="1" applyFill="1" applyBorder="1" applyAlignment="1">
      <alignment horizontal="center" vertical="center"/>
    </xf>
    <xf numFmtId="3" fontId="2" fillId="0" borderId="113" xfId="0" applyNumberFormat="1" applyFont="1" applyFill="1" applyBorder="1" applyAlignment="1">
      <alignment horizontal="center" vertical="center"/>
    </xf>
    <xf numFmtId="3" fontId="2" fillId="0" borderId="28" xfId="0" applyNumberFormat="1" applyFont="1" applyFill="1" applyBorder="1" applyAlignment="1">
      <alignment horizontal="center" vertical="center"/>
    </xf>
    <xf numFmtId="3" fontId="2" fillId="0" borderId="116" xfId="0" applyNumberFormat="1" applyFont="1" applyBorder="1" applyAlignment="1">
      <alignment horizontal="center" vertical="center"/>
    </xf>
    <xf numFmtId="3" fontId="2" fillId="0" borderId="117" xfId="0" applyNumberFormat="1" applyFont="1" applyBorder="1" applyAlignment="1">
      <alignment horizontal="center" vertical="center"/>
    </xf>
    <xf numFmtId="3" fontId="2" fillId="3" borderId="27" xfId="0" applyNumberFormat="1" applyFont="1" applyFill="1" applyBorder="1" applyAlignment="1">
      <alignment horizontal="center" vertical="center"/>
    </xf>
    <xf numFmtId="3" fontId="6" fillId="0" borderId="86" xfId="0" applyNumberFormat="1" applyFont="1" applyBorder="1" applyAlignment="1">
      <alignment horizontal="left" vertical="top" wrapText="1"/>
    </xf>
    <xf numFmtId="3" fontId="6" fillId="0" borderId="37" xfId="0" applyNumberFormat="1" applyFont="1" applyBorder="1" applyAlignment="1">
      <alignment horizontal="left" vertical="top" wrapText="1"/>
    </xf>
    <xf numFmtId="3" fontId="0" fillId="0" borderId="92" xfId="0" applyNumberFormat="1" applyBorder="1" applyAlignment="1" applyProtection="1">
      <alignment horizontal="left" vertical="top" wrapText="1"/>
      <protection locked="0"/>
    </xf>
    <xf numFmtId="3" fontId="0" fillId="0" borderId="30" xfId="0" applyNumberFormat="1" applyBorder="1" applyAlignment="1" applyProtection="1">
      <alignment horizontal="left" vertical="top" wrapText="1"/>
      <protection locked="0"/>
    </xf>
    <xf numFmtId="3" fontId="0" fillId="0" borderId="39" xfId="0" applyNumberFormat="1" applyBorder="1" applyAlignment="1" applyProtection="1">
      <alignment horizontal="left" vertical="top" wrapText="1"/>
      <protection locked="0"/>
    </xf>
    <xf numFmtId="3" fontId="1" fillId="0" borderId="79" xfId="0" applyNumberFormat="1" applyFont="1" applyBorder="1" applyAlignment="1" applyProtection="1">
      <alignment horizontal="left" vertical="top" wrapText="1"/>
      <protection locked="0"/>
    </xf>
    <xf numFmtId="3" fontId="1" fillId="0" borderId="118" xfId="0" applyNumberFormat="1" applyFont="1" applyBorder="1" applyAlignment="1" applyProtection="1">
      <alignment horizontal="left" vertical="top" wrapText="1"/>
      <protection locked="0"/>
    </xf>
    <xf numFmtId="3" fontId="1" fillId="0" borderId="47" xfId="0" applyNumberFormat="1" applyFont="1" applyBorder="1" applyAlignment="1" applyProtection="1">
      <alignment horizontal="left" vertical="top" wrapText="1"/>
      <protection locked="0"/>
    </xf>
    <xf numFmtId="3" fontId="1" fillId="0" borderId="119" xfId="0" applyNumberFormat="1" applyFont="1" applyBorder="1" applyAlignment="1" applyProtection="1">
      <alignment horizontal="left" vertical="top" wrapText="1"/>
      <protection locked="0"/>
    </xf>
    <xf numFmtId="3" fontId="0" fillId="0" borderId="120" xfId="0" applyNumberFormat="1" applyBorder="1" applyAlignment="1" applyProtection="1">
      <alignment horizontal="left" vertical="top" wrapText="1"/>
      <protection locked="0"/>
    </xf>
    <xf numFmtId="3" fontId="32" fillId="0" borderId="20" xfId="0" applyNumberFormat="1" applyFont="1" applyFill="1" applyBorder="1" applyAlignment="1" applyProtection="1">
      <alignment horizontal="left" vertical="top" wrapText="1"/>
      <protection locked="0"/>
    </xf>
    <xf numFmtId="3" fontId="32" fillId="0" borderId="92" xfId="0" applyNumberFormat="1" applyFont="1" applyBorder="1" applyAlignment="1" applyProtection="1">
      <alignment horizontal="left" vertical="top" wrapText="1"/>
      <protection locked="0"/>
    </xf>
    <xf numFmtId="3" fontId="32" fillId="0" borderId="30" xfId="0" applyNumberFormat="1" applyFont="1" applyBorder="1" applyAlignment="1" applyProtection="1">
      <alignment horizontal="left" vertical="top" wrapText="1"/>
      <protection locked="0"/>
    </xf>
    <xf numFmtId="3" fontId="32" fillId="0" borderId="39" xfId="0" applyNumberFormat="1" applyFont="1" applyBorder="1" applyAlignment="1" applyProtection="1">
      <alignment horizontal="left" vertical="top" wrapText="1"/>
      <protection locked="0"/>
    </xf>
    <xf numFmtId="3" fontId="32" fillId="18" borderId="59" xfId="0" applyNumberFormat="1" applyFont="1" applyFill="1" applyBorder="1" applyAlignment="1" applyProtection="1">
      <alignment horizontal="left" vertical="top" wrapText="1"/>
      <protection locked="0"/>
    </xf>
    <xf numFmtId="3" fontId="32" fillId="18" borderId="82" xfId="0" applyNumberFormat="1" applyFont="1" applyFill="1" applyBorder="1" applyAlignment="1" applyProtection="1">
      <alignment horizontal="left" vertical="top" wrapText="1"/>
      <protection locked="0"/>
    </xf>
    <xf numFmtId="3" fontId="32" fillId="18" borderId="35" xfId="0" applyNumberFormat="1" applyFont="1" applyFill="1" applyBorder="1" applyAlignment="1" applyProtection="1">
      <alignment horizontal="left" vertical="top" wrapText="1"/>
      <protection locked="0"/>
    </xf>
    <xf numFmtId="3" fontId="6" fillId="0" borderId="109" xfId="0" applyNumberFormat="1" applyFont="1" applyBorder="1" applyAlignment="1">
      <alignment vertical="top"/>
    </xf>
    <xf numFmtId="3" fontId="6" fillId="0" borderId="110" xfId="0" applyNumberFormat="1" applyFont="1" applyBorder="1" applyAlignment="1">
      <alignment vertical="top"/>
    </xf>
    <xf numFmtId="3" fontId="1" fillId="0" borderId="91" xfId="0" applyNumberFormat="1" applyFont="1" applyBorder="1" applyAlignment="1" applyProtection="1">
      <alignment horizontal="left" vertical="top" wrapText="1"/>
      <protection locked="0"/>
    </xf>
    <xf numFmtId="0" fontId="32" fillId="0" borderId="59" xfId="0" applyFont="1" applyFill="1" applyBorder="1" applyAlignment="1" applyProtection="1">
      <alignment horizontal="left" vertical="top" wrapText="1"/>
      <protection locked="0"/>
    </xf>
    <xf numFmtId="0" fontId="32" fillId="0" borderId="82" xfId="0" applyFont="1" applyFill="1" applyBorder="1" applyAlignment="1" applyProtection="1">
      <alignment horizontal="left" vertical="top" wrapText="1"/>
      <protection locked="0"/>
    </xf>
    <xf numFmtId="0" fontId="32" fillId="0" borderId="35" xfId="0" applyFont="1" applyFill="1" applyBorder="1" applyAlignment="1" applyProtection="1">
      <alignment horizontal="left" vertical="top" wrapText="1"/>
      <protection locked="0"/>
    </xf>
    <xf numFmtId="3" fontId="6" fillId="0" borderId="109" xfId="0" applyNumberFormat="1" applyFont="1" applyBorder="1" applyAlignment="1">
      <alignment horizontal="left" vertical="top" wrapText="1"/>
    </xf>
    <xf numFmtId="3" fontId="6" fillId="0" borderId="110" xfId="0" applyNumberFormat="1" applyFont="1" applyBorder="1" applyAlignment="1">
      <alignment horizontal="left" vertical="top" wrapText="1"/>
    </xf>
    <xf numFmtId="3" fontId="6" fillId="0" borderId="20" xfId="0" applyNumberFormat="1" applyFont="1" applyBorder="1" applyAlignment="1" applyProtection="1">
      <alignment horizontal="left" vertical="top" wrapText="1"/>
      <protection locked="0"/>
    </xf>
    <xf numFmtId="3" fontId="1" fillId="0" borderId="20" xfId="0" applyNumberFormat="1" applyFont="1" applyBorder="1" applyAlignment="1" applyProtection="1">
      <alignment horizontal="left" vertical="top" wrapText="1"/>
      <protection locked="0"/>
    </xf>
    <xf numFmtId="3" fontId="0" fillId="0" borderId="20" xfId="0" applyNumberFormat="1" applyBorder="1" applyAlignment="1" applyProtection="1">
      <alignment horizontal="left" vertical="top" wrapText="1"/>
      <protection locked="0"/>
    </xf>
    <xf numFmtId="3" fontId="2" fillId="3" borderId="121" xfId="0" applyNumberFormat="1" applyFont="1" applyFill="1" applyBorder="1" applyAlignment="1">
      <alignment horizontal="center" vertical="center"/>
    </xf>
    <xf numFmtId="3" fontId="2" fillId="3" borderId="122" xfId="0" applyNumberFormat="1" applyFont="1" applyFill="1" applyBorder="1" applyAlignment="1">
      <alignment horizontal="center" vertical="center"/>
    </xf>
    <xf numFmtId="3" fontId="2" fillId="3" borderId="123" xfId="0" applyNumberFormat="1" applyFont="1" applyFill="1" applyBorder="1" applyAlignment="1">
      <alignment horizontal="center" vertical="center"/>
    </xf>
    <xf numFmtId="3" fontId="2" fillId="3" borderId="124" xfId="0" applyNumberFormat="1" applyFont="1" applyFill="1" applyBorder="1" applyAlignment="1">
      <alignment horizontal="center" vertical="center"/>
    </xf>
    <xf numFmtId="3" fontId="2" fillId="0" borderId="125" xfId="0" applyNumberFormat="1" applyFont="1" applyBorder="1" applyAlignment="1">
      <alignment horizontal="center"/>
    </xf>
    <xf numFmtId="3" fontId="2" fillId="0" borderId="117" xfId="0" applyNumberFormat="1" applyFont="1" applyBorder="1" applyAlignment="1">
      <alignment horizontal="center"/>
    </xf>
    <xf numFmtId="3" fontId="2" fillId="0" borderId="114" xfId="0" applyNumberFormat="1" applyFont="1" applyFill="1" applyBorder="1" applyAlignment="1">
      <alignment horizontal="center"/>
    </xf>
    <xf numFmtId="3" fontId="2" fillId="0" borderId="126" xfId="0" applyNumberFormat="1" applyFont="1" applyFill="1" applyBorder="1" applyAlignment="1">
      <alignment horizontal="center"/>
    </xf>
    <xf numFmtId="3" fontId="2" fillId="0" borderId="125" xfId="0" applyNumberFormat="1" applyFont="1" applyBorder="1" applyAlignment="1">
      <alignment horizontal="center" vertical="top"/>
    </xf>
    <xf numFmtId="3" fontId="2" fillId="0" borderId="127" xfId="0" applyNumberFormat="1" applyFont="1" applyBorder="1" applyAlignment="1">
      <alignment horizontal="center" vertical="top"/>
    </xf>
    <xf numFmtId="3" fontId="2" fillId="0" borderId="115" xfId="0" applyNumberFormat="1" applyFont="1" applyFill="1" applyBorder="1" applyAlignment="1">
      <alignment horizontal="center"/>
    </xf>
    <xf numFmtId="3" fontId="2" fillId="3" borderId="128" xfId="0" applyNumberFormat="1" applyFont="1" applyFill="1" applyBorder="1" applyAlignment="1">
      <alignment horizontal="center" vertical="center" wrapText="1"/>
    </xf>
    <xf numFmtId="3" fontId="2" fillId="3" borderId="129" xfId="0" applyNumberFormat="1" applyFont="1" applyFill="1" applyBorder="1" applyAlignment="1">
      <alignment horizontal="center" vertical="center" wrapText="1"/>
    </xf>
    <xf numFmtId="3" fontId="2" fillId="3" borderId="111" xfId="0" applyNumberFormat="1" applyFont="1" applyFill="1" applyBorder="1" applyAlignment="1">
      <alignment horizontal="center" vertical="center" wrapText="1"/>
    </xf>
    <xf numFmtId="3" fontId="2" fillId="3" borderId="112" xfId="0" applyNumberFormat="1" applyFont="1" applyFill="1" applyBorder="1" applyAlignment="1">
      <alignment horizontal="center" vertical="center" wrapText="1"/>
    </xf>
    <xf numFmtId="3" fontId="2" fillId="0" borderId="114" xfId="0" applyNumberFormat="1" applyFont="1" applyBorder="1" applyAlignment="1">
      <alignment horizontal="center" vertical="top"/>
    </xf>
    <xf numFmtId="3" fontId="2" fillId="0" borderId="126" xfId="0" applyNumberFormat="1" applyFont="1" applyBorder="1" applyAlignment="1">
      <alignment horizontal="center" vertical="top"/>
    </xf>
    <xf numFmtId="3" fontId="2" fillId="3" borderId="125" xfId="0" applyNumberFormat="1" applyFont="1" applyFill="1" applyBorder="1" applyAlignment="1">
      <alignment horizontal="center"/>
    </xf>
    <xf numFmtId="3" fontId="2" fillId="3" borderId="117" xfId="0" applyNumberFormat="1" applyFont="1" applyFill="1" applyBorder="1" applyAlignment="1">
      <alignment horizontal="center"/>
    </xf>
    <xf numFmtId="3" fontId="2" fillId="3" borderId="114" xfId="0" applyNumberFormat="1" applyFont="1" applyFill="1" applyBorder="1" applyAlignment="1">
      <alignment horizontal="center"/>
    </xf>
    <xf numFmtId="3" fontId="2" fillId="3" borderId="126" xfId="0" applyNumberFormat="1" applyFont="1" applyFill="1" applyBorder="1" applyAlignment="1">
      <alignment horizontal="center"/>
    </xf>
    <xf numFmtId="0" fontId="6" fillId="0" borderId="91"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72" xfId="0" applyFont="1" applyBorder="1" applyAlignment="1" applyProtection="1">
      <alignment horizontal="left" vertical="top" wrapText="1"/>
      <protection locked="0"/>
    </xf>
    <xf numFmtId="0" fontId="6" fillId="0" borderId="11" xfId="0" applyFont="1" applyBorder="1" applyAlignment="1">
      <alignment horizontal="left" vertical="top" wrapText="1"/>
    </xf>
    <xf numFmtId="0" fontId="1" fillId="0" borderId="59" xfId="0" applyFont="1" applyBorder="1" applyAlignment="1" applyProtection="1">
      <alignment horizontal="left" vertical="top" wrapText="1"/>
      <protection locked="0"/>
    </xf>
    <xf numFmtId="0" fontId="6" fillId="0" borderId="130" xfId="0" applyFont="1" applyBorder="1" applyAlignment="1">
      <alignment horizontal="left" vertical="top" wrapText="1"/>
    </xf>
    <xf numFmtId="0" fontId="6" fillId="0" borderId="109" xfId="0" applyFont="1" applyBorder="1" applyAlignment="1">
      <alignment horizontal="left" vertical="top" wrapText="1"/>
    </xf>
    <xf numFmtId="0" fontId="6" fillId="0" borderId="110" xfId="0" applyFont="1" applyBorder="1" applyAlignment="1">
      <alignment horizontal="left" vertical="top" wrapText="1"/>
    </xf>
    <xf numFmtId="0" fontId="2" fillId="20" borderId="111" xfId="0" applyFont="1" applyFill="1" applyBorder="1" applyAlignment="1" applyProtection="1">
      <alignment horizontal="center" vertical="center" wrapText="1"/>
    </xf>
    <xf numFmtId="0" fontId="2" fillId="20" borderId="27" xfId="0" applyFont="1" applyFill="1" applyBorder="1" applyAlignment="1" applyProtection="1">
      <alignment horizontal="center" vertical="center" wrapText="1"/>
    </xf>
    <xf numFmtId="0" fontId="2" fillId="20" borderId="28" xfId="0" applyFont="1" applyFill="1" applyBorder="1" applyAlignment="1" applyProtection="1">
      <alignment horizontal="center" vertical="center" wrapText="1"/>
    </xf>
    <xf numFmtId="0" fontId="9" fillId="0" borderId="137" xfId="0" applyFont="1" applyBorder="1" applyAlignment="1" applyProtection="1">
      <alignment horizontal="center"/>
    </xf>
    <xf numFmtId="9" fontId="2" fillId="0" borderId="131" xfId="2" applyNumberFormat="1" applyFont="1" applyFill="1" applyBorder="1" applyAlignment="1" applyProtection="1">
      <alignment horizontal="center" vertical="center"/>
    </xf>
    <xf numFmtId="9" fontId="2" fillId="0" borderId="106" xfId="2" applyNumberFormat="1" applyFont="1" applyFill="1" applyBorder="1" applyAlignment="1" applyProtection="1">
      <alignment horizontal="center" vertical="center"/>
    </xf>
    <xf numFmtId="0" fontId="2" fillId="20" borderId="134" xfId="0" applyFont="1" applyFill="1" applyBorder="1" applyAlignment="1" applyProtection="1">
      <alignment horizontal="center" vertical="top" wrapText="1"/>
    </xf>
    <xf numFmtId="0" fontId="2" fillId="20" borderId="135" xfId="0" applyFont="1" applyFill="1" applyBorder="1" applyAlignment="1" applyProtection="1">
      <alignment horizontal="center" vertical="top" wrapText="1"/>
    </xf>
    <xf numFmtId="0" fontId="2" fillId="20" borderId="136" xfId="0" applyFont="1" applyFill="1" applyBorder="1" applyAlignment="1" applyProtection="1">
      <alignment horizontal="center" vertical="top" wrapText="1"/>
    </xf>
    <xf numFmtId="0" fontId="9" fillId="0" borderId="4" xfId="0" applyFont="1" applyFill="1" applyBorder="1" applyAlignment="1" applyProtection="1">
      <alignment horizontal="center"/>
    </xf>
    <xf numFmtId="0" fontId="2" fillId="4" borderId="8" xfId="0" applyFont="1" applyFill="1" applyBorder="1" applyAlignment="1" applyProtection="1">
      <alignment horizontal="right"/>
    </xf>
    <xf numFmtId="0" fontId="7" fillId="0" borderId="132" xfId="0" applyFont="1" applyFill="1" applyBorder="1" applyAlignment="1" applyProtection="1">
      <alignment horizontal="left" vertical="center"/>
    </xf>
    <xf numFmtId="0" fontId="2" fillId="3" borderId="8" xfId="0" applyFont="1" applyFill="1" applyBorder="1" applyAlignment="1" applyProtection="1">
      <alignment horizontal="right"/>
    </xf>
    <xf numFmtId="0" fontId="2" fillId="5" borderId="133" xfId="0" applyFont="1" applyFill="1" applyBorder="1" applyAlignment="1" applyProtection="1">
      <alignment horizontal="center" vertical="center" wrapText="1"/>
    </xf>
    <xf numFmtId="0" fontId="2" fillId="5" borderId="134" xfId="0" applyFont="1" applyFill="1" applyBorder="1" applyAlignment="1" applyProtection="1">
      <alignment horizontal="center" vertical="top" wrapText="1"/>
    </xf>
    <xf numFmtId="0" fontId="2" fillId="5" borderId="135" xfId="0" applyFont="1" applyFill="1" applyBorder="1" applyAlignment="1" applyProtection="1">
      <alignment horizontal="center" vertical="top" wrapText="1"/>
    </xf>
    <xf numFmtId="0" fontId="2" fillId="5" borderId="136" xfId="0" applyFont="1" applyFill="1" applyBorder="1" applyAlignment="1" applyProtection="1">
      <alignment horizontal="center" vertical="top" wrapText="1"/>
    </xf>
    <xf numFmtId="0" fontId="2" fillId="3" borderId="34" xfId="0" applyFont="1" applyFill="1" applyBorder="1" applyAlignment="1">
      <alignment horizontal="center" vertical="top" wrapText="1"/>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14" fontId="9" fillId="0" borderId="96" xfId="0" applyNumberFormat="1" applyFont="1" applyFill="1" applyBorder="1" applyAlignment="1">
      <alignment horizontal="center" vertical="top"/>
    </xf>
    <xf numFmtId="0" fontId="2" fillId="3" borderId="33" xfId="0" applyFont="1" applyFill="1" applyBorder="1" applyAlignment="1">
      <alignment horizontal="center" vertical="center" wrapText="1"/>
    </xf>
    <xf numFmtId="0" fontId="2" fillId="24" borderId="34" xfId="0" applyFont="1" applyFill="1" applyBorder="1" applyAlignment="1">
      <alignment horizontal="center" vertical="top" wrapText="1"/>
    </xf>
    <xf numFmtId="0" fontId="2" fillId="0" borderId="36" xfId="0" applyFont="1" applyFill="1" applyBorder="1" applyAlignment="1" applyProtection="1">
      <alignment horizontal="center"/>
    </xf>
    <xf numFmtId="0" fontId="2" fillId="4" borderId="36" xfId="0" applyFont="1" applyFill="1" applyBorder="1" applyAlignment="1" applyProtection="1">
      <alignment horizontal="center"/>
    </xf>
    <xf numFmtId="0" fontId="2" fillId="4" borderId="81" xfId="0" applyFont="1" applyFill="1" applyBorder="1" applyAlignment="1" applyProtection="1">
      <alignment horizontal="center"/>
    </xf>
    <xf numFmtId="0" fontId="2" fillId="12" borderId="52" xfId="0" applyFont="1" applyFill="1" applyBorder="1" applyAlignment="1" applyProtection="1">
      <alignment horizontal="center"/>
    </xf>
    <xf numFmtId="0" fontId="2" fillId="12" borderId="36" xfId="0" applyFont="1" applyFill="1" applyBorder="1" applyAlignment="1" applyProtection="1">
      <alignment horizontal="center"/>
    </xf>
    <xf numFmtId="0" fontId="2" fillId="12" borderId="55" xfId="0" applyFont="1" applyFill="1" applyBorder="1" applyAlignment="1" applyProtection="1">
      <alignment horizontal="center"/>
    </xf>
    <xf numFmtId="0" fontId="2" fillId="3" borderId="52" xfId="0" applyFont="1" applyFill="1" applyBorder="1" applyAlignment="1" applyProtection="1">
      <alignment horizontal="center" vertical="center" wrapText="1"/>
    </xf>
    <xf numFmtId="0" fontId="2" fillId="3" borderId="56" xfId="0" applyFont="1" applyFill="1" applyBorder="1" applyAlignment="1" applyProtection="1">
      <alignment horizontal="center" vertical="center" wrapText="1"/>
    </xf>
    <xf numFmtId="0" fontId="2" fillId="3" borderId="37" xfId="0" applyFont="1" applyFill="1" applyBorder="1" applyAlignment="1" applyProtection="1">
      <alignment horizontal="center" vertical="center" wrapText="1"/>
    </xf>
    <xf numFmtId="0" fontId="10" fillId="0" borderId="138" xfId="0" applyFont="1" applyBorder="1" applyAlignment="1" applyProtection="1">
      <alignment horizontal="center" vertical="center" wrapText="1"/>
    </xf>
    <xf numFmtId="0" fontId="10" fillId="0" borderId="65" xfId="0" applyFont="1" applyBorder="1" applyAlignment="1" applyProtection="1">
      <alignment horizontal="center" vertical="center"/>
    </xf>
    <xf numFmtId="0" fontId="2" fillId="4" borderId="145" xfId="0" applyFont="1" applyFill="1" applyBorder="1" applyAlignment="1" applyProtection="1">
      <alignment horizontal="center" vertical="top" wrapText="1"/>
    </xf>
    <xf numFmtId="0" fontId="20" fillId="0" borderId="51" xfId="0" applyFont="1" applyFill="1" applyBorder="1" applyAlignment="1">
      <alignment horizontal="left" vertical="top" wrapText="1"/>
    </xf>
    <xf numFmtId="0" fontId="20" fillId="0" borderId="139" xfId="0" applyFont="1" applyFill="1" applyBorder="1" applyAlignment="1">
      <alignment horizontal="left" vertical="top" wrapText="1"/>
    </xf>
    <xf numFmtId="0" fontId="2" fillId="3" borderId="36"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140" xfId="0" applyFont="1" applyFill="1" applyBorder="1" applyAlignment="1">
      <alignment horizontal="center" vertical="center" wrapText="1"/>
    </xf>
    <xf numFmtId="0" fontId="2" fillId="3" borderId="141"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6" xfId="0" applyFont="1" applyFill="1" applyBorder="1" applyAlignment="1">
      <alignment horizontal="center" vertical="center"/>
    </xf>
    <xf numFmtId="0" fontId="7" fillId="0" borderId="51" xfId="0" applyFont="1" applyFill="1" applyBorder="1" applyAlignment="1">
      <alignment horizontal="left" vertical="center" wrapText="1"/>
    </xf>
    <xf numFmtId="0" fontId="7" fillId="0" borderId="53" xfId="0" applyFont="1" applyFill="1" applyBorder="1" applyAlignment="1">
      <alignment horizontal="left" vertical="center" wrapText="1"/>
    </xf>
    <xf numFmtId="0" fontId="7" fillId="0" borderId="57" xfId="0" applyFont="1" applyFill="1" applyBorder="1" applyAlignment="1">
      <alignment horizontal="left" vertical="center" wrapText="1"/>
    </xf>
    <xf numFmtId="0" fontId="38" fillId="0" borderId="0" xfId="0" applyFont="1" applyAlignment="1">
      <alignment horizontal="center" vertical="center"/>
    </xf>
    <xf numFmtId="0" fontId="39" fillId="0" borderId="0" xfId="0" applyFont="1" applyAlignment="1">
      <alignment horizontal="center" vertical="center"/>
    </xf>
    <xf numFmtId="0" fontId="40" fillId="0" borderId="0" xfId="0" applyFont="1" applyAlignment="1">
      <alignment horizontal="center" vertical="center"/>
    </xf>
    <xf numFmtId="0" fontId="41" fillId="0" borderId="152" xfId="0" applyFont="1" applyBorder="1" applyAlignment="1">
      <alignment horizontal="center" vertical="center"/>
    </xf>
    <xf numFmtId="0" fontId="41" fillId="0" borderId="155" xfId="0" applyFont="1" applyBorder="1" applyAlignment="1">
      <alignment horizontal="center" vertical="center"/>
    </xf>
    <xf numFmtId="0" fontId="41" fillId="0" borderId="157" xfId="0" applyFont="1" applyBorder="1" applyAlignment="1">
      <alignment horizontal="center" vertical="center"/>
    </xf>
    <xf numFmtId="0" fontId="41" fillId="0" borderId="152" xfId="0" applyFont="1" applyBorder="1" applyAlignment="1">
      <alignment horizontal="center" vertical="top"/>
    </xf>
    <xf numFmtId="0" fontId="41" fillId="0" borderId="155" xfId="0" applyFont="1" applyBorder="1" applyAlignment="1">
      <alignment horizontal="center" vertical="top"/>
    </xf>
    <xf numFmtId="0" fontId="41" fillId="0" borderId="95" xfId="0" applyFont="1" applyBorder="1" applyAlignment="1">
      <alignment horizontal="center" vertical="center"/>
    </xf>
    <xf numFmtId="0" fontId="41" fillId="0" borderId="153" xfId="0" applyFont="1" applyBorder="1" applyAlignment="1">
      <alignment horizontal="center" vertical="center"/>
    </xf>
    <xf numFmtId="0" fontId="41" fillId="0" borderId="154" xfId="0" applyFont="1" applyBorder="1" applyAlignment="1">
      <alignment horizontal="center" vertical="top"/>
    </xf>
    <xf numFmtId="0" fontId="41" fillId="0" borderId="154" xfId="0" applyFont="1" applyBorder="1" applyAlignment="1">
      <alignment horizontal="center" vertical="center"/>
    </xf>
    <xf numFmtId="0" fontId="43" fillId="0" borderId="158" xfId="0" applyFont="1" applyBorder="1" applyAlignment="1">
      <alignment horizontal="center" vertical="center"/>
    </xf>
    <xf numFmtId="0" fontId="43" fillId="0" borderId="159" xfId="0" applyFont="1" applyBorder="1" applyAlignment="1">
      <alignment horizontal="center" vertical="center"/>
    </xf>
    <xf numFmtId="0" fontId="43" fillId="0" borderId="160" xfId="0" applyFont="1" applyBorder="1" applyAlignment="1">
      <alignment horizontal="center" vertical="center"/>
    </xf>
    <xf numFmtId="0" fontId="43" fillId="25" borderId="95" xfId="0" applyFont="1" applyFill="1" applyBorder="1" applyAlignment="1">
      <alignment horizontal="center" vertical="center"/>
    </xf>
    <xf numFmtId="0" fontId="43" fillId="25" borderId="161" xfId="0" applyFont="1" applyFill="1" applyBorder="1" applyAlignment="1">
      <alignment horizontal="center" vertical="center"/>
    </xf>
    <xf numFmtId="0" fontId="43" fillId="25" borderId="153" xfId="0" applyFont="1" applyFill="1" applyBorder="1" applyAlignment="1">
      <alignment horizontal="center" vertical="center"/>
    </xf>
    <xf numFmtId="0" fontId="49" fillId="0" borderId="53" xfId="0" applyFont="1" applyBorder="1" applyAlignment="1">
      <alignment wrapText="1"/>
    </xf>
    <xf numFmtId="0" fontId="49" fillId="0" borderId="54" xfId="0" applyFont="1" applyBorder="1" applyAlignment="1">
      <alignment wrapText="1"/>
    </xf>
    <xf numFmtId="0" fontId="50" fillId="0" borderId="0" xfId="0" applyFont="1" applyBorder="1" applyAlignment="1">
      <alignment wrapText="1"/>
    </xf>
    <xf numFmtId="0" fontId="51" fillId="0" borderId="0" xfId="0" applyFont="1"/>
    <xf numFmtId="0" fontId="43" fillId="0" borderId="163" xfId="0" applyFont="1" applyBorder="1" applyAlignment="1">
      <alignment horizontal="right" vertical="center"/>
    </xf>
    <xf numFmtId="0" fontId="43" fillId="0" borderId="165" xfId="0" applyFont="1" applyBorder="1" applyAlignment="1">
      <alignment horizontal="right" vertical="center"/>
    </xf>
    <xf numFmtId="0" fontId="43" fillId="0" borderId="158" xfId="0" applyFont="1" applyBorder="1" applyAlignment="1">
      <alignment horizontal="right" vertical="center"/>
    </xf>
    <xf numFmtId="0" fontId="43" fillId="0" borderId="160" xfId="0" applyFont="1" applyBorder="1" applyAlignment="1">
      <alignment horizontal="right" vertical="center"/>
    </xf>
    <xf numFmtId="0" fontId="43" fillId="0" borderId="156" xfId="0" applyFont="1" applyBorder="1" applyAlignment="1">
      <alignment horizontal="center" vertical="center"/>
    </xf>
    <xf numFmtId="0" fontId="52" fillId="0" borderId="156" xfId="0" applyFont="1" applyBorder="1" applyAlignment="1">
      <alignment horizontal="center" vertical="center"/>
    </xf>
  </cellXfs>
  <cellStyles count="5">
    <cellStyle name="Comma" xfId="3" builtinId="3"/>
    <cellStyle name="Hyperlink" xfId="1" builtinId="8"/>
    <cellStyle name="Normal" xfId="0" builtinId="0"/>
    <cellStyle name="Percent" xfId="2" builtinId="5"/>
    <cellStyle name="Separador de milhares 11 2" xfId="4"/>
  </cellStyles>
  <dxfs count="6">
    <dxf>
      <font>
        <b val="0"/>
        <condense val="0"/>
        <extend val="0"/>
        <color indexed="10"/>
      </font>
    </dxf>
    <dxf>
      <font>
        <b val="0"/>
        <condense val="0"/>
        <extend val="0"/>
        <color indexed="10"/>
      </font>
    </dxf>
    <dxf>
      <font>
        <b/>
        <i val="0"/>
        <strike val="0"/>
        <condense val="0"/>
        <extend val="0"/>
        <color indexed="10"/>
      </font>
    </dxf>
    <dxf>
      <font>
        <b val="0"/>
        <condense val="0"/>
        <extend val="0"/>
        <color indexed="8"/>
      </font>
    </dxf>
    <dxf>
      <font>
        <b/>
        <i val="0"/>
        <condense val="0"/>
        <extend val="0"/>
        <color indexed="10"/>
      </font>
    </dxf>
    <dxf>
      <font>
        <b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45720</xdr:colOff>
      <xdr:row>7</xdr:row>
      <xdr:rowOff>30480</xdr:rowOff>
    </xdr:from>
    <xdr:to>
      <xdr:col>5</xdr:col>
      <xdr:colOff>365760</xdr:colOff>
      <xdr:row>11</xdr:row>
      <xdr:rowOff>68580</xdr:rowOff>
    </xdr:to>
    <xdr:pic>
      <xdr:nvPicPr>
        <xdr:cNvPr id="1628"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2103120" y="1203960"/>
          <a:ext cx="1821180" cy="7086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2</xdr:row>
      <xdr:rowOff>76200</xdr:rowOff>
    </xdr:from>
    <xdr:to>
      <xdr:col>1</xdr:col>
      <xdr:colOff>1882140</xdr:colOff>
      <xdr:row>6</xdr:row>
      <xdr:rowOff>91440</xdr:rowOff>
    </xdr:to>
    <xdr:pic>
      <xdr:nvPicPr>
        <xdr:cNvPr id="265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731520" y="411480"/>
          <a:ext cx="1767840" cy="6858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857250</xdr:colOff>
      <xdr:row>2</xdr:row>
      <xdr:rowOff>38100</xdr:rowOff>
    </xdr:to>
    <xdr:pic>
      <xdr:nvPicPr>
        <xdr:cNvPr id="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152525"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J56"/>
  <sheetViews>
    <sheetView showGridLines="0" workbookViewId="0">
      <selection activeCell="K40" sqref="K40"/>
    </sheetView>
  </sheetViews>
  <sheetFormatPr defaultColWidth="9.140625" defaultRowHeight="12.75"/>
  <cols>
    <col min="1" max="1" width="5.140625" customWidth="1"/>
    <col min="2" max="2" width="16" customWidth="1"/>
    <col min="5" max="5" width="13" customWidth="1"/>
    <col min="8" max="8" width="16.140625" customWidth="1"/>
    <col min="9" max="9" width="1.5703125" customWidth="1"/>
  </cols>
  <sheetData>
    <row r="3" spans="1:10">
      <c r="A3" s="1"/>
      <c r="B3" s="1"/>
      <c r="C3" s="1"/>
      <c r="D3" s="1"/>
      <c r="E3" s="1"/>
      <c r="F3" s="1"/>
      <c r="G3" s="1"/>
      <c r="H3" s="1"/>
      <c r="I3" s="1"/>
      <c r="J3" s="1"/>
    </row>
    <row r="4" spans="1:10">
      <c r="A4" s="1"/>
      <c r="B4" s="1"/>
      <c r="C4" s="1"/>
      <c r="D4" s="1"/>
      <c r="E4" s="1"/>
      <c r="F4" s="1"/>
      <c r="G4" s="1"/>
      <c r="H4" s="1"/>
      <c r="I4" s="1"/>
      <c r="J4" s="1"/>
    </row>
    <row r="5" spans="1:10">
      <c r="A5" s="1"/>
      <c r="B5" s="1"/>
      <c r="C5" s="1"/>
      <c r="D5" s="1"/>
      <c r="E5" s="1"/>
      <c r="F5" s="1"/>
      <c r="G5" s="1"/>
      <c r="H5" s="1"/>
      <c r="I5" s="1"/>
      <c r="J5" s="1"/>
    </row>
    <row r="6" spans="1:10">
      <c r="A6" s="1"/>
      <c r="B6" s="1"/>
      <c r="C6" s="1"/>
      <c r="D6" s="1"/>
      <c r="E6" s="1"/>
      <c r="F6" s="1"/>
      <c r="G6" s="1"/>
      <c r="H6" s="1"/>
      <c r="I6" s="1"/>
      <c r="J6" s="1"/>
    </row>
    <row r="7" spans="1:10">
      <c r="A7" s="1"/>
      <c r="B7" s="1"/>
      <c r="C7" s="1"/>
      <c r="D7" s="1"/>
      <c r="E7" s="1"/>
      <c r="F7" s="1"/>
      <c r="G7" s="725"/>
      <c r="H7" s="725"/>
      <c r="I7" s="1"/>
      <c r="J7" s="1"/>
    </row>
    <row r="8" spans="1:10">
      <c r="A8" s="1"/>
      <c r="B8" s="1"/>
      <c r="C8" s="1"/>
      <c r="D8" s="1"/>
      <c r="E8" s="1"/>
      <c r="F8" s="1"/>
      <c r="I8" s="1"/>
      <c r="J8" s="1"/>
    </row>
    <row r="9" spans="1:10">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ht="18">
      <c r="A13" s="1"/>
      <c r="B13" s="1"/>
      <c r="C13" s="1"/>
      <c r="D13" s="727"/>
      <c r="E13" s="727"/>
      <c r="F13" s="727"/>
      <c r="G13" s="727"/>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501"/>
      <c r="B18" s="501"/>
      <c r="C18" s="501"/>
      <c r="D18" s="501"/>
      <c r="E18" s="501"/>
      <c r="F18" s="501"/>
      <c r="G18" s="501"/>
      <c r="H18" s="501"/>
      <c r="I18" s="501"/>
      <c r="J18" s="1"/>
    </row>
    <row r="19" spans="1:10" ht="12.95" customHeight="1">
      <c r="A19" s="729" t="s">
        <v>192</v>
      </c>
      <c r="B19" s="729"/>
      <c r="C19" s="729"/>
      <c r="D19" s="729"/>
      <c r="E19" s="729"/>
      <c r="F19" s="729"/>
      <c r="G19" s="729"/>
      <c r="H19" s="729"/>
      <c r="I19" s="729"/>
      <c r="J19" s="1"/>
    </row>
    <row r="20" spans="1:10" ht="12.75" customHeight="1">
      <c r="A20" s="729"/>
      <c r="B20" s="729"/>
      <c r="C20" s="729"/>
      <c r="D20" s="729"/>
      <c r="E20" s="729"/>
      <c r="F20" s="729"/>
      <c r="G20" s="729"/>
      <c r="H20" s="729"/>
      <c r="I20" s="729"/>
      <c r="J20" s="1"/>
    </row>
    <row r="21" spans="1:10" ht="12.75" customHeight="1">
      <c r="A21" s="729"/>
      <c r="B21" s="729"/>
      <c r="C21" s="729"/>
      <c r="D21" s="729"/>
      <c r="E21" s="729"/>
      <c r="F21" s="729"/>
      <c r="G21" s="729"/>
      <c r="H21" s="729"/>
      <c r="I21" s="729"/>
      <c r="J21" s="1"/>
    </row>
    <row r="22" spans="1:10" ht="34.5" customHeight="1">
      <c r="A22" s="729"/>
      <c r="B22" s="729"/>
      <c r="C22" s="729"/>
      <c r="D22" s="729"/>
      <c r="E22" s="729"/>
      <c r="F22" s="729"/>
      <c r="G22" s="729"/>
      <c r="H22" s="729"/>
      <c r="I22" s="729"/>
      <c r="J22" s="1"/>
    </row>
    <row r="23" spans="1:10" ht="34.5" customHeight="1">
      <c r="A23" s="501"/>
      <c r="B23" s="502"/>
      <c r="C23" s="502"/>
      <c r="D23" s="502"/>
      <c r="E23" s="502"/>
      <c r="F23" s="502"/>
      <c r="G23" s="502"/>
      <c r="H23" s="502"/>
      <c r="I23" s="501"/>
      <c r="J23" s="1"/>
    </row>
    <row r="24" spans="1:10" ht="34.5" customHeight="1">
      <c r="A24" s="501"/>
      <c r="B24" s="502"/>
      <c r="C24" s="502"/>
      <c r="D24" s="502"/>
      <c r="E24" s="502"/>
      <c r="F24" s="502"/>
      <c r="G24" s="502"/>
      <c r="H24" s="502"/>
      <c r="I24" s="501"/>
      <c r="J24" s="1"/>
    </row>
    <row r="25" spans="1:10" ht="18" customHeight="1">
      <c r="A25" s="728" t="s">
        <v>193</v>
      </c>
      <c r="B25" s="728"/>
      <c r="C25" s="728"/>
      <c r="D25" s="728"/>
      <c r="E25" s="728"/>
      <c r="F25" s="728"/>
      <c r="G25" s="728"/>
      <c r="H25" s="728"/>
      <c r="I25" s="728"/>
      <c r="J25" s="1"/>
    </row>
    <row r="26" spans="1:10" ht="18" customHeight="1">
      <c r="A26" s="728"/>
      <c r="B26" s="728"/>
      <c r="C26" s="728"/>
      <c r="D26" s="728"/>
      <c r="E26" s="728"/>
      <c r="F26" s="728"/>
      <c r="G26" s="728"/>
      <c r="H26" s="728"/>
      <c r="I26" s="728"/>
      <c r="J26" s="1"/>
    </row>
    <row r="27" spans="1:10" ht="18" customHeight="1">
      <c r="A27" s="728"/>
      <c r="B27" s="728"/>
      <c r="C27" s="728"/>
      <c r="D27" s="728"/>
      <c r="E27" s="728"/>
      <c r="F27" s="728"/>
      <c r="G27" s="728"/>
      <c r="H27" s="728"/>
      <c r="I27" s="728"/>
      <c r="J27" s="1"/>
    </row>
    <row r="28" spans="1:10" ht="18" customHeight="1">
      <c r="A28" s="728" t="s">
        <v>194</v>
      </c>
      <c r="B28" s="728"/>
      <c r="C28" s="728"/>
      <c r="D28" s="728"/>
      <c r="E28" s="728"/>
      <c r="F28" s="728"/>
      <c r="G28" s="728"/>
      <c r="H28" s="728"/>
      <c r="I28" s="728"/>
      <c r="J28" s="1"/>
    </row>
    <row r="29" spans="1:10">
      <c r="A29" s="503"/>
      <c r="B29" s="503"/>
      <c r="C29" s="503"/>
      <c r="D29" s="503"/>
      <c r="E29" s="503"/>
      <c r="F29" s="503"/>
      <c r="G29" s="503"/>
      <c r="H29" s="503"/>
      <c r="I29" s="503"/>
      <c r="J29" s="1"/>
    </row>
    <row r="30" spans="1:10">
      <c r="A30" s="503"/>
      <c r="B30" s="503"/>
      <c r="C30" s="503"/>
      <c r="D30" s="503"/>
      <c r="E30" s="503"/>
      <c r="F30" s="503"/>
      <c r="G30" s="503"/>
      <c r="H30" s="503"/>
      <c r="I30" s="503"/>
      <c r="J30" s="1"/>
    </row>
    <row r="31" spans="1:10" ht="12.75" customHeight="1">
      <c r="A31" s="728" t="s">
        <v>224</v>
      </c>
      <c r="B31" s="728"/>
      <c r="C31" s="728"/>
      <c r="D31" s="728"/>
      <c r="E31" s="728"/>
      <c r="F31" s="728"/>
      <c r="G31" s="728"/>
      <c r="H31" s="728"/>
      <c r="I31" s="728"/>
      <c r="J31" s="1"/>
    </row>
    <row r="32" spans="1:10" ht="12.75" customHeight="1">
      <c r="A32" s="728"/>
      <c r="B32" s="728"/>
      <c r="C32" s="728"/>
      <c r="D32" s="728"/>
      <c r="E32" s="728"/>
      <c r="F32" s="728"/>
      <c r="G32" s="728"/>
      <c r="H32" s="728"/>
      <c r="I32" s="728"/>
      <c r="J32" s="1"/>
    </row>
    <row r="33" spans="1:10" ht="12.75" customHeight="1">
      <c r="A33" s="728"/>
      <c r="B33" s="728"/>
      <c r="C33" s="728"/>
      <c r="D33" s="728"/>
      <c r="E33" s="728"/>
      <c r="F33" s="728"/>
      <c r="G33" s="728"/>
      <c r="H33" s="728"/>
      <c r="I33" s="728"/>
      <c r="J33" s="1"/>
    </row>
    <row r="34" spans="1:10">
      <c r="A34" s="728"/>
      <c r="B34" s="728"/>
      <c r="C34" s="728"/>
      <c r="D34" s="728"/>
      <c r="E34" s="728"/>
      <c r="F34" s="728"/>
      <c r="G34" s="728"/>
      <c r="H34" s="728"/>
      <c r="I34" s="728"/>
      <c r="J34" s="1"/>
    </row>
    <row r="35" spans="1:10">
      <c r="A35" s="728"/>
      <c r="B35" s="728"/>
      <c r="C35" s="728"/>
      <c r="D35" s="728"/>
      <c r="E35" s="728"/>
      <c r="F35" s="728"/>
      <c r="G35" s="728"/>
      <c r="H35" s="728"/>
      <c r="I35" s="728"/>
      <c r="J35" s="1"/>
    </row>
    <row r="36" spans="1:10">
      <c r="A36" s="503"/>
      <c r="B36" s="503"/>
      <c r="C36" s="503"/>
      <c r="D36" s="503"/>
      <c r="E36" s="503"/>
      <c r="F36" s="503"/>
      <c r="G36" s="503"/>
      <c r="H36" s="503"/>
      <c r="I36" s="503"/>
      <c r="J36" s="1"/>
    </row>
    <row r="37" spans="1:10" ht="18" customHeight="1">
      <c r="A37" s="728"/>
      <c r="B37" s="728"/>
      <c r="C37" s="728"/>
      <c r="D37" s="728"/>
      <c r="E37" s="728"/>
      <c r="F37" s="728"/>
      <c r="G37" s="728"/>
      <c r="H37" s="728"/>
      <c r="I37" s="728"/>
      <c r="J37" s="1"/>
    </row>
    <row r="38" spans="1:10">
      <c r="A38" s="501"/>
      <c r="B38" s="501"/>
      <c r="C38" s="501"/>
      <c r="D38" s="501"/>
      <c r="E38" s="501"/>
      <c r="F38" s="501"/>
      <c r="G38" s="501"/>
      <c r="H38" s="501"/>
      <c r="I38" s="501"/>
      <c r="J38" s="1"/>
    </row>
    <row r="39" spans="1:10">
      <c r="A39" s="501"/>
      <c r="B39" s="726"/>
      <c r="C39" s="726"/>
      <c r="D39" s="726"/>
      <c r="E39" s="726"/>
      <c r="F39" s="726"/>
      <c r="G39" s="726"/>
      <c r="H39" s="726"/>
      <c r="I39" s="501"/>
      <c r="J39" s="1"/>
    </row>
    <row r="40" spans="1:10">
      <c r="A40" s="501"/>
      <c r="B40" s="501"/>
      <c r="C40" s="501"/>
      <c r="D40" s="501"/>
      <c r="E40" s="501"/>
      <c r="F40" s="501"/>
      <c r="G40" s="501"/>
      <c r="H40" s="501"/>
      <c r="I40" s="501"/>
      <c r="J40" s="1"/>
    </row>
    <row r="41" spans="1:10">
      <c r="A41" s="501"/>
      <c r="B41" s="501"/>
      <c r="C41" s="501"/>
      <c r="D41" s="501"/>
      <c r="E41" s="501"/>
      <c r="F41" s="501"/>
      <c r="G41" s="501"/>
      <c r="H41" s="501"/>
      <c r="I41" s="501"/>
      <c r="J41" s="1"/>
    </row>
    <row r="42" spans="1:10">
      <c r="A42" s="501"/>
      <c r="B42" s="501"/>
      <c r="C42" s="501"/>
      <c r="D42" s="501"/>
      <c r="E42" s="501"/>
      <c r="F42" s="501"/>
      <c r="G42" s="501"/>
      <c r="H42" s="501"/>
      <c r="I42" s="501"/>
      <c r="J42" s="1"/>
    </row>
    <row r="43" spans="1:10">
      <c r="A43" s="501"/>
      <c r="B43" s="501"/>
      <c r="C43" s="501"/>
      <c r="D43" s="501"/>
      <c r="E43" s="501"/>
      <c r="F43" s="501"/>
      <c r="G43" s="501"/>
      <c r="H43" s="501"/>
      <c r="I43" s="501"/>
      <c r="J43" s="1"/>
    </row>
    <row r="44" spans="1:10">
      <c r="A44" s="501"/>
      <c r="B44" s="501"/>
      <c r="C44" s="501"/>
      <c r="D44" s="501"/>
      <c r="E44" s="501"/>
      <c r="F44" s="501"/>
      <c r="G44" s="501"/>
      <c r="H44" s="501"/>
      <c r="I44" s="501"/>
      <c r="J44" s="1"/>
    </row>
    <row r="45" spans="1:10" ht="15.75">
      <c r="A45" s="724" t="s">
        <v>312</v>
      </c>
      <c r="B45" s="724"/>
      <c r="C45" s="724"/>
      <c r="D45" s="724"/>
      <c r="E45" s="724"/>
      <c r="F45" s="724"/>
      <c r="G45" s="724"/>
      <c r="H45" s="724"/>
      <c r="I45" s="724"/>
      <c r="J45" s="1"/>
    </row>
    <row r="46" spans="1:10">
      <c r="A46" s="501"/>
      <c r="B46" s="501"/>
      <c r="C46" s="501"/>
      <c r="D46" s="501"/>
      <c r="E46" s="501"/>
      <c r="F46" s="501"/>
      <c r="G46" s="501"/>
      <c r="H46" s="501"/>
      <c r="I46" s="501"/>
      <c r="J46" s="1"/>
    </row>
    <row r="47" spans="1:10">
      <c r="A47" s="1"/>
      <c r="B47" s="1"/>
      <c r="C47" s="1"/>
      <c r="D47" s="1"/>
      <c r="E47" s="1"/>
      <c r="F47" s="1"/>
      <c r="G47" s="1"/>
      <c r="H47" s="1"/>
      <c r="I47" s="1"/>
      <c r="J47" s="1"/>
    </row>
    <row r="48" spans="1:10">
      <c r="A48" s="1"/>
      <c r="B48" s="1"/>
      <c r="C48" s="1"/>
      <c r="D48" s="1"/>
      <c r="E48" s="1"/>
      <c r="F48" s="1"/>
      <c r="G48" s="1"/>
      <c r="H48" s="1"/>
      <c r="I48" s="1"/>
      <c r="J48" s="1"/>
    </row>
    <row r="49" spans="1:10">
      <c r="A49" s="1"/>
      <c r="B49" s="1"/>
      <c r="C49" s="1"/>
      <c r="D49" s="1"/>
      <c r="E49" s="1"/>
      <c r="F49" s="1"/>
      <c r="G49" s="1"/>
      <c r="H49" s="1"/>
      <c r="I49" s="1"/>
      <c r="J49" s="1"/>
    </row>
    <row r="50" spans="1:10">
      <c r="A50" s="1"/>
      <c r="B50" s="1"/>
      <c r="C50" s="1"/>
      <c r="D50" s="1"/>
      <c r="E50" s="1"/>
      <c r="F50" s="1"/>
      <c r="G50" s="1"/>
      <c r="H50" s="1"/>
      <c r="I50" s="1"/>
      <c r="J50" s="1"/>
    </row>
    <row r="51" spans="1:10">
      <c r="A51" s="1"/>
      <c r="B51" s="1"/>
      <c r="C51" s="1"/>
      <c r="D51" s="1"/>
      <c r="E51" s="1"/>
      <c r="F51" s="1"/>
      <c r="G51" s="1"/>
      <c r="H51" s="1"/>
      <c r="I51" s="1"/>
      <c r="J51" s="1"/>
    </row>
    <row r="52" spans="1:10">
      <c r="A52" s="1"/>
      <c r="B52" s="1"/>
      <c r="C52" s="1"/>
      <c r="D52" s="1"/>
      <c r="E52" s="1"/>
      <c r="F52" s="1"/>
      <c r="G52" s="1"/>
      <c r="H52" s="1"/>
      <c r="I52" s="1"/>
      <c r="J52" s="1"/>
    </row>
    <row r="53" spans="1:10">
      <c r="A53" s="1"/>
      <c r="B53" s="1"/>
      <c r="C53" s="1"/>
      <c r="D53" s="1"/>
      <c r="E53" s="1"/>
      <c r="F53" s="1"/>
      <c r="G53" s="1"/>
      <c r="H53" s="1"/>
      <c r="I53" s="1"/>
      <c r="J53" s="1"/>
    </row>
    <row r="54" spans="1:10">
      <c r="A54" s="1"/>
      <c r="B54" s="1"/>
      <c r="C54" s="1"/>
      <c r="D54" s="1"/>
      <c r="E54" s="1"/>
      <c r="F54" s="1"/>
      <c r="G54" s="1"/>
      <c r="H54" s="1"/>
      <c r="I54" s="1"/>
      <c r="J54" s="1"/>
    </row>
    <row r="55" spans="1:10">
      <c r="A55" s="1"/>
      <c r="B55" s="1"/>
      <c r="C55" s="1"/>
      <c r="D55" s="1"/>
      <c r="E55" s="1"/>
      <c r="F55" s="1"/>
      <c r="G55" s="1"/>
      <c r="H55" s="1"/>
      <c r="I55" s="1"/>
      <c r="J55" s="1"/>
    </row>
    <row r="56" spans="1:10">
      <c r="A56" s="1"/>
      <c r="B56" s="1"/>
      <c r="C56" s="1"/>
      <c r="D56" s="1"/>
      <c r="E56" s="1"/>
      <c r="F56" s="1"/>
      <c r="G56" s="1"/>
      <c r="H56" s="1"/>
      <c r="I56" s="1"/>
      <c r="J56" s="1"/>
    </row>
  </sheetData>
  <mergeCells count="9">
    <mergeCell ref="A45:I45"/>
    <mergeCell ref="G7:H7"/>
    <mergeCell ref="B39:H39"/>
    <mergeCell ref="D13:G13"/>
    <mergeCell ref="A28:I28"/>
    <mergeCell ref="A19:I22"/>
    <mergeCell ref="A25:I27"/>
    <mergeCell ref="A31:I35"/>
    <mergeCell ref="A37:I37"/>
  </mergeCells>
  <phoneticPr fontId="0" type="noConversion"/>
  <pageMargins left="0.59055118110236227" right="0.39370078740157483" top="0.98425196850393704" bottom="0.98425196850393704" header="0.51181102362204722" footer="0.51181102362204722"/>
  <pageSetup paperSize="9" scale="95" firstPageNumber="0"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dimension ref="A1:AC46"/>
  <sheetViews>
    <sheetView showGridLines="0" zoomScale="87" zoomScaleNormal="87" workbookViewId="0">
      <pane xSplit="1" ySplit="5" topLeftCell="K30" activePane="bottomRight" state="frozen"/>
      <selection activeCell="B31" sqref="B31:H35"/>
      <selection pane="topRight" activeCell="B31" sqref="B31:H35"/>
      <selection pane="bottomLeft" activeCell="B31" sqref="B31:H35"/>
      <selection pane="bottomRight" activeCell="X40" sqref="X40"/>
    </sheetView>
  </sheetViews>
  <sheetFormatPr defaultColWidth="9.140625" defaultRowHeight="12.75"/>
  <cols>
    <col min="1" max="1" width="40.7109375" style="137" customWidth="1"/>
    <col min="2" max="2" width="12.5703125" style="41" bestFit="1" customWidth="1"/>
    <col min="3" max="3" width="11.5703125" style="41" bestFit="1" customWidth="1"/>
    <col min="4" max="4" width="12.28515625" style="41" bestFit="1" customWidth="1"/>
    <col min="5" max="5" width="13" style="41" bestFit="1" customWidth="1"/>
    <col min="6" max="6" width="12.5703125" style="41" bestFit="1" customWidth="1"/>
    <col min="7" max="7" width="12.28515625" style="41" bestFit="1" customWidth="1"/>
    <col min="8" max="8" width="14" style="41" customWidth="1"/>
    <col min="9" max="9" width="12.5703125" style="41" bestFit="1" customWidth="1"/>
    <col min="10" max="10" width="12.28515625" style="41" bestFit="1" customWidth="1"/>
    <col min="11" max="11" width="12.5703125" style="41" bestFit="1" customWidth="1"/>
    <col min="12" max="12" width="13.85546875" style="41" customWidth="1"/>
    <col min="13" max="13" width="12.28515625" style="41" bestFit="1" customWidth="1"/>
    <col min="14" max="14" width="12.28515625" style="41" customWidth="1"/>
    <col min="15" max="15" width="12.85546875" style="41" customWidth="1"/>
    <col min="16" max="16" width="11.85546875" style="41" bestFit="1" customWidth="1"/>
    <col min="17" max="18" width="11.85546875" style="41" hidden="1" customWidth="1"/>
    <col min="19" max="19" width="12.28515625" style="41" hidden="1" customWidth="1"/>
    <col min="20" max="20" width="13.28515625" style="41" bestFit="1" customWidth="1"/>
    <col min="21" max="21" width="15" style="41" customWidth="1"/>
    <col min="22" max="22" width="12.7109375" style="41" customWidth="1"/>
    <col min="23" max="23" width="0" style="41" hidden="1" customWidth="1"/>
    <col min="24" max="24" width="34.140625" style="106" customWidth="1"/>
    <col min="25" max="25" width="11.28515625" style="41" bestFit="1" customWidth="1"/>
    <col min="26" max="26" width="11.42578125" style="41" bestFit="1" customWidth="1"/>
    <col min="27" max="28" width="11.28515625" style="41" bestFit="1" customWidth="1"/>
    <col min="29" max="29" width="10.28515625" style="41" bestFit="1" customWidth="1"/>
    <col min="30" max="16384" width="9.140625" style="41"/>
  </cols>
  <sheetData>
    <row r="1" spans="1:29" ht="24.75" customHeight="1" thickBot="1">
      <c r="A1" s="136" t="s">
        <v>87</v>
      </c>
      <c r="B1" s="122"/>
      <c r="C1" s="122"/>
      <c r="D1" s="122"/>
      <c r="E1" s="122"/>
      <c r="F1" s="122"/>
      <c r="G1" s="122"/>
      <c r="H1" s="122"/>
      <c r="I1" s="122"/>
      <c r="J1" s="122"/>
      <c r="K1" s="122"/>
      <c r="L1" s="122"/>
      <c r="M1" s="122"/>
      <c r="N1" s="122"/>
      <c r="O1" s="122"/>
      <c r="P1" s="122"/>
      <c r="Q1" s="122"/>
      <c r="R1" s="122"/>
      <c r="S1" s="122"/>
      <c r="T1" s="122"/>
      <c r="U1" s="122"/>
      <c r="V1" s="123"/>
    </row>
    <row r="2" spans="1:29">
      <c r="A2" s="865" t="s">
        <v>91</v>
      </c>
      <c r="B2" s="860" t="s">
        <v>55</v>
      </c>
      <c r="C2" s="860"/>
      <c r="D2" s="860"/>
      <c r="E2" s="859" t="s">
        <v>56</v>
      </c>
      <c r="F2" s="859"/>
      <c r="G2" s="859"/>
      <c r="H2" s="860" t="s">
        <v>57</v>
      </c>
      <c r="I2" s="860"/>
      <c r="J2" s="860"/>
      <c r="K2" s="859" t="s">
        <v>58</v>
      </c>
      <c r="L2" s="859"/>
      <c r="M2" s="859"/>
      <c r="N2" s="860" t="s">
        <v>59</v>
      </c>
      <c r="O2" s="860"/>
      <c r="P2" s="861"/>
      <c r="Q2" s="859" t="s">
        <v>242</v>
      </c>
      <c r="R2" s="859"/>
      <c r="S2" s="859"/>
      <c r="T2" s="862" t="s">
        <v>16</v>
      </c>
      <c r="U2" s="863"/>
      <c r="V2" s="864"/>
    </row>
    <row r="3" spans="1:29" ht="13.5" thickBot="1">
      <c r="A3" s="866"/>
      <c r="B3" s="484" t="s">
        <v>34</v>
      </c>
      <c r="C3" s="484" t="s">
        <v>35</v>
      </c>
      <c r="D3" s="484" t="s">
        <v>62</v>
      </c>
      <c r="E3" s="485" t="s">
        <v>34</v>
      </c>
      <c r="F3" s="485" t="s">
        <v>35</v>
      </c>
      <c r="G3" s="485" t="s">
        <v>62</v>
      </c>
      <c r="H3" s="484" t="s">
        <v>34</v>
      </c>
      <c r="I3" s="484" t="s">
        <v>35</v>
      </c>
      <c r="J3" s="484" t="s">
        <v>62</v>
      </c>
      <c r="K3" s="485" t="s">
        <v>34</v>
      </c>
      <c r="L3" s="485" t="s">
        <v>35</v>
      </c>
      <c r="M3" s="485" t="s">
        <v>62</v>
      </c>
      <c r="N3" s="484" t="s">
        <v>34</v>
      </c>
      <c r="O3" s="484" t="s">
        <v>35</v>
      </c>
      <c r="P3" s="497" t="s">
        <v>62</v>
      </c>
      <c r="Q3" s="485" t="s">
        <v>34</v>
      </c>
      <c r="R3" s="485" t="s">
        <v>35</v>
      </c>
      <c r="S3" s="485" t="s">
        <v>62</v>
      </c>
      <c r="T3" s="499" t="s">
        <v>34</v>
      </c>
      <c r="U3" s="486" t="s">
        <v>35</v>
      </c>
      <c r="V3" s="487" t="s">
        <v>62</v>
      </c>
      <c r="X3" s="265"/>
    </row>
    <row r="4" spans="1:29" s="62" customFormat="1" ht="13.5" thickBot="1">
      <c r="A4" s="488" t="s">
        <v>17</v>
      </c>
      <c r="B4" s="489">
        <f t="shared" ref="B4:T4" si="0">B5+B40</f>
        <v>6315553</v>
      </c>
      <c r="C4" s="489">
        <f t="shared" si="0"/>
        <v>9561811</v>
      </c>
      <c r="D4" s="489">
        <f t="shared" si="0"/>
        <v>15877364</v>
      </c>
      <c r="E4" s="489">
        <f t="shared" si="0"/>
        <v>5037656</v>
      </c>
      <c r="F4" s="489">
        <f t="shared" si="0"/>
        <v>12220217</v>
      </c>
      <c r="G4" s="489">
        <f t="shared" si="0"/>
        <v>17181623</v>
      </c>
      <c r="H4" s="489">
        <f t="shared" si="0"/>
        <v>5116824</v>
      </c>
      <c r="I4" s="489">
        <f t="shared" si="0"/>
        <v>13022962</v>
      </c>
      <c r="J4" s="489">
        <f t="shared" si="0"/>
        <v>17969473</v>
      </c>
      <c r="K4" s="489">
        <f t="shared" si="0"/>
        <v>6075977</v>
      </c>
      <c r="L4" s="489">
        <f t="shared" si="0"/>
        <v>10841996</v>
      </c>
      <c r="M4" s="489">
        <f t="shared" si="0"/>
        <v>16845973</v>
      </c>
      <c r="N4" s="489">
        <f t="shared" si="0"/>
        <v>8254210</v>
      </c>
      <c r="O4" s="489">
        <f t="shared" si="0"/>
        <v>475118</v>
      </c>
      <c r="P4" s="498">
        <f t="shared" si="0"/>
        <v>8729328</v>
      </c>
      <c r="Q4" s="489" t="e">
        <f t="shared" si="0"/>
        <v>#REF!</v>
      </c>
      <c r="R4" s="489" t="e">
        <f t="shared" si="0"/>
        <v>#REF!</v>
      </c>
      <c r="S4" s="489" t="e">
        <f t="shared" si="0"/>
        <v>#REF!</v>
      </c>
      <c r="T4" s="500">
        <f t="shared" si="0"/>
        <v>30538717</v>
      </c>
      <c r="U4" s="500">
        <f t="shared" ref="U4:V4" si="1">U5+U40</f>
        <v>46122104</v>
      </c>
      <c r="V4" s="625">
        <f t="shared" si="1"/>
        <v>76660821</v>
      </c>
      <c r="W4" s="135">
        <f>W5+W40</f>
        <v>36505.15</v>
      </c>
      <c r="X4" s="605"/>
    </row>
    <row r="5" spans="1:29" s="49" customFormat="1" ht="13.5" thickBot="1">
      <c r="A5" s="490" t="s">
        <v>33</v>
      </c>
      <c r="B5" s="491">
        <f>B6+B20+B33</f>
        <v>5914231</v>
      </c>
      <c r="C5" s="491">
        <f t="shared" ref="C5:P5" si="2">C6+C20+C33</f>
        <v>9561811</v>
      </c>
      <c r="D5" s="491">
        <f t="shared" si="2"/>
        <v>15476042</v>
      </c>
      <c r="E5" s="491">
        <f t="shared" si="2"/>
        <v>4636334</v>
      </c>
      <c r="F5" s="491">
        <f t="shared" si="2"/>
        <v>12220217</v>
      </c>
      <c r="G5" s="491">
        <f t="shared" si="2"/>
        <v>16780301</v>
      </c>
      <c r="H5" s="491">
        <f t="shared" si="2"/>
        <v>4657902</v>
      </c>
      <c r="I5" s="491">
        <f t="shared" si="2"/>
        <v>13022962</v>
      </c>
      <c r="J5" s="491">
        <f t="shared" si="2"/>
        <v>17510551</v>
      </c>
      <c r="K5" s="491">
        <f t="shared" si="2"/>
        <v>5617055</v>
      </c>
      <c r="L5" s="491">
        <f t="shared" si="2"/>
        <v>10841996</v>
      </c>
      <c r="M5" s="491">
        <f t="shared" si="2"/>
        <v>16387051</v>
      </c>
      <c r="N5" s="491">
        <f t="shared" si="2"/>
        <v>8125079</v>
      </c>
      <c r="O5" s="491">
        <f t="shared" si="2"/>
        <v>475118</v>
      </c>
      <c r="P5" s="491">
        <f t="shared" si="2"/>
        <v>8600197</v>
      </c>
      <c r="Q5" s="491" t="e">
        <f>Q6+Q20+Q33+#REF!</f>
        <v>#REF!</v>
      </c>
      <c r="R5" s="491" t="e">
        <f>R6+R20+R33+#REF!</f>
        <v>#REF!</v>
      </c>
      <c r="S5" s="491" t="e">
        <f>S6+S20+S33+#REF!</f>
        <v>#REF!</v>
      </c>
      <c r="T5" s="491">
        <f>T6+T20+T33</f>
        <v>28689098</v>
      </c>
      <c r="U5" s="491">
        <f t="shared" ref="U5:V5" si="3">U6+U20+U33</f>
        <v>46122104</v>
      </c>
      <c r="V5" s="626">
        <f t="shared" si="3"/>
        <v>74811202</v>
      </c>
      <c r="W5" s="48">
        <f>V5/2.1/1000</f>
        <v>35624.379999999997</v>
      </c>
      <c r="X5" s="604"/>
    </row>
    <row r="6" spans="1:29" s="49" customFormat="1" ht="36.75" customHeight="1" thickBot="1">
      <c r="A6" s="492" t="str">
        <f>'3_Comp e Produtos'!A6</f>
        <v>COMPONENTE 1: FORTALECIMENTO DA GESTÃO ESTRATÉGICA</v>
      </c>
      <c r="B6" s="480">
        <f>SUM(B7:B19)</f>
        <v>2016713</v>
      </c>
      <c r="C6" s="480">
        <f t="shared" ref="C6:P6" si="4">SUM(C7:C19)</f>
        <v>1331737</v>
      </c>
      <c r="D6" s="480">
        <f t="shared" si="4"/>
        <v>3348450</v>
      </c>
      <c r="E6" s="480">
        <f t="shared" si="4"/>
        <v>838465</v>
      </c>
      <c r="F6" s="480">
        <f t="shared" si="4"/>
        <v>267202</v>
      </c>
      <c r="G6" s="480">
        <f t="shared" si="4"/>
        <v>1105667</v>
      </c>
      <c r="H6" s="480">
        <f t="shared" si="4"/>
        <v>453720</v>
      </c>
      <c r="I6" s="480">
        <f t="shared" si="4"/>
        <v>1216447</v>
      </c>
      <c r="J6" s="480">
        <f t="shared" si="4"/>
        <v>1670167</v>
      </c>
      <c r="K6" s="480">
        <f t="shared" si="4"/>
        <v>546667</v>
      </c>
      <c r="L6" s="480">
        <f t="shared" si="4"/>
        <v>0</v>
      </c>
      <c r="M6" s="480">
        <f t="shared" si="4"/>
        <v>546667</v>
      </c>
      <c r="N6" s="480">
        <f t="shared" si="4"/>
        <v>410000</v>
      </c>
      <c r="O6" s="480">
        <f t="shared" si="4"/>
        <v>0</v>
      </c>
      <c r="P6" s="480">
        <f t="shared" si="4"/>
        <v>410000</v>
      </c>
      <c r="Q6" s="480">
        <f t="shared" ref="Q6:S6" si="5">SUM(Q7:Q16)</f>
        <v>0</v>
      </c>
      <c r="R6" s="480">
        <f t="shared" si="5"/>
        <v>0</v>
      </c>
      <c r="S6" s="480">
        <f t="shared" si="5"/>
        <v>0</v>
      </c>
      <c r="T6" s="480">
        <f>SUM(T7:T19)</f>
        <v>4265565</v>
      </c>
      <c r="U6" s="480">
        <f t="shared" ref="U6:V6" si="6">SUM(U7:U19)</f>
        <v>2815386</v>
      </c>
      <c r="V6" s="627">
        <f t="shared" si="6"/>
        <v>7080951</v>
      </c>
      <c r="W6" s="479">
        <f>SUM(W7:W16)</f>
        <v>2108</v>
      </c>
      <c r="X6" s="606"/>
    </row>
    <row r="7" spans="1:29" s="42" customFormat="1" ht="80.25" customHeight="1">
      <c r="A7" s="49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481">
        <f>D7-C7</f>
        <v>432000</v>
      </c>
      <c r="C7" s="482">
        <v>257200</v>
      </c>
      <c r="D7" s="481">
        <f>'9_Cronograma Físico'!AM7</f>
        <v>689200</v>
      </c>
      <c r="E7" s="481">
        <f>G7-F7</f>
        <v>0</v>
      </c>
      <c r="F7" s="482">
        <v>0</v>
      </c>
      <c r="G7" s="481">
        <f>'9_Cronograma Físico'!AR7</f>
        <v>0</v>
      </c>
      <c r="H7" s="481">
        <f>J7-I7</f>
        <v>0</v>
      </c>
      <c r="I7" s="482">
        <v>0</v>
      </c>
      <c r="J7" s="481">
        <f>'9_Cronograma Físico'!AW7</f>
        <v>0</v>
      </c>
      <c r="K7" s="481">
        <f>M7-L7</f>
        <v>0</v>
      </c>
      <c r="L7" s="482">
        <v>0</v>
      </c>
      <c r="M7" s="481">
        <f>'9_Cronograma Físico'!BB7</f>
        <v>0</v>
      </c>
      <c r="N7" s="481">
        <f>P7-O7</f>
        <v>0</v>
      </c>
      <c r="O7" s="482">
        <v>0</v>
      </c>
      <c r="P7" s="481">
        <f>'9_Cronograma Físico'!BG7</f>
        <v>0</v>
      </c>
      <c r="Q7" s="481">
        <f>S7-R7</f>
        <v>0</v>
      </c>
      <c r="R7" s="482">
        <v>0</v>
      </c>
      <c r="S7" s="481">
        <f>IF($A7&lt;&gt;"NÃO SELECIONADO",'9_Cronograma Físico'!BG7,0)</f>
        <v>0</v>
      </c>
      <c r="T7" s="483">
        <f>B7+E7+H7+K7+N7+Q7</f>
        <v>432000</v>
      </c>
      <c r="U7" s="483">
        <f>C7+F7+I7+L7+O7+R7</f>
        <v>257200</v>
      </c>
      <c r="V7" s="494">
        <f>D7+G7+J7+M7+P7+S7</f>
        <v>689200</v>
      </c>
      <c r="W7" s="236">
        <f t="shared" ref="W7:W24" si="7">V7/2.1/1000</f>
        <v>328</v>
      </c>
      <c r="X7" s="386"/>
      <c r="Y7" s="386"/>
      <c r="Z7" s="386"/>
      <c r="AA7" s="386"/>
      <c r="AB7" s="386"/>
      <c r="AC7" s="386"/>
    </row>
    <row r="8" spans="1:29" s="42" customFormat="1" ht="25.5">
      <c r="A8" s="493" t="str">
        <f>IF('3_Comp e Produtos'!B8="Sim",'3_Comp e Produtos'!A8,"NÃO SELECIONADO")</f>
        <v>1.2 Monitoramento estratégico dos créditos ativos e riscos para o Estado</v>
      </c>
      <c r="B8" s="481">
        <f t="shared" ref="B8:B42" si="8">D8-C8</f>
        <v>480000</v>
      </c>
      <c r="C8" s="482">
        <v>138000</v>
      </c>
      <c r="D8" s="481">
        <f>'9_Cronograma Físico'!AM8</f>
        <v>618000</v>
      </c>
      <c r="E8" s="481">
        <f t="shared" ref="E8:E19" si="9">G8-F8</f>
        <v>0</v>
      </c>
      <c r="F8" s="482">
        <v>0</v>
      </c>
      <c r="G8" s="481">
        <f>'9_Cronograma Físico'!AR8</f>
        <v>0</v>
      </c>
      <c r="H8" s="481">
        <f t="shared" ref="H8:H32" si="10">J8-I8</f>
        <v>0</v>
      </c>
      <c r="I8" s="482">
        <v>0</v>
      </c>
      <c r="J8" s="481">
        <f>'9_Cronograma Físico'!AW8</f>
        <v>0</v>
      </c>
      <c r="K8" s="481">
        <f t="shared" ref="K8:K32" si="11">M8-L8</f>
        <v>0</v>
      </c>
      <c r="L8" s="482">
        <v>0</v>
      </c>
      <c r="M8" s="481">
        <f>'9_Cronograma Físico'!BB8</f>
        <v>0</v>
      </c>
      <c r="N8" s="481">
        <f t="shared" ref="N8:N38" si="12">P8-O8</f>
        <v>0</v>
      </c>
      <c r="O8" s="482">
        <v>0</v>
      </c>
      <c r="P8" s="481">
        <f>'9_Cronograma Físico'!BG8</f>
        <v>0</v>
      </c>
      <c r="Q8" s="481">
        <f t="shared" ref="Q8:Q16" si="13">S8-R8</f>
        <v>0</v>
      </c>
      <c r="R8" s="482">
        <v>0</v>
      </c>
      <c r="S8" s="481">
        <f>IF($A8&lt;&gt;"NÃO SELECIONADO",'9_Cronograma Físico'!BG8,0)</f>
        <v>0</v>
      </c>
      <c r="T8" s="483">
        <f t="shared" ref="T8:T15" si="14">B8+E8+H8+K8+N8+Q8</f>
        <v>480000</v>
      </c>
      <c r="U8" s="483">
        <f t="shared" ref="U8:U15" si="15">C8+F8+I8+L8+O8+R8</f>
        <v>138000</v>
      </c>
      <c r="V8" s="494">
        <f t="shared" ref="V8:V15" si="16">D8+G8+J8+M8+P8+S8</f>
        <v>618000</v>
      </c>
      <c r="W8" s="236">
        <f t="shared" si="7"/>
        <v>294</v>
      </c>
      <c r="X8" s="386"/>
      <c r="Y8" s="386"/>
      <c r="Z8" s="386"/>
      <c r="AA8" s="386"/>
      <c r="AB8" s="386"/>
      <c r="AC8" s="386"/>
    </row>
    <row r="9" spans="1:29" s="42" customFormat="1" ht="25.5">
      <c r="A9" s="493" t="str">
        <f>IF('3_Comp e Produtos'!B9="Sim",'3_Comp e Produtos'!A9,"NÃO SELECIONADO")</f>
        <v>1.3. Dimensionamento do custo fiscal implícito nos processos contra o Estado</v>
      </c>
      <c r="B9" s="481">
        <f t="shared" si="8"/>
        <v>0</v>
      </c>
      <c r="C9" s="482">
        <v>0</v>
      </c>
      <c r="D9" s="481">
        <f>'9_Cronograma Físico'!AM9</f>
        <v>0</v>
      </c>
      <c r="E9" s="481">
        <f t="shared" si="9"/>
        <v>0</v>
      </c>
      <c r="F9" s="482">
        <v>0</v>
      </c>
      <c r="G9" s="481">
        <f>'9_Cronograma Físico'!AR9</f>
        <v>0</v>
      </c>
      <c r="H9" s="481">
        <f t="shared" si="10"/>
        <v>216000</v>
      </c>
      <c r="I9" s="482">
        <v>0</v>
      </c>
      <c r="J9" s="481">
        <f>'9_Cronograma Físico'!AW9</f>
        <v>216000</v>
      </c>
      <c r="K9" s="481">
        <f t="shared" si="11"/>
        <v>0</v>
      </c>
      <c r="L9" s="482">
        <v>0</v>
      </c>
      <c r="M9" s="481">
        <f>'9_Cronograma Físico'!BB9</f>
        <v>0</v>
      </c>
      <c r="N9" s="481">
        <f t="shared" si="12"/>
        <v>0</v>
      </c>
      <c r="O9" s="482">
        <v>0</v>
      </c>
      <c r="P9" s="481">
        <f>'9_Cronograma Físico'!BG9</f>
        <v>0</v>
      </c>
      <c r="Q9" s="481">
        <f t="shared" si="13"/>
        <v>0</v>
      </c>
      <c r="R9" s="482">
        <v>0</v>
      </c>
      <c r="S9" s="481">
        <f>IF($A9&lt;&gt;"NÃO SELECIONADO",'9_Cronograma Físico'!BG9,0)</f>
        <v>0</v>
      </c>
      <c r="T9" s="483">
        <f t="shared" si="14"/>
        <v>216000</v>
      </c>
      <c r="U9" s="483">
        <f t="shared" si="15"/>
        <v>0</v>
      </c>
      <c r="V9" s="494">
        <f t="shared" si="16"/>
        <v>216000</v>
      </c>
      <c r="W9" s="236">
        <f t="shared" si="7"/>
        <v>103</v>
      </c>
      <c r="X9" s="386"/>
      <c r="Y9" s="386"/>
      <c r="Z9" s="386"/>
      <c r="AA9" s="386"/>
      <c r="AB9" s="386"/>
      <c r="AC9" s="385"/>
    </row>
    <row r="10" spans="1:29" s="42" customFormat="1" ht="25.5">
      <c r="A10" s="493" t="str">
        <f>IF('3_Comp e Produtos'!B10="Sim",'3_Comp e Produtos'!A10,"NÃO SELECIONADO")</f>
        <v>1.4. Sistema de indicadores, metas e avaliação da gestão por resultados</v>
      </c>
      <c r="B10" s="481">
        <f t="shared" si="8"/>
        <v>0</v>
      </c>
      <c r="C10" s="482">
        <v>0</v>
      </c>
      <c r="D10" s="481">
        <f>'9_Cronograma Físico'!AM10</f>
        <v>0</v>
      </c>
      <c r="E10" s="481">
        <f t="shared" si="9"/>
        <v>144000</v>
      </c>
      <c r="F10" s="482">
        <v>112500</v>
      </c>
      <c r="G10" s="481">
        <f>'9_Cronograma Físico'!AR10</f>
        <v>256500</v>
      </c>
      <c r="H10" s="481">
        <f t="shared" si="10"/>
        <v>0</v>
      </c>
      <c r="I10" s="482">
        <v>0</v>
      </c>
      <c r="J10" s="481">
        <f>'9_Cronograma Físico'!AW10</f>
        <v>0</v>
      </c>
      <c r="K10" s="481">
        <f t="shared" si="11"/>
        <v>0</v>
      </c>
      <c r="L10" s="482">
        <v>0</v>
      </c>
      <c r="M10" s="481">
        <f>'9_Cronograma Físico'!BB10</f>
        <v>0</v>
      </c>
      <c r="N10" s="481">
        <f t="shared" si="12"/>
        <v>0</v>
      </c>
      <c r="O10" s="482">
        <v>0</v>
      </c>
      <c r="P10" s="481">
        <f>'9_Cronograma Físico'!BG10</f>
        <v>0</v>
      </c>
      <c r="Q10" s="481">
        <f t="shared" si="13"/>
        <v>0</v>
      </c>
      <c r="R10" s="482">
        <v>0</v>
      </c>
      <c r="S10" s="481">
        <f>IF($A10&lt;&gt;"NÃO SELECIONADO",'9_Cronograma Físico'!BG10,0)</f>
        <v>0</v>
      </c>
      <c r="T10" s="483">
        <f t="shared" si="14"/>
        <v>144000</v>
      </c>
      <c r="U10" s="483">
        <f t="shared" si="15"/>
        <v>112500</v>
      </c>
      <c r="V10" s="494">
        <f t="shared" si="16"/>
        <v>256500</v>
      </c>
      <c r="W10" s="236">
        <f t="shared" si="7"/>
        <v>122</v>
      </c>
      <c r="X10" s="386"/>
      <c r="Y10" s="386"/>
      <c r="Z10" s="386"/>
      <c r="AA10" s="386"/>
      <c r="AB10" s="386"/>
      <c r="AC10" s="385"/>
    </row>
    <row r="11" spans="1:29" s="42" customFormat="1" ht="51">
      <c r="A11" s="493" t="str">
        <f>IF('3_Comp e Produtos'!B11="Sim",'3_Comp e Produtos'!A11,"NÃO SELECIONADO")</f>
        <v>1.5. Ferramenta que permita verificar e monitorar a consistência entre os alinhamentos estratégicos e os resultados operacionais</v>
      </c>
      <c r="B11" s="481">
        <f t="shared" si="8"/>
        <v>0</v>
      </c>
      <c r="C11" s="482">
        <v>0</v>
      </c>
      <c r="D11" s="481">
        <f>'9_Cronograma Físico'!AM11</f>
        <v>0</v>
      </c>
      <c r="E11" s="481">
        <f t="shared" si="9"/>
        <v>0</v>
      </c>
      <c r="F11" s="482">
        <v>0</v>
      </c>
      <c r="G11" s="481">
        <f>'9_Cronograma Físico'!AR11</f>
        <v>0</v>
      </c>
      <c r="H11" s="481">
        <f t="shared" si="10"/>
        <v>0</v>
      </c>
      <c r="I11" s="482">
        <v>605000</v>
      </c>
      <c r="J11" s="481">
        <f>'9_Cronograma Físico'!AW11</f>
        <v>605000</v>
      </c>
      <c r="K11" s="481">
        <f t="shared" si="11"/>
        <v>0</v>
      </c>
      <c r="L11" s="482">
        <v>0</v>
      </c>
      <c r="M11" s="481">
        <f>'9_Cronograma Físico'!BB11</f>
        <v>0</v>
      </c>
      <c r="N11" s="481">
        <f t="shared" si="12"/>
        <v>0</v>
      </c>
      <c r="O11" s="482">
        <v>0</v>
      </c>
      <c r="P11" s="481">
        <f>'9_Cronograma Físico'!BG11</f>
        <v>0</v>
      </c>
      <c r="Q11" s="481">
        <f t="shared" si="13"/>
        <v>0</v>
      </c>
      <c r="R11" s="482">
        <v>0</v>
      </c>
      <c r="S11" s="481">
        <f>IF($A11&lt;&gt;"NÃO SELECIONADO",'9_Cronograma Físico'!BG11,0)</f>
        <v>0</v>
      </c>
      <c r="T11" s="483">
        <f t="shared" si="14"/>
        <v>0</v>
      </c>
      <c r="U11" s="483">
        <f t="shared" si="15"/>
        <v>605000</v>
      </c>
      <c r="V11" s="494">
        <f t="shared" si="16"/>
        <v>605000</v>
      </c>
      <c r="W11" s="236">
        <f t="shared" si="7"/>
        <v>288</v>
      </c>
      <c r="X11" s="386"/>
      <c r="Y11" s="386"/>
      <c r="Z11" s="386"/>
      <c r="AA11" s="385"/>
      <c r="AB11" s="385"/>
      <c r="AC11" s="385"/>
    </row>
    <row r="12" spans="1:29" s="42" customFormat="1" ht="25.5">
      <c r="A12" s="493" t="str">
        <f>IF('3_Comp e Produtos'!B12="Sim",'3_Comp e Produtos'!A12,"NÃO SELECIONADO")</f>
        <v>1.6. Criação de uma unidade de gestão do conhecimento</v>
      </c>
      <c r="B12" s="481">
        <f t="shared" si="8"/>
        <v>36000</v>
      </c>
      <c r="C12" s="482">
        <v>3250</v>
      </c>
      <c r="D12" s="481">
        <f>'9_Cronograma Físico'!AM12</f>
        <v>39250</v>
      </c>
      <c r="E12" s="481">
        <f t="shared" si="9"/>
        <v>0</v>
      </c>
      <c r="F12" s="482">
        <v>0</v>
      </c>
      <c r="G12" s="481">
        <f>'9_Cronograma Físico'!AR12</f>
        <v>0</v>
      </c>
      <c r="H12" s="481">
        <f t="shared" si="10"/>
        <v>0</v>
      </c>
      <c r="I12" s="482">
        <v>0</v>
      </c>
      <c r="J12" s="481">
        <f>'9_Cronograma Físico'!AW12</f>
        <v>0</v>
      </c>
      <c r="K12" s="481">
        <f t="shared" si="11"/>
        <v>0</v>
      </c>
      <c r="L12" s="482">
        <v>0</v>
      </c>
      <c r="M12" s="481">
        <f>'9_Cronograma Físico'!BB12</f>
        <v>0</v>
      </c>
      <c r="N12" s="481">
        <f t="shared" si="12"/>
        <v>0</v>
      </c>
      <c r="O12" s="482">
        <v>0</v>
      </c>
      <c r="P12" s="481">
        <f>'9_Cronograma Físico'!BG12</f>
        <v>0</v>
      </c>
      <c r="Q12" s="481">
        <f t="shared" si="13"/>
        <v>0</v>
      </c>
      <c r="R12" s="482">
        <v>0</v>
      </c>
      <c r="S12" s="481">
        <f>IF($A12&lt;&gt;"NÃO SELECIONADO",'9_Cronograma Físico'!BG12,0)</f>
        <v>0</v>
      </c>
      <c r="T12" s="483">
        <f t="shared" si="14"/>
        <v>36000</v>
      </c>
      <c r="U12" s="483">
        <f t="shared" si="15"/>
        <v>3250</v>
      </c>
      <c r="V12" s="494">
        <f t="shared" si="16"/>
        <v>39250</v>
      </c>
      <c r="W12" s="236">
        <f t="shared" si="7"/>
        <v>19</v>
      </c>
      <c r="X12" s="385"/>
      <c r="Y12" s="385"/>
      <c r="Z12" s="385"/>
      <c r="AA12" s="385"/>
      <c r="AB12" s="385"/>
      <c r="AC12" s="385"/>
    </row>
    <row r="13" spans="1:29" s="42" customFormat="1" ht="25.5">
      <c r="A13" s="493" t="str">
        <f>IF('3_Comp e Produtos'!B13="Sim",'3_Comp e Produtos'!A13,"NÃO SELECIONADO")</f>
        <v>1.7. Instalar uma ferramenta de BI incluindo recursos para Text Mining e Data Mining</v>
      </c>
      <c r="B13" s="481">
        <f t="shared" si="8"/>
        <v>0</v>
      </c>
      <c r="C13" s="482">
        <v>0</v>
      </c>
      <c r="D13" s="481">
        <f>'9_Cronograma Físico'!AM13</f>
        <v>0</v>
      </c>
      <c r="E13" s="481">
        <f t="shared" si="9"/>
        <v>151250</v>
      </c>
      <c r="F13" s="482">
        <v>151250</v>
      </c>
      <c r="G13" s="481">
        <f>'9_Cronograma Físico'!AR13</f>
        <v>302500</v>
      </c>
      <c r="H13" s="481">
        <f t="shared" si="10"/>
        <v>0</v>
      </c>
      <c r="I13" s="482">
        <v>302500</v>
      </c>
      <c r="J13" s="481">
        <f>'9_Cronograma Físico'!AW13</f>
        <v>302500</v>
      </c>
      <c r="K13" s="481">
        <f t="shared" si="11"/>
        <v>0</v>
      </c>
      <c r="L13" s="482">
        <v>0</v>
      </c>
      <c r="M13" s="481">
        <f>'9_Cronograma Físico'!BB13</f>
        <v>0</v>
      </c>
      <c r="N13" s="481">
        <f t="shared" si="12"/>
        <v>0</v>
      </c>
      <c r="O13" s="482">
        <v>0</v>
      </c>
      <c r="P13" s="481">
        <f>'9_Cronograma Físico'!BG13</f>
        <v>0</v>
      </c>
      <c r="Q13" s="481">
        <f t="shared" si="13"/>
        <v>0</v>
      </c>
      <c r="R13" s="482">
        <v>0</v>
      </c>
      <c r="S13" s="481">
        <f>IF($A13&lt;&gt;"NÃO SELECIONADO",'9_Cronograma Físico'!BG13,0)</f>
        <v>0</v>
      </c>
      <c r="T13" s="483">
        <f t="shared" si="14"/>
        <v>151250</v>
      </c>
      <c r="U13" s="483">
        <f t="shared" si="15"/>
        <v>453750</v>
      </c>
      <c r="V13" s="494">
        <f t="shared" si="16"/>
        <v>605000</v>
      </c>
      <c r="W13" s="236">
        <f t="shared" si="7"/>
        <v>288</v>
      </c>
      <c r="X13" s="385"/>
      <c r="Y13" s="385"/>
      <c r="Z13" s="385"/>
      <c r="AA13" s="385"/>
      <c r="AB13" s="385"/>
      <c r="AC13" s="385"/>
    </row>
    <row r="14" spans="1:29" s="42" customFormat="1" ht="18" customHeight="1">
      <c r="A14" s="493" t="str">
        <f>IF('3_Comp e Produtos'!B14="Sim",'3_Comp e Produtos'!A14,"NÃO SELECIONADO")</f>
        <v>1.8. Criação do Escritório de Processos</v>
      </c>
      <c r="B14" s="481">
        <f t="shared" si="8"/>
        <v>36000</v>
      </c>
      <c r="C14" s="482">
        <v>0</v>
      </c>
      <c r="D14" s="481">
        <f>'9_Cronograma Físico'!AM14</f>
        <v>36000</v>
      </c>
      <c r="E14" s="481">
        <f t="shared" si="9"/>
        <v>0</v>
      </c>
      <c r="F14" s="482">
        <v>0</v>
      </c>
      <c r="G14" s="481">
        <f>'9_Cronograma Físico'!AR14</f>
        <v>0</v>
      </c>
      <c r="H14" s="481">
        <f t="shared" si="10"/>
        <v>0</v>
      </c>
      <c r="I14" s="482">
        <v>0</v>
      </c>
      <c r="J14" s="481">
        <f>'9_Cronograma Físico'!AW14</f>
        <v>0</v>
      </c>
      <c r="K14" s="481">
        <f t="shared" si="11"/>
        <v>0</v>
      </c>
      <c r="L14" s="482">
        <v>0</v>
      </c>
      <c r="M14" s="481">
        <f>'9_Cronograma Físico'!BB14</f>
        <v>0</v>
      </c>
      <c r="N14" s="481">
        <f t="shared" si="12"/>
        <v>0</v>
      </c>
      <c r="O14" s="482">
        <v>0</v>
      </c>
      <c r="P14" s="481">
        <f>'9_Cronograma Físico'!BG14</f>
        <v>0</v>
      </c>
      <c r="Q14" s="481">
        <f t="shared" si="13"/>
        <v>0</v>
      </c>
      <c r="R14" s="482">
        <v>0</v>
      </c>
      <c r="S14" s="481">
        <f>IF($A14&lt;&gt;"NÃO SELECIONADO",'9_Cronograma Físico'!BG14,0)</f>
        <v>0</v>
      </c>
      <c r="T14" s="483">
        <f t="shared" si="14"/>
        <v>36000</v>
      </c>
      <c r="U14" s="483">
        <f t="shared" si="15"/>
        <v>0</v>
      </c>
      <c r="V14" s="494">
        <f t="shared" si="16"/>
        <v>36000</v>
      </c>
      <c r="W14" s="236">
        <f t="shared" si="7"/>
        <v>17</v>
      </c>
      <c r="X14" s="385"/>
      <c r="Y14" s="385"/>
      <c r="Z14" s="385"/>
      <c r="AA14" s="385"/>
      <c r="AB14" s="385"/>
      <c r="AC14" s="385"/>
    </row>
    <row r="15" spans="1:29" s="42" customFormat="1" ht="50.25" customHeight="1">
      <c r="A15" s="493" t="str">
        <f>IF('3_Comp e Produtos'!B15="Sim",'3_Comp e Produtos'!A15,"NÃO SELECIONADO")</f>
        <v>1.9. Modelo dinâmico de gerência, controle, otimização, integração e sustentabilidade dos processos operacionais e de gestão</v>
      </c>
      <c r="B15" s="481">
        <f t="shared" si="8"/>
        <v>144000</v>
      </c>
      <c r="C15" s="482">
        <v>692000</v>
      </c>
      <c r="D15" s="481">
        <f>'9_Cronograma Físico'!AM15</f>
        <v>836000</v>
      </c>
      <c r="E15" s="481">
        <f t="shared" si="9"/>
        <v>0</v>
      </c>
      <c r="F15" s="482">
        <v>0</v>
      </c>
      <c r="G15" s="481">
        <f>'9_Cronograma Físico'!AR15</f>
        <v>0</v>
      </c>
      <c r="H15" s="481">
        <f t="shared" si="10"/>
        <v>0</v>
      </c>
      <c r="I15" s="482">
        <v>0</v>
      </c>
      <c r="J15" s="481">
        <f>'9_Cronograma Físico'!AW15</f>
        <v>0</v>
      </c>
      <c r="K15" s="481">
        <f t="shared" si="11"/>
        <v>0</v>
      </c>
      <c r="L15" s="482">
        <v>0</v>
      </c>
      <c r="M15" s="481">
        <f>'9_Cronograma Físico'!BB15</f>
        <v>0</v>
      </c>
      <c r="N15" s="481">
        <f t="shared" si="12"/>
        <v>0</v>
      </c>
      <c r="O15" s="482">
        <v>0</v>
      </c>
      <c r="P15" s="481">
        <f>'9_Cronograma Físico'!BG15</f>
        <v>0</v>
      </c>
      <c r="Q15" s="481">
        <f t="shared" si="13"/>
        <v>0</v>
      </c>
      <c r="R15" s="482">
        <v>0</v>
      </c>
      <c r="S15" s="481">
        <f>IF($A15&lt;&gt;"NÃO SELECIONADO",'9_Cronograma Físico'!BG15,0)</f>
        <v>0</v>
      </c>
      <c r="T15" s="483">
        <f t="shared" si="14"/>
        <v>144000</v>
      </c>
      <c r="U15" s="483">
        <f t="shared" si="15"/>
        <v>692000</v>
      </c>
      <c r="V15" s="494">
        <f t="shared" si="16"/>
        <v>836000</v>
      </c>
      <c r="W15" s="236">
        <f t="shared" si="7"/>
        <v>398</v>
      </c>
      <c r="X15" s="385"/>
      <c r="Y15" s="385"/>
      <c r="Z15" s="385"/>
      <c r="AA15" s="385"/>
      <c r="AB15" s="385"/>
      <c r="AC15" s="385"/>
    </row>
    <row r="16" spans="1:29" s="42" customFormat="1" ht="46.5" customHeight="1">
      <c r="A16" s="493" t="str">
        <f>IF('3_Comp e Produtos'!B16="Sim",'3_Comp e Produtos'!A16,"NÃO SELECIONADO")</f>
        <v>1.10. Unidade responsável pela definição e monitoramento dos projetos institucionais (Escitório de Gestão de Projetos)</v>
      </c>
      <c r="B16" s="481">
        <f t="shared" si="8"/>
        <v>286713</v>
      </c>
      <c r="C16" s="482">
        <v>241287</v>
      </c>
      <c r="D16" s="481">
        <f>'9_Cronograma Físico'!AM16</f>
        <v>528000</v>
      </c>
      <c r="E16" s="481">
        <f t="shared" si="9"/>
        <v>0</v>
      </c>
      <c r="F16" s="482">
        <v>0</v>
      </c>
      <c r="G16" s="481">
        <f>'9_Cronograma Físico'!AR16</f>
        <v>0</v>
      </c>
      <c r="H16" s="481">
        <f t="shared" si="10"/>
        <v>0</v>
      </c>
      <c r="I16" s="482">
        <v>0</v>
      </c>
      <c r="J16" s="481">
        <f>'9_Cronograma Físico'!AW16</f>
        <v>0</v>
      </c>
      <c r="K16" s="481">
        <f t="shared" si="11"/>
        <v>0</v>
      </c>
      <c r="L16" s="482">
        <v>0</v>
      </c>
      <c r="M16" s="481">
        <f>'9_Cronograma Físico'!BB16</f>
        <v>0</v>
      </c>
      <c r="N16" s="481">
        <f t="shared" si="12"/>
        <v>0</v>
      </c>
      <c r="O16" s="482">
        <v>0</v>
      </c>
      <c r="P16" s="481">
        <f>'9_Cronograma Físico'!BG16</f>
        <v>0</v>
      </c>
      <c r="Q16" s="481">
        <f t="shared" si="13"/>
        <v>0</v>
      </c>
      <c r="R16" s="482">
        <v>0</v>
      </c>
      <c r="S16" s="481">
        <f>IF($A16&lt;&gt;"NÃO SELECIONADO",'9_Cronograma Físico'!BG16,0)</f>
        <v>0</v>
      </c>
      <c r="T16" s="483">
        <f>B16+E16+H16+K16+N16+Q16</f>
        <v>286713</v>
      </c>
      <c r="U16" s="483">
        <f>C16+F16+I16+L16+O16+R16</f>
        <v>241287</v>
      </c>
      <c r="V16" s="494">
        <f>D16+G16+J16+M16+P16+S16</f>
        <v>528000</v>
      </c>
      <c r="W16" s="236">
        <f>V16/2.1/1000</f>
        <v>251</v>
      </c>
      <c r="X16" s="385"/>
      <c r="Y16" s="385"/>
      <c r="Z16" s="385"/>
      <c r="AA16" s="385"/>
      <c r="AB16" s="385"/>
      <c r="AC16" s="385"/>
    </row>
    <row r="17" spans="1:29" s="42" customFormat="1" ht="42" customHeight="1">
      <c r="A17" s="493" t="str">
        <f>'3_Comp e Produtos'!A17</f>
        <v>1.11. Política de comunicação das mudanças aos cidadãos, sobre as ações previstas no Projeto, desenhada e implementada</v>
      </c>
      <c r="B17" s="481">
        <f t="shared" si="8"/>
        <v>244583</v>
      </c>
      <c r="C17" s="482">
        <v>0</v>
      </c>
      <c r="D17" s="481">
        <f>'9_Cronograma Físico'!AM17</f>
        <v>244583</v>
      </c>
      <c r="E17" s="481">
        <f t="shared" si="9"/>
        <v>322659</v>
      </c>
      <c r="F17" s="482">
        <v>3452</v>
      </c>
      <c r="G17" s="481">
        <f>'9_Cronograma Físico'!AR17</f>
        <v>326111</v>
      </c>
      <c r="H17" s="481">
        <f t="shared" si="10"/>
        <v>17164</v>
      </c>
      <c r="I17" s="482">
        <v>308947</v>
      </c>
      <c r="J17" s="481">
        <f>'9_Cronograma Físico'!AW17</f>
        <v>326111</v>
      </c>
      <c r="K17" s="481">
        <f t="shared" si="11"/>
        <v>326111</v>
      </c>
      <c r="L17" s="482">
        <v>0</v>
      </c>
      <c r="M17" s="481">
        <f>'9_Cronograma Físico'!BB17</f>
        <v>326111</v>
      </c>
      <c r="N17" s="481">
        <f t="shared" si="12"/>
        <v>244583</v>
      </c>
      <c r="O17" s="482">
        <v>0</v>
      </c>
      <c r="P17" s="481">
        <f>'9_Cronograma Físico'!BG17</f>
        <v>244583</v>
      </c>
      <c r="Q17" s="481"/>
      <c r="R17" s="482"/>
      <c r="S17" s="481"/>
      <c r="T17" s="483">
        <f t="shared" ref="T17:T19" si="17">B17+E17+H17+K17+N17+Q17</f>
        <v>1155100</v>
      </c>
      <c r="U17" s="483">
        <f t="shared" ref="U17:U19" si="18">C17+F17+I17+L17+O17+R17</f>
        <v>312399</v>
      </c>
      <c r="V17" s="494">
        <f t="shared" ref="V17:V19" si="19">D17+G17+J17+M17+P17+S17</f>
        <v>1467499</v>
      </c>
      <c r="W17" s="236"/>
      <c r="X17" s="385"/>
      <c r="Y17" s="385"/>
      <c r="Z17" s="385"/>
      <c r="AA17" s="385"/>
      <c r="AB17" s="385"/>
      <c r="AC17" s="385"/>
    </row>
    <row r="18" spans="1:29" s="42" customFormat="1" ht="44.25" customHeight="1">
      <c r="A18" s="493" t="str">
        <f>'3_Comp e Produtos'!A18</f>
        <v>1.12. Plano de comunicação interna de mudanças desenhado e implementado</v>
      </c>
      <c r="B18" s="481">
        <f t="shared" si="8"/>
        <v>165417</v>
      </c>
      <c r="C18" s="482">
        <v>0</v>
      </c>
      <c r="D18" s="481">
        <f>'9_Cronograma Físico'!AM18</f>
        <v>165417</v>
      </c>
      <c r="E18" s="481">
        <f t="shared" si="9"/>
        <v>220556</v>
      </c>
      <c r="F18" s="482">
        <v>0</v>
      </c>
      <c r="G18" s="481">
        <f>'9_Cronograma Físico'!AR18</f>
        <v>220556</v>
      </c>
      <c r="H18" s="481">
        <f t="shared" si="10"/>
        <v>220556</v>
      </c>
      <c r="I18" s="482">
        <v>0</v>
      </c>
      <c r="J18" s="481">
        <f>'9_Cronograma Físico'!AW18</f>
        <v>220556</v>
      </c>
      <c r="K18" s="481">
        <f t="shared" si="11"/>
        <v>220556</v>
      </c>
      <c r="L18" s="482">
        <v>0</v>
      </c>
      <c r="M18" s="481">
        <f>'9_Cronograma Físico'!BB18</f>
        <v>220556</v>
      </c>
      <c r="N18" s="481">
        <f t="shared" si="12"/>
        <v>165417</v>
      </c>
      <c r="O18" s="482">
        <v>0</v>
      </c>
      <c r="P18" s="481">
        <f>'9_Cronograma Físico'!BG18</f>
        <v>165417</v>
      </c>
      <c r="Q18" s="481"/>
      <c r="R18" s="482"/>
      <c r="S18" s="481"/>
      <c r="T18" s="483">
        <f t="shared" si="17"/>
        <v>992502</v>
      </c>
      <c r="U18" s="483">
        <f t="shared" si="18"/>
        <v>0</v>
      </c>
      <c r="V18" s="494">
        <f t="shared" si="19"/>
        <v>992502</v>
      </c>
      <c r="W18" s="236"/>
      <c r="X18" s="385"/>
      <c r="Y18" s="385"/>
      <c r="Z18" s="385"/>
      <c r="AA18" s="385"/>
      <c r="AB18" s="385"/>
      <c r="AC18" s="385"/>
    </row>
    <row r="19" spans="1:29" s="42" customFormat="1" ht="48" customHeight="1">
      <c r="A19" s="493" t="str">
        <f>'3_Comp e Produtos'!A19</f>
        <v>1.13. Plano de Gestão da Mudança desenhado e implementado</v>
      </c>
      <c r="B19" s="481">
        <f t="shared" si="8"/>
        <v>192000</v>
      </c>
      <c r="C19" s="482">
        <v>0</v>
      </c>
      <c r="D19" s="481">
        <f>'9_Cronograma Físico'!AM19</f>
        <v>192000</v>
      </c>
      <c r="E19" s="481">
        <f t="shared" si="9"/>
        <v>0</v>
      </c>
      <c r="F19" s="482">
        <v>0</v>
      </c>
      <c r="G19" s="481">
        <f>'9_Cronograma Físico'!AR19</f>
        <v>0</v>
      </c>
      <c r="H19" s="481">
        <f t="shared" si="10"/>
        <v>0</v>
      </c>
      <c r="I19" s="482">
        <v>0</v>
      </c>
      <c r="J19" s="481">
        <f>'9_Cronograma Físico'!AW19</f>
        <v>0</v>
      </c>
      <c r="K19" s="481">
        <f t="shared" si="11"/>
        <v>0</v>
      </c>
      <c r="L19" s="482">
        <v>0</v>
      </c>
      <c r="M19" s="481">
        <f>'9_Cronograma Físico'!BB19</f>
        <v>0</v>
      </c>
      <c r="N19" s="481">
        <f t="shared" si="12"/>
        <v>0</v>
      </c>
      <c r="O19" s="482">
        <v>0</v>
      </c>
      <c r="P19" s="481">
        <f>'9_Cronograma Físico'!BG19</f>
        <v>0</v>
      </c>
      <c r="Q19" s="481"/>
      <c r="R19" s="482"/>
      <c r="S19" s="481"/>
      <c r="T19" s="483">
        <f t="shared" si="17"/>
        <v>192000</v>
      </c>
      <c r="U19" s="483">
        <f t="shared" si="18"/>
        <v>0</v>
      </c>
      <c r="V19" s="494">
        <f t="shared" si="19"/>
        <v>192000</v>
      </c>
      <c r="W19" s="236"/>
      <c r="X19" s="385"/>
      <c r="Y19" s="385"/>
      <c r="Z19" s="385"/>
      <c r="AA19" s="385"/>
      <c r="AB19" s="385"/>
      <c r="AC19" s="385"/>
    </row>
    <row r="20" spans="1:29" s="42" customFormat="1" ht="39.75" customHeight="1">
      <c r="A20" s="492" t="str">
        <f>'3_Comp e Produtos'!A20</f>
        <v>COMPONENTE 2: APRIMORAMENTO DA GESTÃO JURÍDICA DA AGU</v>
      </c>
      <c r="B20" s="480">
        <f>SUM(B21:B32)</f>
        <v>3170914</v>
      </c>
      <c r="C20" s="480">
        <f t="shared" ref="C20:J20" si="20">SUM(C21:C32)</f>
        <v>8230074</v>
      </c>
      <c r="D20" s="480">
        <f t="shared" si="20"/>
        <v>11400988</v>
      </c>
      <c r="E20" s="480">
        <f t="shared" si="20"/>
        <v>2907023</v>
      </c>
      <c r="F20" s="480">
        <f t="shared" si="20"/>
        <v>11876765</v>
      </c>
      <c r="G20" s="480">
        <f t="shared" si="20"/>
        <v>14783788</v>
      </c>
      <c r="H20" s="480">
        <f t="shared" si="20"/>
        <v>2524523</v>
      </c>
      <c r="I20" s="480">
        <f t="shared" si="20"/>
        <v>11693265</v>
      </c>
      <c r="J20" s="480">
        <f t="shared" si="20"/>
        <v>14217788</v>
      </c>
      <c r="K20" s="480">
        <f>SUM(K21:K32)</f>
        <v>3447792</v>
      </c>
      <c r="L20" s="480">
        <f t="shared" ref="L20:S20" si="21">SUM(L21:L32)</f>
        <v>10769996</v>
      </c>
      <c r="M20" s="480">
        <f t="shared" si="21"/>
        <v>14217788</v>
      </c>
      <c r="N20" s="480">
        <f t="shared" si="21"/>
        <v>7383781</v>
      </c>
      <c r="O20" s="480">
        <f t="shared" si="21"/>
        <v>475118</v>
      </c>
      <c r="P20" s="480">
        <f t="shared" si="21"/>
        <v>7858899</v>
      </c>
      <c r="Q20" s="480">
        <f t="shared" si="21"/>
        <v>3118504</v>
      </c>
      <c r="R20" s="480">
        <f t="shared" si="21"/>
        <v>4740395</v>
      </c>
      <c r="S20" s="480">
        <f t="shared" si="21"/>
        <v>7858899</v>
      </c>
      <c r="T20" s="480">
        <f>SUM(T21:T32)</f>
        <v>19434033</v>
      </c>
      <c r="U20" s="480">
        <f t="shared" ref="U20:V20" si="22">SUM(U21:U32)</f>
        <v>43045218</v>
      </c>
      <c r="V20" s="627">
        <f t="shared" si="22"/>
        <v>62479251</v>
      </c>
      <c r="W20" s="236"/>
      <c r="X20" s="604"/>
    </row>
    <row r="21" spans="1:29" s="42" customFormat="1" ht="42.75" customHeight="1">
      <c r="A21" s="493" t="str">
        <f>'3_Comp e Produtos'!A21</f>
        <v>2.1. Fluxos de trabalho Contenciosos da Administração Direta modelados e implantados</v>
      </c>
      <c r="B21" s="481">
        <f t="shared" si="8"/>
        <v>552750</v>
      </c>
      <c r="C21" s="482">
        <v>0</v>
      </c>
      <c r="D21" s="481">
        <f>'9_Cronograma Físico'!AM21</f>
        <v>552750</v>
      </c>
      <c r="E21" s="481">
        <f t="shared" ref="E21:E32" si="23">G21-F21</f>
        <v>537000</v>
      </c>
      <c r="F21" s="482">
        <v>200000</v>
      </c>
      <c r="G21" s="481">
        <f>'9_Cronograma Físico'!AR21</f>
        <v>737000</v>
      </c>
      <c r="H21" s="481">
        <f t="shared" si="10"/>
        <v>500500</v>
      </c>
      <c r="I21" s="482">
        <v>236500</v>
      </c>
      <c r="J21" s="481">
        <f>'9_Cronograma Físico'!AW21</f>
        <v>737000</v>
      </c>
      <c r="K21" s="481">
        <f t="shared" si="11"/>
        <v>737000</v>
      </c>
      <c r="L21" s="482">
        <v>0</v>
      </c>
      <c r="M21" s="481">
        <f>'9_Cronograma Físico'!BB21</f>
        <v>737000</v>
      </c>
      <c r="N21" s="481">
        <f t="shared" si="12"/>
        <v>552750</v>
      </c>
      <c r="O21" s="482">
        <v>0</v>
      </c>
      <c r="P21" s="481">
        <f>'9_Cronograma Físico'!BG21</f>
        <v>552750</v>
      </c>
      <c r="Q21" s="481">
        <f t="shared" ref="Q21:Q32" si="24">S21-R21</f>
        <v>552750</v>
      </c>
      <c r="R21" s="482">
        <v>0</v>
      </c>
      <c r="S21" s="481">
        <f>IF($A21&lt;&gt;"NÃO SELECIONADO",'9_Cronograma Físico'!BG21,0)</f>
        <v>552750</v>
      </c>
      <c r="T21" s="483">
        <f>B21+E21+H21+K21+N21</f>
        <v>2880000</v>
      </c>
      <c r="U21" s="483">
        <f t="shared" ref="U21:V21" si="25">C21+F21+I21+L21+O21</f>
        <v>436500</v>
      </c>
      <c r="V21" s="494">
        <f t="shared" si="25"/>
        <v>3316500</v>
      </c>
      <c r="W21" s="48">
        <f t="shared" si="7"/>
        <v>1579.29</v>
      </c>
      <c r="X21" s="118"/>
    </row>
    <row r="22" spans="1:29" s="42" customFormat="1" ht="38.25">
      <c r="A22" s="493" t="str">
        <f>IF('3_Comp e Produtos'!B22="Sim",'3_Comp e Produtos'!A22,"NÃO SELECIONADO")</f>
        <v>2.2. Fluxos de trabalho de Consultoria e Assessoramento Jurídicos na Administração Direta modelados e implantados</v>
      </c>
      <c r="B22" s="481">
        <f t="shared" si="8"/>
        <v>503625</v>
      </c>
      <c r="C22" s="482">
        <v>0</v>
      </c>
      <c r="D22" s="481">
        <f>'9_Cronograma Físico'!AM22</f>
        <v>503625</v>
      </c>
      <c r="E22" s="481">
        <f t="shared" si="23"/>
        <v>629750</v>
      </c>
      <c r="F22" s="482">
        <v>41750</v>
      </c>
      <c r="G22" s="481">
        <f>'9_Cronograma Físico'!AR22</f>
        <v>671500</v>
      </c>
      <c r="H22" s="481">
        <f t="shared" si="10"/>
        <v>571500</v>
      </c>
      <c r="I22" s="482">
        <v>100000</v>
      </c>
      <c r="J22" s="481">
        <f>'9_Cronograma Físico'!AW22</f>
        <v>671500</v>
      </c>
      <c r="K22" s="481">
        <f t="shared" si="11"/>
        <v>671500</v>
      </c>
      <c r="L22" s="482">
        <v>0</v>
      </c>
      <c r="M22" s="481">
        <f>'9_Cronograma Físico'!BB22</f>
        <v>671500</v>
      </c>
      <c r="N22" s="481">
        <f t="shared" si="12"/>
        <v>503625</v>
      </c>
      <c r="O22" s="482">
        <v>0</v>
      </c>
      <c r="P22" s="481">
        <f>'9_Cronograma Físico'!BG22</f>
        <v>503625</v>
      </c>
      <c r="Q22" s="481">
        <f t="shared" si="24"/>
        <v>503625</v>
      </c>
      <c r="R22" s="482">
        <v>0</v>
      </c>
      <c r="S22" s="481">
        <f>IF($A22&lt;&gt;"NÃO SELECIONADO",'9_Cronograma Físico'!BG22,0)</f>
        <v>503625</v>
      </c>
      <c r="T22" s="483">
        <f t="shared" ref="T22:T32" si="26">B22+E22+H22+K22+N22</f>
        <v>2880000</v>
      </c>
      <c r="U22" s="483">
        <f t="shared" ref="U22:U32" si="27">C22+F22+I22+L22+O22</f>
        <v>141750</v>
      </c>
      <c r="V22" s="494">
        <f t="shared" ref="V22:V32" si="28">D22+G22+J22+M22+P22</f>
        <v>3021750</v>
      </c>
      <c r="W22" s="48">
        <f t="shared" si="7"/>
        <v>1438.93</v>
      </c>
      <c r="X22" s="118"/>
    </row>
    <row r="23" spans="1:29" s="42" customFormat="1" ht="38.25">
      <c r="A23" s="493" t="str">
        <f>IF('3_Comp e Produtos'!B24="Sim",'3_Comp e Produtos'!A24,"NÃO SELECIONADO")</f>
        <v>2.3. Plano de estratégias de prevenção abrangente a todos os órgãos da Administração Direta</v>
      </c>
      <c r="B23" s="481">
        <f t="shared" si="8"/>
        <v>63294</v>
      </c>
      <c r="C23" s="482">
        <v>0</v>
      </c>
      <c r="D23" s="481">
        <f>'9_Cronograma Físico'!AM23</f>
        <v>63294</v>
      </c>
      <c r="E23" s="481">
        <f t="shared" si="23"/>
        <v>26588</v>
      </c>
      <c r="F23" s="482">
        <v>100000</v>
      </c>
      <c r="G23" s="481">
        <f>'9_Cronograma Físico'!AR23</f>
        <v>126588</v>
      </c>
      <c r="H23" s="481">
        <f t="shared" si="10"/>
        <v>26588</v>
      </c>
      <c r="I23" s="482">
        <v>100000</v>
      </c>
      <c r="J23" s="481">
        <f>'9_Cronograma Físico'!AW23</f>
        <v>126588</v>
      </c>
      <c r="K23" s="481">
        <f t="shared" si="11"/>
        <v>76588</v>
      </c>
      <c r="L23" s="482">
        <v>50000</v>
      </c>
      <c r="M23" s="481">
        <f>'9_Cronograma Físico'!BB23</f>
        <v>126588</v>
      </c>
      <c r="N23" s="481">
        <f t="shared" si="12"/>
        <v>94941</v>
      </c>
      <c r="O23" s="482">
        <v>0</v>
      </c>
      <c r="P23" s="481">
        <f>'9_Cronograma Físico'!BG23</f>
        <v>94941</v>
      </c>
      <c r="Q23" s="481">
        <f t="shared" si="24"/>
        <v>94941</v>
      </c>
      <c r="R23" s="482">
        <v>0</v>
      </c>
      <c r="S23" s="481">
        <f>IF($A23&lt;&gt;"NÃO SELECIONADO",'9_Cronograma Físico'!BG23,0)</f>
        <v>94941</v>
      </c>
      <c r="T23" s="483">
        <f t="shared" si="26"/>
        <v>287999</v>
      </c>
      <c r="U23" s="483">
        <f t="shared" si="27"/>
        <v>250000</v>
      </c>
      <c r="V23" s="494">
        <f t="shared" si="28"/>
        <v>537999</v>
      </c>
      <c r="W23" s="48">
        <f t="shared" si="7"/>
        <v>256.19</v>
      </c>
      <c r="X23" s="118"/>
    </row>
    <row r="24" spans="1:29" s="42" customFormat="1" ht="51">
      <c r="A24" s="493" t="str">
        <f>IF('3_Comp e Produtos'!B25="Sim",'3_Comp e Produtos'!A25,"NÃO SELECIONADO")</f>
        <v>2.4. Fluxos de trabalho Contenciosos, de Consultoria e Assessoramento Jurídicos na Administração Indireta modelados e implantados</v>
      </c>
      <c r="B24" s="481">
        <f t="shared" si="8"/>
        <v>579000</v>
      </c>
      <c r="C24" s="482">
        <v>0</v>
      </c>
      <c r="D24" s="481">
        <f>'9_Cronograma Físico'!AM24</f>
        <v>579000</v>
      </c>
      <c r="E24" s="481">
        <f t="shared" si="23"/>
        <v>678000</v>
      </c>
      <c r="F24" s="482">
        <v>94000</v>
      </c>
      <c r="G24" s="481">
        <f>'9_Cronograma Físico'!AR24</f>
        <v>772000</v>
      </c>
      <c r="H24" s="481">
        <f t="shared" si="10"/>
        <v>572000</v>
      </c>
      <c r="I24" s="482">
        <v>200000</v>
      </c>
      <c r="J24" s="481">
        <f>'9_Cronograma Físico'!AW24</f>
        <v>772000</v>
      </c>
      <c r="K24" s="481">
        <f t="shared" si="11"/>
        <v>522000</v>
      </c>
      <c r="L24" s="482">
        <v>250000</v>
      </c>
      <c r="M24" s="481">
        <f>'9_Cronograma Físico'!BB24</f>
        <v>772000</v>
      </c>
      <c r="N24" s="481">
        <f t="shared" si="12"/>
        <v>529000</v>
      </c>
      <c r="O24" s="482">
        <v>50000</v>
      </c>
      <c r="P24" s="481">
        <f>'9_Cronograma Físico'!BG24</f>
        <v>579000</v>
      </c>
      <c r="Q24" s="481">
        <f t="shared" si="24"/>
        <v>579000</v>
      </c>
      <c r="R24" s="482">
        <v>0</v>
      </c>
      <c r="S24" s="481">
        <f>IF($A24&lt;&gt;"NÃO SELECIONADO",'9_Cronograma Físico'!BG24,0)</f>
        <v>579000</v>
      </c>
      <c r="T24" s="483">
        <f t="shared" si="26"/>
        <v>2880000</v>
      </c>
      <c r="U24" s="483">
        <f t="shared" si="27"/>
        <v>594000</v>
      </c>
      <c r="V24" s="494">
        <f t="shared" si="28"/>
        <v>3474000</v>
      </c>
      <c r="W24" s="48">
        <f t="shared" si="7"/>
        <v>1654.29</v>
      </c>
      <c r="X24" s="118"/>
    </row>
    <row r="25" spans="1:29" s="42" customFormat="1" ht="38.25">
      <c r="A25" s="493" t="str">
        <f>IF('3_Comp e Produtos'!B30="Sim",'3_Comp e Produtos'!A30,"NÃO SELECIONADO")</f>
        <v>2.5. Plano de estratégias de prevenção abrangente a todos os órgãos da Administração Indireta</v>
      </c>
      <c r="B25" s="481">
        <f t="shared" si="8"/>
        <v>97412</v>
      </c>
      <c r="C25" s="482">
        <v>0</v>
      </c>
      <c r="D25" s="481">
        <f>'9_Cronograma Físico'!AM25</f>
        <v>97412</v>
      </c>
      <c r="E25" s="481">
        <f t="shared" si="23"/>
        <v>94824</v>
      </c>
      <c r="F25" s="482">
        <v>100000</v>
      </c>
      <c r="G25" s="481">
        <f>'9_Cronograma Físico'!AR25</f>
        <v>194824</v>
      </c>
      <c r="H25" s="481">
        <f t="shared" si="10"/>
        <v>94824</v>
      </c>
      <c r="I25" s="482">
        <v>100000</v>
      </c>
      <c r="J25" s="481">
        <f>'9_Cronograma Físico'!AW25</f>
        <v>194824</v>
      </c>
      <c r="K25" s="481">
        <f t="shared" si="11"/>
        <v>40942</v>
      </c>
      <c r="L25" s="482">
        <v>153882</v>
      </c>
      <c r="M25" s="481">
        <f>'9_Cronograma Físico'!BB25</f>
        <v>194824</v>
      </c>
      <c r="N25" s="481">
        <f t="shared" si="12"/>
        <v>0</v>
      </c>
      <c r="O25" s="482">
        <v>146118</v>
      </c>
      <c r="P25" s="481">
        <f>'9_Cronograma Físico'!BG25</f>
        <v>146118</v>
      </c>
      <c r="Q25" s="481">
        <f t="shared" si="24"/>
        <v>106118</v>
      </c>
      <c r="R25" s="482">
        <v>40000</v>
      </c>
      <c r="S25" s="481">
        <f>IF($A25&lt;&gt;"NÃO SELECIONADO",'9_Cronograma Físico'!BG25,0)</f>
        <v>146118</v>
      </c>
      <c r="T25" s="483">
        <f t="shared" si="26"/>
        <v>328002</v>
      </c>
      <c r="U25" s="483">
        <f t="shared" si="27"/>
        <v>500000</v>
      </c>
      <c r="V25" s="494">
        <f t="shared" si="28"/>
        <v>828002</v>
      </c>
      <c r="W25" s="48"/>
      <c r="X25" s="118"/>
    </row>
    <row r="26" spans="1:29" s="42" customFormat="1" ht="25.5">
      <c r="A26" s="493" t="str">
        <f>IF('3_Comp e Produtos'!B31="Sim",'3_Comp e Produtos'!A31,"NÃO SELECIONADO")</f>
        <v>2.6. Métodos Alternativos de Resolução de Conflitos (MARC) definidos e implementados</v>
      </c>
      <c r="B26" s="481">
        <f t="shared" si="8"/>
        <v>121750</v>
      </c>
      <c r="C26" s="482">
        <v>0</v>
      </c>
      <c r="D26" s="481">
        <f>'9_Cronograma Físico'!AM26</f>
        <v>121750</v>
      </c>
      <c r="E26" s="481">
        <f t="shared" si="23"/>
        <v>119833</v>
      </c>
      <c r="F26" s="482">
        <v>42500</v>
      </c>
      <c r="G26" s="481">
        <f>'9_Cronograma Físico'!AR26</f>
        <v>162333</v>
      </c>
      <c r="H26" s="481">
        <f t="shared" si="10"/>
        <v>12333</v>
      </c>
      <c r="I26" s="482">
        <v>150000</v>
      </c>
      <c r="J26" s="481">
        <f>'9_Cronograma Físico'!AW26</f>
        <v>162333</v>
      </c>
      <c r="K26" s="481">
        <f t="shared" si="11"/>
        <v>12333</v>
      </c>
      <c r="L26" s="482">
        <v>150000</v>
      </c>
      <c r="M26" s="481">
        <f>'9_Cronograma Físico'!BB26</f>
        <v>162333</v>
      </c>
      <c r="N26" s="481">
        <f t="shared" si="12"/>
        <v>21750</v>
      </c>
      <c r="O26" s="482">
        <v>100000</v>
      </c>
      <c r="P26" s="481">
        <f>'9_Cronograma Físico'!BG26</f>
        <v>121750</v>
      </c>
      <c r="Q26" s="481">
        <f t="shared" si="24"/>
        <v>121750</v>
      </c>
      <c r="R26" s="482">
        <v>0</v>
      </c>
      <c r="S26" s="481">
        <f>IF($A26&lt;&gt;"NÃO SELECIONADO",'9_Cronograma Físico'!BG26,0)</f>
        <v>121750</v>
      </c>
      <c r="T26" s="483">
        <f t="shared" si="26"/>
        <v>287999</v>
      </c>
      <c r="U26" s="483">
        <f t="shared" si="27"/>
        <v>442500</v>
      </c>
      <c r="V26" s="494">
        <f t="shared" si="28"/>
        <v>730499</v>
      </c>
      <c r="W26" s="48"/>
      <c r="X26" s="118"/>
    </row>
    <row r="27" spans="1:29" s="42" customFormat="1" ht="38.25">
      <c r="A27" s="493" t="str">
        <f>IF('3_Comp e Produtos'!B35="Sim",'3_Comp e Produtos'!A35,"NÃO SELECIONADO")</f>
        <v>2.7. Capacitação contínua de pessoal especializado em gerenciamento e recuperação de créditos</v>
      </c>
      <c r="B27" s="481">
        <f t="shared" si="8"/>
        <v>251833</v>
      </c>
      <c r="C27" s="482">
        <v>0</v>
      </c>
      <c r="D27" s="481">
        <f>'9_Cronograma Físico'!AM27</f>
        <v>251833</v>
      </c>
      <c r="E27" s="481">
        <f t="shared" si="23"/>
        <v>35778</v>
      </c>
      <c r="F27" s="482">
        <v>300000</v>
      </c>
      <c r="G27" s="481">
        <f>'9_Cronograma Físico'!AR27</f>
        <v>335778</v>
      </c>
      <c r="H27" s="481">
        <f t="shared" si="10"/>
        <v>35778</v>
      </c>
      <c r="I27" s="482">
        <v>300000</v>
      </c>
      <c r="J27" s="481">
        <f>'9_Cronograma Físico'!AW27</f>
        <v>335778</v>
      </c>
      <c r="K27" s="481">
        <f t="shared" si="11"/>
        <v>35778</v>
      </c>
      <c r="L27" s="482">
        <v>300000</v>
      </c>
      <c r="M27" s="481">
        <f>'9_Cronograma Físico'!BB27</f>
        <v>335778</v>
      </c>
      <c r="N27" s="481">
        <f t="shared" si="12"/>
        <v>72833</v>
      </c>
      <c r="O27" s="482">
        <v>179000</v>
      </c>
      <c r="P27" s="481">
        <f>'9_Cronograma Físico'!BG27</f>
        <v>251833</v>
      </c>
      <c r="Q27" s="481">
        <f t="shared" si="24"/>
        <v>251833</v>
      </c>
      <c r="R27" s="482">
        <v>0</v>
      </c>
      <c r="S27" s="481">
        <f>IF($A27&lt;&gt;"NÃO SELECIONADO",'9_Cronograma Físico'!BG27,0)</f>
        <v>251833</v>
      </c>
      <c r="T27" s="483">
        <f t="shared" si="26"/>
        <v>432000</v>
      </c>
      <c r="U27" s="483">
        <f t="shared" si="27"/>
        <v>1079000</v>
      </c>
      <c r="V27" s="494">
        <f t="shared" si="28"/>
        <v>1511000</v>
      </c>
      <c r="W27" s="48"/>
      <c r="X27" s="118"/>
    </row>
    <row r="28" spans="1:29" s="42" customFormat="1" ht="38.25">
      <c r="A28" s="493" t="str">
        <f>IF('3_Comp e Produtos'!B36="Sim",'3_Comp e Produtos'!A36,"NÃO SELECIONADO")</f>
        <v xml:space="preserve">2.8. Plano de ação para aprimoramento da integração interinstitucional entre os órgãos responsáveis pela dívida ativa </v>
      </c>
      <c r="B28" s="481">
        <f t="shared" si="8"/>
        <v>468000</v>
      </c>
      <c r="C28" s="482">
        <v>0</v>
      </c>
      <c r="D28" s="481">
        <f>'9_Cronograma Físico'!AM28</f>
        <v>468000</v>
      </c>
      <c r="E28" s="481">
        <f t="shared" si="23"/>
        <v>0</v>
      </c>
      <c r="F28" s="482">
        <v>0</v>
      </c>
      <c r="G28" s="481">
        <f>'9_Cronograma Físico'!AR28</f>
        <v>0</v>
      </c>
      <c r="H28" s="481">
        <f t="shared" si="10"/>
        <v>0</v>
      </c>
      <c r="I28" s="482">
        <v>0</v>
      </c>
      <c r="J28" s="481">
        <f>'9_Cronograma Físico'!AW28</f>
        <v>0</v>
      </c>
      <c r="K28" s="481">
        <f t="shared" si="11"/>
        <v>0</v>
      </c>
      <c r="L28" s="482">
        <v>0</v>
      </c>
      <c r="M28" s="481">
        <f>'9_Cronograma Físico'!BB28</f>
        <v>0</v>
      </c>
      <c r="N28" s="481">
        <f t="shared" si="12"/>
        <v>0</v>
      </c>
      <c r="O28" s="482">
        <v>0</v>
      </c>
      <c r="P28" s="481">
        <f>'9_Cronograma Físico'!BG28</f>
        <v>0</v>
      </c>
      <c r="Q28" s="481">
        <f t="shared" si="24"/>
        <v>0</v>
      </c>
      <c r="R28" s="482">
        <v>0</v>
      </c>
      <c r="S28" s="481">
        <f>IF($A28&lt;&gt;"NÃO SELECIONADO",'9_Cronograma Físico'!BG28,0)</f>
        <v>0</v>
      </c>
      <c r="T28" s="483">
        <f t="shared" si="26"/>
        <v>468000</v>
      </c>
      <c r="U28" s="483">
        <f t="shared" si="27"/>
        <v>0</v>
      </c>
      <c r="V28" s="494">
        <f t="shared" si="28"/>
        <v>468000</v>
      </c>
      <c r="W28" s="48"/>
      <c r="X28" s="118"/>
    </row>
    <row r="29" spans="1:29" s="42" customFormat="1" ht="38.25">
      <c r="A29" s="493" t="str">
        <f>IF('3_Comp e Produtos'!B37="Sim",'3_Comp e Produtos'!A37,"NÃO SELECIONADO")</f>
        <v>2.9. Solução para avaliação de riscos do Estado e inclusões nos sistemas corporativos da AGU</v>
      </c>
      <c r="B29" s="481">
        <f t="shared" si="8"/>
        <v>0</v>
      </c>
      <c r="C29" s="482">
        <v>350000</v>
      </c>
      <c r="D29" s="481">
        <f>'9_Cronograma Físico'!AM29</f>
        <v>350000</v>
      </c>
      <c r="E29" s="481">
        <f t="shared" si="23"/>
        <v>0</v>
      </c>
      <c r="F29" s="482">
        <v>350000</v>
      </c>
      <c r="G29" s="481">
        <f>'9_Cronograma Físico'!AR29</f>
        <v>350000</v>
      </c>
      <c r="H29" s="481">
        <f t="shared" si="10"/>
        <v>0</v>
      </c>
      <c r="I29" s="482">
        <v>0</v>
      </c>
      <c r="J29" s="481">
        <f>'9_Cronograma Físico'!AW29</f>
        <v>0</v>
      </c>
      <c r="K29" s="481">
        <f t="shared" si="11"/>
        <v>0</v>
      </c>
      <c r="L29" s="482">
        <v>0</v>
      </c>
      <c r="M29" s="481">
        <f>'9_Cronograma Físico'!BB29</f>
        <v>0</v>
      </c>
      <c r="N29" s="481">
        <f t="shared" si="12"/>
        <v>0</v>
      </c>
      <c r="O29" s="482">
        <v>0</v>
      </c>
      <c r="P29" s="481">
        <f>'9_Cronograma Físico'!BG29</f>
        <v>0</v>
      </c>
      <c r="Q29" s="481">
        <f t="shared" si="24"/>
        <v>0</v>
      </c>
      <c r="R29" s="482">
        <v>0</v>
      </c>
      <c r="S29" s="481">
        <f>IF($A29&lt;&gt;"NÃO SELECIONADO",'9_Cronograma Físico'!BG29,0)</f>
        <v>0</v>
      </c>
      <c r="T29" s="483">
        <f t="shared" si="26"/>
        <v>0</v>
      </c>
      <c r="U29" s="483">
        <f t="shared" si="27"/>
        <v>700000</v>
      </c>
      <c r="V29" s="494">
        <f t="shared" si="28"/>
        <v>700000</v>
      </c>
      <c r="W29" s="48"/>
      <c r="X29" s="118"/>
    </row>
    <row r="30" spans="1:29" s="42" customFormat="1" ht="38.25">
      <c r="A30" s="493" t="str">
        <f>IF('3_Comp e Produtos'!B38="Sim",'3_Comp e Produtos'!A38,"NÃO SELECIONADO")</f>
        <v xml:space="preserve">2.10. Solução para identificação e facilitação da eliminação dos pagamentos indevidos nos processos contra o Estado </v>
      </c>
      <c r="B30" s="481">
        <f t="shared" si="8"/>
        <v>0</v>
      </c>
      <c r="C30" s="482">
        <v>0</v>
      </c>
      <c r="D30" s="481">
        <f>'9_Cronograma Físico'!AM30</f>
        <v>0</v>
      </c>
      <c r="E30" s="481">
        <f t="shared" si="23"/>
        <v>216000</v>
      </c>
      <c r="F30" s="482">
        <v>0</v>
      </c>
      <c r="G30" s="481">
        <f>'9_Cronograma Físico'!AR30</f>
        <v>216000</v>
      </c>
      <c r="H30" s="481">
        <f t="shared" si="10"/>
        <v>0</v>
      </c>
      <c r="I30" s="482">
        <v>0</v>
      </c>
      <c r="J30" s="481">
        <f>'9_Cronograma Físico'!AW30</f>
        <v>0</v>
      </c>
      <c r="K30" s="481">
        <f t="shared" si="11"/>
        <v>0</v>
      </c>
      <c r="L30" s="482">
        <v>0</v>
      </c>
      <c r="M30" s="481">
        <f>'9_Cronograma Físico'!BB30</f>
        <v>0</v>
      </c>
      <c r="N30" s="481">
        <f t="shared" si="12"/>
        <v>0</v>
      </c>
      <c r="O30" s="482">
        <v>0</v>
      </c>
      <c r="P30" s="481">
        <f>'9_Cronograma Físico'!BG30</f>
        <v>0</v>
      </c>
      <c r="Q30" s="481">
        <f t="shared" si="24"/>
        <v>0</v>
      </c>
      <c r="R30" s="482">
        <v>0</v>
      </c>
      <c r="S30" s="481">
        <f>IF($A30&lt;&gt;"NÃO SELECIONADO",'9_Cronograma Físico'!BG30,0)</f>
        <v>0</v>
      </c>
      <c r="T30" s="483">
        <f t="shared" si="26"/>
        <v>216000</v>
      </c>
      <c r="U30" s="483">
        <f t="shared" si="27"/>
        <v>0</v>
      </c>
      <c r="V30" s="494">
        <f t="shared" si="28"/>
        <v>216000</v>
      </c>
      <c r="W30" s="48"/>
      <c r="X30" s="118"/>
    </row>
    <row r="31" spans="1:29" s="42" customFormat="1" ht="25.5">
      <c r="A31" s="493" t="str">
        <f>IF('3_Comp e Produtos'!B39="Sim",'3_Comp e Produtos'!A39,"NÃO SELECIONADO")</f>
        <v>2.11. Sistema Integrado de Gestão Jurídica da AGU desenvolvido e implantado</v>
      </c>
      <c r="B31" s="481">
        <f t="shared" si="8"/>
        <v>0</v>
      </c>
      <c r="C31" s="482">
        <v>7880074</v>
      </c>
      <c r="D31" s="481">
        <f>'9_Cronograma Físico'!AM31</f>
        <v>7880074</v>
      </c>
      <c r="E31" s="481">
        <f t="shared" si="23"/>
        <v>0</v>
      </c>
      <c r="F31" s="482">
        <v>10506765</v>
      </c>
      <c r="G31" s="481">
        <f>'9_Cronograma Físico'!AR31</f>
        <v>10506765</v>
      </c>
      <c r="H31" s="481">
        <f t="shared" si="10"/>
        <v>0</v>
      </c>
      <c r="I31" s="482">
        <v>10506765</v>
      </c>
      <c r="J31" s="481">
        <f>'9_Cronograma Físico'!AW31</f>
        <v>10506765</v>
      </c>
      <c r="K31" s="481">
        <f t="shared" si="11"/>
        <v>640651</v>
      </c>
      <c r="L31" s="482">
        <v>9866114</v>
      </c>
      <c r="M31" s="481">
        <f>'9_Cronograma Físico'!BB31</f>
        <v>10506765</v>
      </c>
      <c r="N31" s="481">
        <f t="shared" si="12"/>
        <v>5253382</v>
      </c>
      <c r="O31" s="482">
        <v>0</v>
      </c>
      <c r="P31" s="481">
        <f>'9_Cronograma Físico'!BG31</f>
        <v>5253382</v>
      </c>
      <c r="Q31" s="481">
        <f t="shared" si="24"/>
        <v>552987</v>
      </c>
      <c r="R31" s="482">
        <v>4700395</v>
      </c>
      <c r="S31" s="481">
        <f>IF($A31&lt;&gt;"NÃO SELECIONADO",'9_Cronograma Físico'!BG31,0)</f>
        <v>5253382</v>
      </c>
      <c r="T31" s="483">
        <f t="shared" si="26"/>
        <v>5894033</v>
      </c>
      <c r="U31" s="483">
        <f t="shared" si="27"/>
        <v>38759718</v>
      </c>
      <c r="V31" s="494">
        <f t="shared" si="28"/>
        <v>44653751</v>
      </c>
      <c r="W31" s="48"/>
      <c r="X31" s="237"/>
    </row>
    <row r="32" spans="1:29" s="42" customFormat="1" ht="25.5">
      <c r="A32" s="493" t="str">
        <f>IF('3_Comp e Produtos'!B42="Sim",'3_Comp e Produtos'!A42,"NÃO SELECIONADO")</f>
        <v>2.12. Redesenho e implementação dos fluxos de trabalho relativos a cálculos e perícias</v>
      </c>
      <c r="B32" s="481">
        <f t="shared" si="8"/>
        <v>533250</v>
      </c>
      <c r="C32" s="482">
        <v>0</v>
      </c>
      <c r="D32" s="481">
        <f>'9_Cronograma Físico'!AM32</f>
        <v>533250</v>
      </c>
      <c r="E32" s="481">
        <f t="shared" si="23"/>
        <v>569250</v>
      </c>
      <c r="F32" s="482">
        <v>141750</v>
      </c>
      <c r="G32" s="481">
        <f>'9_Cronograma Físico'!AR32</f>
        <v>711000</v>
      </c>
      <c r="H32" s="481">
        <f t="shared" si="10"/>
        <v>711000</v>
      </c>
      <c r="I32" s="482">
        <v>0</v>
      </c>
      <c r="J32" s="481">
        <f>'9_Cronograma Físico'!AW32</f>
        <v>711000</v>
      </c>
      <c r="K32" s="481">
        <f t="shared" si="11"/>
        <v>711000</v>
      </c>
      <c r="L32" s="482">
        <v>0</v>
      </c>
      <c r="M32" s="481">
        <f>'9_Cronograma Físico'!BB32</f>
        <v>711000</v>
      </c>
      <c r="N32" s="481">
        <f t="shared" si="12"/>
        <v>355500</v>
      </c>
      <c r="O32" s="482">
        <v>0</v>
      </c>
      <c r="P32" s="481">
        <f>'9_Cronograma Físico'!BG32</f>
        <v>355500</v>
      </c>
      <c r="Q32" s="481">
        <f t="shared" si="24"/>
        <v>355500</v>
      </c>
      <c r="R32" s="482">
        <v>0</v>
      </c>
      <c r="S32" s="481">
        <f>IF($A32&lt;&gt;"NÃO SELECIONADO",'9_Cronograma Físico'!BG32,0)</f>
        <v>355500</v>
      </c>
      <c r="T32" s="483">
        <f t="shared" si="26"/>
        <v>2880000</v>
      </c>
      <c r="U32" s="483">
        <f t="shared" si="27"/>
        <v>141750</v>
      </c>
      <c r="V32" s="494">
        <f t="shared" si="28"/>
        <v>3021750</v>
      </c>
      <c r="W32" s="48"/>
      <c r="X32" s="237"/>
    </row>
    <row r="33" spans="1:26" s="42" customFormat="1" ht="33.75" customHeight="1">
      <c r="A33" s="492" t="str">
        <f>'3_Comp e Produtos'!A43</f>
        <v>COMPONENTE 3: APRIMORAMENTO DA GESTÃO ADMINISTRATIVA DA AGU</v>
      </c>
      <c r="B33" s="480">
        <f>SUM(B34:B39)</f>
        <v>726604</v>
      </c>
      <c r="C33" s="480">
        <f t="shared" ref="C33:P33" si="29">SUM(C34:C39)</f>
        <v>0</v>
      </c>
      <c r="D33" s="480">
        <f t="shared" si="29"/>
        <v>726604</v>
      </c>
      <c r="E33" s="480">
        <f t="shared" si="29"/>
        <v>890846</v>
      </c>
      <c r="F33" s="480">
        <f t="shared" si="29"/>
        <v>76250</v>
      </c>
      <c r="G33" s="480">
        <f t="shared" si="29"/>
        <v>890846</v>
      </c>
      <c r="H33" s="480">
        <f t="shared" si="29"/>
        <v>1679659</v>
      </c>
      <c r="I33" s="480">
        <f t="shared" si="29"/>
        <v>113250</v>
      </c>
      <c r="J33" s="480">
        <f t="shared" si="29"/>
        <v>1622596</v>
      </c>
      <c r="K33" s="480">
        <f t="shared" si="29"/>
        <v>1622596</v>
      </c>
      <c r="L33" s="480">
        <f t="shared" si="29"/>
        <v>72000</v>
      </c>
      <c r="M33" s="480">
        <f t="shared" si="29"/>
        <v>1622596</v>
      </c>
      <c r="N33" s="480">
        <f t="shared" si="29"/>
        <v>331298</v>
      </c>
      <c r="O33" s="480">
        <f t="shared" si="29"/>
        <v>0</v>
      </c>
      <c r="P33" s="480">
        <f t="shared" si="29"/>
        <v>331298</v>
      </c>
      <c r="Q33" s="480">
        <f t="shared" ref="Q33:S33" si="30">SUM(Q34:Q39)</f>
        <v>331298</v>
      </c>
      <c r="R33" s="480">
        <f t="shared" si="30"/>
        <v>0</v>
      </c>
      <c r="S33" s="480">
        <f t="shared" si="30"/>
        <v>331298</v>
      </c>
      <c r="T33" s="480">
        <f>SUM(T34:T39)</f>
        <v>4989500</v>
      </c>
      <c r="U33" s="480">
        <f>SUM(U34:U39)</f>
        <v>261500</v>
      </c>
      <c r="V33" s="627">
        <f>SUM(V34:V39)</f>
        <v>5251000</v>
      </c>
      <c r="W33" s="236"/>
      <c r="X33" s="604"/>
    </row>
    <row r="34" spans="1:26" s="42" customFormat="1" ht="25.5">
      <c r="A34" s="493" t="str">
        <f>IF('3_Comp e Produtos'!B44="Sim",'3_Comp e Produtos'!A44,"NÃO SELECIONADO")</f>
        <v>3.1. Elaboração do plano estratégico de gestão da Secretaria-Geral</v>
      </c>
      <c r="B34" s="481">
        <f t="shared" si="8"/>
        <v>144000</v>
      </c>
      <c r="C34" s="482">
        <v>0</v>
      </c>
      <c r="D34" s="481">
        <f>'9_Cronograma Físico'!AM34</f>
        <v>144000</v>
      </c>
      <c r="E34" s="481">
        <f>'9_Cronograma Físico'!AR34</f>
        <v>0</v>
      </c>
      <c r="F34" s="482">
        <v>0</v>
      </c>
      <c r="G34" s="481">
        <f>'9_Cronograma Físico'!AR34</f>
        <v>0</v>
      </c>
      <c r="H34" s="481">
        <f>'9_Cronograma Físico'!AW34</f>
        <v>0</v>
      </c>
      <c r="I34" s="482">
        <v>0</v>
      </c>
      <c r="J34" s="481">
        <f>'9_Cronograma Físico'!BB34</f>
        <v>0</v>
      </c>
      <c r="K34" s="481">
        <f>'9_Cronograma Físico'!BB34</f>
        <v>0</v>
      </c>
      <c r="L34" s="482">
        <v>0</v>
      </c>
      <c r="M34" s="481">
        <f>'9_Cronograma Físico'!BB34</f>
        <v>0</v>
      </c>
      <c r="N34" s="481">
        <f t="shared" si="12"/>
        <v>0</v>
      </c>
      <c r="O34" s="482">
        <v>0</v>
      </c>
      <c r="P34" s="481">
        <f>'9_Cronograma Físico'!BG34</f>
        <v>0</v>
      </c>
      <c r="Q34" s="481">
        <f t="shared" ref="Q34:Q39" si="31">S34-R34</f>
        <v>0</v>
      </c>
      <c r="R34" s="482">
        <v>0</v>
      </c>
      <c r="S34" s="481">
        <f>IF($A34&lt;&gt;"NÃO SELECIONADO",'9_Cronograma Físico'!BG34,0)</f>
        <v>0</v>
      </c>
      <c r="T34" s="483">
        <f t="shared" ref="T34" si="32">B34+E34+H34+K34+N34+Q34</f>
        <v>144000</v>
      </c>
      <c r="U34" s="483">
        <f t="shared" ref="U34:U39" si="33">C34+F34+I34+L34+O34+R34</f>
        <v>0</v>
      </c>
      <c r="V34" s="494">
        <f t="shared" ref="V34" si="34">D34+G34+J34+M34+P34+S34</f>
        <v>144000</v>
      </c>
      <c r="W34" s="48"/>
      <c r="X34" s="237"/>
    </row>
    <row r="35" spans="1:26" s="42" customFormat="1" ht="25.5">
      <c r="A35" s="493" t="str">
        <f>IF('3_Comp e Produtos'!B45="Sim",'3_Comp e Produtos'!A45,"NÃO SELECIONADO")</f>
        <v xml:space="preserve">3.2. Reestruturação dos fluxos de trabalho dos processos administrativos </v>
      </c>
      <c r="B35" s="481">
        <f t="shared" si="8"/>
        <v>114000</v>
      </c>
      <c r="C35" s="482">
        <v>0</v>
      </c>
      <c r="D35" s="481">
        <f>'9_Cronograma Físico'!AM35</f>
        <v>114000</v>
      </c>
      <c r="E35" s="481">
        <f>'9_Cronograma Físico'!AR35</f>
        <v>228000</v>
      </c>
      <c r="F35" s="482">
        <v>40000</v>
      </c>
      <c r="G35" s="481">
        <f>'9_Cronograma Físico'!AR35</f>
        <v>228000</v>
      </c>
      <c r="H35" s="481">
        <f>'9_Cronograma Físico'!AW35</f>
        <v>228000</v>
      </c>
      <c r="I35" s="482">
        <v>32000</v>
      </c>
      <c r="J35" s="481">
        <f>'9_Cronograma Físico'!BB35</f>
        <v>228000</v>
      </c>
      <c r="K35" s="481">
        <f>'9_Cronograma Físico'!BB35</f>
        <v>228000</v>
      </c>
      <c r="L35" s="482">
        <v>0</v>
      </c>
      <c r="M35" s="481">
        <f>'9_Cronograma Físico'!BB35</f>
        <v>228000</v>
      </c>
      <c r="N35" s="481">
        <f t="shared" si="12"/>
        <v>114000</v>
      </c>
      <c r="O35" s="482">
        <v>0</v>
      </c>
      <c r="P35" s="481">
        <f>'9_Cronograma Físico'!BG35</f>
        <v>114000</v>
      </c>
      <c r="Q35" s="481">
        <f t="shared" si="31"/>
        <v>114000</v>
      </c>
      <c r="R35" s="482">
        <v>0</v>
      </c>
      <c r="S35" s="481">
        <f>IF($A35&lt;&gt;"NÃO SELECIONADO",'9_Cronograma Físico'!BG35,0)</f>
        <v>114000</v>
      </c>
      <c r="T35" s="483">
        <v>840000</v>
      </c>
      <c r="U35" s="483">
        <f t="shared" si="33"/>
        <v>72000</v>
      </c>
      <c r="V35" s="494">
        <f>SUM(T35:U35)</f>
        <v>912000</v>
      </c>
      <c r="W35" s="48"/>
      <c r="X35" s="118"/>
      <c r="Z35" s="482"/>
    </row>
    <row r="36" spans="1:26" s="42" customFormat="1">
      <c r="A36" s="493" t="str">
        <f>IF('3_Comp e Produtos'!B46="Sim",'3_Comp e Produtos'!A46,"NÃO SELECIONADO")</f>
        <v>3.3. Implementação dos centros de custos</v>
      </c>
      <c r="B36" s="481">
        <f t="shared" si="8"/>
        <v>171188</v>
      </c>
      <c r="C36" s="482">
        <v>0</v>
      </c>
      <c r="D36" s="481">
        <f>'9_Cronograma Físico'!AM36</f>
        <v>171188</v>
      </c>
      <c r="E36" s="481">
        <f>'9_Cronograma Físico'!AR36</f>
        <v>228250</v>
      </c>
      <c r="F36" s="482">
        <v>36250</v>
      </c>
      <c r="G36" s="481">
        <f>'9_Cronograma Físico'!AR36</f>
        <v>228250</v>
      </c>
      <c r="H36" s="481">
        <f>'9_Cronograma Físico'!AW36</f>
        <v>57063</v>
      </c>
      <c r="I36" s="482">
        <v>0</v>
      </c>
      <c r="J36" s="481">
        <f>'9_Cronograma Físico'!BB36</f>
        <v>0</v>
      </c>
      <c r="K36" s="481">
        <f>'9_Cronograma Físico'!BB36</f>
        <v>0</v>
      </c>
      <c r="L36" s="482">
        <v>0</v>
      </c>
      <c r="M36" s="481">
        <f>'9_Cronograma Físico'!BB36</f>
        <v>0</v>
      </c>
      <c r="N36" s="481">
        <f t="shared" si="12"/>
        <v>0</v>
      </c>
      <c r="O36" s="482">
        <v>0</v>
      </c>
      <c r="P36" s="481">
        <f>'9_Cronograma Físico'!BG36</f>
        <v>0</v>
      </c>
      <c r="Q36" s="481">
        <f t="shared" si="31"/>
        <v>0</v>
      </c>
      <c r="R36" s="482">
        <v>0</v>
      </c>
      <c r="S36" s="481">
        <f>IF($A36&lt;&gt;"NÃO SELECIONADO",'9_Cronograma Físico'!BG36,0)</f>
        <v>0</v>
      </c>
      <c r="T36" s="483">
        <v>420250</v>
      </c>
      <c r="U36" s="483">
        <f t="shared" si="33"/>
        <v>36250</v>
      </c>
      <c r="V36" s="494">
        <f t="shared" ref="V36:V39" si="35">SUM(T36:U36)</f>
        <v>456500</v>
      </c>
      <c r="W36" s="48"/>
      <c r="X36" s="118"/>
    </row>
    <row r="37" spans="1:26" s="42" customFormat="1" ht="25.5">
      <c r="A37" s="493" t="str">
        <f>IF('3_Comp e Produtos'!B47="Sim",'3_Comp e Produtos'!A47,"NÃO SELECIONADO")</f>
        <v>3.4. Revisão do modelo de gestão logística territorial e avaliação da implementação</v>
      </c>
      <c r="B37" s="481">
        <f t="shared" si="8"/>
        <v>57063</v>
      </c>
      <c r="C37" s="482">
        <v>0</v>
      </c>
      <c r="D37" s="481">
        <f>'9_Cronograma Físico'!AM37</f>
        <v>57063</v>
      </c>
      <c r="E37" s="481">
        <f>'9_Cronograma Físico'!AR37</f>
        <v>114125</v>
      </c>
      <c r="F37" s="482">
        <v>0</v>
      </c>
      <c r="G37" s="481">
        <f>'9_Cronograma Físico'!AR37</f>
        <v>114125</v>
      </c>
      <c r="H37" s="481">
        <f>'9_Cronograma Físico'!AW37</f>
        <v>114125</v>
      </c>
      <c r="I37" s="482">
        <v>36250</v>
      </c>
      <c r="J37" s="481">
        <f>'9_Cronograma Físico'!BB37</f>
        <v>114125</v>
      </c>
      <c r="K37" s="481">
        <f>'9_Cronograma Físico'!BB37</f>
        <v>114125</v>
      </c>
      <c r="L37" s="482">
        <v>0</v>
      </c>
      <c r="M37" s="481">
        <f>'9_Cronograma Físico'!BB37</f>
        <v>114125</v>
      </c>
      <c r="N37" s="481">
        <f t="shared" si="12"/>
        <v>57063</v>
      </c>
      <c r="O37" s="482">
        <v>0</v>
      </c>
      <c r="P37" s="481">
        <f>'9_Cronograma Físico'!BG37</f>
        <v>57063</v>
      </c>
      <c r="Q37" s="481">
        <f t="shared" si="31"/>
        <v>57063</v>
      </c>
      <c r="R37" s="482">
        <v>0</v>
      </c>
      <c r="S37" s="481">
        <f>IF($A37&lt;&gt;"NÃO SELECIONADO",'9_Cronograma Físico'!BG37,0)</f>
        <v>57063</v>
      </c>
      <c r="T37" s="483">
        <v>420250</v>
      </c>
      <c r="U37" s="483">
        <f t="shared" si="33"/>
        <v>36250</v>
      </c>
      <c r="V37" s="494">
        <f t="shared" si="35"/>
        <v>456500</v>
      </c>
      <c r="W37" s="48"/>
      <c r="X37" s="118"/>
    </row>
    <row r="38" spans="1:26" s="42" customFormat="1" ht="25.5">
      <c r="A38" s="493" t="str">
        <f>IF('3_Comp e Produtos'!B48="Sim",'3_Comp e Produtos'!A48,"NÃO SELECIONADO")</f>
        <v xml:space="preserve">3.5. Implantação de Sistema Integrado de Gestão Administrativa, sincronizado ao SIAFI </v>
      </c>
      <c r="B38" s="481">
        <f t="shared" si="8"/>
        <v>240353</v>
      </c>
      <c r="C38" s="482">
        <v>0</v>
      </c>
      <c r="D38" s="481">
        <f>'9_Cronograma Físico'!AM38</f>
        <v>240353</v>
      </c>
      <c r="E38" s="481">
        <f>'9_Cronograma Físico'!AR38</f>
        <v>320471</v>
      </c>
      <c r="F38" s="482">
        <v>0</v>
      </c>
      <c r="G38" s="481">
        <f>'9_Cronograma Físico'!AR38</f>
        <v>320471</v>
      </c>
      <c r="H38" s="481">
        <f>'9_Cronograma Físico'!AW38</f>
        <v>320471</v>
      </c>
      <c r="I38" s="482">
        <v>45000</v>
      </c>
      <c r="J38" s="481">
        <f>'9_Cronograma Físico'!BB38</f>
        <v>320471</v>
      </c>
      <c r="K38" s="481">
        <f>'9_Cronograma Físico'!BB38</f>
        <v>320471</v>
      </c>
      <c r="L38" s="482">
        <v>0</v>
      </c>
      <c r="M38" s="481">
        <f>'9_Cronograma Físico'!BB38</f>
        <v>320471</v>
      </c>
      <c r="N38" s="481">
        <f t="shared" si="12"/>
        <v>160235</v>
      </c>
      <c r="O38" s="482">
        <v>0</v>
      </c>
      <c r="P38" s="481">
        <f>'9_Cronograma Físico'!BG38</f>
        <v>160235</v>
      </c>
      <c r="Q38" s="481">
        <f t="shared" si="31"/>
        <v>160235</v>
      </c>
      <c r="R38" s="482">
        <v>0</v>
      </c>
      <c r="S38" s="481">
        <f>IF($A38&lt;&gt;"NÃO SELECIONADO",'9_Cronograma Físico'!BG38,0)</f>
        <v>160235</v>
      </c>
      <c r="T38" s="483">
        <v>1317000</v>
      </c>
      <c r="U38" s="483">
        <f t="shared" si="33"/>
        <v>45000</v>
      </c>
      <c r="V38" s="494">
        <f t="shared" si="35"/>
        <v>1362000</v>
      </c>
      <c r="W38" s="48"/>
      <c r="X38" s="118"/>
    </row>
    <row r="39" spans="1:26" s="42" customFormat="1" ht="43.5" customHeight="1" thickBot="1">
      <c r="A39" s="493" t="str">
        <f>IF('3_Comp e Produtos'!B49="Sim",'3_Comp e Produtos'!A49,"NÃO SELECIONADO")</f>
        <v>3.6. Definição conceitual, desenho e implementação do modelo de gestão por competências da AGU</v>
      </c>
      <c r="B39" s="481">
        <f t="shared" si="8"/>
        <v>0</v>
      </c>
      <c r="C39" s="482">
        <v>0</v>
      </c>
      <c r="D39" s="481">
        <f>'9_Cronograma Físico'!AM39</f>
        <v>0</v>
      </c>
      <c r="E39" s="481">
        <f>'9_Cronograma Físico'!AR39</f>
        <v>0</v>
      </c>
      <c r="F39" s="482">
        <v>0</v>
      </c>
      <c r="G39" s="481">
        <f>'9_Cronograma Físico'!AR39</f>
        <v>0</v>
      </c>
      <c r="H39" s="481">
        <f>'9_Cronograma Físico'!AW39</f>
        <v>960000</v>
      </c>
      <c r="I39" s="482">
        <v>0</v>
      </c>
      <c r="J39" s="481">
        <f>'9_Cronograma Físico'!BB39</f>
        <v>960000</v>
      </c>
      <c r="K39" s="481">
        <f>'9_Cronograma Físico'!BB39</f>
        <v>960000</v>
      </c>
      <c r="L39" s="482">
        <v>72000</v>
      </c>
      <c r="M39" s="481">
        <f>'9_Cronograma Físico'!BB39</f>
        <v>960000</v>
      </c>
      <c r="N39" s="481">
        <f>P39-O39</f>
        <v>0</v>
      </c>
      <c r="O39" s="482">
        <v>0</v>
      </c>
      <c r="P39" s="481">
        <f>'9_Cronograma Físico'!BG39</f>
        <v>0</v>
      </c>
      <c r="Q39" s="481">
        <f t="shared" si="31"/>
        <v>0</v>
      </c>
      <c r="R39" s="482">
        <v>0</v>
      </c>
      <c r="S39" s="481">
        <f>IF($A39&lt;&gt;"NÃO SELECIONADO",'9_Cronograma Físico'!BG39,0)</f>
        <v>0</v>
      </c>
      <c r="T39" s="483">
        <v>1848000</v>
      </c>
      <c r="U39" s="483">
        <f t="shared" si="33"/>
        <v>72000</v>
      </c>
      <c r="V39" s="494">
        <f t="shared" si="35"/>
        <v>1920000</v>
      </c>
      <c r="W39" s="48"/>
      <c r="X39" s="118"/>
    </row>
    <row r="40" spans="1:26" s="49" customFormat="1" ht="22.5" customHeight="1">
      <c r="A40" s="628" t="s">
        <v>24</v>
      </c>
      <c r="B40" s="624">
        <f>SUM(B41:B42)</f>
        <v>401322</v>
      </c>
      <c r="C40" s="624">
        <f t="shared" ref="C40:P40" si="36">SUM(C41:C42)</f>
        <v>0</v>
      </c>
      <c r="D40" s="624">
        <f t="shared" si="36"/>
        <v>401322</v>
      </c>
      <c r="E40" s="624">
        <f t="shared" si="36"/>
        <v>401322</v>
      </c>
      <c r="F40" s="624">
        <f t="shared" si="36"/>
        <v>0</v>
      </c>
      <c r="G40" s="624">
        <f t="shared" si="36"/>
        <v>401322</v>
      </c>
      <c r="H40" s="624">
        <f t="shared" si="36"/>
        <v>458922</v>
      </c>
      <c r="I40" s="624">
        <f t="shared" si="36"/>
        <v>0</v>
      </c>
      <c r="J40" s="624">
        <f t="shared" si="36"/>
        <v>458922</v>
      </c>
      <c r="K40" s="624">
        <f t="shared" si="36"/>
        <v>458922</v>
      </c>
      <c r="L40" s="624">
        <f t="shared" si="36"/>
        <v>0</v>
      </c>
      <c r="M40" s="624">
        <f t="shared" si="36"/>
        <v>458922</v>
      </c>
      <c r="N40" s="624">
        <f t="shared" si="36"/>
        <v>129131</v>
      </c>
      <c r="O40" s="624">
        <f t="shared" si="36"/>
        <v>0</v>
      </c>
      <c r="P40" s="624">
        <f t="shared" si="36"/>
        <v>129131</v>
      </c>
      <c r="Q40" s="624">
        <f t="shared" ref="Q40:V40" si="37">SUM(Q41:Q42)</f>
        <v>129131</v>
      </c>
      <c r="R40" s="624">
        <f t="shared" si="37"/>
        <v>0</v>
      </c>
      <c r="S40" s="624">
        <f t="shared" si="37"/>
        <v>129131</v>
      </c>
      <c r="T40" s="624">
        <f>SUM(T41:T42)</f>
        <v>1849619</v>
      </c>
      <c r="U40" s="624">
        <f t="shared" si="37"/>
        <v>0</v>
      </c>
      <c r="V40" s="629">
        <f t="shared" si="37"/>
        <v>1849619</v>
      </c>
      <c r="W40" s="134">
        <f t="shared" ref="W40" si="38">SUM(W41:W42)</f>
        <v>880.77</v>
      </c>
      <c r="X40" s="107"/>
    </row>
    <row r="41" spans="1:26" s="42" customFormat="1">
      <c r="A41" s="493" t="str">
        <f>IF('3_Comp e Produtos'!B53="Sim",'3_Comp e Produtos'!A53,"NÃO SELECIONADO")</f>
        <v>A1 - Gestão do Projeto</v>
      </c>
      <c r="B41" s="481">
        <f t="shared" si="8"/>
        <v>401322</v>
      </c>
      <c r="C41" s="482">
        <v>0</v>
      </c>
      <c r="D41" s="481">
        <f>'9_Cronograma Físico'!AM41</f>
        <v>401322</v>
      </c>
      <c r="E41" s="481">
        <f>'9_Cronograma Físico'!AR41</f>
        <v>401322</v>
      </c>
      <c r="F41" s="482">
        <v>0</v>
      </c>
      <c r="G41" s="481">
        <f>'9_Cronograma Físico'!AR41</f>
        <v>401322</v>
      </c>
      <c r="H41" s="481">
        <f>'9_Cronograma Físico'!AW41</f>
        <v>401322</v>
      </c>
      <c r="I41" s="482">
        <v>0</v>
      </c>
      <c r="J41" s="481">
        <f>'9_Cronograma Físico'!AW41</f>
        <v>401322</v>
      </c>
      <c r="K41" s="481">
        <f>'9_Cronograma Físico'!BB41</f>
        <v>401322</v>
      </c>
      <c r="L41" s="482">
        <v>0</v>
      </c>
      <c r="M41" s="481">
        <f>'9_Cronograma Físico'!BB41</f>
        <v>401322</v>
      </c>
      <c r="N41" s="481">
        <f>P41-O41</f>
        <v>100331</v>
      </c>
      <c r="O41" s="482">
        <v>0</v>
      </c>
      <c r="P41" s="481">
        <f>'9_Cronograma Físico'!BG41</f>
        <v>100331</v>
      </c>
      <c r="Q41" s="481">
        <f t="shared" ref="Q41:Q42" si="39">S41-R41</f>
        <v>100331</v>
      </c>
      <c r="R41" s="482">
        <v>0</v>
      </c>
      <c r="S41" s="481">
        <f>IF($A41&lt;&gt;"NÃO SELECIONADO",'9_Cronograma Físico'!BG41,0)</f>
        <v>100331</v>
      </c>
      <c r="T41" s="483">
        <f t="shared" ref="T41:U42" si="40">N41+K41+H41+E41+B41</f>
        <v>1705619</v>
      </c>
      <c r="U41" s="483">
        <f t="shared" si="40"/>
        <v>0</v>
      </c>
      <c r="V41" s="494">
        <f>P41+M41+J41+G41+D41</f>
        <v>1705619</v>
      </c>
      <c r="W41" s="48">
        <f>V41/2.1/1000</f>
        <v>812.2</v>
      </c>
      <c r="X41" s="118"/>
    </row>
    <row r="42" spans="1:26" s="42" customFormat="1" ht="13.5" thickBot="1">
      <c r="A42" s="495" t="str">
        <f>IF('3_Comp e Produtos'!B54="Sim",'3_Comp e Produtos'!A54,"NÃO SELECIONADO")</f>
        <v>A2 -Avaliação Independente</v>
      </c>
      <c r="B42" s="587">
        <f t="shared" si="8"/>
        <v>0</v>
      </c>
      <c r="C42" s="496">
        <v>0</v>
      </c>
      <c r="D42" s="587">
        <f>'9_Cronograma Físico'!AM42</f>
        <v>0</v>
      </c>
      <c r="E42" s="587">
        <f>'9_Cronograma Físico'!AR42</f>
        <v>0</v>
      </c>
      <c r="F42" s="496">
        <v>0</v>
      </c>
      <c r="G42" s="587">
        <f>'9_Cronograma Físico'!AR42</f>
        <v>0</v>
      </c>
      <c r="H42" s="587">
        <f>'9_Cronograma Físico'!AW42</f>
        <v>57600</v>
      </c>
      <c r="I42" s="496">
        <v>0</v>
      </c>
      <c r="J42" s="587">
        <f>'9_Cronograma Físico'!AW42</f>
        <v>57600</v>
      </c>
      <c r="K42" s="587">
        <f>'9_Cronograma Físico'!BB42</f>
        <v>57600</v>
      </c>
      <c r="L42" s="496">
        <v>0</v>
      </c>
      <c r="M42" s="587">
        <f>'9_Cronograma Físico'!BB42</f>
        <v>57600</v>
      </c>
      <c r="N42" s="587">
        <f>P42-O42</f>
        <v>28800</v>
      </c>
      <c r="O42" s="496">
        <v>0</v>
      </c>
      <c r="P42" s="587">
        <f>'9_Cronograma Físico'!BG42</f>
        <v>28800</v>
      </c>
      <c r="Q42" s="587">
        <f t="shared" si="39"/>
        <v>28800</v>
      </c>
      <c r="R42" s="496">
        <v>0</v>
      </c>
      <c r="S42" s="587">
        <f>IF($A42&lt;&gt;"NÃO SELECIONADO",'9_Cronograma Físico'!BG42,0)</f>
        <v>28800</v>
      </c>
      <c r="T42" s="630">
        <f t="shared" si="40"/>
        <v>144000</v>
      </c>
      <c r="U42" s="630">
        <f t="shared" si="40"/>
        <v>0</v>
      </c>
      <c r="V42" s="631">
        <f>P42+M42+J42+G42+D42</f>
        <v>144000</v>
      </c>
      <c r="W42" s="48">
        <f>V42/2.1/1000</f>
        <v>68.569999999999993</v>
      </c>
      <c r="X42" s="118"/>
    </row>
    <row r="43" spans="1:26">
      <c r="B43" s="235"/>
      <c r="C43" s="235"/>
      <c r="D43" s="235"/>
      <c r="E43" s="235"/>
      <c r="F43" s="235"/>
      <c r="G43" s="235"/>
      <c r="H43" s="235"/>
      <c r="I43" s="235"/>
      <c r="J43" s="235"/>
      <c r="K43" s="235"/>
      <c r="L43" s="235"/>
      <c r="M43" s="235"/>
      <c r="N43" s="235"/>
      <c r="O43" s="235"/>
      <c r="P43" s="235"/>
      <c r="Q43" s="235"/>
      <c r="R43" s="235"/>
      <c r="S43" s="235"/>
      <c r="T43" s="235"/>
      <c r="U43" s="235"/>
      <c r="V43" s="235"/>
      <c r="W43" s="97">
        <f>V43/2.1/1000</f>
        <v>0</v>
      </c>
    </row>
    <row r="44" spans="1:26">
      <c r="D44" s="258"/>
      <c r="T44" s="264"/>
      <c r="U44" s="235"/>
      <c r="V44" s="235"/>
    </row>
    <row r="46" spans="1:26">
      <c r="T46" s="235"/>
    </row>
  </sheetData>
  <sheetProtection selectLockedCells="1" selectUnlockedCells="1"/>
  <mergeCells count="8">
    <mergeCell ref="K2:M2"/>
    <mergeCell ref="N2:P2"/>
    <mergeCell ref="T2:V2"/>
    <mergeCell ref="A2:A3"/>
    <mergeCell ref="B2:D2"/>
    <mergeCell ref="E2:G2"/>
    <mergeCell ref="H2:J2"/>
    <mergeCell ref="Q2:S2"/>
  </mergeCells>
  <phoneticPr fontId="0" type="noConversion"/>
  <pageMargins left="0.39370078740157483" right="0.39370078740157483" top="0.78740157480314965" bottom="0.59055118110236227"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dimension ref="A1:L45"/>
  <sheetViews>
    <sheetView showGridLines="0" view="pageBreakPreview" zoomScale="70" zoomScaleNormal="85" zoomScaleSheetLayoutView="70" workbookViewId="0">
      <selection activeCell="C14" sqref="C14"/>
    </sheetView>
  </sheetViews>
  <sheetFormatPr defaultColWidth="9" defaultRowHeight="12.75"/>
  <cols>
    <col min="1" max="1" width="75" style="63" customWidth="1"/>
    <col min="2" max="2" width="17" style="63" bestFit="1" customWidth="1"/>
    <col min="3" max="3" width="18.85546875" style="63" bestFit="1" customWidth="1"/>
    <col min="4" max="4" width="16.5703125" style="63" bestFit="1" customWidth="1"/>
    <col min="5" max="6" width="0" style="64" hidden="1" customWidth="1"/>
    <col min="7" max="7" width="14.5703125" style="64" customWidth="1"/>
    <col min="8" max="8" width="12.5703125" style="64" bestFit="1" customWidth="1"/>
    <col min="9" max="10" width="9" style="64"/>
    <col min="11" max="11" width="14" style="64" bestFit="1" customWidth="1"/>
    <col min="12" max="12" width="11.7109375" style="64" bestFit="1" customWidth="1"/>
    <col min="13" max="16384" width="9" style="64"/>
  </cols>
  <sheetData>
    <row r="1" spans="1:8" ht="27" customHeight="1">
      <c r="A1" s="52" t="s">
        <v>88</v>
      </c>
      <c r="B1" s="53"/>
      <c r="C1" s="53"/>
      <c r="D1" s="65" t="s">
        <v>7</v>
      </c>
    </row>
    <row r="2" spans="1:8">
      <c r="A2" s="867" t="s">
        <v>37</v>
      </c>
      <c r="B2" s="124"/>
      <c r="C2" s="125" t="s">
        <v>38</v>
      </c>
      <c r="D2" s="126"/>
      <c r="E2" s="868" t="s">
        <v>39</v>
      </c>
      <c r="F2" s="869" t="s">
        <v>40</v>
      </c>
    </row>
    <row r="3" spans="1:8">
      <c r="A3" s="867"/>
      <c r="B3" s="121" t="s">
        <v>34</v>
      </c>
      <c r="C3" s="127" t="s">
        <v>35</v>
      </c>
      <c r="D3" s="128" t="s">
        <v>16</v>
      </c>
      <c r="E3" s="868"/>
      <c r="F3" s="869"/>
    </row>
    <row r="4" spans="1:8">
      <c r="A4" s="60" t="s">
        <v>18</v>
      </c>
      <c r="B4" s="238">
        <f>SUM(B5:B7)</f>
        <v>1849619</v>
      </c>
      <c r="C4" s="238">
        <f>SUM(C5:C7)</f>
        <v>0</v>
      </c>
      <c r="D4" s="239">
        <f>SUM(B4:C4)</f>
        <v>1849619</v>
      </c>
      <c r="E4" s="66">
        <v>268650</v>
      </c>
      <c r="F4" s="67">
        <f>D4-E4</f>
        <v>1580969</v>
      </c>
    </row>
    <row r="5" spans="1:8">
      <c r="A5" s="61" t="str">
        <f>'3_Comp e Produtos'!A53</f>
        <v>A1 - Gestão do Projeto</v>
      </c>
      <c r="B5" s="240">
        <f>'10_Distribuição por Fonte'!T41</f>
        <v>1705619</v>
      </c>
      <c r="C5" s="241">
        <f>'10_Distribuição por Fonte'!U41</f>
        <v>0</v>
      </c>
      <c r="D5" s="242">
        <f t="shared" ref="D5:D7" si="0">SUM(B5:C5)</f>
        <v>1705619</v>
      </c>
      <c r="E5" s="68"/>
      <c r="F5" s="67"/>
    </row>
    <row r="6" spans="1:8" ht="13.5" thickBot="1">
      <c r="A6" s="102" t="str">
        <f>'3_Comp e Produtos'!A54</f>
        <v>A2 -Avaliação Independente</v>
      </c>
      <c r="B6" s="243">
        <f>'10_Distribuição por Fonte'!T42</f>
        <v>144000</v>
      </c>
      <c r="C6" s="244">
        <f>'10_Distribuição por Fonte'!U42</f>
        <v>0</v>
      </c>
      <c r="D6" s="245">
        <f t="shared" si="0"/>
        <v>144000</v>
      </c>
      <c r="E6" s="68"/>
      <c r="F6" s="67"/>
    </row>
    <row r="7" spans="1:8" ht="13.5" hidden="1" thickBot="1">
      <c r="A7" s="101" t="s">
        <v>30</v>
      </c>
      <c r="B7" s="246">
        <v>0</v>
      </c>
      <c r="C7" s="247"/>
      <c r="D7" s="245">
        <f t="shared" si="0"/>
        <v>0</v>
      </c>
      <c r="E7" s="68"/>
      <c r="F7" s="67"/>
    </row>
    <row r="8" spans="1:8" ht="22.5" customHeight="1">
      <c r="A8" s="60" t="s">
        <v>19</v>
      </c>
      <c r="B8" s="238">
        <f>SUM(B9:B11)</f>
        <v>28689098</v>
      </c>
      <c r="C8" s="238">
        <f>SUM(C9:C11)</f>
        <v>46122104</v>
      </c>
      <c r="D8" s="238">
        <f>SUM(D9:D11)</f>
        <v>74811202</v>
      </c>
      <c r="E8" s="68">
        <v>7856160</v>
      </c>
      <c r="F8" s="67">
        <f>D8-E8</f>
        <v>66955042</v>
      </c>
    </row>
    <row r="9" spans="1:8" ht="22.5" customHeight="1">
      <c r="A9" s="69" t="str">
        <f>'3_Comp e Produtos'!A6</f>
        <v>COMPONENTE 1: FORTALECIMENTO DA GESTÃO ESTRATÉGICA</v>
      </c>
      <c r="B9" s="248">
        <f>'10_Distribuição por Fonte'!T6</f>
        <v>4265565</v>
      </c>
      <c r="C9" s="248">
        <f>'10_Distribuição por Fonte'!U6</f>
        <v>2815386</v>
      </c>
      <c r="D9" s="249">
        <f>SUM(B9:C9)</f>
        <v>7080951</v>
      </c>
      <c r="E9" s="68"/>
      <c r="F9" s="67"/>
    </row>
    <row r="10" spans="1:8" ht="32.25" customHeight="1">
      <c r="A10" s="69" t="str">
        <f>'3_Comp e Produtos'!A20</f>
        <v>COMPONENTE 2: APRIMORAMENTO DA GESTÃO JURÍDICA DA AGU</v>
      </c>
      <c r="B10" s="248">
        <f>'10_Distribuição por Fonte'!T20</f>
        <v>19434033</v>
      </c>
      <c r="C10" s="248">
        <f>'10_Distribuição por Fonte'!U20</f>
        <v>43045218</v>
      </c>
      <c r="D10" s="249">
        <f t="shared" ref="D10:D11" si="1">SUM(B10:C10)</f>
        <v>62479251</v>
      </c>
      <c r="E10" s="68"/>
      <c r="F10" s="67"/>
    </row>
    <row r="11" spans="1:8" ht="30.75" customHeight="1" thickBot="1">
      <c r="A11" s="69" t="str">
        <f>'3_Comp e Produtos'!A43</f>
        <v>COMPONENTE 3: APRIMORAMENTO DA GESTÃO ADMINISTRATIVA DA AGU</v>
      </c>
      <c r="B11" s="248">
        <f>'10_Distribuição por Fonte'!T33</f>
        <v>4989500</v>
      </c>
      <c r="C11" s="248">
        <f>'10_Distribuição por Fonte'!U33</f>
        <v>261500</v>
      </c>
      <c r="D11" s="249">
        <f t="shared" si="1"/>
        <v>5251000</v>
      </c>
      <c r="E11" s="68"/>
      <c r="F11" s="67"/>
    </row>
    <row r="12" spans="1:8" s="72" customFormat="1">
      <c r="A12" s="129" t="s">
        <v>41</v>
      </c>
      <c r="B12" s="255">
        <f>B4+B8</f>
        <v>30538717</v>
      </c>
      <c r="C12" s="255">
        <f>C4+C8</f>
        <v>46122104</v>
      </c>
      <c r="D12" s="256">
        <f>D4+D8</f>
        <v>76660821</v>
      </c>
      <c r="E12" s="251">
        <f>E4+E8</f>
        <v>8124810</v>
      </c>
      <c r="F12" s="252">
        <f>D12-E12</f>
        <v>68536011</v>
      </c>
      <c r="G12" s="253"/>
    </row>
    <row r="13" spans="1:8" s="72" customFormat="1">
      <c r="A13" s="130" t="s">
        <v>44</v>
      </c>
      <c r="B13" s="104">
        <f>B12/D12</f>
        <v>0.4</v>
      </c>
      <c r="C13" s="104">
        <f>C12/D12</f>
        <v>0.6</v>
      </c>
      <c r="D13" s="131"/>
      <c r="E13" s="70"/>
      <c r="F13" s="71"/>
    </row>
    <row r="14" spans="1:8">
      <c r="A14" s="132" t="s">
        <v>20</v>
      </c>
      <c r="B14" s="248">
        <f>B35*1.8</f>
        <v>241285</v>
      </c>
      <c r="C14" s="248">
        <f>C35*1.8</f>
        <v>119896</v>
      </c>
      <c r="D14" s="257">
        <f>SUM(B14:C14)</f>
        <v>361181</v>
      </c>
      <c r="E14" s="68"/>
      <c r="F14" s="67"/>
    </row>
    <row r="15" spans="1:8" ht="13.5" thickBot="1">
      <c r="A15" s="133" t="s">
        <v>21</v>
      </c>
      <c r="B15" s="282"/>
      <c r="C15" s="283"/>
      <c r="D15" s="368">
        <f>C15</f>
        <v>0</v>
      </c>
      <c r="E15" s="68"/>
      <c r="F15" s="67"/>
    </row>
    <row r="16" spans="1:8" s="73" customFormat="1">
      <c r="A16" s="83" t="s">
        <v>22</v>
      </c>
      <c r="B16" s="250">
        <f>B12+B14</f>
        <v>30780002</v>
      </c>
      <c r="C16" s="250">
        <f>C14+C12</f>
        <v>46242000</v>
      </c>
      <c r="D16" s="254">
        <f>D14+D12</f>
        <v>77022002</v>
      </c>
      <c r="E16" s="68"/>
      <c r="F16" s="67"/>
      <c r="G16" s="366"/>
      <c r="H16" s="366"/>
    </row>
    <row r="17" spans="1:12" ht="13.5" thickBot="1">
      <c r="A17" s="74" t="s">
        <v>44</v>
      </c>
      <c r="B17" s="75">
        <f>B16/D16</f>
        <v>0.4</v>
      </c>
      <c r="C17" s="75">
        <f>C16/D16</f>
        <v>0.6</v>
      </c>
      <c r="D17" s="76">
        <v>1</v>
      </c>
      <c r="E17" s="77"/>
      <c r="F17" s="78"/>
      <c r="H17" s="259"/>
    </row>
    <row r="19" spans="1:12">
      <c r="B19" s="103"/>
    </row>
    <row r="20" spans="1:12">
      <c r="B20" s="103"/>
    </row>
    <row r="21" spans="1:12">
      <c r="K21" s="259"/>
    </row>
    <row r="22" spans="1:12" ht="27" customHeight="1">
      <c r="A22" s="607" t="s">
        <v>94</v>
      </c>
      <c r="B22" s="608" t="s">
        <v>50</v>
      </c>
      <c r="C22" s="609" t="s">
        <v>36</v>
      </c>
      <c r="D22" s="610">
        <f>'8_Consolidação Tipo Recurso'!H19</f>
        <v>1.8</v>
      </c>
    </row>
    <row r="23" spans="1:12">
      <c r="A23" s="870" t="s">
        <v>37</v>
      </c>
      <c r="B23" s="79"/>
      <c r="C23" s="80" t="s">
        <v>23</v>
      </c>
      <c r="D23" s="611"/>
    </row>
    <row r="24" spans="1:12">
      <c r="A24" s="870"/>
      <c r="B24" s="81" t="s">
        <v>34</v>
      </c>
      <c r="C24" s="82" t="s">
        <v>35</v>
      </c>
      <c r="D24" s="612" t="s">
        <v>16</v>
      </c>
      <c r="L24" s="261"/>
    </row>
    <row r="25" spans="1:12" ht="19.5" customHeight="1">
      <c r="A25" s="613" t="s">
        <v>18</v>
      </c>
      <c r="B25" s="238">
        <f>SUM(B26:B28)</f>
        <v>1027566</v>
      </c>
      <c r="C25" s="238">
        <f>SUM(C26:C28)</f>
        <v>0</v>
      </c>
      <c r="D25" s="614">
        <f>SUM(B25:C25)</f>
        <v>1027566</v>
      </c>
      <c r="G25" s="259"/>
    </row>
    <row r="26" spans="1:12" ht="18" customHeight="1">
      <c r="A26" s="615" t="str">
        <f>A5</f>
        <v>A1 - Gestão do Projeto</v>
      </c>
      <c r="B26" s="588">
        <f t="shared" ref="B26:C28" si="2">B5/$D$22</f>
        <v>947566</v>
      </c>
      <c r="C26" s="588">
        <f t="shared" si="2"/>
        <v>0</v>
      </c>
      <c r="D26" s="616">
        <f t="shared" ref="D26:D28" si="3">SUM(B26:C26)</f>
        <v>947566</v>
      </c>
      <c r="G26" s="259"/>
    </row>
    <row r="27" spans="1:12" ht="20.25" customHeight="1" thickBot="1">
      <c r="A27" s="615" t="str">
        <f>A6</f>
        <v>A2 -Avaliação Independente</v>
      </c>
      <c r="B27" s="588">
        <f t="shared" si="2"/>
        <v>80000</v>
      </c>
      <c r="C27" s="588">
        <f t="shared" si="2"/>
        <v>0</v>
      </c>
      <c r="D27" s="617">
        <f t="shared" si="3"/>
        <v>80000</v>
      </c>
      <c r="G27" s="259"/>
      <c r="K27" s="260"/>
    </row>
    <row r="28" spans="1:12" ht="13.5" hidden="1" thickBot="1">
      <c r="A28" s="618" t="s">
        <v>30</v>
      </c>
      <c r="B28" s="588">
        <f t="shared" si="2"/>
        <v>0</v>
      </c>
      <c r="C28" s="588">
        <f t="shared" si="2"/>
        <v>0</v>
      </c>
      <c r="D28" s="619">
        <f t="shared" si="3"/>
        <v>0</v>
      </c>
    </row>
    <row r="29" spans="1:12" ht="17.25" customHeight="1">
      <c r="A29" s="613" t="s">
        <v>19</v>
      </c>
      <c r="B29" s="238">
        <f>SUM(B30:B32)</f>
        <v>15938387</v>
      </c>
      <c r="C29" s="238">
        <f t="shared" ref="C29:D29" si="4">SUM(C30:C32)</f>
        <v>25623391</v>
      </c>
      <c r="D29" s="614">
        <f t="shared" si="4"/>
        <v>41561779</v>
      </c>
      <c r="G29" s="259"/>
    </row>
    <row r="30" spans="1:12" ht="25.5" customHeight="1">
      <c r="A30" s="620" t="str">
        <f>A9</f>
        <v>COMPONENTE 1: FORTALECIMENTO DA GESTÃO ESTRATÉGICA</v>
      </c>
      <c r="B30" s="588">
        <f>B9/1.8</f>
        <v>2369758</v>
      </c>
      <c r="C30" s="588">
        <f t="shared" ref="C30:D30" si="5">C9/1.8</f>
        <v>1564103</v>
      </c>
      <c r="D30" s="257">
        <f t="shared" si="5"/>
        <v>3933862</v>
      </c>
      <c r="G30" s="259"/>
    </row>
    <row r="31" spans="1:12" ht="21" customHeight="1">
      <c r="A31" s="620" t="str">
        <f>A10</f>
        <v>COMPONENTE 2: APRIMORAMENTO DA GESTÃO JURÍDICA DA AGU</v>
      </c>
      <c r="B31" s="588">
        <f t="shared" ref="B31:D32" si="6">B10/1.8</f>
        <v>10796685</v>
      </c>
      <c r="C31" s="588">
        <f t="shared" si="6"/>
        <v>23914010</v>
      </c>
      <c r="D31" s="257">
        <f t="shared" si="6"/>
        <v>34710695</v>
      </c>
      <c r="G31" s="259"/>
    </row>
    <row r="32" spans="1:12" ht="36" customHeight="1" thickBot="1">
      <c r="A32" s="620" t="str">
        <f>A11</f>
        <v>COMPONENTE 3: APRIMORAMENTO DA GESTÃO ADMINISTRATIVA DA AGU</v>
      </c>
      <c r="B32" s="588">
        <f t="shared" si="6"/>
        <v>2771944</v>
      </c>
      <c r="C32" s="588">
        <f t="shared" si="6"/>
        <v>145278</v>
      </c>
      <c r="D32" s="257">
        <f t="shared" si="6"/>
        <v>2917222</v>
      </c>
      <c r="G32" s="259"/>
    </row>
    <row r="33" spans="1:7" ht="21" customHeight="1">
      <c r="A33" s="129" t="s">
        <v>41</v>
      </c>
      <c r="B33" s="255">
        <f>B25+B29</f>
        <v>16965953</v>
      </c>
      <c r="C33" s="255">
        <f>C25+C29</f>
        <v>25623391</v>
      </c>
      <c r="D33" s="256">
        <f>D25+D29</f>
        <v>42589345</v>
      </c>
      <c r="G33" s="259"/>
    </row>
    <row r="34" spans="1:7" s="72" customFormat="1" ht="22.5" customHeight="1">
      <c r="A34" s="130" t="s">
        <v>44</v>
      </c>
      <c r="B34" s="104">
        <f>B33/D33</f>
        <v>0.4</v>
      </c>
      <c r="C34" s="104">
        <f>C33/D33</f>
        <v>0.6</v>
      </c>
      <c r="D34" s="131"/>
      <c r="E34" s="70"/>
      <c r="F34" s="71"/>
      <c r="G34" s="253"/>
    </row>
    <row r="35" spans="1:7" ht="18" customHeight="1">
      <c r="A35" s="132" t="s">
        <v>20</v>
      </c>
      <c r="B35" s="589">
        <v>134047</v>
      </c>
      <c r="C35" s="589">
        <v>66609</v>
      </c>
      <c r="D35" s="590">
        <f>D37-D33</f>
        <v>200655</v>
      </c>
      <c r="G35" s="259"/>
    </row>
    <row r="36" spans="1:7" ht="21" customHeight="1" thickBot="1">
      <c r="A36" s="275" t="s">
        <v>21</v>
      </c>
      <c r="B36" s="280">
        <f>B15/$D$22</f>
        <v>0</v>
      </c>
      <c r="C36" s="280">
        <f>C15/$D$22</f>
        <v>0</v>
      </c>
      <c r="D36" s="281">
        <f>C36</f>
        <v>0</v>
      </c>
      <c r="G36" s="259"/>
    </row>
    <row r="37" spans="1:7">
      <c r="A37" s="276" t="s">
        <v>22</v>
      </c>
      <c r="B37" s="255">
        <f>B33+B35</f>
        <v>17100000</v>
      </c>
      <c r="C37" s="255">
        <f>C35+C33</f>
        <v>25690000</v>
      </c>
      <c r="D37" s="256">
        <v>42790000</v>
      </c>
      <c r="G37" s="259"/>
    </row>
    <row r="38" spans="1:7" ht="13.5" thickBot="1">
      <c r="A38" s="277" t="s">
        <v>44</v>
      </c>
      <c r="B38" s="278">
        <f>B37/D37</f>
        <v>0.4</v>
      </c>
      <c r="C38" s="278">
        <f>C37/D37</f>
        <v>0.6</v>
      </c>
      <c r="D38" s="279">
        <v>1</v>
      </c>
      <c r="G38" s="259">
        <f>17200000-B37</f>
        <v>100000</v>
      </c>
    </row>
    <row r="39" spans="1:7">
      <c r="A39" s="284"/>
      <c r="B39" s="285"/>
      <c r="C39" s="142"/>
      <c r="D39" s="103"/>
    </row>
    <row r="40" spans="1:7">
      <c r="A40" s="286"/>
      <c r="B40" s="262"/>
      <c r="C40" s="262"/>
      <c r="D40" s="103"/>
    </row>
    <row r="41" spans="1:7">
      <c r="A41" s="286"/>
      <c r="B41" s="142"/>
    </row>
    <row r="42" spans="1:7">
      <c r="A42" s="286"/>
      <c r="B42" s="263"/>
      <c r="C42" s="142"/>
      <c r="D42" s="367"/>
    </row>
    <row r="43" spans="1:7">
      <c r="A43" s="286"/>
      <c r="B43" s="105"/>
    </row>
    <row r="44" spans="1:7">
      <c r="C44" s="263"/>
    </row>
    <row r="45" spans="1:7">
      <c r="B45" s="142"/>
      <c r="C45" s="263"/>
    </row>
  </sheetData>
  <mergeCells count="4">
    <mergeCell ref="A2:A3"/>
    <mergeCell ref="E2:E3"/>
    <mergeCell ref="F2:F3"/>
    <mergeCell ref="A23:A24"/>
  </mergeCells>
  <phoneticPr fontId="0" type="noConversion"/>
  <conditionalFormatting sqref="B25:C25 B4:C4">
    <cfRule type="cellIs" dxfId="1" priority="2" stopIfTrue="1" operator="notEqual">
      <formula>$D$4*"'10_Orçamento Global'.$#REF!$#REF!"</formula>
    </cfRule>
  </conditionalFormatting>
  <conditionalFormatting sqref="B11:C11 B8:C9 C10:C11 C8:D8 B29:D29">
    <cfRule type="cellIs" dxfId="0" priority="3" stopIfTrue="1" operator="notEqual">
      <formula>$D$8*"'10_Orçamento Global'.$#REF!$#REF!"</formula>
    </cfRule>
  </conditionalFormatting>
  <printOptions horizontalCentered="1"/>
  <pageMargins left="0.39370078740157483" right="0.39370078740157483" top="0.78740157480314965" bottom="0.59055118110236227" header="0.31496062992125984" footer="0.31496062992125984"/>
  <pageSetup paperSize="9" scale="77" firstPageNumber="0" orientation="landscape" r:id="rId1"/>
  <headerFooter>
    <oddHeader>&amp;LBID Modernização da AGU&amp;C
&amp;"Arial,Negrito"PLANO DE AÇÃO E DE INVESTIMENTOS - PAI</oddHeader>
    <oddFooter>&amp;L&amp;D&amp;C&amp;A&amp;R&amp;P / &amp;N</oddFooter>
  </headerFooter>
</worksheet>
</file>

<file path=xl/worksheets/sheet12.xml><?xml version="1.0" encoding="utf-8"?>
<worksheet xmlns="http://schemas.openxmlformats.org/spreadsheetml/2006/main" xmlns:r="http://schemas.openxmlformats.org/officeDocument/2006/relationships">
  <sheetPr>
    <tabColor rgb="FFFF0000"/>
  </sheetPr>
  <dimension ref="A1:K40"/>
  <sheetViews>
    <sheetView showGridLines="0" topLeftCell="A22" zoomScale="70" zoomScaleNormal="70" workbookViewId="0">
      <selection activeCell="H40" sqref="H40"/>
    </sheetView>
  </sheetViews>
  <sheetFormatPr defaultColWidth="9.140625" defaultRowHeight="12.75"/>
  <cols>
    <col min="1" max="1" width="46.85546875" style="12" customWidth="1"/>
    <col min="2" max="2" width="36.28515625" hidden="1" customWidth="1"/>
    <col min="3" max="3" width="35.5703125" hidden="1" customWidth="1"/>
    <col min="4" max="4" width="10.85546875" customWidth="1"/>
    <col min="5" max="5" width="11.140625" customWidth="1"/>
    <col min="6" max="6" width="13.7109375" customWidth="1"/>
    <col min="7" max="7" width="15" customWidth="1"/>
    <col min="8" max="8" width="14.85546875" customWidth="1"/>
    <col min="9" max="9" width="11.85546875" customWidth="1"/>
    <col min="10" max="10" width="14" customWidth="1"/>
    <col min="11" max="11" width="15.7109375" customWidth="1"/>
  </cols>
  <sheetData>
    <row r="1" spans="1:11" ht="28.5" customHeight="1" thickBot="1">
      <c r="A1" s="529" t="s">
        <v>89</v>
      </c>
      <c r="B1" s="460"/>
      <c r="C1" s="527"/>
      <c r="D1" s="527"/>
      <c r="E1" s="527"/>
      <c r="F1" s="527"/>
      <c r="G1" s="527"/>
      <c r="H1" s="527"/>
      <c r="I1" s="527"/>
      <c r="J1" s="527"/>
      <c r="K1" s="528"/>
    </row>
    <row r="2" spans="1:11" ht="13.5" customHeight="1" thickBot="1">
      <c r="A2" s="876" t="s">
        <v>72</v>
      </c>
      <c r="B2" s="878" t="s">
        <v>4</v>
      </c>
      <c r="C2" s="873" t="s">
        <v>5</v>
      </c>
      <c r="D2" s="873" t="s">
        <v>71</v>
      </c>
      <c r="E2" s="873" t="s">
        <v>54</v>
      </c>
      <c r="F2" s="873" t="s">
        <v>97</v>
      </c>
      <c r="G2" s="873" t="s">
        <v>68</v>
      </c>
      <c r="H2" s="873" t="s">
        <v>67</v>
      </c>
      <c r="I2" s="873"/>
      <c r="J2" s="873" t="s">
        <v>66</v>
      </c>
      <c r="K2" s="875"/>
    </row>
    <row r="3" spans="1:11" ht="13.5" thickBot="1">
      <c r="A3" s="877"/>
      <c r="B3" s="879"/>
      <c r="C3" s="874"/>
      <c r="D3" s="874"/>
      <c r="E3" s="874"/>
      <c r="F3" s="874"/>
      <c r="G3" s="874"/>
      <c r="H3" s="621" t="s">
        <v>62</v>
      </c>
      <c r="I3" s="621" t="s">
        <v>96</v>
      </c>
      <c r="J3" s="621" t="s">
        <v>62</v>
      </c>
      <c r="K3" s="155" t="s">
        <v>65</v>
      </c>
    </row>
    <row r="4" spans="1:11" ht="12" customHeight="1" thickBot="1"/>
    <row r="5" spans="1:11" ht="13.5" hidden="1" thickBot="1"/>
    <row r="6" spans="1:11" ht="26.25" customHeight="1" thickBot="1">
      <c r="A6" s="880" t="str">
        <f>'3_Comp e Produtos'!A6</f>
        <v>COMPONENTE 1: FORTALECIMENTO DA GESTÃO ESTRATÉGICA</v>
      </c>
      <c r="B6" s="881"/>
      <c r="C6" s="881"/>
      <c r="D6" s="881"/>
      <c r="E6" s="882"/>
      <c r="F6" s="639">
        <f>SUM(F7:F17)</f>
        <v>6259950</v>
      </c>
      <c r="G6" s="639">
        <f>SUM(G7:G17)</f>
        <v>4453867</v>
      </c>
      <c r="H6" s="639">
        <f>SUM(H7:H17)</f>
        <v>2854928</v>
      </c>
      <c r="I6" s="639">
        <f t="shared" ref="I6:K6" si="0">SUM(I7:I14)</f>
        <v>0</v>
      </c>
      <c r="J6" s="639">
        <f>SUM(J7:J17)</f>
        <v>1598939</v>
      </c>
      <c r="K6" s="640">
        <f t="shared" si="0"/>
        <v>0</v>
      </c>
    </row>
    <row r="7" spans="1:11" ht="69.75" customHeight="1">
      <c r="A7" s="117" t="str">
        <f>'9_Cronograma Físico'!A7</f>
        <v>1.1. Plano de ação para a implementação da estratégia para melhorar a defesa jurídica do Estado e o papel da AGU na sustentabilidade jurídica das políticas públicas incluindo a avaliação dos riscos para o Estado (Diretrizes Estratégicas 2008/2015)</v>
      </c>
      <c r="B7" s="266" t="str">
        <f>IF($A7&lt;&gt;"NÃO SELECIONADO",'4_Componente 1'!B5,"")</f>
        <v>1. Seleção e Contratação de consultoria para:
(i) Definição da metodologia (prioridades, escopo, capacitação, ferramentas);
(ii) Elaboração do plano de desdobramento estratégico e de implementação da estratégia;
(iii) Proposta de comunicação interna e externa.
2. Entrega e validação do plano de ação.
3. Implementação do plano de ação.</v>
      </c>
      <c r="C7" s="266">
        <f>IF($A7&lt;&gt;"NÃO SELECIONADO",'4_Componente 1'!C5,"")</f>
        <v>0</v>
      </c>
      <c r="D7" s="267">
        <f>'9_Cronograma Físico'!B7</f>
        <v>41000</v>
      </c>
      <c r="E7" s="267">
        <f>IF($A7&lt;&gt;"NÃO SELECIONADO",'9_Cronograma Físico'!D7,"")</f>
        <v>41174</v>
      </c>
      <c r="F7" s="369">
        <f>IF($A7&lt;&gt;"NÃO SELECIONADO",'9_Cronograma Físico'!AC7,"")</f>
        <v>689200</v>
      </c>
      <c r="G7" s="268">
        <f>SUM('9_Cronograma Físico'!AH7:AL7)</f>
        <v>689200</v>
      </c>
      <c r="H7" s="268">
        <f>G7-J7</f>
        <v>432000</v>
      </c>
      <c r="I7" s="268">
        <v>0</v>
      </c>
      <c r="J7" s="370">
        <f>'10_Distribuição por Fonte'!C7+'10_Distribuição por Fonte'!F7</f>
        <v>257200</v>
      </c>
      <c r="K7" s="269">
        <v>0</v>
      </c>
    </row>
    <row r="8" spans="1:11" ht="52.5" customHeight="1">
      <c r="A8" s="143" t="str">
        <f>IF('3_Comp e Produtos'!F8="Sim",'3_Comp e Produtos'!A8,"NÃO SELECIONADO")</f>
        <v>1.2 Monitoramento estratégico dos créditos ativos e riscos para o Estado</v>
      </c>
      <c r="B8" s="153" t="str">
        <f>IF($A8&lt;&gt;"NÃO SELECIONADO",'4_Componente 1'!B10,"")</f>
        <v xml:space="preserve">1. Conclusão do Projeto Lógico dos módulos do sistema Sisdat: pré-inscrição, inscrição, pagamento, parcelamento de créditos;
2. Seleção e Contratação de consultoria para Prospecção de boas práticas em gerenciamento de riscos: (i) para troca de experiências nacionais e internacionais; (ii) análises de viabilidade de implementação de melhorias no sistema existente e integração ao e-AGU; 
3.  Projeto Lógico do Sistema de gestão de riscos elaborado.
</v>
      </c>
      <c r="C8" s="153">
        <f>IF($A8&lt;&gt;"NÃO SELECIONADO",'4_Componente 1'!C10,"")</f>
        <v>0</v>
      </c>
      <c r="D8" s="267">
        <f>IF($A8&lt;&gt;"NÃO SELECIONADO",'9_Cronograma Físico'!B8,"")</f>
        <v>41183</v>
      </c>
      <c r="E8" s="267">
        <f>IF($A8&lt;&gt;"NÃO SELECIONADO",'9_Cronograma Físico'!D8,"")</f>
        <v>41270</v>
      </c>
      <c r="F8" s="369">
        <f>IF($A8&lt;&gt;"NÃO SELECIONADO",'9_Cronograma Físico'!AC8,"")</f>
        <v>618000</v>
      </c>
      <c r="G8" s="268">
        <f>SUM('9_Cronograma Físico'!AH8:AL8)</f>
        <v>618000</v>
      </c>
      <c r="H8" s="268">
        <f t="shared" ref="H8:H14" si="1">G8-J8</f>
        <v>480000</v>
      </c>
      <c r="I8" s="268">
        <v>0</v>
      </c>
      <c r="J8" s="370">
        <f>'10_Distribuição por Fonte'!C8+'10_Distribuição por Fonte'!F8</f>
        <v>138000</v>
      </c>
      <c r="K8" s="269">
        <v>0</v>
      </c>
    </row>
    <row r="9" spans="1:11" ht="57" customHeight="1">
      <c r="A9" s="143" t="str">
        <f>IF('3_Comp e Produtos'!F10="Sim",'3_Comp e Produtos'!A10,"NÃO SELECIONADO")</f>
        <v>1.4. Sistema de indicadores, metas e avaliação da gestão por resultados</v>
      </c>
      <c r="B9" s="153" t="str">
        <f>IF($A9&lt;&gt;"NÃO SELECIONADO",'4_Componente 1'!B20,"")</f>
        <v>1. Seleção e Contratação de consultoria para: 
(i) prospecção de boas práticas nos setores público e privado, incluindo troca de experiências internacionais;
(ii) elaboração dos indicadores e metas de gestão;
(iii) Prospecção de soluções informatizadas.
2. Entrega e validação.</v>
      </c>
      <c r="C9" s="153">
        <f>IF($A9&lt;&gt;"NÃO SELECIONADO",'4_Componente 1'!C20,"")</f>
        <v>0</v>
      </c>
      <c r="D9" s="267">
        <f>IF($A9&lt;&gt;"NÃO SELECIONADO",'9_Cronograma Físico'!B10,"")</f>
        <v>41275</v>
      </c>
      <c r="E9" s="267">
        <f>IF($A9&lt;&gt;"NÃO SELECIONADO",'9_Cronograma Físico'!D10,"")</f>
        <v>41362</v>
      </c>
      <c r="F9" s="369">
        <f>IF($A9&lt;&gt;"NÃO SELECIONADO",'9_Cronograma Físico'!AC10,"")</f>
        <v>256500</v>
      </c>
      <c r="G9" s="268">
        <f>H9+J9</f>
        <v>256500</v>
      </c>
      <c r="H9" s="268">
        <v>144000</v>
      </c>
      <c r="I9" s="268">
        <v>0</v>
      </c>
      <c r="J9" s="370">
        <f>'10_Distribuição por Fonte'!C10+'10_Distribuição por Fonte'!F10</f>
        <v>112500</v>
      </c>
      <c r="K9" s="269">
        <v>0</v>
      </c>
    </row>
    <row r="10" spans="1:11" ht="56.25" customHeight="1">
      <c r="A10" s="143" t="str">
        <f>IF('3_Comp e Produtos'!F12="Sim",'3_Comp e Produtos'!A12,"NÃO SELECIONADO")</f>
        <v>1.6. Criação de uma unidade de gestão do conhecimento</v>
      </c>
      <c r="B10" s="153" t="str">
        <f>IF($A10&lt;&gt;"NÃO SELECIONADO",'4_Componente 1'!B30,"")</f>
        <v>1. Seleção e Contratação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Entrega e validação
3. Resolução de criação da unidade.</v>
      </c>
      <c r="C10" s="153">
        <f>IF($A10&lt;&gt;"NÃO SELECIONADO",'4_Componente 1'!C30,"")</f>
        <v>0</v>
      </c>
      <c r="D10" s="267">
        <f>IF($A10&lt;&gt;"NÃO SELECIONADO",'9_Cronograma Físico'!B12,"")</f>
        <v>41091</v>
      </c>
      <c r="E10" s="267">
        <f>IF($A10&lt;&gt;"NÃO SELECIONADO",'9_Cronograma Físico'!D12,"")</f>
        <v>41178</v>
      </c>
      <c r="F10" s="369">
        <f>IF($A10&lt;&gt;"NÃO SELECIONADO",'9_Cronograma Físico'!AC12,"")</f>
        <v>39250</v>
      </c>
      <c r="G10" s="268">
        <f>SUM('9_Cronograma Físico'!AH12:AL12)</f>
        <v>39250</v>
      </c>
      <c r="H10" s="268">
        <f t="shared" si="1"/>
        <v>36000</v>
      </c>
      <c r="I10" s="268">
        <v>0</v>
      </c>
      <c r="J10" s="370">
        <f>'10_Distribuição por Fonte'!C12+'10_Distribuição por Fonte'!F12</f>
        <v>3250</v>
      </c>
      <c r="K10" s="269">
        <v>0</v>
      </c>
    </row>
    <row r="11" spans="1:11" ht="54.75" customHeight="1">
      <c r="A11" s="143" t="str">
        <f>IF('3_Comp e Produtos'!F13="Sim",'3_Comp e Produtos'!A13,"NÃO SELECIONADO")</f>
        <v>1.7. Instalar uma ferramenta de BI incluindo recursos para Text Mining e Data Mining</v>
      </c>
      <c r="B11" s="153" t="str">
        <f>IF($A11&lt;&gt;"NÃO SELECIONADO",'4_Componente 1'!B35,"")</f>
        <v>1. Seleção e Contratação de consultoria para: 
(i) Prospecção de ferramentas existentes no mercado.
(ii) Levantamento das necessidades de recursos tecnológicos e técnicos da GTI. 
(iii) Elaboração de termos de referência para a contratação da ferramenta; 
2. Entrega e validação.
3. Aquisição da solução e de recursos tecnológicos necessários (incluindo instalação e capacitação da área de TI). 
4. Instalação e adequação da ferramenta (incluindo a regulamentação de uso). 
5. Avaliação da ferramenta.
6. Capacitação dos servidores.</v>
      </c>
      <c r="C11" s="153">
        <f>IF($A11&lt;&gt;"NÃO SELECIONADO",'4_Componente 1'!C35,"")</f>
        <v>0</v>
      </c>
      <c r="D11" s="267">
        <f>IF($A11&lt;&gt;"NÃO SELECIONADO",'9_Cronograma Físico'!B13,"")</f>
        <v>41275</v>
      </c>
      <c r="E11" s="267">
        <f>IF($A11&lt;&gt;"NÃO SELECIONADO",'9_Cronograma Físico'!D13,"")</f>
        <v>41995</v>
      </c>
      <c r="F11" s="369">
        <f>IF($A11&lt;&gt;"NÃO SELECIONADO",'9_Cronograma Físico'!AC13,"")</f>
        <v>605000</v>
      </c>
      <c r="G11" s="268">
        <f>H11+J11</f>
        <v>302250</v>
      </c>
      <c r="H11" s="268">
        <v>151000</v>
      </c>
      <c r="I11" s="268">
        <v>0</v>
      </c>
      <c r="J11" s="370">
        <f>'10_Distribuição por Fonte'!C13+'10_Distribuição por Fonte'!F13</f>
        <v>151250</v>
      </c>
      <c r="K11" s="269">
        <v>0</v>
      </c>
    </row>
    <row r="12" spans="1:11" ht="47.25" customHeight="1">
      <c r="A12" s="143" t="str">
        <f>IF('3_Comp e Produtos'!F14="Sim",'3_Comp e Produtos'!A14,"NÃO SELECIONADO")</f>
        <v>1.8. Criação do Escritório de Processos</v>
      </c>
      <c r="B12" s="153" t="str">
        <f>IF($A12&lt;&gt;"NÃO SELECIONADO",'4_Componente 1'!B40,"")</f>
        <v>1. Seleção e Contratação de consultoria para:
(i) Prospecção e "Benchmarking";
(ii) Definição das atribuições do Escritório;
(iii) Definição da estrutura do Escritório e sua vinculação;
(iv) Definição dos recursos;
2. Entrega e validação
3. Instituição do Escritório de  Processos</v>
      </c>
      <c r="C12" s="153">
        <f>IF($A12&lt;&gt;"NÃO SELECIONADO",'4_Componente 1'!C40,"")</f>
        <v>0</v>
      </c>
      <c r="D12" s="267">
        <f>IF($A12&lt;&gt;"NÃO SELECIONADO",'9_Cronograma Físico'!B14,"")</f>
        <v>40909</v>
      </c>
      <c r="E12" s="267">
        <f>IF($A12&lt;&gt;"NÃO SELECIONADO",'9_Cronograma Físico'!D14,"")</f>
        <v>40996</v>
      </c>
      <c r="F12" s="369">
        <f>IF($A12&lt;&gt;"NÃO SELECIONADO",'9_Cronograma Físico'!AC14,"")</f>
        <v>36000</v>
      </c>
      <c r="G12" s="268">
        <f>SUM('9_Cronograma Físico'!AH14:AL14)</f>
        <v>36000</v>
      </c>
      <c r="H12" s="268">
        <f t="shared" si="1"/>
        <v>36000</v>
      </c>
      <c r="I12" s="268">
        <v>0</v>
      </c>
      <c r="J12" s="370">
        <f>'10_Distribuição por Fonte'!C14+'10_Distribuição por Fonte'!F14</f>
        <v>0</v>
      </c>
      <c r="K12" s="269">
        <v>0</v>
      </c>
    </row>
    <row r="13" spans="1:11" ht="54.75" customHeight="1">
      <c r="A13" s="143" t="str">
        <f>IF('3_Comp e Produtos'!F15="Sim",'3_Comp e Produtos'!A15,"NÃO SELECIONADO")</f>
        <v>1.9. Modelo dinâmico de gerência, controle, otimização, integração e sustentabilidade dos processos operacionais e de gestão</v>
      </c>
      <c r="B13" s="153" t="str">
        <f>IF($A13&lt;&gt;"NÃO SELECIONADO",'4_Componente 1'!B45,"")</f>
        <v xml:space="preserve">1. Seleção e Contratação de consultoria para: 
(i) Definição da Metodologia; 
(ii) Definição da Ferramenta; 
(iii) Definição do modelo de capacitação; 
(iv) Plano de Implementação gradual 
2. Entrega e validação.
3. Aquisição de ferramenta de modelagem;
4. Implementar metodologia.
5. Avaliação da implementação e sugestões de melhoria.
</v>
      </c>
      <c r="C13" s="153">
        <f>IF($A13&lt;&gt;"NÃO SELECIONADO",'4_Componente 1'!C45,"")</f>
        <v>0</v>
      </c>
      <c r="D13" s="267">
        <f>IF($A13&lt;&gt;"NÃO SELECIONADO",'9_Cronograma Físico'!B15,"")</f>
        <v>40909</v>
      </c>
      <c r="E13" s="267">
        <f>IF($A13&lt;&gt;"NÃO SELECIONADO",'9_Cronograma Físico'!D15,"")</f>
        <v>40996</v>
      </c>
      <c r="F13" s="369">
        <f>IF($A13&lt;&gt;"NÃO SELECIONADO",'9_Cronograma Físico'!AC15,"")</f>
        <v>836000</v>
      </c>
      <c r="G13" s="268">
        <f>SUM('9_Cronograma Físico'!AH15:AL15)</f>
        <v>836000</v>
      </c>
      <c r="H13" s="268">
        <f t="shared" si="1"/>
        <v>144000</v>
      </c>
      <c r="I13" s="268">
        <v>0</v>
      </c>
      <c r="J13" s="370">
        <f>'10_Distribuição por Fonte'!C15+'10_Distribuição por Fonte'!F15</f>
        <v>692000</v>
      </c>
      <c r="K13" s="269">
        <v>0</v>
      </c>
    </row>
    <row r="14" spans="1:11" ht="48.75" customHeight="1">
      <c r="A14" s="143" t="str">
        <f>IF('3_Comp e Produtos'!F16="Sim",'3_Comp e Produtos'!A16,"NÃO SELECIONADO")</f>
        <v>1.10. Unidade responsável pela definição e monitoramento dos projetos institucionais (Escitório de Gestão de Projetos)</v>
      </c>
      <c r="B14" s="153" t="str">
        <f>IF($A14&lt;&gt;"NÃO SELECIONADO",'4_Componente 1'!B65,"")</f>
        <v>1. Seleção e Contratação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Entrega e validação
3. Seleção e Contratação de consultoria para: 
(i) Implementação das primeiras ações do plano de gestão da mudança.
4. Entrega e validação da política e do plano gestão das mudança.
5. Continuação de consultoria para: 
(i) Implementação do plano das estratégias e iniciativas de mudanças.
6. Entrega e validação
7. Seleção e Contratação de consultoria para: 
(i) Avaliação da implementação e dos resultados das iniciativas de gestão de mudanças;
(ii) Análise das ações e proposta de melhorias nas ações de gestão das mudanças.
8. Entrega e validação da análise das ações e do plano de gestão da mudança.</v>
      </c>
      <c r="C14" s="153">
        <f>IF($A14&lt;&gt;"NÃO SELECIONADO",'4_Componente 1'!C65,"")</f>
        <v>0</v>
      </c>
      <c r="D14" s="267">
        <f>IF($A14&lt;&gt;"NÃO SELECIONADO",'9_Cronograma Físico'!B16,"")</f>
        <v>40909</v>
      </c>
      <c r="E14" s="267">
        <f>IF($A14&lt;&gt;"NÃO SELECIONADO",'9_Cronograma Físico'!D16,"")</f>
        <v>40996</v>
      </c>
      <c r="F14" s="369">
        <f>IF($A14&lt;&gt;"NÃO SELECIONADO",'9_Cronograma Físico'!AC16,"")</f>
        <v>528000</v>
      </c>
      <c r="G14" s="268">
        <f>SUM('9_Cronograma Físico'!AH16:AL16)</f>
        <v>528000</v>
      </c>
      <c r="H14" s="268">
        <f t="shared" si="1"/>
        <v>286713</v>
      </c>
      <c r="I14" s="268">
        <v>0</v>
      </c>
      <c r="J14" s="370">
        <f>'10_Distribuição por Fonte'!C16+'10_Distribuição por Fonte'!F16</f>
        <v>241287</v>
      </c>
      <c r="K14" s="269">
        <v>0</v>
      </c>
    </row>
    <row r="15" spans="1:11" ht="38.25">
      <c r="A15" s="143" t="str">
        <f>IF('3_Comp e Produtos'!F17="Sim",'3_Comp e Produtos'!A17,"NÃO SELECIONADO")</f>
        <v>1.11. Política de comunicação das mudanças aos cidadãos, sobre as ações previstas no Projeto, desenhada e implementada</v>
      </c>
      <c r="B15" s="153">
        <f>IF($A15&lt;&gt;"NÃO SELECIONADO",'4_Componente 1'!B66,"")</f>
        <v>0</v>
      </c>
      <c r="C15" s="153">
        <f>IF($A15&lt;&gt;"NÃO SELECIONADO",'4_Componente 1'!C66,"")</f>
        <v>0</v>
      </c>
      <c r="D15" s="267">
        <f>IF($A15&lt;&gt;"NÃO SELECIONADO",'9_Cronograma Físico'!B17,"")</f>
        <v>41000</v>
      </c>
      <c r="E15" s="267">
        <f>IF($A15&lt;&gt;"NÃO SELECIONADO",'9_Cronograma Físico'!D17,"")</f>
        <v>42620</v>
      </c>
      <c r="F15" s="369">
        <f>IF($A15&lt;&gt;"NÃO SELECIONADO",'9_Cronograma Físico'!AC17,"")</f>
        <v>1467500</v>
      </c>
      <c r="G15" s="268">
        <f>H15+J15</f>
        <v>570694</v>
      </c>
      <c r="H15" s="268">
        <f>244583+322659</f>
        <v>567242</v>
      </c>
      <c r="I15" s="268">
        <v>0</v>
      </c>
      <c r="J15" s="370">
        <f>'10_Distribuição por Fonte'!C17+'10_Distribuição por Fonte'!F17</f>
        <v>3452</v>
      </c>
      <c r="K15" s="269">
        <v>0</v>
      </c>
    </row>
    <row r="16" spans="1:11" ht="36" customHeight="1">
      <c r="A16" s="143" t="str">
        <f>IF('3_Comp e Produtos'!F18="Sim",'3_Comp e Produtos'!A18,"NÃO SELECIONADO")</f>
        <v>1.12. Plano de comunicação interna de mudanças desenhado e implementado</v>
      </c>
      <c r="B16" s="153">
        <f>IF($A16&lt;&gt;"NÃO SELECIONADO",'4_Componente 1'!B67,"")</f>
        <v>0</v>
      </c>
      <c r="C16" s="153">
        <f>IF($A16&lt;&gt;"NÃO SELECIONADO",'4_Componente 1'!C67,"")</f>
        <v>0</v>
      </c>
      <c r="D16" s="267">
        <f>IF($A16&lt;&gt;"NÃO SELECIONADO",'9_Cronograma Físico'!B18,"")</f>
        <v>41000</v>
      </c>
      <c r="E16" s="267">
        <f>IF($A16&lt;&gt;"NÃO SELECIONADO",'9_Cronograma Físico'!D18,"")</f>
        <v>42620</v>
      </c>
      <c r="F16" s="369">
        <f>IF($A16&lt;&gt;"NÃO SELECIONADO",'9_Cronograma Físico'!AC18,"")</f>
        <v>992500</v>
      </c>
      <c r="G16" s="268">
        <f>H16</f>
        <v>385973</v>
      </c>
      <c r="H16" s="268">
        <f>165417+220556</f>
        <v>385973</v>
      </c>
      <c r="I16" s="268">
        <v>0</v>
      </c>
      <c r="J16" s="370">
        <f>'10_Distribuição por Fonte'!C18+'10_Distribuição por Fonte'!F18</f>
        <v>0</v>
      </c>
      <c r="K16" s="269">
        <v>0</v>
      </c>
    </row>
    <row r="17" spans="1:11" ht="49.5" customHeight="1" thickBot="1">
      <c r="A17" s="143" t="str">
        <f>IF('3_Comp e Produtos'!F19="Sim",'3_Comp e Produtos'!A19,"NÃO SELECIONADO")</f>
        <v>1.13. Plano de Gestão da Mudança desenhado e implementado</v>
      </c>
      <c r="B17" s="153">
        <f>IF($A17&lt;&gt;"NÃO SELECIONADO",'4_Componente 1'!B68,"")</f>
        <v>0</v>
      </c>
      <c r="C17" s="153">
        <f>IF($A17&lt;&gt;"NÃO SELECIONADO",'4_Componente 1'!C68,"")</f>
        <v>0</v>
      </c>
      <c r="D17" s="267">
        <f>IF($A17&lt;&gt;"NÃO SELECIONADO",'9_Cronograma Físico'!B19,"")</f>
        <v>40909</v>
      </c>
      <c r="E17" s="267">
        <f>IF($A17&lt;&gt;"NÃO SELECIONADO",'9_Cronograma Físico'!D19,"")</f>
        <v>41083</v>
      </c>
      <c r="F17" s="369">
        <f>IF($A17&lt;&gt;"NÃO SELECIONADO",'9_Cronograma Físico'!AC19,"")</f>
        <v>192000</v>
      </c>
      <c r="G17" s="268">
        <f>SUM('9_Cronograma Físico'!AH19:AL19)</f>
        <v>192000</v>
      </c>
      <c r="H17" s="268">
        <f t="shared" ref="H17" si="2">G17-J17</f>
        <v>192000</v>
      </c>
      <c r="I17" s="268">
        <v>0</v>
      </c>
      <c r="J17" s="370">
        <f>'10_Distribuição por Fonte'!C19+'10_Distribuição por Fonte'!F19</f>
        <v>0</v>
      </c>
      <c r="K17" s="269">
        <v>0</v>
      </c>
    </row>
    <row r="18" spans="1:11" ht="31.5" customHeight="1" thickBot="1">
      <c r="A18" s="880" t="str">
        <f>'3_Comp e Produtos'!A20</f>
        <v>COMPONENTE 2: APRIMORAMENTO DA GESTÃO JURÍDICA DA AGU</v>
      </c>
      <c r="B18" s="881"/>
      <c r="C18" s="881"/>
      <c r="D18" s="881"/>
      <c r="E18" s="882"/>
      <c r="F18" s="639">
        <f>SUM(F19:F30)</f>
        <v>62129250</v>
      </c>
      <c r="G18" s="639">
        <f t="shared" ref="G18:K18" si="3">SUM(G19:G30)</f>
        <v>26184776</v>
      </c>
      <c r="H18" s="639">
        <f t="shared" si="3"/>
        <v>6427937</v>
      </c>
      <c r="I18" s="639">
        <f t="shared" si="3"/>
        <v>0</v>
      </c>
      <c r="J18" s="639">
        <f t="shared" si="3"/>
        <v>19756839</v>
      </c>
      <c r="K18" s="640">
        <f t="shared" si="3"/>
        <v>0</v>
      </c>
    </row>
    <row r="19" spans="1:11" ht="37.5" customHeight="1">
      <c r="A19" s="117" t="str">
        <f>'3_Comp e Produtos'!A21</f>
        <v>2.1. Fluxos de trabalho Contenciosos da Administração Direta modelados e implantados</v>
      </c>
      <c r="B19" s="266" t="str">
        <f>IF($A19&lt;&gt;"NÃO SELECIONADO",'5_Componente 2'!B5,"")</f>
        <v xml:space="preserve">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Entrega e validação do documento contendo o novo modelo de trabalho e plano de implementação
3. Seleção e Contratação de consultoria para:                            
(i) Harmonização de conceitos com o judiciário 
(ii) Definição do mecanimso de disseminação do novo modelo de trabalho com formação de multiplicadores
4. Entrega e validação  do documento com análise de desenvolvimento do modelo 
5. Normatização do novo modelo (AGU)
6. Contratação de consultoria 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Entrega e validação do produto.
8. Implementação do novo modelo.
                          </v>
      </c>
      <c r="C19" s="266">
        <f>IF($A19&lt;&gt;"NÃO SELECIONADO",'5_Componente 2'!C5,"")</f>
        <v>0</v>
      </c>
      <c r="D19" s="267">
        <f>IF($A19&lt;&gt;"NÃO SELECIONADO",'9_Cronograma Físico'!B21,"")</f>
        <v>41000</v>
      </c>
      <c r="E19" s="267">
        <f>IF($A19&lt;&gt;"NÃO SELECIONADO",'9_Cronograma Físico'!D21,"")</f>
        <v>42620</v>
      </c>
      <c r="F19" s="369">
        <f>IF($A19&lt;&gt;"NÃO SELECIONADO",'9_Cronograma Físico'!AC21,"")</f>
        <v>3316500</v>
      </c>
      <c r="G19" s="268">
        <v>1289750</v>
      </c>
      <c r="H19" s="268">
        <v>1089750</v>
      </c>
      <c r="I19" s="268">
        <v>0</v>
      </c>
      <c r="J19" s="370">
        <f>'10_Distribuição por Fonte'!C21+'10_Distribuição por Fonte'!F21</f>
        <v>200000</v>
      </c>
      <c r="K19" s="269">
        <v>0</v>
      </c>
    </row>
    <row r="20" spans="1:11" ht="48" customHeight="1">
      <c r="A20" s="117" t="str">
        <f>IF('3_Comp e Produtos'!F22="Sim",'3_Comp e Produtos'!A22,"NÃO SELECIONADO")</f>
        <v>2.2. Fluxos de trabalho de Consultoria e Assessoramento Jurídicos na Administração Direta modelados e implantados</v>
      </c>
      <c r="B20" s="266" t="str">
        <f>IF($A20&lt;&gt;"NÃO SELECIONADO",'5_Componente 2'!B10,"")</f>
        <v xml:space="preserve">1. Seleção e Contratação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Entrega e validação do documento contendo o novo modelo de trabalho e plano de implementação gradual.  
3. Implementação do piloto do novo modelo de consultoria e assessoramento; Disseminação do novo modelo de trabalho. 
4. Seleção e Contratação de consultoria para avaliação da implementação do piloto e demais etapas da implementação
6. Entrega e validação do documento </v>
      </c>
      <c r="C20" s="266">
        <f>IF($A20&lt;&gt;"NÃO SELECIONADO",'5_Componente 2'!C10,"")</f>
        <v>0</v>
      </c>
      <c r="D20" s="267">
        <f>IF($A20&lt;&gt;"NÃO SELECIONADO",'9_Cronograma Físico'!B22,"")</f>
        <v>41000</v>
      </c>
      <c r="E20" s="267">
        <f>IF($A20&lt;&gt;"NÃO SELECIONADO",'9_Cronograma Físico'!D22,"")</f>
        <v>42620</v>
      </c>
      <c r="F20" s="369">
        <f>IF($A20&lt;&gt;"NÃO SELECIONADO",'9_Cronograma Físico'!AC22,"")</f>
        <v>3021750</v>
      </c>
      <c r="G20" s="268">
        <v>1175125</v>
      </c>
      <c r="H20" s="268">
        <v>1133375</v>
      </c>
      <c r="I20" s="268">
        <v>0</v>
      </c>
      <c r="J20" s="370">
        <f>'10_Distribuição por Fonte'!C22+'10_Distribuição por Fonte'!F22</f>
        <v>41750</v>
      </c>
      <c r="K20" s="269">
        <v>0</v>
      </c>
    </row>
    <row r="21" spans="1:11" ht="35.25" customHeight="1">
      <c r="A21" s="117" t="str">
        <f>IF('3_Comp e Produtos'!F24="Sim",'3_Comp e Produtos'!A24,"NÃO SELECIONADO")</f>
        <v>2.3. Plano de estratégias de prevenção abrangente a todos os órgãos da Administração Direta</v>
      </c>
      <c r="B21" s="266" t="str">
        <f>IF($A21&lt;&gt;"NÃO SELECIONADO",'5_Componente 2'!B15,"")</f>
        <v xml:space="preserve">1. Seleção e Contratação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gradual.  </v>
      </c>
      <c r="C21" s="266">
        <f>IF($A21&lt;&gt;"NÃO SELECIONADO",'5_Componente 2'!C15,"")</f>
        <v>0</v>
      </c>
      <c r="D21" s="267">
        <f>IF($A21&lt;&gt;"NÃO SELECIONADO",'9_Cronograma Físico'!B23,"")</f>
        <v>41091</v>
      </c>
      <c r="E21" s="267">
        <f>IF($A21&lt;&gt;"NÃO SELECIONADO",'9_Cronograma Físico'!D23,"")</f>
        <v>42621</v>
      </c>
      <c r="F21" s="369">
        <f>IF($A21&lt;&gt;"NÃO SELECIONADO",'9_Cronograma Físico'!AC23,"")</f>
        <v>538000</v>
      </c>
      <c r="G21" s="268">
        <v>189882</v>
      </c>
      <c r="H21" s="268">
        <v>89882</v>
      </c>
      <c r="I21" s="268"/>
      <c r="J21" s="370">
        <f>'10_Distribuição por Fonte'!C23+'10_Distribuição por Fonte'!F23</f>
        <v>100000</v>
      </c>
      <c r="K21" s="269">
        <v>0</v>
      </c>
    </row>
    <row r="22" spans="1:11" ht="51.75" customHeight="1">
      <c r="A22" s="117" t="str">
        <f>IF('3_Comp e Produtos'!F25="Sim",'3_Comp e Produtos'!A25,"NÃO SELECIONADO")</f>
        <v>2.4. Fluxos de trabalho Contenciosos, de Consultoria e Assessoramento Jurídicos na Administração Indireta modelados e implantados</v>
      </c>
      <c r="B22" s="266" t="str">
        <f>IF($A22&lt;&gt;"NÃO SELECIONADO",'5_Componente 2'!B20,"")</f>
        <v>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Entrega e validação do documento contendo o novo modelo de trabalho e plano de implementação. 
3. Seleção e Contratação 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Entrega e validação do produto da consultoria
5. Seleção e Contratação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Entrega e validação do produto da consultoria.</v>
      </c>
      <c r="C22" s="266">
        <f>IF($A22&lt;&gt;"NÃO SELECIONADO",'5_Componente 2'!C20,"")</f>
        <v>0</v>
      </c>
      <c r="D22" s="267">
        <f>IF($A22&lt;&gt;"NÃO SELECIONADO",'9_Cronograma Físico'!B24,"")</f>
        <v>41000</v>
      </c>
      <c r="E22" s="267">
        <f>IF($A22&lt;&gt;"NÃO SELECIONADO",'9_Cronograma Físico'!D24,"")</f>
        <v>42620</v>
      </c>
      <c r="F22" s="369">
        <f>IF($A22&lt;&gt;"NÃO SELECIONADO",'9_Cronograma Físico'!AC24,"")</f>
        <v>3474000</v>
      </c>
      <c r="G22" s="268">
        <v>1351000</v>
      </c>
      <c r="H22" s="268">
        <v>1257000</v>
      </c>
      <c r="I22" s="268">
        <v>0</v>
      </c>
      <c r="J22" s="370">
        <f>'10_Distribuição por Fonte'!C24+'10_Distribuição por Fonte'!F24</f>
        <v>94000</v>
      </c>
      <c r="K22" s="269">
        <v>0</v>
      </c>
    </row>
    <row r="23" spans="1:11" ht="45" customHeight="1">
      <c r="A23" s="117" t="str">
        <f>IF('3_Comp e Produtos'!F30="Sim",'3_Comp e Produtos'!A30,"NÃO SELECIONADO")</f>
        <v>2.5. Plano de estratégias de prevenção abrangente a todos os órgãos da Administração Indireta</v>
      </c>
      <c r="B23" s="266" t="str">
        <f>IF($A23&lt;&gt;"NÃO SELECIONADO",'5_Componente 2'!B25,"")</f>
        <v xml:space="preserve">1. Seleção e Contratação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v>
      </c>
      <c r="C23" s="266">
        <f>IF($A23&lt;&gt;"NÃO SELECIONADO",'5_Componente 2'!C25,"")</f>
        <v>0</v>
      </c>
      <c r="D23" s="267">
        <f>IF($A23&lt;&gt;"NÃO SELECIONADO",'9_Cronograma Físico'!B25,"")</f>
        <v>41091</v>
      </c>
      <c r="E23" s="267">
        <f>IF($A23&lt;&gt;"NÃO SELECIONADO",'9_Cronograma Físico'!D25,"")</f>
        <v>42621</v>
      </c>
      <c r="F23" s="369">
        <f>IF($A23&lt;&gt;"NÃO SELECIONADO",'9_Cronograma Físico'!AC25,"")</f>
        <v>828000</v>
      </c>
      <c r="G23" s="268">
        <v>292236</v>
      </c>
      <c r="H23" s="268">
        <v>192236</v>
      </c>
      <c r="I23" s="268">
        <v>0</v>
      </c>
      <c r="J23" s="370">
        <f>'10_Distribuição por Fonte'!C25+'10_Distribuição por Fonte'!F25</f>
        <v>100000</v>
      </c>
      <c r="K23" s="269">
        <v>0</v>
      </c>
    </row>
    <row r="24" spans="1:11" ht="40.5" customHeight="1">
      <c r="A24" s="117" t="str">
        <f>IF('3_Comp e Produtos'!F31="Sim",'3_Comp e Produtos'!A31,"NÃO SELECIONADO")</f>
        <v>2.6. Métodos Alternativos de Resolução de Conflitos (MARC) definidos e implementados</v>
      </c>
      <c r="B24" s="266" t="str">
        <f>IF($A24&lt;&gt;"NÃO SELECIONADO",'5_Componente 2'!B30,"")</f>
        <v xml:space="preserve">1. Seleção e Contratação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Seleção e Contratação de consultoria para:
(i) Elaboração de proposta do modelo de MARC para a APF; (ii) Levantamento das necessidades de alteração de legislação; (iii) Proposta de compatibilização da legislação e normas; (iv) Disseminação do modelo conceitual do MARC na APF.
3. Seleção e Contratação 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Realização de ciclos de capacitação.
5. Seleção e Contratação de consultoria para avaliação do primeiro e demais ciclos de capacitação e implementação e sugestões de melhoria.
6. Promoção de parcerias com outras instituições, nacionais ou estrangeiras. (AGU) 
</v>
      </c>
      <c r="C24" s="266">
        <f>IF($A24&lt;&gt;"NÃO SELECIONADO",'5_Componente 2'!C30,"")</f>
        <v>0</v>
      </c>
      <c r="D24" s="267">
        <f>IF($A24&lt;&gt;"NÃO SELECIONADO",'9_Cronograma Físico'!B26,"")</f>
        <v>41000</v>
      </c>
      <c r="E24" s="267">
        <f>IF($A24&lt;&gt;"NÃO SELECIONADO",'9_Cronograma Físico'!D26,"")</f>
        <v>42620</v>
      </c>
      <c r="F24" s="369">
        <f>IF($A24&lt;&gt;"NÃO SELECIONADO",'9_Cronograma Físico'!AC26,"")</f>
        <v>730500</v>
      </c>
      <c r="G24" s="268">
        <v>284083</v>
      </c>
      <c r="H24" s="268">
        <v>241583</v>
      </c>
      <c r="I24" s="268">
        <v>0</v>
      </c>
      <c r="J24" s="370">
        <f>'10_Distribuição por Fonte'!C26+'10_Distribuição por Fonte'!F26</f>
        <v>42500</v>
      </c>
      <c r="K24" s="269">
        <v>0</v>
      </c>
    </row>
    <row r="25" spans="1:11" ht="40.5" customHeight="1">
      <c r="A25" s="117" t="str">
        <f>IF('3_Comp e Produtos'!F35="Sim",'3_Comp e Produtos'!A35,"NÃO SELECIONADO")</f>
        <v>2.7. Capacitação contínua de pessoal especializado em gerenciamento e recuperação de créditos</v>
      </c>
      <c r="B25" s="266" t="str">
        <f>IF($A25&lt;&gt;"NÃO SELECIONADO",'5_Componente 2'!B35,"")</f>
        <v xml:space="preserve">1. Seleção e Contratação de consultoria para:
(i) Identificação das necessidades de capacitação;
(ii) Identificação dos perfis profissionais;
(iii) Elaboração do plano de capacitação contínua com mecanismo de avaliação.
2. Entrega e validação.
3. Implementação da capacitação.
4. Seleção e Contratação de consultoria para avaliação do piloto e demais ciclos de capacitação e sugestões de melhoria
</v>
      </c>
      <c r="C25" s="266">
        <f>IF($A25&lt;&gt;"NÃO SELECIONADO",'5_Componente 2'!C35,"")</f>
        <v>0</v>
      </c>
      <c r="D25" s="267">
        <f>IF($A25&lt;&gt;"NÃO SELECIONADO",'9_Cronograma Físico'!B27,"")</f>
        <v>41000</v>
      </c>
      <c r="E25" s="267">
        <f>IF($A25&lt;&gt;"NÃO SELECIONADO",'9_Cronograma Físico'!D27,"")</f>
        <v>42620</v>
      </c>
      <c r="F25" s="369">
        <f>IF($A25&lt;&gt;"NÃO SELECIONADO",'9_Cronograma Físico'!AC27,"")</f>
        <v>1511000</v>
      </c>
      <c r="G25" s="268">
        <v>587611</v>
      </c>
      <c r="H25" s="268">
        <v>287611</v>
      </c>
      <c r="I25" s="268">
        <v>0</v>
      </c>
      <c r="J25" s="370">
        <f>'10_Distribuição por Fonte'!C27+'10_Distribuição por Fonte'!F27</f>
        <v>300000</v>
      </c>
      <c r="K25" s="269">
        <v>0</v>
      </c>
    </row>
    <row r="26" spans="1:11" ht="48" customHeight="1">
      <c r="A26" s="117" t="str">
        <f>IF('3_Comp e Produtos'!F36="Sim",'3_Comp e Produtos'!A36,"NÃO SELECIONADO")</f>
        <v xml:space="preserve">2.8. Plano de ação para aprimoramento da integração interinstitucional entre os órgãos responsáveis pela dívida ativa </v>
      </c>
      <c r="B26" s="266" t="str">
        <f>IF($A26&lt;&gt;"NÃO SELECIONADO",'5_Componente 2'!B40,"")</f>
        <v xml:space="preserve">1. Seleção e Contratação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Entrega e validação
3. Implementação
4. Seleção e Contratação de consultoria para avaliação continuada  com sugestões de melhoria
</v>
      </c>
      <c r="C26" s="266">
        <f>IF($A26&lt;&gt;"NÃO SELECIONADO",'5_Componente 2'!C40,"")</f>
        <v>0</v>
      </c>
      <c r="D26" s="267">
        <f>IF($A26&lt;&gt;"NÃO SELECIONADO",'9_Cronograma Físico'!B28,"")</f>
        <v>41000</v>
      </c>
      <c r="E26" s="267">
        <f>IF($A26&lt;&gt;"NÃO SELECIONADO",'9_Cronograma Físico'!D28,"")</f>
        <v>41174</v>
      </c>
      <c r="F26" s="369">
        <f>468000</f>
        <v>468000</v>
      </c>
      <c r="G26" s="268">
        <v>468000</v>
      </c>
      <c r="H26" s="268">
        <v>468000</v>
      </c>
      <c r="I26" s="268">
        <v>0</v>
      </c>
      <c r="J26" s="370">
        <f>'10_Distribuição por Fonte'!C28+'10_Distribuição por Fonte'!F28</f>
        <v>0</v>
      </c>
      <c r="K26" s="269">
        <v>0</v>
      </c>
    </row>
    <row r="27" spans="1:11" ht="43.5" customHeight="1">
      <c r="A27" s="117" t="str">
        <f>IF('3_Comp e Produtos'!F37="Sim",'3_Comp e Produtos'!A37,"NÃO SELECIONADO")</f>
        <v>2.9. Solução para avaliação de riscos do Estado e inclusões nos sistemas corporativos da AGU</v>
      </c>
      <c r="B27" s="266" t="str">
        <f>IF($A27&lt;&gt;"NÃO SELECIONADO",'5_Componente 2'!B45,"")</f>
        <v xml:space="preserve">Projeto Lógico do Sistema de gestão de riscos elaborado e implementado.
1. Seleção e Contratação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Entrega e validação
3. Implementação
4. Seleção e Contratação de consultoria para avaliação do piloto e demais ciclos e sugestões de melhoria
5. Entrega e validação
6. Adequação dos normativos e manualização (AGU)
7. Capacitação e disseminação.
</v>
      </c>
      <c r="C27" s="266">
        <f>IF($A27&lt;&gt;"NÃO SELECIONADO",'5_Componente 2'!C45,"")</f>
        <v>0</v>
      </c>
      <c r="D27" s="267">
        <f>IF($A27&lt;&gt;"NÃO SELECIONADO",'9_Cronograma Físico'!B29,"")</f>
        <v>41183</v>
      </c>
      <c r="E27" s="267">
        <f>IF($A27&lt;&gt;"NÃO SELECIONADO",'9_Cronograma Físico'!D29,"")</f>
        <v>41357</v>
      </c>
      <c r="F27" s="369">
        <f>350000</f>
        <v>350000</v>
      </c>
      <c r="G27" s="268">
        <v>700000</v>
      </c>
      <c r="H27" s="268">
        <v>350000</v>
      </c>
      <c r="I27" s="268">
        <v>0</v>
      </c>
      <c r="J27" s="370">
        <v>350000</v>
      </c>
      <c r="K27" s="269">
        <v>0</v>
      </c>
    </row>
    <row r="28" spans="1:11" ht="47.25" customHeight="1">
      <c r="A28" s="117" t="str">
        <f>IF('3_Comp e Produtos'!F38="Sim",'3_Comp e Produtos'!A38,"NÃO SELECIONADO")</f>
        <v xml:space="preserve">2.10. Solução para identificação e facilitação da eliminação dos pagamentos indevidos nos processos contra o Estado </v>
      </c>
      <c r="B28" s="266" t="str">
        <f>IF($A28&lt;&gt;"NÃO SELECIONADO",'5_Componente 2'!B50,"")</f>
        <v>1. Seleção e Contratação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Entrega e validação
3. Seleção e Contratação de consultoria para avaliação do piloto e demais ciclos e sugestões de melhoria</v>
      </c>
      <c r="C28" s="266">
        <f>IF($A28&lt;&gt;"NÃO SELECIONADO",'5_Componente 2'!C50,"")</f>
        <v>0</v>
      </c>
      <c r="D28" s="267">
        <f>IF($A28&lt;&gt;"NÃO SELECIONADO",'9_Cronograma Físico'!B30,"")</f>
        <v>41275</v>
      </c>
      <c r="E28" s="267">
        <f>IF($A28&lt;&gt;"NÃO SELECIONADO",'9_Cronograma Físico'!D30,"")</f>
        <v>41449</v>
      </c>
      <c r="F28" s="369">
        <f>IF($A28&lt;&gt;"NÃO SELECIONADO",'9_Cronograma Físico'!AC30,"")</f>
        <v>216000</v>
      </c>
      <c r="G28" s="268">
        <v>216000</v>
      </c>
      <c r="H28" s="268">
        <v>216000</v>
      </c>
      <c r="I28" s="268">
        <v>0</v>
      </c>
      <c r="J28" s="370">
        <f>'10_Distribuição por Fonte'!C30+'10_Distribuição por Fonte'!F30</f>
        <v>0</v>
      </c>
      <c r="K28" s="269">
        <v>0</v>
      </c>
    </row>
    <row r="29" spans="1:11" ht="38.25" customHeight="1">
      <c r="A29" s="117" t="str">
        <f>IF('3_Comp e Produtos'!F39="Sim",'3_Comp e Produtos'!A39,"NÃO SELECIONADO")</f>
        <v>2.11. Sistema Integrado de Gestão Jurídica da AGU desenvolvido e implantado</v>
      </c>
      <c r="B29" s="266" t="str">
        <f>IF($A29&lt;&gt;"NÃO SELECIONADO",'5_Componente 2'!B55,"")</f>
        <v>1. Seleção e Contratação de Consultoria para desenvolvimento, customização e implantação do sistema integrado.
2. Seleção e Contratação 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Entrega e validação.</v>
      </c>
      <c r="C29" s="266">
        <f>IF($A29&lt;&gt;"NÃO SELECIONADO",'5_Componente 2'!C55,"")</f>
        <v>0</v>
      </c>
      <c r="D29" s="267">
        <f>IF($A29&lt;&gt;"NÃO SELECIONADO",'9_Cronograma Físico'!B31,"")</f>
        <v>41000</v>
      </c>
      <c r="E29" s="267">
        <f>IF($A29&lt;&gt;"NÃO SELECIONADO",'9_Cronograma Físico'!D31,"")</f>
        <v>42530</v>
      </c>
      <c r="F29" s="369">
        <f>IF($A29&lt;&gt;"NÃO SELECIONADO",'9_Cronograma Físico'!AC31,"")</f>
        <v>44653750</v>
      </c>
      <c r="G29" s="268">
        <v>18386839</v>
      </c>
      <c r="H29" s="268">
        <v>0</v>
      </c>
      <c r="I29" s="268">
        <v>0</v>
      </c>
      <c r="J29" s="370">
        <f>10506765+7880074</f>
        <v>18386839</v>
      </c>
      <c r="K29" s="269">
        <v>0</v>
      </c>
    </row>
    <row r="30" spans="1:11" ht="43.5" customHeight="1" thickBot="1">
      <c r="A30" s="117" t="str">
        <f>IF('3_Comp e Produtos'!F42="Sim",'3_Comp e Produtos'!A42,"NÃO SELECIONADO")</f>
        <v>2.12. Redesenho e implementação dos fluxos de trabalho relativos a cálculos e perícias</v>
      </c>
      <c r="B30" s="266" t="str">
        <f>IF($A30&lt;&gt;"NÃO SELECIONADO",'5_Componente 2'!B62,"")</f>
        <v>1. Seleção e Contratação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Entrega do documento contendo o redesenho e o plano de implementação.
3. Implementação
3. Seleção e Contratação de consultoria para avaliação do piloto e demais ciclos e sugestões de melhoria.
4. Adequação dos normativos (AGU)
5. Capacitação e disseminação</v>
      </c>
      <c r="C30" s="266">
        <f>IF($A30&lt;&gt;"NÃO SELECIONADO",'5_Componente 2'!C62,"")</f>
        <v>0</v>
      </c>
      <c r="D30" s="267">
        <f>IF($A30&lt;&gt;"NÃO SELECIONADO",'9_Cronograma Físico'!B32,"")</f>
        <v>41000</v>
      </c>
      <c r="E30" s="267">
        <f>IF($A30&lt;&gt;"NÃO SELECIONADO",'9_Cronograma Físico'!D32,"")</f>
        <v>42530</v>
      </c>
      <c r="F30" s="369">
        <f>IF($A30&lt;&gt;"NÃO SELECIONADO",'9_Cronograma Físico'!AC32,"")</f>
        <v>3021750</v>
      </c>
      <c r="G30" s="268">
        <v>1244250</v>
      </c>
      <c r="H30" s="268">
        <v>1102500</v>
      </c>
      <c r="I30" s="268">
        <v>0</v>
      </c>
      <c r="J30" s="370">
        <f>'10_Distribuição por Fonte'!C32+'10_Distribuição por Fonte'!F32</f>
        <v>141750</v>
      </c>
      <c r="K30" s="269">
        <v>0</v>
      </c>
    </row>
    <row r="31" spans="1:11" ht="33" customHeight="1" thickBot="1">
      <c r="A31" s="880" t="str">
        <f>'3_Comp e Produtos'!A43</f>
        <v>COMPONENTE 3: APRIMORAMENTO DA GESTÃO ADMINISTRATIVA DA AGU</v>
      </c>
      <c r="B31" s="881"/>
      <c r="C31" s="881"/>
      <c r="D31" s="881"/>
      <c r="E31" s="882"/>
      <c r="F31" s="639">
        <f>SUM(F32:F36)</f>
        <v>3331000</v>
      </c>
      <c r="G31" s="639">
        <f t="shared" ref="G31:K31" si="4">SUM(G32:G36)</f>
        <v>1577650</v>
      </c>
      <c r="H31" s="639">
        <f t="shared" si="4"/>
        <v>1501400</v>
      </c>
      <c r="I31" s="639">
        <f t="shared" si="4"/>
        <v>0</v>
      </c>
      <c r="J31" s="639">
        <f t="shared" si="4"/>
        <v>76250</v>
      </c>
      <c r="K31" s="640">
        <f t="shared" si="4"/>
        <v>0</v>
      </c>
    </row>
    <row r="32" spans="1:11" ht="25.5" customHeight="1">
      <c r="A32" s="117" t="str">
        <f>IF('3_Comp e Produtos'!F44="Sim",'3_Comp e Produtos'!A44,"NÃO SELECIONADO")</f>
        <v>3.1. Elaboração do plano estratégico de gestão da Secretaria-Geral</v>
      </c>
      <c r="B32" s="266" t="str">
        <f>IF($A32&lt;&gt;"NÃO SELECIONADO",'6_Componente 3'!B5,"")</f>
        <v>1. Seleção e Contratação de consultoria para:
(i) Diagnóstico SWOT da SGAGU;
(ii) Desdobramento das diretrizes estratégicas institucionais;
(iii) Definição dos desafios;
(iv) Objetivos e Diretrizes estratégicas para a SGAGU.
2. Entrega e Validação.</v>
      </c>
      <c r="C32" s="266">
        <f>IF($A32&lt;&gt;"NÃO SELECIONADO",'6_Componente 3'!C5,"")</f>
        <v>0</v>
      </c>
      <c r="D32" s="267">
        <f>IF($A32&lt;&gt;"NÃO SELECIONADO",'9_Cronograma Físico'!B34,"")</f>
        <v>40909</v>
      </c>
      <c r="E32" s="267">
        <f>IF($A32&lt;&gt;"NÃO SELECIONADO",'9_Cronograma Físico'!D34,"")</f>
        <v>40996</v>
      </c>
      <c r="F32" s="369">
        <f>IF($A32&lt;&gt;"NÃO SELECIONADO",'9_Cronograma Físico'!AC34,"")</f>
        <v>144000</v>
      </c>
      <c r="G32" s="268">
        <f>H32+J32</f>
        <v>144000</v>
      </c>
      <c r="H32" s="268">
        <v>144000</v>
      </c>
      <c r="I32" s="268"/>
      <c r="J32" s="370">
        <f>'10_Distribuição por Fonte'!C34+'10_Distribuição por Fonte'!F34</f>
        <v>0</v>
      </c>
      <c r="K32" s="269">
        <v>0</v>
      </c>
    </row>
    <row r="33" spans="1:11" ht="25.5" customHeight="1">
      <c r="A33" s="117" t="str">
        <f>IF('3_Comp e Produtos'!F45="Sim",'3_Comp e Produtos'!A45,"NÃO SELECIONADO")</f>
        <v xml:space="preserve">3.2. Reestruturação dos fluxos de trabalho dos processos administrativos </v>
      </c>
      <c r="B33" s="266" t="str">
        <f>IF($A33&lt;&gt;"NÃO SELECIONADO",'6_Componente 3'!B10,"")</f>
        <v>1. Seleção e Contratação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Entrega e Validação
3. Seleção e Contratação de consultoria para:
(i) Implementação do piloto de plano reestruturação de processos e demais etapas do ciclo.
(ii) Capacitação contínua e disseminação
4. Entrega e validação
5. Seleção e Contratação de consultoria para avaliação do piloto do processo reestruturado e demais ciclos de implementação com sugestões de melhoria.</v>
      </c>
      <c r="C33" s="266">
        <f>IF($A33&lt;&gt;"NÃO SELECIONADO",'6_Componente 3'!C10,"")</f>
        <v>0</v>
      </c>
      <c r="D33" s="267">
        <f>IF($A33&lt;&gt;"NÃO SELECIONADO",'9_Cronograma Físico'!B35,"")</f>
        <v>41091</v>
      </c>
      <c r="E33" s="267">
        <f>IF($A33&lt;&gt;"NÃO SELECIONADO",'9_Cronograma Físico'!D35,"")</f>
        <v>42531</v>
      </c>
      <c r="F33" s="369">
        <f>IF($A33&lt;&gt;"NÃO SELECIONADO",'9_Cronograma Físico'!AC35,"")</f>
        <v>912000</v>
      </c>
      <c r="G33" s="268">
        <f t="shared" ref="G33:G36" si="5">H33+J33</f>
        <v>344000</v>
      </c>
      <c r="H33" s="268">
        <f>101333+202667</f>
        <v>304000</v>
      </c>
      <c r="I33" s="268"/>
      <c r="J33" s="370">
        <f>'10_Distribuição por Fonte'!C35+'10_Distribuição por Fonte'!F35</f>
        <v>40000</v>
      </c>
      <c r="K33" s="269">
        <v>0</v>
      </c>
    </row>
    <row r="34" spans="1:11" ht="25.5" customHeight="1">
      <c r="A34" s="117" t="str">
        <f>IF('3_Comp e Produtos'!F46="Sim",'3_Comp e Produtos'!A46,"NÃO SELECIONADO")</f>
        <v>3.3. Implementação dos centros de custos</v>
      </c>
      <c r="B34" s="266" t="str">
        <f>IF($A34&lt;&gt;"NÃO SELECIONADO",'6_Componente 3'!B15,"")</f>
        <v>1. Seleção e Contratação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 Entrega do documento de proposta de modelo de centros de custos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4" s="266">
        <f>IF($A34&lt;&gt;"NÃO SELECIONADO",'6_Componente 3'!C15,"")</f>
        <v>0</v>
      </c>
      <c r="D34" s="267">
        <f>IF($A34&lt;&gt;"NÃO SELECIONADO",'9_Cronograma Físico'!B36,"")</f>
        <v>41000</v>
      </c>
      <c r="E34" s="267">
        <f>IF($A34&lt;&gt;"NÃO SELECIONADO",'9_Cronograma Físico'!D36,"")</f>
        <v>41720</v>
      </c>
      <c r="F34" s="369">
        <f>IF($A34&lt;&gt;"NÃO SELECIONADO",'9_Cronograma Físico'!AC36,"")</f>
        <v>456500</v>
      </c>
      <c r="G34" s="268">
        <f>H34+J34</f>
        <v>435688</v>
      </c>
      <c r="H34" s="268">
        <f>228250+171188</f>
        <v>399438</v>
      </c>
      <c r="I34" s="268"/>
      <c r="J34" s="370">
        <f>'10_Distribuição por Fonte'!C36+'10_Distribuição por Fonte'!F36</f>
        <v>36250</v>
      </c>
      <c r="K34" s="269">
        <v>0</v>
      </c>
    </row>
    <row r="35" spans="1:11" ht="25.5" customHeight="1">
      <c r="A35" s="117" t="str">
        <f>IF('3_Comp e Produtos'!F47="Sim",'3_Comp e Produtos'!A47,"NÃO SELECIONADO")</f>
        <v>3.4. Revisão do modelo de gestão logística territorial e avaliação da implementação</v>
      </c>
      <c r="B35" s="266" t="str">
        <f>IF($A35&lt;&gt;"NÃO SELECIONADO",'6_Componente 3'!B20,"")</f>
        <v>1. Seleção e Contratação 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Entrega de documento com proposta de novo modelo de gestão logística territorial.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5" s="266">
        <f>IF($A35&lt;&gt;"NÃO SELECIONADO",'6_Componente 3'!C20,"")</f>
        <v>0</v>
      </c>
      <c r="D35" s="267">
        <f>IF($A35&lt;&gt;"NÃO SELECIONADO",'9_Cronograma Físico'!B37,"")</f>
        <v>41091</v>
      </c>
      <c r="E35" s="267">
        <f>IF($A35&lt;&gt;"NÃO SELECIONADO",'9_Cronograma Físico'!D37,"")</f>
        <v>42531</v>
      </c>
      <c r="F35" s="369">
        <f>IF($A35&lt;&gt;"NÃO SELECIONADO",'9_Cronograma Físico'!AC37,"")</f>
        <v>456500</v>
      </c>
      <c r="G35" s="268">
        <f t="shared" si="5"/>
        <v>152166</v>
      </c>
      <c r="H35" s="268">
        <f>50722+101444</f>
        <v>152166</v>
      </c>
      <c r="I35" s="268"/>
      <c r="J35" s="370">
        <f>'10_Distribuição por Fonte'!C37+'10_Distribuição por Fonte'!F37</f>
        <v>0</v>
      </c>
      <c r="K35" s="269">
        <v>0</v>
      </c>
    </row>
    <row r="36" spans="1:11" ht="33.75" customHeight="1" thickBot="1">
      <c r="A36" s="117" t="str">
        <f>IF('3_Comp e Produtos'!F48="Sim",'3_Comp e Produtos'!A48,"NÃO SELECIONADO")</f>
        <v xml:space="preserve">3.5. Implantação de Sistema Integrado de Gestão Administrativa, sincronizado ao SIAFI </v>
      </c>
      <c r="B36" s="266" t="str">
        <f>IF($A36&lt;&gt;"NÃO SELECIONADO",'6_Componente 3'!B25,"")</f>
        <v xml:space="preserve">1. Seleção e Contratação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Entrega e validação de documento com proposta de novo modelo integrado de gestão administrativa.
3. Seleção e Contratação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Entrega e validação de documento 
5. Seleção e Contratação de consultoria para avaliação contínua do estágio de desenvolvimento sistema e proposta de melhoria.
</v>
      </c>
      <c r="C36" s="266">
        <f>IF($A36&lt;&gt;"NÃO SELECIONADO",'6_Componente 3'!C25,"")</f>
        <v>0</v>
      </c>
      <c r="D36" s="267">
        <f>IF($A36&lt;&gt;"NÃO SELECIONADO",'9_Cronograma Físico'!B38,"")</f>
        <v>41000</v>
      </c>
      <c r="E36" s="267">
        <f>IF($A36&lt;&gt;"NÃO SELECIONADO",'9_Cronograma Físico'!D38,"")</f>
        <v>42530</v>
      </c>
      <c r="F36" s="369">
        <f>IF($A36&lt;&gt;"NÃO SELECIONADO",'9_Cronograma Físico'!AC38,"")</f>
        <v>1362000</v>
      </c>
      <c r="G36" s="268">
        <f t="shared" si="5"/>
        <v>501796</v>
      </c>
      <c r="H36" s="268">
        <f>215059+286737</f>
        <v>501796</v>
      </c>
      <c r="I36" s="268"/>
      <c r="J36" s="370">
        <f>'10_Distribuição por Fonte'!C38+'10_Distribuição por Fonte'!F38</f>
        <v>0</v>
      </c>
      <c r="K36" s="269">
        <v>0</v>
      </c>
    </row>
    <row r="37" spans="1:11" ht="27.75" customHeight="1" thickBot="1">
      <c r="A37" s="871" t="str">
        <f>'3_Comp e Produtos'!A52</f>
        <v>ADMINISTRAÇÃO</v>
      </c>
      <c r="B37" s="872"/>
      <c r="C37" s="371"/>
      <c r="D37" s="371"/>
      <c r="E37" s="371"/>
      <c r="F37" s="641">
        <f t="shared" ref="F37:K37" si="6">SUM(F38:F38)</f>
        <v>1705620</v>
      </c>
      <c r="G37" s="641">
        <f t="shared" si="6"/>
        <v>802644</v>
      </c>
      <c r="H37" s="641">
        <f t="shared" si="6"/>
        <v>802644</v>
      </c>
      <c r="I37" s="641">
        <f t="shared" si="6"/>
        <v>0</v>
      </c>
      <c r="J37" s="641">
        <f t="shared" si="6"/>
        <v>0</v>
      </c>
      <c r="K37" s="642">
        <f t="shared" si="6"/>
        <v>0</v>
      </c>
    </row>
    <row r="38" spans="1:11" ht="35.25" customHeight="1" thickBot="1">
      <c r="A38" s="632" t="str">
        <f>IF('3_Comp e Produtos'!F53="Sim",'3_Comp e Produtos'!A53,"NÃO SELECIONADO")</f>
        <v>A1 - Gestão do Projeto</v>
      </c>
      <c r="B38" s="633" t="str">
        <f>IF($A38&lt;&gt;"NÃO SELECIONADO",'7_ADM'!B5,"")</f>
        <v>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v>
      </c>
      <c r="C38" s="633">
        <f>IF($A38&lt;&gt;"NÃO SELECIONADO",'7_ADM'!C5,"")</f>
        <v>0</v>
      </c>
      <c r="D38" s="634">
        <f>IF($A38&lt;&gt;"NÃO SELECIONADO",'9_Cronograma Físico'!B41,"")</f>
        <v>40909</v>
      </c>
      <c r="E38" s="634">
        <f>IF($A38&lt;&gt;"NÃO SELECIONADO",'9_Cronograma Físico'!D41,"")</f>
        <v>42439</v>
      </c>
      <c r="F38" s="635">
        <f>IF($A38&lt;&gt;"NÃO SELECIONADO",'9_Cronograma Físico'!AC41,"")</f>
        <v>1705620</v>
      </c>
      <c r="G38" s="636">
        <f>H38+J38</f>
        <v>802644</v>
      </c>
      <c r="H38" s="636">
        <f>401322+401322</f>
        <v>802644</v>
      </c>
      <c r="I38" s="636"/>
      <c r="J38" s="637">
        <f>'10_Distribuição por Fonte'!C41+'10_Distribuição por Fonte'!F41</f>
        <v>0</v>
      </c>
      <c r="K38" s="638">
        <v>0</v>
      </c>
    </row>
    <row r="39" spans="1:11" ht="26.25" customHeight="1" thickBot="1">
      <c r="A39" s="272" t="s">
        <v>48</v>
      </c>
      <c r="B39" s="156"/>
      <c r="C39" s="271" t="s">
        <v>73</v>
      </c>
      <c r="D39" s="157" t="s">
        <v>320</v>
      </c>
      <c r="E39" s="158"/>
      <c r="F39" s="273">
        <f>F37+F31+F18+F6</f>
        <v>73425820</v>
      </c>
      <c r="G39" s="273">
        <f t="shared" ref="G39:K39" si="7">G37+G31+G18+G6</f>
        <v>33018937</v>
      </c>
      <c r="H39" s="643">
        <f t="shared" si="7"/>
        <v>11586909</v>
      </c>
      <c r="I39" s="273">
        <f t="shared" si="7"/>
        <v>0</v>
      </c>
      <c r="J39" s="273">
        <f t="shared" si="7"/>
        <v>21432028</v>
      </c>
      <c r="K39" s="274">
        <f t="shared" si="7"/>
        <v>0</v>
      </c>
    </row>
    <row r="40" spans="1:11" ht="27.75" customHeight="1" thickBot="1">
      <c r="A40" s="644" t="s">
        <v>48</v>
      </c>
      <c r="B40" s="156"/>
      <c r="C40" s="271" t="s">
        <v>74</v>
      </c>
      <c r="D40" s="157" t="s">
        <v>23</v>
      </c>
      <c r="E40" s="158"/>
      <c r="F40" s="273">
        <f>F39/1.8</f>
        <v>40792122</v>
      </c>
      <c r="G40" s="273">
        <f t="shared" ref="G40:K40" si="8">G39/1.8</f>
        <v>18343854</v>
      </c>
      <c r="H40" s="643">
        <f t="shared" si="8"/>
        <v>6437172</v>
      </c>
      <c r="I40" s="273">
        <f t="shared" si="8"/>
        <v>0</v>
      </c>
      <c r="J40" s="273">
        <f t="shared" si="8"/>
        <v>11906682</v>
      </c>
      <c r="K40" s="274">
        <f t="shared" si="8"/>
        <v>0</v>
      </c>
    </row>
  </sheetData>
  <mergeCells count="13">
    <mergeCell ref="A37:B37"/>
    <mergeCell ref="D2:D3"/>
    <mergeCell ref="J2:K2"/>
    <mergeCell ref="A2:A3"/>
    <mergeCell ref="B2:B3"/>
    <mergeCell ref="C2:C3"/>
    <mergeCell ref="G2:G3"/>
    <mergeCell ref="F2:F3"/>
    <mergeCell ref="H2:I2"/>
    <mergeCell ref="E2:E3"/>
    <mergeCell ref="A18:E18"/>
    <mergeCell ref="A31:E31"/>
    <mergeCell ref="A6:E6"/>
  </mergeCells>
  <phoneticPr fontId="0" type="noConversion"/>
  <printOptions horizontalCentered="1"/>
  <pageMargins left="0.39370078740157483" right="0.39370078740157483" top="0.78740157480314965" bottom="0.59055118110236227" header="0.31496062992125984" footer="0.31496062992125984"/>
  <pageSetup paperSize="9" scale="75" orientation="landscape" r:id="rId1"/>
  <headerFooter>
    <oddHeader>&amp;LBID Modernização da AGU&amp;C
&amp;"Arial,Negrito"PLANO DE AÇÃO E DE INVESTIMENTOS - PAI</oddHeader>
    <oddFooter>&amp;L&amp;D&amp;C&amp;A&amp;R&amp;P / &amp;N</oddFooter>
  </headerFooter>
  <legacyDrawing r:id="rId2"/>
</worksheet>
</file>

<file path=xl/worksheets/sheet13.xml><?xml version="1.0" encoding="utf-8"?>
<worksheet xmlns="http://schemas.openxmlformats.org/spreadsheetml/2006/main" xmlns:r="http://schemas.openxmlformats.org/officeDocument/2006/relationships">
  <dimension ref="A1:N69"/>
  <sheetViews>
    <sheetView topLeftCell="A37" workbookViewId="0">
      <selection activeCell="L61" sqref="L61"/>
    </sheetView>
  </sheetViews>
  <sheetFormatPr defaultRowHeight="12.75"/>
  <cols>
    <col min="1" max="1" width="5.28515625" customWidth="1"/>
    <col min="2" max="2" width="70.42578125" customWidth="1"/>
    <col min="3" max="3" width="14.42578125" customWidth="1"/>
    <col min="4" max="4" width="9.140625" customWidth="1"/>
    <col min="5" max="6" width="8" customWidth="1"/>
    <col min="7" max="7" width="7.28515625" customWidth="1"/>
    <col min="8" max="8" width="9.140625" style="649"/>
    <col min="9" max="9" width="8.28515625" style="649" customWidth="1"/>
    <col min="10" max="10" width="5.85546875" customWidth="1"/>
    <col min="11" max="11" width="20.28515625" customWidth="1"/>
    <col min="13" max="13" width="11.7109375" bestFit="1" customWidth="1"/>
  </cols>
  <sheetData>
    <row r="1" spans="1:14" ht="15">
      <c r="A1" s="883" t="s">
        <v>321</v>
      </c>
      <c r="B1" s="883"/>
      <c r="C1" s="883"/>
      <c r="D1" s="883"/>
      <c r="E1" s="883"/>
      <c r="F1" s="883"/>
      <c r="G1" s="883"/>
      <c r="H1" s="883"/>
      <c r="I1" s="883"/>
      <c r="J1" s="883"/>
      <c r="K1" s="883"/>
    </row>
    <row r="2" spans="1:14" ht="18.75">
      <c r="A2" s="884" t="s">
        <v>224</v>
      </c>
      <c r="B2" s="884"/>
      <c r="C2" s="884"/>
      <c r="D2" s="884"/>
      <c r="E2" s="884"/>
      <c r="F2" s="884"/>
      <c r="G2" s="884"/>
      <c r="H2" s="884"/>
      <c r="I2" s="884"/>
      <c r="J2" s="884"/>
      <c r="K2" s="884"/>
    </row>
    <row r="3" spans="1:14" ht="15">
      <c r="A3" s="885" t="s">
        <v>322</v>
      </c>
      <c r="B3" s="885"/>
      <c r="C3" s="885"/>
      <c r="D3" s="885"/>
      <c r="E3" s="885"/>
      <c r="F3" s="885"/>
      <c r="G3" s="885"/>
      <c r="H3" s="885"/>
      <c r="I3" s="885"/>
      <c r="J3" s="885"/>
      <c r="K3" s="885"/>
    </row>
    <row r="4" spans="1:14" ht="15">
      <c r="A4" s="883" t="s">
        <v>323</v>
      </c>
      <c r="B4" s="883"/>
      <c r="C4" s="883"/>
      <c r="D4" s="883"/>
      <c r="E4" s="883"/>
      <c r="F4" s="883"/>
      <c r="G4" s="883"/>
      <c r="H4" s="883"/>
      <c r="I4" s="883"/>
      <c r="J4" s="883"/>
      <c r="K4" s="883"/>
    </row>
    <row r="5" spans="1:14" ht="15">
      <c r="A5" s="645"/>
      <c r="B5" s="646" t="s">
        <v>381</v>
      </c>
      <c r="C5" s="647"/>
      <c r="D5" s="647"/>
      <c r="E5" s="647"/>
      <c r="F5" s="647"/>
      <c r="G5" s="647"/>
      <c r="H5" s="647"/>
      <c r="I5" s="647"/>
      <c r="J5" s="647"/>
      <c r="K5" s="647"/>
    </row>
    <row r="6" spans="1:14" ht="15">
      <c r="A6" s="645"/>
      <c r="B6" s="648" t="s">
        <v>382</v>
      </c>
      <c r="C6" s="647"/>
      <c r="D6" s="647"/>
      <c r="E6" s="647"/>
      <c r="F6" s="647"/>
      <c r="G6" s="647"/>
      <c r="H6" s="647"/>
      <c r="I6" s="647"/>
      <c r="J6" s="647"/>
      <c r="K6" s="647"/>
    </row>
    <row r="7" spans="1:14" ht="15">
      <c r="A7" s="645"/>
      <c r="B7" s="648" t="s">
        <v>324</v>
      </c>
      <c r="C7" s="647"/>
      <c r="D7" s="647"/>
      <c r="E7" s="647"/>
      <c r="F7" s="647"/>
      <c r="G7" s="647"/>
      <c r="H7" s="647"/>
      <c r="I7" s="647"/>
      <c r="J7" s="647"/>
      <c r="K7" s="647"/>
    </row>
    <row r="8" spans="1:14" ht="13.5" thickBot="1"/>
    <row r="9" spans="1:14">
      <c r="A9" s="886" t="s">
        <v>325</v>
      </c>
      <c r="B9" s="886" t="s">
        <v>326</v>
      </c>
      <c r="C9" s="650" t="s">
        <v>327</v>
      </c>
      <c r="D9" s="650" t="s">
        <v>328</v>
      </c>
      <c r="E9" s="889" t="s">
        <v>329</v>
      </c>
      <c r="F9" s="891" t="s">
        <v>330</v>
      </c>
      <c r="G9" s="892"/>
      <c r="H9" s="891" t="s">
        <v>331</v>
      </c>
      <c r="I9" s="892"/>
      <c r="J9" s="893" t="s">
        <v>332</v>
      </c>
      <c r="K9" s="894" t="s">
        <v>333</v>
      </c>
    </row>
    <row r="10" spans="1:14">
      <c r="A10" s="887"/>
      <c r="B10" s="887"/>
      <c r="C10" s="651" t="s">
        <v>403</v>
      </c>
      <c r="D10" s="651" t="s">
        <v>334</v>
      </c>
      <c r="E10" s="890"/>
      <c r="F10" s="652" t="s">
        <v>34</v>
      </c>
      <c r="G10" s="652" t="s">
        <v>35</v>
      </c>
      <c r="H10" s="653" t="s">
        <v>335</v>
      </c>
      <c r="I10" s="653" t="s">
        <v>336</v>
      </c>
      <c r="J10" s="890"/>
      <c r="K10" s="887"/>
    </row>
    <row r="11" spans="1:14" ht="15.75">
      <c r="A11" s="888"/>
      <c r="B11" s="888"/>
      <c r="C11" s="654" t="s">
        <v>402</v>
      </c>
      <c r="D11" s="655" t="s">
        <v>337</v>
      </c>
      <c r="E11" s="655" t="s">
        <v>338</v>
      </c>
      <c r="F11" s="656" t="s">
        <v>339</v>
      </c>
      <c r="G11" s="656" t="s">
        <v>339</v>
      </c>
      <c r="H11" s="657" t="s">
        <v>340</v>
      </c>
      <c r="I11" s="657" t="s">
        <v>341</v>
      </c>
      <c r="J11" s="655" t="s">
        <v>342</v>
      </c>
      <c r="K11" s="888"/>
      <c r="N11" s="658"/>
    </row>
    <row r="12" spans="1:14" ht="13.5" thickBot="1">
      <c r="A12" s="895" t="s">
        <v>343</v>
      </c>
      <c r="B12" s="896"/>
      <c r="C12" s="896"/>
      <c r="D12" s="896"/>
      <c r="E12" s="896"/>
      <c r="F12" s="896"/>
      <c r="G12" s="896"/>
      <c r="H12" s="896"/>
      <c r="I12" s="896"/>
      <c r="J12" s="896"/>
      <c r="K12" s="897"/>
    </row>
    <row r="13" spans="1:14">
      <c r="A13" s="898" t="s">
        <v>98</v>
      </c>
      <c r="B13" s="899"/>
      <c r="C13" s="899"/>
      <c r="D13" s="899"/>
      <c r="E13" s="899"/>
      <c r="F13" s="899"/>
      <c r="G13" s="899"/>
      <c r="H13" s="899"/>
      <c r="I13" s="899"/>
      <c r="J13" s="899"/>
      <c r="K13" s="900"/>
    </row>
    <row r="14" spans="1:14" ht="51">
      <c r="A14" s="659">
        <v>1.1000000000000001</v>
      </c>
      <c r="B14" s="660" t="s">
        <v>344</v>
      </c>
      <c r="C14" s="661">
        <f>432000/1.8</f>
        <v>240000</v>
      </c>
      <c r="D14" s="661" t="s">
        <v>345</v>
      </c>
      <c r="E14" s="662" t="s">
        <v>346</v>
      </c>
      <c r="F14" s="663">
        <v>1</v>
      </c>
      <c r="G14" s="663">
        <v>0</v>
      </c>
      <c r="H14" s="664">
        <v>41000</v>
      </c>
      <c r="I14" s="664">
        <v>41153</v>
      </c>
      <c r="J14" s="665" t="s">
        <v>347</v>
      </c>
      <c r="K14" s="666"/>
    </row>
    <row r="15" spans="1:14" ht="51">
      <c r="A15" s="659">
        <v>1.2</v>
      </c>
      <c r="B15" s="660" t="s">
        <v>348</v>
      </c>
      <c r="C15" s="661">
        <f>216000/1.8</f>
        <v>120000</v>
      </c>
      <c r="D15" s="665" t="s">
        <v>349</v>
      </c>
      <c r="E15" s="662" t="s">
        <v>346</v>
      </c>
      <c r="F15" s="663">
        <v>1</v>
      </c>
      <c r="G15" s="663">
        <v>0</v>
      </c>
      <c r="H15" s="664">
        <v>41184</v>
      </c>
      <c r="I15" s="664">
        <v>41244</v>
      </c>
      <c r="J15" s="665" t="s">
        <v>347</v>
      </c>
      <c r="K15" s="666"/>
    </row>
    <row r="16" spans="1:14" ht="25.5">
      <c r="A16" s="659">
        <v>1.3</v>
      </c>
      <c r="B16" s="660" t="s">
        <v>350</v>
      </c>
      <c r="C16" s="661">
        <f>216000/1.8</f>
        <v>120000</v>
      </c>
      <c r="D16" s="665" t="s">
        <v>349</v>
      </c>
      <c r="E16" s="662" t="s">
        <v>346</v>
      </c>
      <c r="F16" s="663">
        <v>1</v>
      </c>
      <c r="G16" s="663">
        <v>0</v>
      </c>
      <c r="H16" s="664">
        <v>41002</v>
      </c>
      <c r="I16" s="664">
        <v>41061</v>
      </c>
      <c r="J16" s="665" t="s">
        <v>347</v>
      </c>
      <c r="K16" s="666"/>
    </row>
    <row r="17" spans="1:13">
      <c r="A17" s="659">
        <v>1.4</v>
      </c>
      <c r="B17" s="660" t="s">
        <v>351</v>
      </c>
      <c r="C17" s="661">
        <f>48000/1.8</f>
        <v>26666.67</v>
      </c>
      <c r="D17" s="665" t="s">
        <v>352</v>
      </c>
      <c r="E17" s="662" t="s">
        <v>346</v>
      </c>
      <c r="F17" s="663">
        <v>1</v>
      </c>
      <c r="G17" s="663">
        <v>0</v>
      </c>
      <c r="H17" s="664">
        <v>41003</v>
      </c>
      <c r="I17" s="664">
        <v>41061</v>
      </c>
      <c r="J17" s="665" t="s">
        <v>347</v>
      </c>
      <c r="K17" s="666"/>
    </row>
    <row r="18" spans="1:13" ht="25.5">
      <c r="A18" s="659">
        <v>1.5</v>
      </c>
      <c r="B18" s="660" t="s">
        <v>353</v>
      </c>
      <c r="C18" s="661">
        <f>144000/1.8</f>
        <v>80000</v>
      </c>
      <c r="D18" s="665" t="s">
        <v>352</v>
      </c>
      <c r="E18" s="662" t="s">
        <v>346</v>
      </c>
      <c r="F18" s="663">
        <v>1</v>
      </c>
      <c r="G18" s="663">
        <v>0</v>
      </c>
      <c r="H18" s="664">
        <v>41279</v>
      </c>
      <c r="I18" s="664">
        <v>41334</v>
      </c>
      <c r="J18" s="665" t="s">
        <v>347</v>
      </c>
      <c r="K18" s="666"/>
    </row>
    <row r="19" spans="1:13" ht="21" customHeight="1">
      <c r="A19" s="659">
        <v>1.6</v>
      </c>
      <c r="B19" s="660" t="s">
        <v>354</v>
      </c>
      <c r="C19" s="661">
        <f>36000/1.8</f>
        <v>20000</v>
      </c>
      <c r="D19" s="665" t="s">
        <v>352</v>
      </c>
      <c r="E19" s="662" t="s">
        <v>346</v>
      </c>
      <c r="F19" s="663">
        <v>1</v>
      </c>
      <c r="G19" s="663">
        <v>0</v>
      </c>
      <c r="H19" s="664">
        <v>41096</v>
      </c>
      <c r="I19" s="664">
        <v>41153</v>
      </c>
      <c r="J19" s="665" t="s">
        <v>347</v>
      </c>
      <c r="K19" s="666"/>
    </row>
    <row r="20" spans="1:13" ht="25.5">
      <c r="A20" s="659">
        <v>1.7</v>
      </c>
      <c r="B20" s="660" t="s">
        <v>355</v>
      </c>
      <c r="C20" s="661">
        <f>36000/1.8</f>
        <v>20000</v>
      </c>
      <c r="D20" s="665" t="s">
        <v>352</v>
      </c>
      <c r="E20" s="662" t="s">
        <v>346</v>
      </c>
      <c r="F20" s="663">
        <v>1</v>
      </c>
      <c r="G20" s="663">
        <v>0</v>
      </c>
      <c r="H20" s="664">
        <v>40915</v>
      </c>
      <c r="I20" s="664">
        <v>40969</v>
      </c>
      <c r="J20" s="665" t="s">
        <v>347</v>
      </c>
      <c r="K20" s="666"/>
    </row>
    <row r="21" spans="1:13" ht="57" customHeight="1">
      <c r="A21" s="659">
        <v>1.8</v>
      </c>
      <c r="B21" s="660" t="s">
        <v>356</v>
      </c>
      <c r="C21" s="661">
        <v>98000</v>
      </c>
      <c r="D21" s="665" t="s">
        <v>349</v>
      </c>
      <c r="E21" s="662" t="s">
        <v>346</v>
      </c>
      <c r="F21" s="663">
        <v>1</v>
      </c>
      <c r="G21" s="663">
        <v>0</v>
      </c>
      <c r="H21" s="664">
        <v>40916</v>
      </c>
      <c r="I21" s="664">
        <v>40969</v>
      </c>
      <c r="J21" s="665" t="s">
        <v>347</v>
      </c>
      <c r="K21" s="666"/>
    </row>
    <row r="22" spans="1:13" ht="25.5">
      <c r="A22" s="667">
        <v>1.9</v>
      </c>
      <c r="B22" s="668" t="s">
        <v>357</v>
      </c>
      <c r="C22" s="669">
        <f>72000/1.8</f>
        <v>40000</v>
      </c>
      <c r="D22" s="670" t="s">
        <v>352</v>
      </c>
      <c r="E22" s="671" t="s">
        <v>346</v>
      </c>
      <c r="F22" s="672">
        <v>1</v>
      </c>
      <c r="G22" s="672">
        <v>0</v>
      </c>
      <c r="H22" s="664">
        <v>40917</v>
      </c>
      <c r="I22" s="673">
        <v>40969</v>
      </c>
      <c r="J22" s="670" t="s">
        <v>347</v>
      </c>
      <c r="K22" s="674"/>
    </row>
    <row r="23" spans="1:13" ht="25.5">
      <c r="A23" s="688">
        <v>1.1000000000000001</v>
      </c>
      <c r="B23" s="660" t="s">
        <v>374</v>
      </c>
      <c r="C23" s="675">
        <f>240000+144000/1.8</f>
        <v>320000</v>
      </c>
      <c r="D23" s="659" t="s">
        <v>345</v>
      </c>
      <c r="E23" s="676" t="s">
        <v>346</v>
      </c>
      <c r="F23" s="663">
        <v>1</v>
      </c>
      <c r="G23" s="663">
        <v>0</v>
      </c>
      <c r="H23" s="664">
        <v>41009</v>
      </c>
      <c r="I23" s="664">
        <v>42614</v>
      </c>
      <c r="J23" s="665" t="s">
        <v>347</v>
      </c>
      <c r="K23" s="679"/>
    </row>
    <row r="24" spans="1:13" ht="25.5">
      <c r="A24" s="688">
        <v>1.1100000000000001</v>
      </c>
      <c r="B24" s="660" t="s">
        <v>375</v>
      </c>
      <c r="C24" s="675">
        <f>240000+144000/1.8</f>
        <v>320000</v>
      </c>
      <c r="D24" s="659" t="s">
        <v>345</v>
      </c>
      <c r="E24" s="676" t="s">
        <v>346</v>
      </c>
      <c r="F24" s="663">
        <v>1</v>
      </c>
      <c r="G24" s="663">
        <v>0</v>
      </c>
      <c r="H24" s="664">
        <v>41010</v>
      </c>
      <c r="I24" s="664">
        <v>42430</v>
      </c>
      <c r="J24" s="665" t="s">
        <v>347</v>
      </c>
      <c r="K24" s="679"/>
    </row>
    <row r="25" spans="1:13" ht="26.25" thickBot="1">
      <c r="A25" s="688">
        <v>1.1200000000000001</v>
      </c>
      <c r="B25" s="660" t="s">
        <v>376</v>
      </c>
      <c r="C25" s="675">
        <f>192000/1.8</f>
        <v>106666.67</v>
      </c>
      <c r="D25" s="659" t="s">
        <v>349</v>
      </c>
      <c r="E25" s="676" t="s">
        <v>346</v>
      </c>
      <c r="F25" s="663">
        <v>1</v>
      </c>
      <c r="G25" s="663">
        <v>0</v>
      </c>
      <c r="H25" s="664">
        <v>41011</v>
      </c>
      <c r="I25" s="664" t="s">
        <v>386</v>
      </c>
      <c r="J25" s="665" t="s">
        <v>347</v>
      </c>
      <c r="K25" s="700"/>
    </row>
    <row r="26" spans="1:13">
      <c r="A26" s="898" t="s">
        <v>124</v>
      </c>
      <c r="B26" s="899"/>
      <c r="C26" s="899"/>
      <c r="D26" s="899"/>
      <c r="E26" s="899"/>
      <c r="F26" s="899"/>
      <c r="G26" s="899"/>
      <c r="H26" s="899"/>
      <c r="I26" s="899"/>
      <c r="J26" s="899"/>
      <c r="K26" s="900"/>
    </row>
    <row r="27" spans="1:13" ht="25.5">
      <c r="A27" s="659">
        <v>2.1</v>
      </c>
      <c r="B27" s="660" t="s">
        <v>383</v>
      </c>
      <c r="C27" s="675">
        <f>2304000/1.8</f>
        <v>1280000</v>
      </c>
      <c r="D27" s="659" t="s">
        <v>358</v>
      </c>
      <c r="E27" s="676" t="s">
        <v>346</v>
      </c>
      <c r="F27" s="663">
        <v>1</v>
      </c>
      <c r="G27" s="663">
        <v>0</v>
      </c>
      <c r="H27" s="664">
        <v>41000</v>
      </c>
      <c r="I27" s="664">
        <v>42614</v>
      </c>
      <c r="J27" s="665" t="s">
        <v>347</v>
      </c>
      <c r="K27" s="677"/>
      <c r="M27" s="678"/>
    </row>
    <row r="28" spans="1:13" ht="25.5">
      <c r="A28" s="659">
        <v>2.2000000000000002</v>
      </c>
      <c r="B28" s="660" t="s">
        <v>384</v>
      </c>
      <c r="C28" s="675">
        <f>2304000/1.8</f>
        <v>1280000</v>
      </c>
      <c r="D28" s="659" t="s">
        <v>358</v>
      </c>
      <c r="E28" s="676" t="s">
        <v>346</v>
      </c>
      <c r="F28" s="663">
        <v>1</v>
      </c>
      <c r="G28" s="663">
        <v>0</v>
      </c>
      <c r="H28" s="664">
        <v>41001</v>
      </c>
      <c r="I28" s="664">
        <v>42615</v>
      </c>
      <c r="J28" s="665" t="s">
        <v>347</v>
      </c>
      <c r="K28" s="679"/>
    </row>
    <row r="29" spans="1:13" ht="25.5">
      <c r="A29" s="659">
        <v>2.2999999999999998</v>
      </c>
      <c r="B29" s="660" t="s">
        <v>359</v>
      </c>
      <c r="C29" s="675">
        <f>288000/1.8</f>
        <v>160000</v>
      </c>
      <c r="D29" s="659" t="s">
        <v>349</v>
      </c>
      <c r="E29" s="676" t="s">
        <v>346</v>
      </c>
      <c r="F29" s="663">
        <v>1</v>
      </c>
      <c r="G29" s="663">
        <v>0</v>
      </c>
      <c r="H29" s="664">
        <v>41093</v>
      </c>
      <c r="I29" s="664">
        <v>42616</v>
      </c>
      <c r="J29" s="665" t="s">
        <v>347</v>
      </c>
      <c r="K29" s="679"/>
    </row>
    <row r="30" spans="1:13" ht="26.25" thickBot="1">
      <c r="A30" s="680">
        <v>2.4</v>
      </c>
      <c r="B30" s="681" t="s">
        <v>385</v>
      </c>
      <c r="C30" s="682">
        <f>2304000/1.8</f>
        <v>1280000</v>
      </c>
      <c r="D30" s="680" t="s">
        <v>358</v>
      </c>
      <c r="E30" s="683" t="s">
        <v>346</v>
      </c>
      <c r="F30" s="684">
        <v>1</v>
      </c>
      <c r="G30" s="684">
        <v>0</v>
      </c>
      <c r="H30" s="664">
        <v>41003</v>
      </c>
      <c r="I30" s="664">
        <v>42617</v>
      </c>
      <c r="J30" s="685" t="s">
        <v>347</v>
      </c>
      <c r="K30" s="701"/>
    </row>
    <row r="31" spans="1:13">
      <c r="A31" s="894" t="s">
        <v>325</v>
      </c>
      <c r="B31" s="894" t="s">
        <v>326</v>
      </c>
      <c r="C31" s="650" t="s">
        <v>327</v>
      </c>
      <c r="D31" s="686" t="s">
        <v>328</v>
      </c>
      <c r="E31" s="893" t="s">
        <v>329</v>
      </c>
      <c r="F31" s="891" t="s">
        <v>330</v>
      </c>
      <c r="G31" s="892"/>
      <c r="H31" s="891" t="s">
        <v>331</v>
      </c>
      <c r="I31" s="892"/>
      <c r="J31" s="893" t="s">
        <v>332</v>
      </c>
      <c r="K31" s="894" t="s">
        <v>333</v>
      </c>
    </row>
    <row r="32" spans="1:13">
      <c r="A32" s="887"/>
      <c r="B32" s="887"/>
      <c r="C32" s="651" t="s">
        <v>403</v>
      </c>
      <c r="D32" s="651" t="s">
        <v>334</v>
      </c>
      <c r="E32" s="890"/>
      <c r="F32" s="652" t="s">
        <v>34</v>
      </c>
      <c r="G32" s="652" t="s">
        <v>35</v>
      </c>
      <c r="H32" s="653" t="s">
        <v>335</v>
      </c>
      <c r="I32" s="653" t="s">
        <v>336</v>
      </c>
      <c r="J32" s="890"/>
      <c r="K32" s="887"/>
    </row>
    <row r="33" spans="1:11">
      <c r="A33" s="888"/>
      <c r="B33" s="888"/>
      <c r="C33" s="654" t="s">
        <v>402</v>
      </c>
      <c r="D33" s="655" t="s">
        <v>337</v>
      </c>
      <c r="E33" s="655" t="s">
        <v>338</v>
      </c>
      <c r="F33" s="656" t="s">
        <v>339</v>
      </c>
      <c r="G33" s="656" t="s">
        <v>339</v>
      </c>
      <c r="H33" s="657" t="s">
        <v>340</v>
      </c>
      <c r="I33" s="657" t="s">
        <v>341</v>
      </c>
      <c r="J33" s="655" t="s">
        <v>342</v>
      </c>
      <c r="K33" s="888"/>
    </row>
    <row r="34" spans="1:11" ht="13.5" thickBot="1">
      <c r="A34" s="895" t="s">
        <v>343</v>
      </c>
      <c r="B34" s="896"/>
      <c r="C34" s="896"/>
      <c r="D34" s="896"/>
      <c r="E34" s="896"/>
      <c r="F34" s="896"/>
      <c r="G34" s="896"/>
      <c r="H34" s="896"/>
      <c r="I34" s="896"/>
      <c r="J34" s="896"/>
      <c r="K34" s="897"/>
    </row>
    <row r="35" spans="1:11">
      <c r="A35" s="898" t="s">
        <v>124</v>
      </c>
      <c r="B35" s="899"/>
      <c r="C35" s="899"/>
      <c r="D35" s="899"/>
      <c r="E35" s="899"/>
      <c r="F35" s="899"/>
      <c r="G35" s="899"/>
      <c r="H35" s="899"/>
      <c r="I35" s="899"/>
      <c r="J35" s="899"/>
      <c r="K35" s="900"/>
    </row>
    <row r="36" spans="1:11" ht="25.5">
      <c r="A36" s="659">
        <v>2.5</v>
      </c>
      <c r="B36" s="660" t="s">
        <v>360</v>
      </c>
      <c r="C36" s="675">
        <f>288000/1.8</f>
        <v>160000</v>
      </c>
      <c r="D36" s="659" t="s">
        <v>349</v>
      </c>
      <c r="E36" s="676" t="s">
        <v>346</v>
      </c>
      <c r="F36" s="663">
        <v>1</v>
      </c>
      <c r="G36" s="663">
        <v>0</v>
      </c>
      <c r="H36" s="664">
        <v>41091</v>
      </c>
      <c r="I36" s="664">
        <v>42614</v>
      </c>
      <c r="J36" s="665" t="s">
        <v>347</v>
      </c>
      <c r="K36" s="679"/>
    </row>
    <row r="37" spans="1:11" ht="25.5">
      <c r="A37" s="659">
        <v>2.6</v>
      </c>
      <c r="B37" s="660" t="s">
        <v>361</v>
      </c>
      <c r="C37" s="675">
        <f>288000/1.8</f>
        <v>160000</v>
      </c>
      <c r="D37" s="659" t="s">
        <v>349</v>
      </c>
      <c r="E37" s="676" t="s">
        <v>346</v>
      </c>
      <c r="F37" s="663">
        <v>1</v>
      </c>
      <c r="G37" s="663">
        <v>0</v>
      </c>
      <c r="H37" s="664">
        <v>41001</v>
      </c>
      <c r="I37" s="664">
        <v>42615</v>
      </c>
      <c r="J37" s="665" t="s">
        <v>347</v>
      </c>
      <c r="K37" s="677"/>
    </row>
    <row r="38" spans="1:11" ht="25.5">
      <c r="A38" s="659">
        <v>2.7</v>
      </c>
      <c r="B38" s="660" t="s">
        <v>362</v>
      </c>
      <c r="C38" s="675">
        <f>336000/1.8</f>
        <v>186666.67</v>
      </c>
      <c r="D38" s="659" t="s">
        <v>349</v>
      </c>
      <c r="E38" s="676" t="s">
        <v>346</v>
      </c>
      <c r="F38" s="663">
        <v>1</v>
      </c>
      <c r="G38" s="663">
        <v>0</v>
      </c>
      <c r="H38" s="664">
        <v>41002</v>
      </c>
      <c r="I38" s="664">
        <v>42616</v>
      </c>
      <c r="J38" s="665" t="s">
        <v>347</v>
      </c>
      <c r="K38" s="679"/>
    </row>
    <row r="39" spans="1:11" ht="38.25">
      <c r="A39" s="659">
        <v>2.8</v>
      </c>
      <c r="B39" s="687" t="s">
        <v>363</v>
      </c>
      <c r="C39" s="675">
        <f>432000/1.8</f>
        <v>240000</v>
      </c>
      <c r="D39" s="659" t="s">
        <v>364</v>
      </c>
      <c r="E39" s="676" t="s">
        <v>346</v>
      </c>
      <c r="F39" s="663">
        <v>1</v>
      </c>
      <c r="G39" s="663">
        <v>0</v>
      </c>
      <c r="H39" s="664">
        <v>41003</v>
      </c>
      <c r="I39" s="664">
        <v>41156</v>
      </c>
      <c r="J39" s="665" t="s">
        <v>347</v>
      </c>
      <c r="K39" s="679"/>
    </row>
    <row r="40" spans="1:11" ht="38.25">
      <c r="A40" s="659">
        <v>2.9</v>
      </c>
      <c r="B40" s="687" t="s">
        <v>365</v>
      </c>
      <c r="C40" s="675">
        <v>120000</v>
      </c>
      <c r="D40" s="659" t="s">
        <v>349</v>
      </c>
      <c r="E40" s="676" t="s">
        <v>346</v>
      </c>
      <c r="F40" s="663">
        <v>1</v>
      </c>
      <c r="G40" s="663">
        <v>0</v>
      </c>
      <c r="H40" s="664">
        <v>41187</v>
      </c>
      <c r="I40" s="664">
        <v>41338</v>
      </c>
      <c r="J40" s="665" t="s">
        <v>347</v>
      </c>
      <c r="K40" s="679"/>
    </row>
    <row r="41" spans="1:11" ht="25.5">
      <c r="A41" s="688">
        <v>2.1</v>
      </c>
      <c r="B41" s="660" t="s">
        <v>366</v>
      </c>
      <c r="C41" s="675">
        <v>480000</v>
      </c>
      <c r="D41" s="659" t="s">
        <v>345</v>
      </c>
      <c r="E41" s="676" t="s">
        <v>346</v>
      </c>
      <c r="F41" s="663">
        <v>1</v>
      </c>
      <c r="G41" s="663">
        <v>0</v>
      </c>
      <c r="H41" s="664">
        <v>41280</v>
      </c>
      <c r="I41" s="664">
        <v>41431</v>
      </c>
      <c r="J41" s="665" t="s">
        <v>347</v>
      </c>
      <c r="K41" s="679"/>
    </row>
    <row r="42" spans="1:11" ht="15.75" customHeight="1">
      <c r="A42" s="688">
        <v>2.11</v>
      </c>
      <c r="B42" s="660" t="s">
        <v>367</v>
      </c>
      <c r="C42" s="675">
        <f>2304000/1.8</f>
        <v>1280000</v>
      </c>
      <c r="D42" s="659" t="s">
        <v>358</v>
      </c>
      <c r="E42" s="676" t="s">
        <v>346</v>
      </c>
      <c r="F42" s="663">
        <v>1</v>
      </c>
      <c r="G42" s="663">
        <v>0</v>
      </c>
      <c r="H42" s="664">
        <v>41006</v>
      </c>
      <c r="I42" s="664">
        <v>42528</v>
      </c>
      <c r="J42" s="665" t="s">
        <v>347</v>
      </c>
      <c r="K42" s="679"/>
    </row>
    <row r="43" spans="1:11" ht="26.25" thickBot="1">
      <c r="A43" s="688">
        <v>2.12</v>
      </c>
      <c r="B43" s="660" t="s">
        <v>368</v>
      </c>
      <c r="C43" s="675">
        <f>2304000/1.8</f>
        <v>1280000</v>
      </c>
      <c r="D43" s="659" t="s">
        <v>358</v>
      </c>
      <c r="E43" s="676" t="s">
        <v>346</v>
      </c>
      <c r="F43" s="663">
        <v>1</v>
      </c>
      <c r="G43" s="663">
        <v>0</v>
      </c>
      <c r="H43" s="664">
        <v>41007</v>
      </c>
      <c r="I43" s="664">
        <v>42529</v>
      </c>
      <c r="J43" s="665" t="s">
        <v>347</v>
      </c>
      <c r="K43" s="700"/>
    </row>
    <row r="44" spans="1:11">
      <c r="A44" s="898" t="s">
        <v>187</v>
      </c>
      <c r="B44" s="899"/>
      <c r="C44" s="899"/>
      <c r="D44" s="899"/>
      <c r="E44" s="899"/>
      <c r="F44" s="899"/>
      <c r="G44" s="899"/>
      <c r="H44" s="899"/>
      <c r="I44" s="899"/>
      <c r="J44" s="899"/>
      <c r="K44" s="900"/>
    </row>
    <row r="45" spans="1:11" ht="25.5">
      <c r="A45" s="659">
        <v>3.1</v>
      </c>
      <c r="B45" s="660" t="s">
        <v>369</v>
      </c>
      <c r="C45" s="675">
        <f>144000/1.8</f>
        <v>80000</v>
      </c>
      <c r="D45" s="659" t="s">
        <v>349</v>
      </c>
      <c r="E45" s="676" t="s">
        <v>346</v>
      </c>
      <c r="F45" s="663">
        <v>1</v>
      </c>
      <c r="G45" s="663">
        <v>0</v>
      </c>
      <c r="H45" s="664">
        <v>40909</v>
      </c>
      <c r="I45" s="664">
        <v>40969</v>
      </c>
      <c r="J45" s="665" t="s">
        <v>347</v>
      </c>
      <c r="K45" s="679"/>
    </row>
    <row r="46" spans="1:11" ht="25.5">
      <c r="A46" s="659">
        <v>3.2</v>
      </c>
      <c r="B46" s="660" t="s">
        <v>370</v>
      </c>
      <c r="C46" s="675">
        <f>576000/1.8</f>
        <v>320000</v>
      </c>
      <c r="D46" s="659" t="s">
        <v>358</v>
      </c>
      <c r="E46" s="676" t="s">
        <v>346</v>
      </c>
      <c r="F46" s="663">
        <v>1</v>
      </c>
      <c r="G46" s="663">
        <v>0</v>
      </c>
      <c r="H46" s="664">
        <v>41091</v>
      </c>
      <c r="I46" s="664">
        <v>42705</v>
      </c>
      <c r="J46" s="665" t="s">
        <v>347</v>
      </c>
      <c r="K46" s="679"/>
    </row>
    <row r="47" spans="1:11">
      <c r="A47" s="659">
        <v>3.3</v>
      </c>
      <c r="B47" s="660" t="s">
        <v>371</v>
      </c>
      <c r="C47" s="675">
        <f>288000/1.8</f>
        <v>160000</v>
      </c>
      <c r="D47" s="659" t="s">
        <v>364</v>
      </c>
      <c r="E47" s="676" t="s">
        <v>346</v>
      </c>
      <c r="F47" s="663">
        <v>1</v>
      </c>
      <c r="G47" s="663">
        <v>0</v>
      </c>
      <c r="H47" s="664">
        <v>41001</v>
      </c>
      <c r="I47" s="664">
        <v>41699</v>
      </c>
      <c r="J47" s="665" t="s">
        <v>347</v>
      </c>
      <c r="K47" s="679"/>
    </row>
    <row r="48" spans="1:11" ht="25.5">
      <c r="A48" s="659">
        <v>3.4</v>
      </c>
      <c r="B48" s="660" t="s">
        <v>372</v>
      </c>
      <c r="C48" s="675">
        <f>288000/1.8</f>
        <v>160000</v>
      </c>
      <c r="D48" s="659" t="s">
        <v>364</v>
      </c>
      <c r="E48" s="676" t="s">
        <v>346</v>
      </c>
      <c r="F48" s="663">
        <v>1</v>
      </c>
      <c r="G48" s="663">
        <v>0</v>
      </c>
      <c r="H48" s="664">
        <v>41093</v>
      </c>
      <c r="I48" s="664">
        <v>42705</v>
      </c>
      <c r="J48" s="665" t="s">
        <v>347</v>
      </c>
      <c r="K48" s="679"/>
    </row>
    <row r="49" spans="1:11" ht="25.5">
      <c r="A49" s="659">
        <v>3.5</v>
      </c>
      <c r="B49" s="660" t="s">
        <v>373</v>
      </c>
      <c r="C49" s="675">
        <f>1080000/1.8</f>
        <v>600000</v>
      </c>
      <c r="D49" s="659" t="s">
        <v>358</v>
      </c>
      <c r="E49" s="676" t="s">
        <v>346</v>
      </c>
      <c r="F49" s="663">
        <v>1</v>
      </c>
      <c r="G49" s="663">
        <v>0</v>
      </c>
      <c r="H49" s="664">
        <v>41003</v>
      </c>
      <c r="I49" s="664">
        <v>42705</v>
      </c>
      <c r="J49" s="665" t="s">
        <v>347</v>
      </c>
      <c r="K49" s="700"/>
    </row>
    <row r="50" spans="1:11">
      <c r="A50" s="905" t="s">
        <v>377</v>
      </c>
      <c r="B50" s="906"/>
      <c r="C50" s="689">
        <v>10738000.01</v>
      </c>
      <c r="D50" s="690"/>
      <c r="E50" s="691"/>
      <c r="F50" s="692"/>
      <c r="G50" s="692"/>
      <c r="H50" s="693"/>
      <c r="I50" s="693"/>
      <c r="J50" s="694"/>
      <c r="K50" s="695"/>
    </row>
    <row r="51" spans="1:11" ht="15.75" thickBot="1">
      <c r="A51" s="909" t="s">
        <v>400</v>
      </c>
      <c r="B51" s="910"/>
      <c r="C51" s="910"/>
      <c r="D51" s="910"/>
      <c r="E51" s="910"/>
      <c r="F51" s="910"/>
      <c r="G51" s="910"/>
      <c r="H51" s="910"/>
      <c r="I51" s="910"/>
      <c r="J51" s="910"/>
      <c r="K51" s="910"/>
    </row>
    <row r="52" spans="1:11" ht="12.75" customHeight="1">
      <c r="A52" s="898" t="s">
        <v>98</v>
      </c>
      <c r="B52" s="899"/>
      <c r="C52" s="899"/>
      <c r="D52" s="899"/>
      <c r="E52" s="899"/>
      <c r="F52" s="899"/>
      <c r="G52" s="899"/>
      <c r="H52" s="899"/>
      <c r="I52" s="899"/>
      <c r="J52" s="899"/>
      <c r="K52" s="900"/>
    </row>
    <row r="53" spans="1:11" ht="15" customHeight="1">
      <c r="A53" s="659">
        <v>1.1000000000000001</v>
      </c>
      <c r="B53" s="660" t="s">
        <v>390</v>
      </c>
      <c r="C53" s="661">
        <v>444444.45</v>
      </c>
      <c r="D53" s="661" t="s">
        <v>388</v>
      </c>
      <c r="E53" s="662" t="s">
        <v>346</v>
      </c>
      <c r="F53" s="663">
        <v>0.5</v>
      </c>
      <c r="G53" s="663">
        <v>0.5</v>
      </c>
      <c r="H53" s="664">
        <v>40969</v>
      </c>
      <c r="I53" s="664">
        <v>42522</v>
      </c>
      <c r="J53" s="665" t="s">
        <v>347</v>
      </c>
      <c r="K53" s="666"/>
    </row>
    <row r="54" spans="1:11" ht="25.5">
      <c r="A54" s="659">
        <v>1.2</v>
      </c>
      <c r="B54" s="660" t="s">
        <v>399</v>
      </c>
      <c r="C54" s="661">
        <f>605000/1.8</f>
        <v>336111.11</v>
      </c>
      <c r="D54" s="665" t="s">
        <v>388</v>
      </c>
      <c r="E54" s="662" t="s">
        <v>392</v>
      </c>
      <c r="F54" s="663">
        <v>0</v>
      </c>
      <c r="G54" s="663">
        <v>1</v>
      </c>
      <c r="H54" s="664">
        <v>41275</v>
      </c>
      <c r="I54" s="664">
        <v>41640</v>
      </c>
      <c r="J54" s="665" t="s">
        <v>347</v>
      </c>
      <c r="K54" s="666"/>
    </row>
    <row r="55" spans="1:11" ht="25.5">
      <c r="A55" s="659">
        <v>1.3</v>
      </c>
      <c r="B55" s="660" t="s">
        <v>398</v>
      </c>
      <c r="C55" s="661">
        <f>660000/1.8</f>
        <v>366666.67</v>
      </c>
      <c r="D55" s="665" t="s">
        <v>388</v>
      </c>
      <c r="E55" s="662" t="s">
        <v>392</v>
      </c>
      <c r="F55" s="663">
        <v>0</v>
      </c>
      <c r="G55" s="663">
        <v>1</v>
      </c>
      <c r="H55" s="664">
        <v>40909</v>
      </c>
      <c r="I55" s="664">
        <v>40969</v>
      </c>
      <c r="J55" s="665" t="s">
        <v>347</v>
      </c>
      <c r="K55" s="666"/>
    </row>
    <row r="56" spans="1:11">
      <c r="A56" s="659">
        <v>1.4</v>
      </c>
      <c r="B56" s="660" t="s">
        <v>397</v>
      </c>
      <c r="C56" s="661">
        <f>256000/1.8</f>
        <v>142222.22</v>
      </c>
      <c r="D56" s="665" t="s">
        <v>388</v>
      </c>
      <c r="E56" s="662" t="s">
        <v>392</v>
      </c>
      <c r="F56" s="663">
        <v>0</v>
      </c>
      <c r="G56" s="663">
        <v>1</v>
      </c>
      <c r="H56" s="664">
        <v>40909</v>
      </c>
      <c r="I56" s="664">
        <v>40969</v>
      </c>
      <c r="J56" s="665" t="s">
        <v>347</v>
      </c>
      <c r="K56" s="666"/>
    </row>
    <row r="57" spans="1:11" ht="18.75" customHeight="1" thickBot="1">
      <c r="A57" s="659">
        <v>4.2</v>
      </c>
      <c r="B57" s="660" t="s">
        <v>389</v>
      </c>
      <c r="C57" s="675">
        <f>195000/1.8</f>
        <v>108333.33</v>
      </c>
      <c r="D57" s="661" t="s">
        <v>388</v>
      </c>
      <c r="E57" s="662" t="s">
        <v>346</v>
      </c>
      <c r="F57" s="663">
        <v>0.5</v>
      </c>
      <c r="G57" s="663">
        <v>0.5</v>
      </c>
      <c r="H57" s="664">
        <v>40969</v>
      </c>
      <c r="I57" s="664">
        <v>42522</v>
      </c>
      <c r="J57" s="665" t="s">
        <v>347</v>
      </c>
      <c r="K57" s="700"/>
    </row>
    <row r="58" spans="1:11">
      <c r="A58" s="898" t="s">
        <v>124</v>
      </c>
      <c r="B58" s="899"/>
      <c r="C58" s="899"/>
      <c r="D58" s="899"/>
      <c r="E58" s="899"/>
      <c r="F58" s="899"/>
      <c r="G58" s="899"/>
      <c r="H58" s="899"/>
      <c r="I58" s="899"/>
      <c r="J58" s="899"/>
      <c r="K58" s="900"/>
    </row>
    <row r="59" spans="1:11">
      <c r="A59" s="659">
        <v>2.1</v>
      </c>
      <c r="B59" s="660" t="s">
        <v>390</v>
      </c>
      <c r="C59" s="661">
        <f>600000/1.8</f>
        <v>333333.33</v>
      </c>
      <c r="D59" s="661" t="s">
        <v>388</v>
      </c>
      <c r="E59" s="662" t="s">
        <v>392</v>
      </c>
      <c r="F59" s="663">
        <v>0</v>
      </c>
      <c r="G59" s="663">
        <v>1</v>
      </c>
      <c r="H59" s="664">
        <v>41275</v>
      </c>
      <c r="I59" s="664">
        <v>41334</v>
      </c>
      <c r="J59" s="665" t="s">
        <v>347</v>
      </c>
      <c r="K59" s="666"/>
    </row>
    <row r="60" spans="1:11">
      <c r="A60" s="659">
        <v>2.2000000000000002</v>
      </c>
      <c r="B60" s="660" t="s">
        <v>389</v>
      </c>
      <c r="C60" s="675">
        <f>54000/1.8</f>
        <v>30000</v>
      </c>
      <c r="D60" s="661" t="s">
        <v>396</v>
      </c>
      <c r="E60" s="662" t="s">
        <v>346</v>
      </c>
      <c r="F60" s="663">
        <v>0.5</v>
      </c>
      <c r="G60" s="663">
        <v>0.5</v>
      </c>
      <c r="H60" s="664">
        <v>40969</v>
      </c>
      <c r="I60" s="664">
        <v>42522</v>
      </c>
      <c r="J60" s="665" t="s">
        <v>347</v>
      </c>
      <c r="K60" s="679"/>
    </row>
    <row r="61" spans="1:11">
      <c r="A61" s="659">
        <v>2.2999999999999998</v>
      </c>
      <c r="B61" s="660" t="s">
        <v>395</v>
      </c>
      <c r="C61" s="675">
        <f>700000/1.8</f>
        <v>388888.89</v>
      </c>
      <c r="D61" s="659" t="s">
        <v>388</v>
      </c>
      <c r="E61" s="662" t="s">
        <v>392</v>
      </c>
      <c r="F61" s="663">
        <v>0</v>
      </c>
      <c r="G61" s="663">
        <v>1</v>
      </c>
      <c r="H61" s="664">
        <v>41275</v>
      </c>
      <c r="I61" s="664">
        <v>42522</v>
      </c>
      <c r="J61" s="665" t="s">
        <v>347</v>
      </c>
      <c r="K61" s="679"/>
    </row>
    <row r="62" spans="1:11">
      <c r="A62" s="667">
        <v>2.4</v>
      </c>
      <c r="B62" s="668" t="s">
        <v>394</v>
      </c>
      <c r="C62" s="704">
        <f>2800000/1.8</f>
        <v>1555555.56</v>
      </c>
      <c r="D62" s="667" t="s">
        <v>388</v>
      </c>
      <c r="E62" s="671" t="s">
        <v>392</v>
      </c>
      <c r="F62" s="672">
        <v>0</v>
      </c>
      <c r="G62" s="672">
        <v>1</v>
      </c>
      <c r="H62" s="673">
        <v>40969</v>
      </c>
      <c r="I62" s="673">
        <v>42522</v>
      </c>
      <c r="J62" s="670" t="s">
        <v>347</v>
      </c>
      <c r="K62" s="705"/>
    </row>
    <row r="63" spans="1:11" ht="39" thickBot="1">
      <c r="A63" s="680">
        <v>2.5</v>
      </c>
      <c r="B63" s="681" t="s">
        <v>393</v>
      </c>
      <c r="C63" s="682">
        <f>16250000/2/1.8</f>
        <v>4513888.8899999997</v>
      </c>
      <c r="D63" s="680" t="s">
        <v>388</v>
      </c>
      <c r="E63" s="703" t="s">
        <v>392</v>
      </c>
      <c r="F63" s="684">
        <v>0</v>
      </c>
      <c r="G63" s="684">
        <v>1</v>
      </c>
      <c r="H63" s="664">
        <v>41275</v>
      </c>
      <c r="I63" s="664">
        <v>42522</v>
      </c>
      <c r="J63" s="685" t="s">
        <v>347</v>
      </c>
      <c r="K63" s="702" t="s">
        <v>391</v>
      </c>
    </row>
    <row r="64" spans="1:11" ht="13.5" thickBot="1">
      <c r="A64" s="907" t="s">
        <v>387</v>
      </c>
      <c r="B64" s="908"/>
      <c r="C64" s="706">
        <v>8219444.4500000002</v>
      </c>
      <c r="D64" s="707"/>
      <c r="E64" s="708"/>
      <c r="F64" s="709"/>
      <c r="G64" s="709"/>
      <c r="H64" s="710"/>
      <c r="I64" s="710"/>
      <c r="J64" s="711"/>
      <c r="K64" s="712"/>
    </row>
    <row r="65" spans="1:11" ht="13.5" thickBot="1"/>
    <row r="66" spans="1:11" ht="16.5" thickBot="1">
      <c r="A66" s="713"/>
      <c r="B66" s="901" t="s">
        <v>378</v>
      </c>
      <c r="C66" s="901"/>
      <c r="D66" s="901"/>
      <c r="E66" s="901"/>
      <c r="F66" s="901"/>
      <c r="G66" s="901"/>
      <c r="H66" s="901"/>
      <c r="I66" s="901"/>
      <c r="J66" s="901"/>
      <c r="K66" s="902"/>
    </row>
    <row r="67" spans="1:11" ht="41.25" customHeight="1">
      <c r="A67" s="696" t="s">
        <v>337</v>
      </c>
      <c r="B67" s="903" t="s">
        <v>401</v>
      </c>
      <c r="C67" s="903"/>
      <c r="D67" s="903"/>
      <c r="E67" s="903"/>
      <c r="F67" s="903"/>
      <c r="G67" s="903"/>
      <c r="H67" s="903"/>
      <c r="I67" s="903"/>
      <c r="J67" s="903"/>
      <c r="K67" s="903"/>
    </row>
    <row r="68" spans="1:11">
      <c r="A68" s="697" t="s">
        <v>338</v>
      </c>
      <c r="B68" s="904" t="s">
        <v>379</v>
      </c>
      <c r="C68" s="904"/>
      <c r="D68" s="698"/>
      <c r="E68" s="698"/>
      <c r="F68" s="698"/>
      <c r="G68" s="698"/>
      <c r="H68" s="699"/>
      <c r="I68" s="699"/>
      <c r="J68" s="698"/>
      <c r="K68" s="698"/>
    </row>
    <row r="69" spans="1:11">
      <c r="A69" s="697" t="s">
        <v>342</v>
      </c>
      <c r="B69" s="698" t="s">
        <v>380</v>
      </c>
      <c r="C69" s="698"/>
      <c r="D69" s="698"/>
      <c r="E69" s="698"/>
      <c r="F69" s="698"/>
      <c r="G69" s="698"/>
      <c r="H69" s="699"/>
      <c r="I69" s="699"/>
      <c r="J69" s="698"/>
      <c r="K69" s="698"/>
    </row>
  </sheetData>
  <mergeCells count="32">
    <mergeCell ref="B68:C68"/>
    <mergeCell ref="A50:B50"/>
    <mergeCell ref="A64:B64"/>
    <mergeCell ref="A52:K52"/>
    <mergeCell ref="A58:K58"/>
    <mergeCell ref="A51:K51"/>
    <mergeCell ref="A34:K34"/>
    <mergeCell ref="A35:K35"/>
    <mergeCell ref="A44:K44"/>
    <mergeCell ref="B66:K66"/>
    <mergeCell ref="B67:K67"/>
    <mergeCell ref="A12:K12"/>
    <mergeCell ref="A13:K13"/>
    <mergeCell ref="A26:K26"/>
    <mergeCell ref="A31:A33"/>
    <mergeCell ref="B31:B33"/>
    <mergeCell ref="E31:E32"/>
    <mergeCell ref="F31:G31"/>
    <mergeCell ref="H31:I31"/>
    <mergeCell ref="J31:J32"/>
    <mergeCell ref="K31:K33"/>
    <mergeCell ref="A1:K1"/>
    <mergeCell ref="A2:K2"/>
    <mergeCell ref="A3:K3"/>
    <mergeCell ref="A4:K4"/>
    <mergeCell ref="A9:A11"/>
    <mergeCell ref="B9:B11"/>
    <mergeCell ref="E9:E10"/>
    <mergeCell ref="F9:G9"/>
    <mergeCell ref="H9:I9"/>
    <mergeCell ref="J9:J10"/>
    <mergeCell ref="K9:K11"/>
  </mergeCells>
  <pageMargins left="0.38" right="0.31" top="0.55000000000000004" bottom="0.64" header="0.31496062000000002" footer="0.31496062000000002"/>
  <pageSetup scale="80" orientation="landscape"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dimension ref="A7:B49"/>
  <sheetViews>
    <sheetView showGridLines="0" topLeftCell="A10" workbookViewId="0">
      <selection activeCell="B38" sqref="B38"/>
    </sheetView>
  </sheetViews>
  <sheetFormatPr defaultColWidth="9.140625" defaultRowHeight="12.75"/>
  <cols>
    <col min="1" max="1" width="9" style="2" customWidth="1"/>
    <col min="2" max="2" width="95.140625" customWidth="1"/>
  </cols>
  <sheetData>
    <row r="7" spans="1:2">
      <c r="B7" s="3"/>
    </row>
    <row r="8" spans="1:2">
      <c r="B8" s="3"/>
    </row>
    <row r="9" spans="1:2">
      <c r="B9" s="3"/>
    </row>
    <row r="10" spans="1:2" ht="15">
      <c r="B10" s="4" t="s">
        <v>25</v>
      </c>
    </row>
    <row r="12" spans="1:2" ht="15.75">
      <c r="A12" s="730"/>
      <c r="B12" s="730"/>
    </row>
    <row r="15" spans="1:2">
      <c r="A15" s="5"/>
      <c r="B15" s="1"/>
    </row>
    <row r="16" spans="1:2" ht="15">
      <c r="A16" s="6" t="s">
        <v>26</v>
      </c>
      <c r="B16" s="7" t="s">
        <v>27</v>
      </c>
    </row>
    <row r="17" spans="1:2" ht="15">
      <c r="A17" s="8"/>
      <c r="B17" s="9"/>
    </row>
    <row r="18" spans="1:2" ht="15">
      <c r="A18" s="10">
        <v>1</v>
      </c>
      <c r="B18" s="9" t="s">
        <v>28</v>
      </c>
    </row>
    <row r="19" spans="1:2" ht="15">
      <c r="A19" s="10">
        <v>2</v>
      </c>
      <c r="B19" s="9" t="s">
        <v>29</v>
      </c>
    </row>
    <row r="20" spans="1:2" ht="7.9" customHeight="1">
      <c r="A20" s="10"/>
      <c r="B20" s="7"/>
    </row>
    <row r="21" spans="1:2" ht="15">
      <c r="A21" s="10">
        <v>3</v>
      </c>
      <c r="B21" s="9" t="s">
        <v>250</v>
      </c>
    </row>
    <row r="22" spans="1:2" ht="15">
      <c r="A22" s="10">
        <v>4</v>
      </c>
      <c r="B22" s="9" t="s">
        <v>249</v>
      </c>
    </row>
    <row r="23" spans="1:2" ht="15">
      <c r="A23" s="10">
        <v>5</v>
      </c>
      <c r="B23" s="9" t="s">
        <v>248</v>
      </c>
    </row>
    <row r="24" spans="1:2" ht="15">
      <c r="A24" s="4">
        <v>6</v>
      </c>
      <c r="B24" s="9" t="s">
        <v>247</v>
      </c>
    </row>
    <row r="25" spans="1:2" ht="15">
      <c r="A25" s="4">
        <v>7</v>
      </c>
      <c r="B25" s="11" t="s">
        <v>246</v>
      </c>
    </row>
    <row r="26" spans="1:2" ht="15">
      <c r="A26" s="414">
        <v>8</v>
      </c>
      <c r="B26" s="415" t="s">
        <v>244</v>
      </c>
    </row>
    <row r="27" spans="1:2" ht="15">
      <c r="A27" s="414">
        <v>9</v>
      </c>
      <c r="B27" s="415" t="s">
        <v>245</v>
      </c>
    </row>
    <row r="28" spans="1:2" ht="15">
      <c r="A28" s="4">
        <v>10</v>
      </c>
      <c r="B28" s="11" t="s">
        <v>251</v>
      </c>
    </row>
    <row r="29" spans="1:2" ht="15">
      <c r="A29" s="4">
        <v>11</v>
      </c>
      <c r="B29" s="11" t="s">
        <v>252</v>
      </c>
    </row>
    <row r="30" spans="1:2" ht="15">
      <c r="A30" s="591">
        <v>12</v>
      </c>
      <c r="B30" s="592" t="s">
        <v>253</v>
      </c>
    </row>
    <row r="31" spans="1:2" ht="15">
      <c r="A31" s="593">
        <v>13</v>
      </c>
      <c r="B31" s="594" t="s">
        <v>254</v>
      </c>
    </row>
    <row r="32" spans="1:2">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sheetData>
  <mergeCells count="1">
    <mergeCell ref="A12:B12"/>
  </mergeCells>
  <phoneticPr fontId="0" type="noConversion"/>
  <printOptions horizontalCentered="1"/>
  <pageMargins left="0.59055118110236227" right="0.59055118110236227" top="0.59055118110236227" bottom="0.78740157480314965" header="0.51181102362204722" footer="0.51181102362204722"/>
  <pageSetup paperSize="9" scale="85" firstPageNumber="0" orientation="portrait" horizontalDpi="300" verticalDpi="300" r:id="rId1"/>
  <headerFooter alignWithMargins="0">
    <oddFooter>&amp;L&amp;D&amp;C&amp;A&amp;RPág. &amp;P / &amp;N</oddFooter>
  </headerFooter>
  <drawing r:id="rId2"/>
</worksheet>
</file>

<file path=xl/worksheets/sheet3.xml><?xml version="1.0" encoding="utf-8"?>
<worksheet xmlns="http://schemas.openxmlformats.org/spreadsheetml/2006/main" xmlns:r="http://schemas.openxmlformats.org/officeDocument/2006/relationships">
  <dimension ref="A1:K56"/>
  <sheetViews>
    <sheetView showGridLines="0" zoomScaleNormal="100" zoomScaleSheetLayoutView="75" workbookViewId="0">
      <pane ySplit="4" topLeftCell="A8" activePane="bottomLeft" state="frozen"/>
      <selection activeCell="B31" sqref="B31:H35"/>
      <selection pane="bottomLeft" activeCell="E6" sqref="E6"/>
    </sheetView>
  </sheetViews>
  <sheetFormatPr defaultColWidth="4.5703125" defaultRowHeight="12.75"/>
  <cols>
    <col min="1" max="1" width="110.42578125" style="141" customWidth="1"/>
    <col min="2" max="2" width="9.5703125" style="13" customWidth="1"/>
    <col min="3" max="3" width="15.42578125" style="12" hidden="1" customWidth="1"/>
    <col min="4" max="4" width="14.85546875" style="99" bestFit="1" customWidth="1"/>
    <col min="5" max="5" width="15.85546875" style="99" bestFit="1" customWidth="1"/>
    <col min="6" max="6" width="11" style="13" customWidth="1"/>
    <col min="7" max="7" width="5.7109375" style="12" customWidth="1"/>
    <col min="8" max="8" width="36" style="12" hidden="1" customWidth="1"/>
    <col min="9" max="9" width="15.5703125" style="12" hidden="1" customWidth="1"/>
    <col min="10" max="10" width="10.140625" style="12" hidden="1" customWidth="1"/>
    <col min="11" max="11" width="36" style="12" hidden="1" customWidth="1"/>
    <col min="12" max="16384" width="4.5703125" style="12"/>
  </cols>
  <sheetData>
    <row r="1" spans="1:11" ht="13.5" thickBot="1">
      <c r="A1" s="147"/>
      <c r="B1" s="377" t="s">
        <v>79</v>
      </c>
      <c r="C1" s="148"/>
      <c r="D1" s="149" t="s">
        <v>70</v>
      </c>
      <c r="E1" s="150">
        <v>1.8</v>
      </c>
      <c r="F1" s="151"/>
    </row>
    <row r="2" spans="1:11" ht="16.5" thickBot="1">
      <c r="A2" s="139" t="s">
        <v>84</v>
      </c>
      <c r="B2" s="145"/>
      <c r="C2" s="145"/>
      <c r="D2" s="144"/>
      <c r="E2" s="144"/>
      <c r="F2" s="146"/>
    </row>
    <row r="3" spans="1:11" ht="13.5" customHeight="1" thickBot="1">
      <c r="A3" s="395" t="s">
        <v>80</v>
      </c>
      <c r="B3" s="396"/>
      <c r="C3" s="144"/>
      <c r="D3" s="397">
        <f>D5+D52</f>
        <v>42589344</v>
      </c>
      <c r="E3" s="397">
        <f>E5+E52</f>
        <v>76660820</v>
      </c>
      <c r="F3" s="398"/>
      <c r="H3" s="293"/>
      <c r="I3" s="293"/>
      <c r="J3" s="293"/>
      <c r="K3" s="293"/>
    </row>
    <row r="4" spans="1:11" ht="12.75" customHeight="1" thickBot="1">
      <c r="A4" s="140" t="s">
        <v>31</v>
      </c>
      <c r="B4" s="100" t="s">
        <v>32</v>
      </c>
      <c r="C4" s="98"/>
      <c r="D4" s="405" t="s">
        <v>23</v>
      </c>
      <c r="E4" s="405" t="s">
        <v>38</v>
      </c>
      <c r="F4" s="152" t="s">
        <v>69</v>
      </c>
      <c r="H4" s="507" t="s">
        <v>78</v>
      </c>
      <c r="I4" s="505" t="s">
        <v>76</v>
      </c>
      <c r="J4" s="504" t="s">
        <v>75</v>
      </c>
      <c r="K4" s="506" t="s">
        <v>77</v>
      </c>
    </row>
    <row r="5" spans="1:11" ht="13.5" customHeight="1" thickBot="1">
      <c r="A5" s="406" t="s">
        <v>33</v>
      </c>
      <c r="B5" s="399"/>
      <c r="C5" s="85"/>
      <c r="D5" s="322">
        <f>D6+D20+D43</f>
        <v>41561777</v>
      </c>
      <c r="E5" s="322">
        <f>E6+E20+E43</f>
        <v>74811200</v>
      </c>
      <c r="F5" s="407"/>
      <c r="H5" s="508"/>
      <c r="I5" s="295"/>
      <c r="J5" s="294"/>
      <c r="K5" s="509"/>
    </row>
    <row r="6" spans="1:11" ht="12.75" customHeight="1">
      <c r="A6" s="408" t="s">
        <v>98</v>
      </c>
      <c r="B6" s="400"/>
      <c r="C6" s="85">
        <f>COUNTIF(C7:C53,"verdadeiro")</f>
        <v>0</v>
      </c>
      <c r="D6" s="401">
        <f>SUM(D7:D19)</f>
        <v>3933861</v>
      </c>
      <c r="E6" s="401">
        <f>SUM(E7:E19)</f>
        <v>7080950</v>
      </c>
      <c r="F6" s="409"/>
      <c r="H6" s="510"/>
      <c r="I6" s="289"/>
      <c r="J6" s="290"/>
      <c r="K6" s="511"/>
    </row>
    <row r="7" spans="1:11" ht="24">
      <c r="A7" s="552" t="s">
        <v>195</v>
      </c>
      <c r="B7" s="372" t="s">
        <v>2</v>
      </c>
      <c r="C7" s="373" t="b">
        <f t="shared" ref="C7:C16" si="0">AND(OR(ISBLANK(A7),A7=" ",A7="  "),B7="Sim")</f>
        <v>0</v>
      </c>
      <c r="D7" s="374">
        <f t="shared" ref="D7:D51" si="1">E7/E$1</f>
        <v>382889</v>
      </c>
      <c r="E7" s="564">
        <f>'4_Componente 1'!A9</f>
        <v>689200</v>
      </c>
      <c r="F7" s="391" t="s">
        <v>2</v>
      </c>
      <c r="H7" s="512"/>
      <c r="I7" s="291"/>
      <c r="J7" s="375"/>
      <c r="K7" s="513"/>
    </row>
    <row r="8" spans="1:11">
      <c r="A8" s="553" t="s">
        <v>256</v>
      </c>
      <c r="B8" s="372" t="s">
        <v>2</v>
      </c>
      <c r="C8" s="373" t="b">
        <f t="shared" si="0"/>
        <v>0</v>
      </c>
      <c r="D8" s="374">
        <f t="shared" si="1"/>
        <v>343333</v>
      </c>
      <c r="E8" s="564">
        <f>'4_Componente 1'!A14</f>
        <v>618000</v>
      </c>
      <c r="F8" s="391" t="s">
        <v>2</v>
      </c>
      <c r="H8" s="512"/>
      <c r="I8" s="291"/>
      <c r="J8" s="375"/>
      <c r="K8" s="513"/>
    </row>
    <row r="9" spans="1:11">
      <c r="A9" s="554" t="s">
        <v>261</v>
      </c>
      <c r="B9" s="372" t="s">
        <v>2</v>
      </c>
      <c r="C9" s="373" t="b">
        <f t="shared" si="0"/>
        <v>0</v>
      </c>
      <c r="D9" s="374">
        <f t="shared" si="1"/>
        <v>120000</v>
      </c>
      <c r="E9" s="564">
        <f>'4_Componente 1'!A19</f>
        <v>216000</v>
      </c>
      <c r="F9" s="391" t="s">
        <v>2</v>
      </c>
      <c r="H9" s="512"/>
      <c r="I9" s="291"/>
      <c r="J9" s="375"/>
      <c r="K9" s="513"/>
    </row>
    <row r="10" spans="1:11">
      <c r="A10" s="553" t="s">
        <v>196</v>
      </c>
      <c r="B10" s="372" t="s">
        <v>2</v>
      </c>
      <c r="C10" s="373" t="b">
        <f t="shared" si="0"/>
        <v>0</v>
      </c>
      <c r="D10" s="374">
        <f t="shared" si="1"/>
        <v>142500</v>
      </c>
      <c r="E10" s="564">
        <f>'4_Componente 1'!A24</f>
        <v>256500</v>
      </c>
      <c r="F10" s="391" t="s">
        <v>2</v>
      </c>
      <c r="H10" s="512"/>
      <c r="I10" s="291"/>
      <c r="J10" s="375"/>
      <c r="K10" s="513"/>
    </row>
    <row r="11" spans="1:11">
      <c r="A11" s="552" t="s">
        <v>197</v>
      </c>
      <c r="B11" s="372" t="s">
        <v>2</v>
      </c>
      <c r="C11" s="373" t="b">
        <f t="shared" si="0"/>
        <v>0</v>
      </c>
      <c r="D11" s="374">
        <f t="shared" si="1"/>
        <v>336111</v>
      </c>
      <c r="E11" s="564">
        <f>'4_Componente 1'!A29</f>
        <v>605000</v>
      </c>
      <c r="F11" s="391" t="s">
        <v>2</v>
      </c>
      <c r="H11" s="512"/>
      <c r="I11" s="291"/>
      <c r="J11" s="376"/>
      <c r="K11" s="513"/>
    </row>
    <row r="12" spans="1:11">
      <c r="A12" s="552" t="s">
        <v>198</v>
      </c>
      <c r="B12" s="372" t="s">
        <v>2</v>
      </c>
      <c r="C12" s="373" t="b">
        <f t="shared" si="0"/>
        <v>0</v>
      </c>
      <c r="D12" s="374">
        <f t="shared" si="1"/>
        <v>21806</v>
      </c>
      <c r="E12" s="564">
        <f>'4_Componente 1'!A34</f>
        <v>39250</v>
      </c>
      <c r="F12" s="391" t="s">
        <v>2</v>
      </c>
      <c r="H12" s="512"/>
      <c r="I12" s="291"/>
      <c r="J12" s="292"/>
      <c r="K12" s="514"/>
    </row>
    <row r="13" spans="1:11">
      <c r="A13" s="552" t="s">
        <v>257</v>
      </c>
      <c r="B13" s="372" t="s">
        <v>2</v>
      </c>
      <c r="C13" s="373" t="b">
        <f t="shared" si="0"/>
        <v>0</v>
      </c>
      <c r="D13" s="374">
        <f t="shared" si="1"/>
        <v>336111</v>
      </c>
      <c r="E13" s="564">
        <f>'4_Componente 1'!A39</f>
        <v>605000</v>
      </c>
      <c r="F13" s="391" t="s">
        <v>2</v>
      </c>
      <c r="H13" s="512"/>
      <c r="I13" s="291"/>
      <c r="J13" s="292"/>
      <c r="K13" s="514"/>
    </row>
    <row r="14" spans="1:11">
      <c r="A14" s="552" t="s">
        <v>199</v>
      </c>
      <c r="B14" s="372" t="s">
        <v>2</v>
      </c>
      <c r="C14" s="373" t="b">
        <f t="shared" si="0"/>
        <v>0</v>
      </c>
      <c r="D14" s="374">
        <f t="shared" si="1"/>
        <v>20000</v>
      </c>
      <c r="E14" s="564">
        <f>'4_Componente 1'!A44</f>
        <v>36000</v>
      </c>
      <c r="F14" s="391" t="s">
        <v>2</v>
      </c>
      <c r="H14" s="512"/>
      <c r="I14" s="291"/>
      <c r="J14" s="292"/>
      <c r="K14" s="514"/>
    </row>
    <row r="15" spans="1:11">
      <c r="A15" s="552" t="s">
        <v>258</v>
      </c>
      <c r="B15" s="372" t="s">
        <v>2</v>
      </c>
      <c r="C15" s="373" t="b">
        <f t="shared" si="0"/>
        <v>0</v>
      </c>
      <c r="D15" s="374">
        <f t="shared" si="1"/>
        <v>464444</v>
      </c>
      <c r="E15" s="564">
        <f>'4_Componente 1'!A49</f>
        <v>836000</v>
      </c>
      <c r="F15" s="391" t="s">
        <v>2</v>
      </c>
      <c r="H15" s="512"/>
      <c r="I15" s="291"/>
      <c r="J15" s="292"/>
      <c r="K15" s="514"/>
    </row>
    <row r="16" spans="1:11" ht="13.5" thickBot="1">
      <c r="A16" s="552" t="s">
        <v>200</v>
      </c>
      <c r="B16" s="372" t="s">
        <v>2</v>
      </c>
      <c r="C16" s="373" t="b">
        <f t="shared" si="0"/>
        <v>0</v>
      </c>
      <c r="D16" s="374">
        <f t="shared" si="1"/>
        <v>293333</v>
      </c>
      <c r="E16" s="564">
        <f>'4_Componente 1'!A54</f>
        <v>528000</v>
      </c>
      <c r="F16" s="391" t="s">
        <v>2</v>
      </c>
      <c r="H16" s="512"/>
      <c r="I16" s="291"/>
      <c r="J16" s="292"/>
      <c r="K16" s="514"/>
    </row>
    <row r="17" spans="1:11" ht="12.75" customHeight="1">
      <c r="A17" s="550" t="s">
        <v>301</v>
      </c>
      <c r="B17" s="372" t="s">
        <v>2</v>
      </c>
      <c r="C17" s="373"/>
      <c r="D17" s="374">
        <f>E17/E1</f>
        <v>815278</v>
      </c>
      <c r="E17" s="564">
        <f>'4_Componente 1'!A59</f>
        <v>1467500</v>
      </c>
      <c r="F17" s="391" t="s">
        <v>2</v>
      </c>
      <c r="H17" s="510"/>
      <c r="I17" s="289"/>
      <c r="J17" s="290"/>
      <c r="K17" s="511"/>
    </row>
    <row r="18" spans="1:11" ht="12.75" customHeight="1">
      <c r="A18" s="550" t="s">
        <v>302</v>
      </c>
      <c r="B18" s="372" t="s">
        <v>2</v>
      </c>
      <c r="C18" s="563"/>
      <c r="D18" s="374">
        <f>E18/E1</f>
        <v>551389</v>
      </c>
      <c r="E18" s="564">
        <f>'4_Componente 1'!A64</f>
        <v>992500</v>
      </c>
      <c r="F18" s="411" t="s">
        <v>2</v>
      </c>
      <c r="H18" s="537"/>
      <c r="I18" s="538"/>
      <c r="J18" s="539"/>
      <c r="K18" s="540"/>
    </row>
    <row r="19" spans="1:11">
      <c r="A19" s="550" t="s">
        <v>303</v>
      </c>
      <c r="B19" s="372" t="s">
        <v>2</v>
      </c>
      <c r="C19" s="373"/>
      <c r="D19" s="374">
        <f>E19/E1</f>
        <v>106667</v>
      </c>
      <c r="E19" s="564">
        <f>'4_Componente 1'!A69</f>
        <v>192000</v>
      </c>
      <c r="F19" s="391" t="s">
        <v>2</v>
      </c>
      <c r="H19" s="512"/>
      <c r="I19" s="291"/>
      <c r="J19" s="325"/>
      <c r="K19" s="513"/>
    </row>
    <row r="20" spans="1:11">
      <c r="A20" s="596" t="s">
        <v>124</v>
      </c>
      <c r="B20" s="597"/>
      <c r="C20" s="598">
        <f>COUNTIF(C22:C91,"verdadeiro")</f>
        <v>0</v>
      </c>
      <c r="D20" s="599">
        <f>SUM(D21:D42)</f>
        <v>34710694</v>
      </c>
      <c r="E20" s="599">
        <f>SUM(E21:E42)</f>
        <v>62479250</v>
      </c>
      <c r="F20" s="600" t="s">
        <v>243</v>
      </c>
      <c r="H20" s="512"/>
      <c r="I20" s="291"/>
      <c r="J20" s="384"/>
      <c r="K20" s="513"/>
    </row>
    <row r="21" spans="1:11">
      <c r="A21" s="555" t="s">
        <v>309</v>
      </c>
      <c r="B21" s="372" t="s">
        <v>2</v>
      </c>
      <c r="C21" s="563"/>
      <c r="D21" s="374">
        <f>E21/E1</f>
        <v>1842500</v>
      </c>
      <c r="E21" s="564">
        <f>'5_Componente 2'!A9</f>
        <v>3316500</v>
      </c>
      <c r="F21" s="411" t="s">
        <v>2</v>
      </c>
      <c r="H21" s="512"/>
      <c r="I21" s="291"/>
      <c r="J21" s="325"/>
      <c r="K21" s="513"/>
    </row>
    <row r="22" spans="1:11">
      <c r="A22" s="555" t="s">
        <v>310</v>
      </c>
      <c r="B22" s="372" t="s">
        <v>2</v>
      </c>
      <c r="C22" s="373" t="b">
        <f t="shared" ref="C22:C38" si="2">AND(OR(ISBLANK(A22),A22=" ",A22="  "),B22="Sim")</f>
        <v>0</v>
      </c>
      <c r="D22" s="374">
        <f t="shared" si="1"/>
        <v>1678750</v>
      </c>
      <c r="E22" s="564">
        <f>'5_Componente 2'!A14</f>
        <v>3021750</v>
      </c>
      <c r="F22" s="411" t="s">
        <v>2</v>
      </c>
      <c r="H22" s="512"/>
      <c r="I22" s="291"/>
      <c r="J22" s="325"/>
      <c r="K22" s="513"/>
    </row>
    <row r="23" spans="1:11" hidden="1">
      <c r="A23" s="387" t="s">
        <v>126</v>
      </c>
      <c r="B23" s="372"/>
      <c r="C23" s="373" t="b">
        <f t="shared" si="2"/>
        <v>0</v>
      </c>
      <c r="D23" s="374">
        <f t="shared" si="1"/>
        <v>0</v>
      </c>
      <c r="E23" s="564">
        <v>0</v>
      </c>
      <c r="F23" s="411" t="s">
        <v>243</v>
      </c>
      <c r="H23" s="512"/>
      <c r="I23" s="291"/>
      <c r="J23" s="325"/>
      <c r="K23" s="513"/>
    </row>
    <row r="24" spans="1:11">
      <c r="A24" s="555" t="s">
        <v>259</v>
      </c>
      <c r="B24" s="372" t="s">
        <v>2</v>
      </c>
      <c r="C24" s="373" t="b">
        <f t="shared" si="2"/>
        <v>0</v>
      </c>
      <c r="D24" s="374">
        <f t="shared" si="1"/>
        <v>298889</v>
      </c>
      <c r="E24" s="564">
        <f>'5_Componente 2'!A19</f>
        <v>538000</v>
      </c>
      <c r="F24" s="391" t="s">
        <v>2</v>
      </c>
      <c r="H24" s="512"/>
      <c r="I24" s="291"/>
      <c r="J24" s="292"/>
      <c r="K24" s="514"/>
    </row>
    <row r="25" spans="1:11" ht="13.5" customHeight="1">
      <c r="A25" s="555" t="s">
        <v>311</v>
      </c>
      <c r="B25" s="372" t="s">
        <v>2</v>
      </c>
      <c r="C25" s="373" t="b">
        <f t="shared" si="2"/>
        <v>0</v>
      </c>
      <c r="D25" s="374">
        <f t="shared" si="1"/>
        <v>1930000</v>
      </c>
      <c r="E25" s="564">
        <f>'5_Componente 2'!A24</f>
        <v>3474000</v>
      </c>
      <c r="F25" s="391" t="s">
        <v>2</v>
      </c>
      <c r="H25" s="512"/>
      <c r="I25" s="291"/>
      <c r="J25" s="292"/>
      <c r="K25" s="514"/>
    </row>
    <row r="26" spans="1:11" hidden="1">
      <c r="A26" s="138" t="s">
        <v>127</v>
      </c>
      <c r="B26" s="575"/>
      <c r="C26" s="373" t="b">
        <f t="shared" si="2"/>
        <v>0</v>
      </c>
      <c r="D26" s="374">
        <f t="shared" si="1"/>
        <v>0</v>
      </c>
      <c r="E26" s="564">
        <v>0</v>
      </c>
      <c r="F26" s="391" t="s">
        <v>243</v>
      </c>
      <c r="H26" s="512"/>
      <c r="I26" s="291"/>
      <c r="J26" s="292"/>
      <c r="K26" s="514"/>
    </row>
    <row r="27" spans="1:11" hidden="1">
      <c r="A27" s="138" t="s">
        <v>128</v>
      </c>
      <c r="B27" s="575"/>
      <c r="C27" s="373" t="b">
        <f t="shared" si="2"/>
        <v>0</v>
      </c>
      <c r="D27" s="374">
        <f t="shared" si="1"/>
        <v>0</v>
      </c>
      <c r="E27" s="564">
        <v>0</v>
      </c>
      <c r="F27" s="391" t="s">
        <v>243</v>
      </c>
      <c r="H27" s="512"/>
      <c r="I27" s="291"/>
      <c r="J27" s="292"/>
      <c r="K27" s="514"/>
    </row>
    <row r="28" spans="1:11" hidden="1">
      <c r="A28" s="138" t="s">
        <v>129</v>
      </c>
      <c r="B28" s="575"/>
      <c r="C28" s="373" t="b">
        <f t="shared" si="2"/>
        <v>0</v>
      </c>
      <c r="D28" s="374">
        <f t="shared" si="1"/>
        <v>0</v>
      </c>
      <c r="E28" s="564">
        <v>0</v>
      </c>
      <c r="F28" s="391" t="s">
        <v>243</v>
      </c>
      <c r="H28" s="512"/>
      <c r="I28" s="291"/>
      <c r="J28" s="292"/>
      <c r="K28" s="514"/>
    </row>
    <row r="29" spans="1:11" hidden="1">
      <c r="A29" s="138" t="s">
        <v>130</v>
      </c>
      <c r="B29" s="575"/>
      <c r="C29" s="373" t="b">
        <f t="shared" si="2"/>
        <v>0</v>
      </c>
      <c r="D29" s="374">
        <f t="shared" si="1"/>
        <v>0</v>
      </c>
      <c r="E29" s="564">
        <v>0</v>
      </c>
      <c r="F29" s="391" t="s">
        <v>243</v>
      </c>
      <c r="H29" s="512"/>
      <c r="I29" s="291"/>
      <c r="J29" s="292"/>
      <c r="K29" s="514"/>
    </row>
    <row r="30" spans="1:11">
      <c r="A30" s="555" t="s">
        <v>262</v>
      </c>
      <c r="B30" s="575" t="s">
        <v>2</v>
      </c>
      <c r="C30" s="373" t="b">
        <f t="shared" si="2"/>
        <v>0</v>
      </c>
      <c r="D30" s="374">
        <f t="shared" si="1"/>
        <v>460000</v>
      </c>
      <c r="E30" s="564">
        <f>'5_Componente 2'!A29</f>
        <v>828000</v>
      </c>
      <c r="F30" s="391" t="s">
        <v>2</v>
      </c>
      <c r="H30" s="512"/>
      <c r="I30" s="291"/>
      <c r="J30" s="292"/>
      <c r="K30" s="514"/>
    </row>
    <row r="31" spans="1:11">
      <c r="A31" s="555" t="s">
        <v>260</v>
      </c>
      <c r="B31" s="575" t="s">
        <v>2</v>
      </c>
      <c r="C31" s="373"/>
      <c r="D31" s="374">
        <f t="shared" si="1"/>
        <v>405833</v>
      </c>
      <c r="E31" s="564">
        <f>'5_Componente 2'!A34</f>
        <v>730500</v>
      </c>
      <c r="F31" s="391" t="s">
        <v>2</v>
      </c>
      <c r="H31" s="512"/>
      <c r="I31" s="291"/>
      <c r="J31" s="292"/>
      <c r="K31" s="514"/>
    </row>
    <row r="32" spans="1:11" hidden="1">
      <c r="A32" s="138" t="s">
        <v>131</v>
      </c>
      <c r="B32" s="575"/>
      <c r="C32" s="373" t="b">
        <f t="shared" si="2"/>
        <v>0</v>
      </c>
      <c r="D32" s="374">
        <f t="shared" si="1"/>
        <v>0</v>
      </c>
      <c r="E32" s="564">
        <v>0</v>
      </c>
      <c r="F32" s="391" t="s">
        <v>243</v>
      </c>
      <c r="H32" s="512"/>
      <c r="I32" s="291"/>
      <c r="J32" s="292"/>
      <c r="K32" s="514"/>
    </row>
    <row r="33" spans="1:11" hidden="1">
      <c r="A33" s="138" t="s">
        <v>132</v>
      </c>
      <c r="B33" s="575"/>
      <c r="C33" s="373" t="b">
        <f t="shared" si="2"/>
        <v>0</v>
      </c>
      <c r="D33" s="374">
        <f t="shared" si="1"/>
        <v>0</v>
      </c>
      <c r="E33" s="564">
        <v>0</v>
      </c>
      <c r="F33" s="391" t="s">
        <v>243</v>
      </c>
      <c r="H33" s="512"/>
      <c r="I33" s="291"/>
      <c r="J33" s="292"/>
      <c r="K33" s="514"/>
    </row>
    <row r="34" spans="1:11" hidden="1">
      <c r="A34" s="138" t="s">
        <v>133</v>
      </c>
      <c r="B34" s="575"/>
      <c r="C34" s="373"/>
      <c r="D34" s="374">
        <f t="shared" si="1"/>
        <v>0</v>
      </c>
      <c r="E34" s="564">
        <v>0</v>
      </c>
      <c r="F34" s="391" t="s">
        <v>243</v>
      </c>
      <c r="H34" s="512"/>
      <c r="I34" s="291"/>
      <c r="J34" s="292"/>
      <c r="K34" s="514"/>
    </row>
    <row r="35" spans="1:11">
      <c r="A35" s="555" t="s">
        <v>134</v>
      </c>
      <c r="B35" s="575" t="s">
        <v>2</v>
      </c>
      <c r="C35" s="373"/>
      <c r="D35" s="374">
        <f t="shared" si="1"/>
        <v>839444</v>
      </c>
      <c r="E35" s="564">
        <f>'5_Componente 2'!A39</f>
        <v>1511000</v>
      </c>
      <c r="F35" s="391" t="s">
        <v>2</v>
      </c>
      <c r="H35" s="512"/>
      <c r="I35" s="291"/>
      <c r="J35" s="292"/>
      <c r="K35" s="514"/>
    </row>
    <row r="36" spans="1:11">
      <c r="A36" s="555" t="s">
        <v>135</v>
      </c>
      <c r="B36" s="575" t="s">
        <v>2</v>
      </c>
      <c r="C36" s="373"/>
      <c r="D36" s="374">
        <f t="shared" si="1"/>
        <v>260000</v>
      </c>
      <c r="E36" s="564">
        <f>'5_Componente 2'!A44</f>
        <v>468000</v>
      </c>
      <c r="F36" s="391" t="s">
        <v>2</v>
      </c>
      <c r="H36" s="512"/>
      <c r="I36" s="291"/>
      <c r="J36" s="292"/>
      <c r="K36" s="514"/>
    </row>
    <row r="37" spans="1:11">
      <c r="A37" s="555" t="s">
        <v>255</v>
      </c>
      <c r="B37" s="575" t="s">
        <v>2</v>
      </c>
      <c r="C37" s="373"/>
      <c r="D37" s="374">
        <f t="shared" si="1"/>
        <v>388889</v>
      </c>
      <c r="E37" s="564">
        <f>'5_Componente 2'!A49</f>
        <v>700000</v>
      </c>
      <c r="F37" s="391" t="s">
        <v>2</v>
      </c>
      <c r="H37" s="512"/>
      <c r="I37" s="291"/>
      <c r="J37" s="292"/>
      <c r="K37" s="514"/>
    </row>
    <row r="38" spans="1:11">
      <c r="A38" s="555" t="s">
        <v>263</v>
      </c>
      <c r="B38" s="575" t="s">
        <v>2</v>
      </c>
      <c r="C38" s="373" t="b">
        <f t="shared" si="2"/>
        <v>0</v>
      </c>
      <c r="D38" s="374">
        <f t="shared" si="1"/>
        <v>120000</v>
      </c>
      <c r="E38" s="564">
        <f>'5_Componente 2'!A54</f>
        <v>216000</v>
      </c>
      <c r="F38" s="391" t="s">
        <v>2</v>
      </c>
      <c r="H38" s="512"/>
      <c r="I38" s="291"/>
      <c r="J38" s="292"/>
      <c r="K38" s="514"/>
    </row>
    <row r="39" spans="1:11">
      <c r="A39" s="555" t="s">
        <v>136</v>
      </c>
      <c r="B39" s="575" t="s">
        <v>2</v>
      </c>
      <c r="C39" s="373"/>
      <c r="D39" s="374">
        <f t="shared" si="1"/>
        <v>24807639</v>
      </c>
      <c r="E39" s="564">
        <f>'5_Componente 2'!A61</f>
        <v>44653750</v>
      </c>
      <c r="F39" s="391" t="s">
        <v>2</v>
      </c>
      <c r="H39" s="519"/>
      <c r="I39" s="520"/>
      <c r="J39" s="521"/>
      <c r="K39" s="522"/>
    </row>
    <row r="40" spans="1:11" ht="24" hidden="1">
      <c r="A40" s="138" t="s">
        <v>137</v>
      </c>
      <c r="B40" s="575"/>
      <c r="C40" s="373"/>
      <c r="D40" s="374">
        <f t="shared" si="1"/>
        <v>0</v>
      </c>
      <c r="E40" s="564">
        <v>0</v>
      </c>
      <c r="F40" s="391" t="s">
        <v>243</v>
      </c>
      <c r="H40" s="519"/>
      <c r="I40" s="520"/>
      <c r="J40" s="521"/>
      <c r="K40" s="522"/>
    </row>
    <row r="41" spans="1:11" ht="24" hidden="1">
      <c r="A41" s="138" t="s">
        <v>138</v>
      </c>
      <c r="B41" s="575"/>
      <c r="C41" s="373"/>
      <c r="D41" s="374">
        <f t="shared" si="1"/>
        <v>0</v>
      </c>
      <c r="E41" s="564">
        <v>0</v>
      </c>
      <c r="F41" s="391" t="s">
        <v>243</v>
      </c>
      <c r="H41" s="519"/>
      <c r="I41" s="520"/>
      <c r="J41" s="521"/>
      <c r="K41" s="522"/>
    </row>
    <row r="42" spans="1:11">
      <c r="A42" s="550" t="s">
        <v>264</v>
      </c>
      <c r="B42" s="575" t="s">
        <v>2</v>
      </c>
      <c r="C42" s="373"/>
      <c r="D42" s="374">
        <f t="shared" si="1"/>
        <v>1678750</v>
      </c>
      <c r="E42" s="564">
        <f>'5_Componente 2'!A66</f>
        <v>3021750</v>
      </c>
      <c r="F42" s="411" t="s">
        <v>2</v>
      </c>
      <c r="H42" s="546"/>
      <c r="I42" s="547"/>
      <c r="J42" s="548"/>
      <c r="K42" s="549"/>
    </row>
    <row r="43" spans="1:11">
      <c r="A43" s="408" t="s">
        <v>187</v>
      </c>
      <c r="B43" s="402"/>
      <c r="C43" s="373"/>
      <c r="D43" s="403">
        <f t="shared" ref="D43" si="3">E43/E$1</f>
        <v>2917222</v>
      </c>
      <c r="E43" s="401">
        <f>SUM(E44:E49)</f>
        <v>5251000</v>
      </c>
      <c r="F43" s="410"/>
      <c r="H43" s="546"/>
      <c r="I43" s="547"/>
      <c r="J43" s="548"/>
      <c r="K43" s="549"/>
    </row>
    <row r="44" spans="1:11">
      <c r="A44" s="550" t="s">
        <v>265</v>
      </c>
      <c r="B44" s="372" t="s">
        <v>2</v>
      </c>
      <c r="C44" s="373"/>
      <c r="D44" s="374">
        <f t="shared" si="1"/>
        <v>80000</v>
      </c>
      <c r="E44" s="564">
        <f>'6_Componente 3'!A9</f>
        <v>144000</v>
      </c>
      <c r="F44" s="391" t="s">
        <v>2</v>
      </c>
      <c r="H44" s="546"/>
      <c r="I44" s="547"/>
      <c r="J44" s="548"/>
      <c r="K44" s="549"/>
    </row>
    <row r="45" spans="1:11">
      <c r="A45" s="550" t="s">
        <v>266</v>
      </c>
      <c r="B45" s="372" t="s">
        <v>2</v>
      </c>
      <c r="C45" s="373"/>
      <c r="D45" s="374">
        <f t="shared" si="1"/>
        <v>506667</v>
      </c>
      <c r="E45" s="564">
        <f>'6_Componente 3'!A14</f>
        <v>912000</v>
      </c>
      <c r="F45" s="391" t="s">
        <v>2</v>
      </c>
      <c r="H45" s="546"/>
      <c r="I45" s="547"/>
      <c r="J45" s="548"/>
      <c r="K45" s="549"/>
    </row>
    <row r="46" spans="1:11">
      <c r="A46" s="550" t="s">
        <v>188</v>
      </c>
      <c r="B46" s="372" t="s">
        <v>2</v>
      </c>
      <c r="C46" s="373"/>
      <c r="D46" s="374">
        <f t="shared" si="1"/>
        <v>253611</v>
      </c>
      <c r="E46" s="564">
        <f>'6_Componente 3'!A19</f>
        <v>456500</v>
      </c>
      <c r="F46" s="391" t="s">
        <v>2</v>
      </c>
      <c r="H46" s="546"/>
      <c r="I46" s="547"/>
      <c r="J46" s="548"/>
      <c r="K46" s="549"/>
    </row>
    <row r="47" spans="1:11">
      <c r="A47" s="550" t="s">
        <v>267</v>
      </c>
      <c r="B47" s="372" t="s">
        <v>2</v>
      </c>
      <c r="C47" s="373"/>
      <c r="D47" s="374">
        <f t="shared" si="1"/>
        <v>253611</v>
      </c>
      <c r="E47" s="564">
        <f>'6_Componente 3'!A24</f>
        <v>456500</v>
      </c>
      <c r="F47" s="391" t="s">
        <v>2</v>
      </c>
      <c r="H47" s="546"/>
      <c r="I47" s="547"/>
      <c r="J47" s="548"/>
      <c r="K47" s="549"/>
    </row>
    <row r="48" spans="1:11">
      <c r="A48" s="550" t="s">
        <v>268</v>
      </c>
      <c r="B48" s="372" t="s">
        <v>2</v>
      </c>
      <c r="C48" s="373"/>
      <c r="D48" s="374">
        <f t="shared" si="1"/>
        <v>756667</v>
      </c>
      <c r="E48" s="564">
        <f>'6_Componente 3'!A31</f>
        <v>1362000</v>
      </c>
      <c r="F48" s="391" t="s">
        <v>2</v>
      </c>
      <c r="H48" s="546"/>
      <c r="I48" s="547"/>
      <c r="J48" s="548"/>
      <c r="K48" s="549"/>
    </row>
    <row r="49" spans="1:11" ht="13.5" thickBot="1">
      <c r="A49" s="550" t="s">
        <v>189</v>
      </c>
      <c r="B49" s="372" t="s">
        <v>2</v>
      </c>
      <c r="C49" s="373"/>
      <c r="D49" s="374">
        <f t="shared" si="1"/>
        <v>1066667</v>
      </c>
      <c r="E49" s="564">
        <f>'6_Componente 3'!A36</f>
        <v>1920000</v>
      </c>
      <c r="F49" s="391" t="s">
        <v>2</v>
      </c>
      <c r="H49" s="546"/>
      <c r="I49" s="547"/>
      <c r="J49" s="548"/>
      <c r="K49" s="549"/>
    </row>
    <row r="50" spans="1:11" hidden="1">
      <c r="A50" s="138" t="s">
        <v>190</v>
      </c>
      <c r="B50" s="372"/>
      <c r="C50" s="373"/>
      <c r="D50" s="374">
        <f t="shared" si="1"/>
        <v>0</v>
      </c>
      <c r="E50" s="564">
        <v>0</v>
      </c>
      <c r="F50" s="391" t="s">
        <v>243</v>
      </c>
      <c r="H50" s="546"/>
      <c r="I50" s="547"/>
      <c r="J50" s="548"/>
      <c r="K50" s="549"/>
    </row>
    <row r="51" spans="1:11" hidden="1">
      <c r="A51" s="138" t="s">
        <v>191</v>
      </c>
      <c r="B51" s="372"/>
      <c r="C51" s="373"/>
      <c r="D51" s="374">
        <f t="shared" si="1"/>
        <v>0</v>
      </c>
      <c r="E51" s="564">
        <v>0</v>
      </c>
      <c r="F51" s="391" t="s">
        <v>243</v>
      </c>
      <c r="H51" s="546"/>
      <c r="I51" s="547"/>
      <c r="J51" s="548"/>
      <c r="K51" s="549"/>
    </row>
    <row r="52" spans="1:11" ht="12.75" customHeight="1">
      <c r="A52" s="406" t="s">
        <v>24</v>
      </c>
      <c r="B52" s="404"/>
      <c r="C52" s="373"/>
      <c r="D52" s="576">
        <f>E52/E$1</f>
        <v>1027567</v>
      </c>
      <c r="E52" s="576">
        <f>SUM(E53:E54)</f>
        <v>1849620</v>
      </c>
      <c r="F52" s="412"/>
      <c r="H52" s="523"/>
      <c r="I52" s="524"/>
      <c r="J52" s="525"/>
      <c r="K52" s="526"/>
    </row>
    <row r="53" spans="1:11">
      <c r="A53" s="552" t="s">
        <v>63</v>
      </c>
      <c r="B53" s="372" t="s">
        <v>2</v>
      </c>
      <c r="C53" s="373" t="b">
        <f>AND(OR(ISBLANK(A53),A53=" ",A53="  "),B53="Sim")</f>
        <v>0</v>
      </c>
      <c r="D53" s="374">
        <f>E53/E$1</f>
        <v>947567</v>
      </c>
      <c r="E53" s="374">
        <f>'7_ADM'!A14</f>
        <v>1705620</v>
      </c>
      <c r="F53" s="391" t="s">
        <v>2</v>
      </c>
      <c r="H53" s="512"/>
      <c r="I53" s="291"/>
      <c r="J53" s="325"/>
      <c r="K53" s="513"/>
    </row>
    <row r="54" spans="1:11" ht="13.5" thickBot="1">
      <c r="A54" s="581" t="s">
        <v>93</v>
      </c>
      <c r="B54" s="392" t="s">
        <v>2</v>
      </c>
      <c r="C54" s="393" t="b">
        <f>AND(OR(ISBLANK(A54),A54=" ",A54="  "),B54="Sim")</f>
        <v>0</v>
      </c>
      <c r="D54" s="413">
        <f>E54/E$1</f>
        <v>80000</v>
      </c>
      <c r="E54" s="413">
        <f>'7_ADM'!A25</f>
        <v>144000</v>
      </c>
      <c r="F54" s="394" t="s">
        <v>2</v>
      </c>
      <c r="H54" s="515"/>
      <c r="I54" s="516"/>
      <c r="J54" s="517"/>
      <c r="K54" s="518"/>
    </row>
    <row r="56" spans="1:11">
      <c r="G56" s="383"/>
    </row>
  </sheetData>
  <phoneticPr fontId="0" type="noConversion"/>
  <conditionalFormatting sqref="F53:F54 B53:B54 B44:B51 F44:F51 B7:B42 F7:F42">
    <cfRule type="cellIs" dxfId="5" priority="8" stopIfTrue="1" operator="equal">
      <formula>"Sim"</formula>
    </cfRule>
  </conditionalFormatting>
  <dataValidations count="1">
    <dataValidation type="list" allowBlank="1" showErrorMessage="1" sqref="B53:B54 F53:F54 F7:F51 B7:B19 B21:B51">
      <formula1>"Sim,Não"</formula1>
      <formula2>0</formula2>
    </dataValidation>
  </dataValidations>
  <printOptions horizontalCentered="1"/>
  <pageMargins left="0.23622047244094491" right="0.39370078740157483" top="0.59055118110236227" bottom="0.62992125984251968"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legacyDrawing r:id="rId2"/>
</worksheet>
</file>

<file path=xl/worksheets/sheet4.xml><?xml version="1.0" encoding="utf-8"?>
<worksheet xmlns="http://schemas.openxmlformats.org/spreadsheetml/2006/main" xmlns:r="http://schemas.openxmlformats.org/officeDocument/2006/relationships">
  <dimension ref="A1:BG80"/>
  <sheetViews>
    <sheetView showGridLines="0" zoomScaleNormal="100" zoomScaleSheetLayoutView="85" workbookViewId="0">
      <pane xSplit="2" ySplit="4" topLeftCell="C26" activePane="bottomRight" state="frozen"/>
      <selection activeCell="B31" sqref="B31:H35"/>
      <selection pane="topRight" activeCell="B31" sqref="B31:H35"/>
      <selection pane="bottomLeft" activeCell="B31" sqref="B31:H35"/>
      <selection pane="bottomRight" activeCell="B65" sqref="B65:B69"/>
    </sheetView>
  </sheetViews>
  <sheetFormatPr defaultColWidth="9.140625" defaultRowHeight="12.75"/>
  <cols>
    <col min="1" max="1" width="30.7109375" style="217" customWidth="1"/>
    <col min="2" max="2" width="42.7109375" style="169" customWidth="1"/>
    <col min="3" max="3" width="26.5703125" style="169" customWidth="1"/>
    <col min="4" max="4" width="31.28515625" style="169" customWidth="1"/>
    <col min="5" max="5" width="10.7109375" style="219" customWidth="1"/>
    <col min="6" max="6" width="10.7109375" style="218" customWidth="1"/>
    <col min="7" max="7" width="12.7109375" style="169" customWidth="1"/>
    <col min="8" max="8" width="26.140625" style="169" customWidth="1"/>
    <col min="9" max="9" width="6.7109375" style="219" customWidth="1"/>
    <col min="10" max="10" width="8.140625" style="218" bestFit="1" customWidth="1"/>
    <col min="11" max="11" width="14.7109375" style="169" customWidth="1"/>
    <col min="12" max="12" width="26.140625" style="174" customWidth="1"/>
    <col min="13" max="13" width="6.7109375" style="219" customWidth="1"/>
    <col min="14" max="14" width="10.7109375" style="218" customWidth="1"/>
    <col min="15" max="15" width="12.7109375" style="94" customWidth="1"/>
    <col min="16" max="16" width="28.7109375" style="169" customWidth="1"/>
    <col min="17" max="17" width="7.5703125" style="219" bestFit="1" customWidth="1"/>
    <col min="18" max="18" width="10.7109375" style="218" customWidth="1"/>
    <col min="19" max="19" width="11.5703125" style="94" bestFit="1" customWidth="1"/>
    <col min="20" max="20" width="27.8554687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45" t="s">
        <v>98</v>
      </c>
      <c r="B2" s="745"/>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46" t="s">
        <v>3</v>
      </c>
      <c r="B3" s="747" t="s">
        <v>4</v>
      </c>
      <c r="C3" s="748" t="s">
        <v>5</v>
      </c>
      <c r="D3" s="756" t="s">
        <v>6</v>
      </c>
      <c r="E3" s="757"/>
      <c r="F3" s="758" t="s">
        <v>7</v>
      </c>
      <c r="G3" s="759"/>
      <c r="H3" s="754" t="s">
        <v>8</v>
      </c>
      <c r="I3" s="755"/>
      <c r="J3" s="772" t="s">
        <v>7</v>
      </c>
      <c r="K3" s="773"/>
      <c r="L3" s="756" t="s">
        <v>9</v>
      </c>
      <c r="M3" s="769"/>
      <c r="N3" s="774" t="s">
        <v>7</v>
      </c>
      <c r="O3" s="775"/>
      <c r="P3" s="770" t="s">
        <v>81</v>
      </c>
      <c r="Q3" s="771"/>
      <c r="R3" s="772" t="s">
        <v>7</v>
      </c>
      <c r="S3" s="778"/>
      <c r="T3" s="776" t="s">
        <v>82</v>
      </c>
      <c r="U3" s="777"/>
      <c r="V3" s="767" t="s">
        <v>7</v>
      </c>
      <c r="W3" s="768"/>
    </row>
    <row r="4" spans="1:59" ht="13.5" thickBot="1">
      <c r="A4" s="746"/>
      <c r="B4" s="747"/>
      <c r="C4" s="748"/>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51.75" thickBot="1">
      <c r="A5" s="74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5" s="735" t="s">
        <v>286</v>
      </c>
      <c r="C5" s="738"/>
      <c r="D5" s="181"/>
      <c r="E5" s="330"/>
      <c r="F5" s="231"/>
      <c r="G5" s="229">
        <f>IF($A$5&lt;&gt;"NÃO SELECIONADO",E5*F5,0)</f>
        <v>0</v>
      </c>
      <c r="H5" s="183" t="s">
        <v>104</v>
      </c>
      <c r="I5" s="330">
        <f>3*180</f>
        <v>540</v>
      </c>
      <c r="J5" s="311">
        <v>800</v>
      </c>
      <c r="K5" s="229">
        <f>IF($A$5&lt;&gt;"NÃO SELECIONADO",I5*J5,0)</f>
        <v>432000</v>
      </c>
      <c r="L5" s="183"/>
      <c r="M5" s="223"/>
      <c r="N5" s="184"/>
      <c r="O5" s="229">
        <f>IF($A$5&lt;&gt;"NÃO SELECIONADO",M5*N5,0)</f>
        <v>0</v>
      </c>
      <c r="P5" s="181" t="s">
        <v>101</v>
      </c>
      <c r="Q5" s="225">
        <v>360</v>
      </c>
      <c r="R5" s="389">
        <v>20</v>
      </c>
      <c r="S5" s="229">
        <f>IF($A$5&lt;&gt;"NÃO SELECIONADO",Q5*R5,0)</f>
        <v>7200</v>
      </c>
      <c r="T5" s="390" t="s">
        <v>99</v>
      </c>
      <c r="U5" s="225">
        <v>120</v>
      </c>
      <c r="V5" s="187">
        <v>1000</v>
      </c>
      <c r="W5" s="229">
        <f>IF($A$5&lt;&gt;"NÃO SELECIONADO",U5*V5,0)</f>
        <v>120000</v>
      </c>
    </row>
    <row r="6" spans="1:59" ht="13.5" thickBot="1">
      <c r="A6" s="743"/>
      <c r="B6" s="736"/>
      <c r="C6" s="738"/>
      <c r="D6" s="189"/>
      <c r="E6" s="330"/>
      <c r="F6" s="231"/>
      <c r="G6" s="229">
        <f>IF($A$5&lt;&gt;"NÃO SELECIONADO",E6*F6,0)</f>
        <v>0</v>
      </c>
      <c r="H6" s="181"/>
      <c r="I6" s="330"/>
      <c r="J6" s="311"/>
      <c r="K6" s="229">
        <f>IF($A$5&lt;&gt;"NÃO SELECIONADO",I6*J6,0)</f>
        <v>0</v>
      </c>
      <c r="L6" s="190"/>
      <c r="M6" s="221"/>
      <c r="N6" s="185"/>
      <c r="O6" s="229">
        <f>IF($A$5&lt;&gt;"NÃO SELECIONADO",M6*N6,0)</f>
        <v>0</v>
      </c>
      <c r="P6" s="191" t="s">
        <v>102</v>
      </c>
      <c r="Q6" s="221">
        <v>2</v>
      </c>
      <c r="R6" s="185">
        <v>20000</v>
      </c>
      <c r="S6" s="229">
        <f>IF($A$5&lt;&gt;"NÃO SELECIONADO",Q6*R6,0)</f>
        <v>40000</v>
      </c>
      <c r="T6" s="321" t="s">
        <v>100</v>
      </c>
      <c r="U6" s="221">
        <v>360</v>
      </c>
      <c r="V6" s="185">
        <v>250</v>
      </c>
      <c r="W6" s="229">
        <f>IF($A$5&lt;&gt;"NÃO SELECIONADO",U6*V6,0)</f>
        <v>90000</v>
      </c>
    </row>
    <row r="7" spans="1:59" ht="13.5" thickBot="1">
      <c r="A7" s="743"/>
      <c r="B7" s="736"/>
      <c r="C7" s="738"/>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ht="22.5" customHeight="1">
      <c r="A8" s="743"/>
      <c r="B8" s="736"/>
      <c r="C8" s="738"/>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689200</v>
      </c>
      <c r="B9" s="737"/>
      <c r="C9" s="739"/>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3.75">
      <c r="A10" s="752" t="str">
        <f>IF('3_Comp e Produtos'!B8="Sim",'3_Comp e Produtos'!A8,"NÃO SELECIONADO")</f>
        <v>1.2 Monitoramento estratégico dos créditos ativos e riscos para o Estado</v>
      </c>
      <c r="B10" s="740" t="s">
        <v>287</v>
      </c>
      <c r="C10" s="738"/>
      <c r="D10" s="416"/>
      <c r="E10" s="326"/>
      <c r="F10" s="231"/>
      <c r="G10" s="230">
        <f>IF($A$10&lt;&gt;"NÃO SELECIONADO",E10*F10,0)</f>
        <v>0</v>
      </c>
      <c r="H10" s="189" t="s">
        <v>146</v>
      </c>
      <c r="I10" s="326">
        <v>270</v>
      </c>
      <c r="J10" s="231">
        <v>800</v>
      </c>
      <c r="K10" s="230">
        <f>IF($A$10&lt;&gt;"NÃO SELECIONADO",I10*J10,0)</f>
        <v>216000</v>
      </c>
      <c r="L10" s="536"/>
      <c r="M10" s="326"/>
      <c r="N10" s="328"/>
      <c r="O10" s="230">
        <f>IF($A$10&lt;&gt;"NÃO SELECIONADO",M10*N10,0)</f>
        <v>0</v>
      </c>
      <c r="P10" s="191"/>
      <c r="Q10" s="221"/>
      <c r="R10" s="185"/>
      <c r="S10" s="230">
        <f>IF($A$10&lt;&gt;"NÃO SELECIONADO",Q10*R10,0)</f>
        <v>0</v>
      </c>
      <c r="T10" s="390" t="s">
        <v>106</v>
      </c>
      <c r="U10" s="225">
        <v>9</v>
      </c>
      <c r="V10" s="187">
        <v>3000</v>
      </c>
      <c r="W10" s="230">
        <f>IF($A$10&lt;&gt;"NÃO SELECIONADO",U10*V10,0)</f>
        <v>27000</v>
      </c>
    </row>
    <row r="11" spans="1:59" ht="51">
      <c r="A11" s="753"/>
      <c r="B11" s="741"/>
      <c r="C11" s="738"/>
      <c r="D11" s="189"/>
      <c r="E11" s="326"/>
      <c r="F11" s="231"/>
      <c r="G11" s="230">
        <f>IF($A$10&lt;&gt;"NÃO SELECIONADO",E11*F11,0)</f>
        <v>0</v>
      </c>
      <c r="H11" s="189" t="s">
        <v>103</v>
      </c>
      <c r="I11" s="326">
        <v>270</v>
      </c>
      <c r="J11" s="231">
        <v>800</v>
      </c>
      <c r="K11" s="230">
        <f>IF($A$10&lt;&gt;"NÃO SELECIONADO",I11*J11,0)</f>
        <v>216000</v>
      </c>
      <c r="L11" s="536"/>
      <c r="M11" s="326"/>
      <c r="N11" s="328"/>
      <c r="O11" s="230">
        <f>IF($A$10&lt;&gt;"NÃO SELECIONADO",M11*N11,0)</f>
        <v>0</v>
      </c>
      <c r="P11" s="191"/>
      <c r="Q11" s="221"/>
      <c r="R11" s="185"/>
      <c r="S11" s="230">
        <f>IF($A$10&lt;&gt;"NÃO SELECIONADO",Q11*R11,0)</f>
        <v>0</v>
      </c>
      <c r="T11" s="321" t="s">
        <v>108</v>
      </c>
      <c r="U11" s="221">
        <v>7</v>
      </c>
      <c r="V11" s="185">
        <v>3000</v>
      </c>
      <c r="W11" s="230">
        <f>IF($A$10&lt;&gt;"NÃO SELECIONADO",U11*V11,0)</f>
        <v>21000</v>
      </c>
    </row>
    <row r="12" spans="1:59" ht="38.25">
      <c r="A12" s="753"/>
      <c r="B12" s="741"/>
      <c r="C12" s="738"/>
      <c r="D12" s="316"/>
      <c r="E12" s="326"/>
      <c r="F12" s="231"/>
      <c r="G12" s="230">
        <f>IF($A$10&lt;&gt;"NÃO SELECIONADO",E12*F12,0)</f>
        <v>0</v>
      </c>
      <c r="H12" s="189" t="s">
        <v>105</v>
      </c>
      <c r="I12" s="220">
        <v>30</v>
      </c>
      <c r="J12" s="531">
        <v>1600</v>
      </c>
      <c r="K12" s="230">
        <f>IF($A$10&lt;&gt;"NÃO SELECIONADO",I12*J12,0)</f>
        <v>48000</v>
      </c>
      <c r="L12" s="189"/>
      <c r="M12" s="326"/>
      <c r="N12" s="328"/>
      <c r="O12" s="230">
        <f>IF($A$10&lt;&gt;"NÃO SELECIONADO",M12*N12,0)</f>
        <v>0</v>
      </c>
      <c r="P12" s="191"/>
      <c r="Q12" s="221"/>
      <c r="R12" s="185"/>
      <c r="S12" s="230">
        <f>IF($A$10&lt;&gt;"NÃO SELECIONADO",Q12*R12,0)</f>
        <v>0</v>
      </c>
      <c r="T12" s="390" t="s">
        <v>107</v>
      </c>
      <c r="U12" s="221">
        <v>45</v>
      </c>
      <c r="V12" s="185">
        <v>1000</v>
      </c>
      <c r="W12" s="230">
        <f>IF($A$10&lt;&gt;"NÃO SELECIONADO",U12*V12,0)</f>
        <v>45000</v>
      </c>
    </row>
    <row r="13" spans="1:59" ht="15" customHeight="1">
      <c r="A13" s="753"/>
      <c r="B13" s="741"/>
      <c r="C13" s="738"/>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t="s">
        <v>109</v>
      </c>
      <c r="U13" s="221">
        <v>45</v>
      </c>
      <c r="V13" s="185">
        <v>1000</v>
      </c>
      <c r="W13" s="230">
        <f>IF($A$10&lt;&gt;"NÃO SELECIONADO",U13*V13,0)</f>
        <v>45000</v>
      </c>
    </row>
    <row r="14" spans="1:59">
      <c r="A14" s="317">
        <f>IF(A10&lt;&gt;"NÃO SELECIONADO",SUM(G10:G14)+SUM(K10:K14)+SUM(O10:O14)+SUM(S10:S14)+SUM(W10:W14),0)</f>
        <v>618000</v>
      </c>
      <c r="B14" s="742"/>
      <c r="C14" s="739"/>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49" t="str">
        <f>IF('3_Comp e Produtos'!B9="Sim",'3_Comp e Produtos'!A9,"NÃO SELECIONADO")</f>
        <v>1.3. Dimensionamento do custo fiscal implícito nos processos contra o Estado</v>
      </c>
      <c r="B15" s="735" t="s">
        <v>288</v>
      </c>
      <c r="C15" s="744"/>
      <c r="D15" s="416"/>
      <c r="E15" s="330"/>
      <c r="F15" s="364"/>
      <c r="G15" s="230">
        <f>IF($A$15&lt;&gt;"NÃO SELECIONADO",E15*F15,0)</f>
        <v>0</v>
      </c>
      <c r="H15" s="189" t="s">
        <v>147</v>
      </c>
      <c r="I15" s="330">
        <f>3*90</f>
        <v>270</v>
      </c>
      <c r="J15" s="353">
        <v>800</v>
      </c>
      <c r="K15" s="230">
        <f>IF($A$15&lt;&gt;"NÃO SELECIONADO",I15*J15,0)</f>
        <v>216000</v>
      </c>
      <c r="L15" s="189"/>
      <c r="M15" s="330"/>
      <c r="N15" s="353"/>
      <c r="O15" s="230">
        <f>IF($A$15&lt;&gt;"NÃO SELECIONADO",M15*N15,0)</f>
        <v>0</v>
      </c>
      <c r="P15" s="417"/>
      <c r="Q15" s="201"/>
      <c r="R15" s="202"/>
      <c r="S15" s="230">
        <f>IF($A$15&lt;&gt;"NÃO SELECIONADO",Q15*R15,0)</f>
        <v>0</v>
      </c>
      <c r="T15" s="418"/>
      <c r="U15" s="222"/>
      <c r="V15" s="477"/>
      <c r="W15" s="230">
        <f>IF($A$15&lt;&gt;"NÃO SELECIONADO",U15*V15,0)</f>
        <v>0</v>
      </c>
    </row>
    <row r="16" spans="1:59">
      <c r="A16" s="750"/>
      <c r="B16" s="736"/>
      <c r="C16" s="738"/>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418"/>
      <c r="U16" s="222"/>
      <c r="V16" s="478"/>
      <c r="W16" s="230">
        <f>IF($A$15&lt;&gt;"NÃO SELECIONADO",U16*V16,0)</f>
        <v>0</v>
      </c>
    </row>
    <row r="17" spans="1:23">
      <c r="A17" s="750"/>
      <c r="B17" s="736"/>
      <c r="C17" s="738"/>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c r="A18" s="751"/>
      <c r="B18" s="736"/>
      <c r="C18" s="738"/>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216000</v>
      </c>
      <c r="B19" s="737"/>
      <c r="C19" s="739"/>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25.5">
      <c r="A20" s="731" t="str">
        <f>IF('3_Comp e Produtos'!B10="Sim",'3_Comp e Produtos'!A10,"NÃO SELECIONADO")</f>
        <v>1.4. Sistema de indicadores, metas e avaliação da gestão por resultados</v>
      </c>
      <c r="B20" s="735" t="s">
        <v>289</v>
      </c>
      <c r="C20" s="744"/>
      <c r="D20" s="189"/>
      <c r="E20" s="326"/>
      <c r="F20" s="351"/>
      <c r="G20" s="230">
        <f>IF($A$20&lt;&gt;"NÃO SELECIONADO",E20*F20,0)</f>
        <v>0</v>
      </c>
      <c r="H20" s="189" t="s">
        <v>149</v>
      </c>
      <c r="I20" s="352">
        <v>90</v>
      </c>
      <c r="J20" s="353">
        <v>800</v>
      </c>
      <c r="K20" s="230">
        <f>IF($A$20&lt;&gt;"NÃO SELECIONADO",I20*J20,0)</f>
        <v>72000</v>
      </c>
      <c r="L20" s="226"/>
      <c r="M20" s="227"/>
      <c r="N20" s="228"/>
      <c r="O20" s="230">
        <f>IF($A$20&lt;&gt;"NÃO SELECIONADO",M20*N20,0)</f>
        <v>0</v>
      </c>
      <c r="P20" s="533" t="s">
        <v>110</v>
      </c>
      <c r="Q20" s="534">
        <v>3</v>
      </c>
      <c r="R20" s="534">
        <v>20000</v>
      </c>
      <c r="S20" s="230">
        <f>IF($A$20&lt;&gt;"NÃO SELECIONADO",Q20*R20,0)</f>
        <v>60000</v>
      </c>
      <c r="T20" s="181" t="s">
        <v>111</v>
      </c>
      <c r="U20" s="220">
        <v>3</v>
      </c>
      <c r="V20" s="477">
        <v>1000</v>
      </c>
      <c r="W20" s="230">
        <f>IF($A$20&lt;&gt;"NÃO SELECIONADO",U20*V20,0)</f>
        <v>3000</v>
      </c>
    </row>
    <row r="21" spans="1:23">
      <c r="A21" s="731"/>
      <c r="B21" s="736"/>
      <c r="C21" s="738"/>
      <c r="D21" s="324"/>
      <c r="E21" s="326"/>
      <c r="F21" s="351"/>
      <c r="G21" s="230">
        <f>IF($A$20&lt;&gt;"NÃO SELECIONADO",E21*F21,0)</f>
        <v>0</v>
      </c>
      <c r="H21" s="318" t="s">
        <v>148</v>
      </c>
      <c r="I21" s="222">
        <v>90</v>
      </c>
      <c r="J21" s="194">
        <v>800</v>
      </c>
      <c r="K21" s="230">
        <f>IF($A$20&lt;&gt;"NÃO SELECIONADO",I21*J21,0)</f>
        <v>72000</v>
      </c>
      <c r="L21" s="226"/>
      <c r="M21" s="227"/>
      <c r="N21" s="228"/>
      <c r="O21" s="230">
        <f>IF($A$20&lt;&gt;"NÃO SELECIONADO",M21*N21,0)</f>
        <v>0</v>
      </c>
      <c r="P21" s="200"/>
      <c r="Q21" s="201"/>
      <c r="R21" s="202"/>
      <c r="S21" s="230">
        <f>IF($A$20&lt;&gt;"NÃO SELECIONADO",Q21*R21,0)</f>
        <v>0</v>
      </c>
      <c r="T21" s="181" t="s">
        <v>112</v>
      </c>
      <c r="U21" s="220">
        <v>30</v>
      </c>
      <c r="V21" s="478">
        <v>250</v>
      </c>
      <c r="W21" s="230">
        <f>IF($A$20&lt;&gt;"NÃO SELECIONADO",U21*V21,0)</f>
        <v>7500</v>
      </c>
    </row>
    <row r="22" spans="1:23" ht="25.5">
      <c r="A22" s="731"/>
      <c r="B22" s="736"/>
      <c r="C22" s="738"/>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113</v>
      </c>
      <c r="U22" s="222">
        <v>24</v>
      </c>
      <c r="V22" s="194">
        <v>1000</v>
      </c>
      <c r="W22" s="230">
        <f>IF($A$20&lt;&gt;"NÃO SELECIONADO",U22*V22,0)</f>
        <v>24000</v>
      </c>
    </row>
    <row r="23" spans="1:23" ht="15.75" customHeight="1">
      <c r="A23" s="731"/>
      <c r="B23" s="736"/>
      <c r="C23" s="738"/>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t="s">
        <v>114</v>
      </c>
      <c r="U23" s="222">
        <f>24*3</f>
        <v>72</v>
      </c>
      <c r="V23" s="194">
        <v>250</v>
      </c>
      <c r="W23" s="230">
        <f>IF($A$20&lt;&gt;"NÃO SELECIONADO",U23*V23,0)</f>
        <v>18000</v>
      </c>
    </row>
    <row r="24" spans="1:23">
      <c r="A24" s="317">
        <f>IF(A20&lt;&gt;"NÃO SELECIONADO",SUM(G20:G24)+SUM(K20:K24)+SUM(O20:O24)+SUM(S20:S24)+SUM(W20:W24),0)</f>
        <v>256500</v>
      </c>
      <c r="B24" s="737"/>
      <c r="C24" s="739"/>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c r="A25" s="731" t="str">
        <f>IF('3_Comp e Produtos'!B11="Sim",'3_Comp e Produtos'!A11,"NÃO SELECIONADO")</f>
        <v>1.5. Ferramenta que permita verificar e monitorar a consistência entre os alinhamentos estratégicos e os resultados operacionais</v>
      </c>
      <c r="B25" s="763" t="s">
        <v>300</v>
      </c>
      <c r="C25" s="760"/>
      <c r="D25" s="378" t="s">
        <v>116</v>
      </c>
      <c r="E25" s="326">
        <v>160</v>
      </c>
      <c r="F25" s="231">
        <v>1000</v>
      </c>
      <c r="G25" s="230">
        <f>IF($A$25&lt;&gt;"NÃO SELECIONADO",E25*F25,0)</f>
        <v>160000</v>
      </c>
      <c r="H25" s="379"/>
      <c r="I25" s="352"/>
      <c r="J25" s="353"/>
      <c r="K25" s="230">
        <f>IF($A$25&lt;&gt;"NÃO SELECIONADO",I25*J25,0)</f>
        <v>0</v>
      </c>
      <c r="L25" s="379" t="s">
        <v>115</v>
      </c>
      <c r="M25" s="222">
        <v>80</v>
      </c>
      <c r="N25" s="380">
        <v>5000</v>
      </c>
      <c r="O25" s="230">
        <f>IF($A$25&lt;&gt;"NÃO SELECIONADO",M25*N25,0)</f>
        <v>400000</v>
      </c>
      <c r="P25" s="379"/>
      <c r="Q25" s="381"/>
      <c r="R25" s="382"/>
      <c r="S25" s="230">
        <f>IF($A$25&lt;&gt;"NÃO SELECIONADO",Q25*R25,0)</f>
        <v>0</v>
      </c>
      <c r="T25" s="321"/>
      <c r="U25" s="347"/>
      <c r="V25" s="348"/>
      <c r="W25" s="230">
        <f>IF($A$25&lt;&gt;"NÃO SELECIONADO",U25*V25,0)</f>
        <v>0</v>
      </c>
    </row>
    <row r="26" spans="1:23" ht="25.5">
      <c r="A26" s="731"/>
      <c r="B26" s="764"/>
      <c r="C26" s="761"/>
      <c r="D26" s="193"/>
      <c r="E26" s="326"/>
      <c r="F26" s="331"/>
      <c r="G26" s="230">
        <f>IF($A$25&lt;&gt;"NÃO SELECIONADO",E26*F26,0)</f>
        <v>0</v>
      </c>
      <c r="H26" s="191"/>
      <c r="I26" s="221"/>
      <c r="J26" s="185"/>
      <c r="K26" s="230">
        <f>IF($A$25&lt;&gt;"NÃO SELECIONADO",I26*J26,0)</f>
        <v>0</v>
      </c>
      <c r="L26" s="379" t="s">
        <v>117</v>
      </c>
      <c r="M26" s="222">
        <v>90</v>
      </c>
      <c r="N26" s="194">
        <v>500</v>
      </c>
      <c r="O26" s="230">
        <f>IF($A$25&lt;&gt;"NÃO SELECIONADO",M26*N26,0)</f>
        <v>45000</v>
      </c>
      <c r="P26" s="320"/>
      <c r="Q26" s="221"/>
      <c r="R26" s="185"/>
      <c r="S26" s="230">
        <f>IF($A$25&lt;&gt;"NÃO SELECIONADO",Q26*R26,0)</f>
        <v>0</v>
      </c>
      <c r="T26" s="346"/>
      <c r="U26" s="347"/>
      <c r="V26" s="348"/>
      <c r="W26" s="230">
        <f>IF($A$25&lt;&gt;"NÃO SELECIONADO",U26*V26,0)</f>
        <v>0</v>
      </c>
    </row>
    <row r="27" spans="1:23">
      <c r="A27" s="731"/>
      <c r="B27" s="764"/>
      <c r="C27" s="76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2.5" customHeight="1">
      <c r="A28" s="731"/>
      <c r="B28" s="764"/>
      <c r="C28" s="76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605000</v>
      </c>
      <c r="B29" s="765"/>
      <c r="C29" s="76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18.75" customHeight="1">
      <c r="A30" s="731" t="str">
        <f>IF('3_Comp e Produtos'!B12="Sim",'3_Comp e Produtos'!A12,"NÃO SELECIONADO")</f>
        <v>1.6. Criação de uma unidade de gestão do conhecimento</v>
      </c>
      <c r="B30" s="733" t="s">
        <v>290</v>
      </c>
      <c r="C30" s="734"/>
      <c r="D30" s="193"/>
      <c r="E30" s="221"/>
      <c r="F30" s="185"/>
      <c r="G30" s="230">
        <f>IF($A$30&lt;&gt;"NÃO SELECIONADO",E30*F30,0)</f>
        <v>0</v>
      </c>
      <c r="H30" s="189" t="s">
        <v>118</v>
      </c>
      <c r="I30" s="220">
        <v>45</v>
      </c>
      <c r="J30" s="182">
        <v>800</v>
      </c>
      <c r="K30" s="230">
        <f>IF($A$30&lt;&gt;"NÃO SELECIONADO",I30*J30,0)</f>
        <v>36000</v>
      </c>
      <c r="L30" s="190"/>
      <c r="M30" s="221"/>
      <c r="N30" s="185"/>
      <c r="O30" s="230">
        <f>IF($A$30&lt;&gt;"NÃO SELECIONADO",M30*N30,0)</f>
        <v>0</v>
      </c>
      <c r="P30" s="193"/>
      <c r="Q30" s="221"/>
      <c r="R30" s="185"/>
      <c r="S30" s="230">
        <f>IF($A$30&lt;&gt;"NÃO SELECIONADO",Q30*R30,0)</f>
        <v>0</v>
      </c>
      <c r="T30" s="181" t="s">
        <v>111</v>
      </c>
      <c r="U30" s="221">
        <v>2</v>
      </c>
      <c r="V30" s="185">
        <v>1000</v>
      </c>
      <c r="W30" s="230">
        <f>IF($A$30&lt;&gt;"NÃO SELECIONADO",U30*V30,0)</f>
        <v>2000</v>
      </c>
    </row>
    <row r="31" spans="1:23" ht="18.75" customHeight="1">
      <c r="A31" s="731"/>
      <c r="B31" s="733"/>
      <c r="C31" s="734"/>
      <c r="D31" s="193"/>
      <c r="E31" s="221"/>
      <c r="F31" s="185"/>
      <c r="G31" s="230">
        <f>IF($A$30&lt;&gt;"NÃO SELECIONADO",E31*F31,0)</f>
        <v>0</v>
      </c>
      <c r="H31" s="192"/>
      <c r="I31" s="221"/>
      <c r="J31" s="185"/>
      <c r="K31" s="230">
        <f>IF($A$30&lt;&gt;"NÃO SELECIONADO",I31*J31,0)</f>
        <v>0</v>
      </c>
      <c r="L31" s="190"/>
      <c r="M31" s="221"/>
      <c r="N31" s="185"/>
      <c r="O31" s="230">
        <f>IF($A$30&lt;&gt;"NÃO SELECIONADO",M31*N31,0)</f>
        <v>0</v>
      </c>
      <c r="P31" s="193"/>
      <c r="Q31" s="221"/>
      <c r="R31" s="185"/>
      <c r="S31" s="230">
        <f>IF($A$30&lt;&gt;"NÃO SELECIONADO",Q31*R31,0)</f>
        <v>0</v>
      </c>
      <c r="T31" s="181" t="s">
        <v>112</v>
      </c>
      <c r="U31" s="221">
        <v>5</v>
      </c>
      <c r="V31" s="185">
        <v>250</v>
      </c>
      <c r="W31" s="230">
        <f>IF($A$30&lt;&gt;"NÃO SELECIONADO",U31*V31,0)</f>
        <v>1250</v>
      </c>
    </row>
    <row r="32" spans="1:23" ht="18.75" customHeight="1">
      <c r="A32" s="731"/>
      <c r="B32" s="733"/>
      <c r="C32" s="734"/>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92"/>
      <c r="U32" s="221"/>
      <c r="V32" s="185"/>
      <c r="W32" s="230">
        <f>IF($A$30&lt;&gt;"NÃO SELECIONADO",U32*V32,0)</f>
        <v>0</v>
      </c>
    </row>
    <row r="33" spans="1:23" ht="40.5" customHeight="1">
      <c r="A33" s="731"/>
      <c r="B33" s="733"/>
      <c r="C33" s="734"/>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92"/>
      <c r="U33" s="221"/>
      <c r="V33" s="185"/>
      <c r="W33" s="230">
        <f>IF($A$30&lt;&gt;"NÃO SELECIONADO",U33*V33,0)</f>
        <v>0</v>
      </c>
    </row>
    <row r="34" spans="1:23" ht="18.75" customHeight="1">
      <c r="A34" s="287">
        <f>IF(A30&lt;&gt;"NÃO SELECIONADO",SUM(G30:G34)+SUM(K30:K34)+SUM(O30:O34)+SUM(S30:S34)+SUM(W30:W34),0)</f>
        <v>39250</v>
      </c>
      <c r="B34" s="733"/>
      <c r="C34" s="734"/>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38.25" customHeight="1">
      <c r="A35" s="731" t="str">
        <f>IF('3_Comp e Produtos'!B13="Sim",'3_Comp e Produtos'!A13,"NÃO SELECIONADO")</f>
        <v>1.7. Instalar uma ferramenta de BI incluindo recursos para Text Mining e Data Mining</v>
      </c>
      <c r="B35" s="733" t="s">
        <v>291</v>
      </c>
      <c r="C35" s="734"/>
      <c r="D35" s="378" t="s">
        <v>120</v>
      </c>
      <c r="E35" s="326">
        <v>160</v>
      </c>
      <c r="F35" s="231">
        <v>1000</v>
      </c>
      <c r="G35" s="230">
        <f>IF($A$35&lt;&gt;"NÃO SELECIONADO",E35*F35,0)</f>
        <v>160000</v>
      </c>
      <c r="H35" s="532"/>
      <c r="I35" s="221"/>
      <c r="J35" s="185"/>
      <c r="K35" s="230">
        <f>IF($A$35&lt;&gt;"NÃO SELECIONADO",I35*J35,0)</f>
        <v>0</v>
      </c>
      <c r="L35" s="379" t="s">
        <v>119</v>
      </c>
      <c r="M35" s="222">
        <v>80</v>
      </c>
      <c r="N35" s="380">
        <v>5000</v>
      </c>
      <c r="O35" s="230">
        <f>IF($A$35&lt;&gt;"NÃO SELECIONADO",M35*N35,0)</f>
        <v>400000</v>
      </c>
      <c r="P35" s="193"/>
      <c r="Q35" s="221"/>
      <c r="R35" s="185"/>
      <c r="S35" s="230">
        <f>IF($A$35&lt;&gt;"NÃO SELECIONADO",Q35*R35,0)</f>
        <v>0</v>
      </c>
      <c r="T35" s="181"/>
      <c r="U35" s="221"/>
      <c r="V35" s="185"/>
      <c r="W35" s="230">
        <f>IF($A$35&lt;&gt;"NÃO SELECIONADO",U35*V35,0)</f>
        <v>0</v>
      </c>
    </row>
    <row r="36" spans="1:23" ht="38.25" customHeight="1">
      <c r="A36" s="731"/>
      <c r="B36" s="733"/>
      <c r="C36" s="734"/>
      <c r="D36" s="193"/>
      <c r="E36" s="221"/>
      <c r="F36" s="185"/>
      <c r="G36" s="230">
        <f>IF($A$35&lt;&gt;"NÃO SELECIONADO",E36*F36,0)</f>
        <v>0</v>
      </c>
      <c r="H36" s="192"/>
      <c r="I36" s="221"/>
      <c r="J36" s="185"/>
      <c r="K36" s="230">
        <f>IF($A$35&lt;&gt;"NÃO SELECIONADO",I36*J36,0)</f>
        <v>0</v>
      </c>
      <c r="L36" s="379" t="s">
        <v>117</v>
      </c>
      <c r="M36" s="221">
        <v>90</v>
      </c>
      <c r="N36" s="185">
        <v>500</v>
      </c>
      <c r="O36" s="230">
        <f>IF($A$35&lt;&gt;"NÃO SELECIONADO",M36*N36,0)</f>
        <v>45000</v>
      </c>
      <c r="P36" s="193"/>
      <c r="Q36" s="221"/>
      <c r="R36" s="185"/>
      <c r="S36" s="230">
        <f>IF($A$35&lt;&gt;"NÃO SELECIONADO",Q36*R36,0)</f>
        <v>0</v>
      </c>
      <c r="T36" s="181"/>
      <c r="U36" s="221"/>
      <c r="V36" s="185"/>
      <c r="W36" s="230">
        <f>IF($A$35&lt;&gt;"NÃO SELECIONADO",U36*V36,0)</f>
        <v>0</v>
      </c>
    </row>
    <row r="37" spans="1:23" ht="38.25" customHeight="1">
      <c r="A37" s="731"/>
      <c r="B37" s="733"/>
      <c r="C37" s="734"/>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7.75" customHeight="1">
      <c r="A38" s="731"/>
      <c r="B38" s="733"/>
      <c r="C38" s="734"/>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605000</v>
      </c>
      <c r="B39" s="733"/>
      <c r="C39" s="734"/>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22.5" customHeight="1">
      <c r="A40" s="731" t="str">
        <f>IF('3_Comp e Produtos'!B14="Sim",'3_Comp e Produtos'!A14,"NÃO SELECIONADO")</f>
        <v>1.8. Criação do Escritório de Processos</v>
      </c>
      <c r="B40" s="733" t="s">
        <v>292</v>
      </c>
      <c r="C40" s="734"/>
      <c r="D40" s="378"/>
      <c r="E40" s="326"/>
      <c r="F40" s="231"/>
      <c r="G40" s="230">
        <f>IF($A$40&lt;&gt;"NÃO SELECIONADO",E40*F40,0)</f>
        <v>0</v>
      </c>
      <c r="H40" s="189" t="s">
        <v>150</v>
      </c>
      <c r="I40" s="221">
        <v>45</v>
      </c>
      <c r="J40" s="185">
        <v>800</v>
      </c>
      <c r="K40" s="230">
        <f>IF($A$40&lt;&gt;"NÃO SELECIONADO",I40*J40,0)</f>
        <v>36000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22.5" customHeight="1">
      <c r="A41" s="731"/>
      <c r="B41" s="733"/>
      <c r="C41" s="734"/>
      <c r="D41" s="193"/>
      <c r="E41" s="221"/>
      <c r="F41" s="185"/>
      <c r="G41" s="230">
        <f>IF($A$40&lt;&gt;"NÃO SELECIONADO",E41*F41,0)</f>
        <v>0</v>
      </c>
      <c r="H41" s="192"/>
      <c r="I41" s="221"/>
      <c r="J41" s="185"/>
      <c r="K41" s="230">
        <f>IF($A$40&lt;&gt;"NÃO SELECIONADO",I41*J41,0)</f>
        <v>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22.5" customHeight="1">
      <c r="A42" s="731"/>
      <c r="B42" s="733"/>
      <c r="C42" s="734"/>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c r="A43" s="731"/>
      <c r="B43" s="733"/>
      <c r="C43" s="734"/>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36000</v>
      </c>
      <c r="B44" s="733"/>
      <c r="C44" s="734"/>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ht="51">
      <c r="A45" s="766" t="str">
        <f>IF('3_Comp e Produtos'!B15="Sim",'3_Comp e Produtos'!A15,"NÃO SELECIONADO")</f>
        <v>1.9. Modelo dinâmico de gerência, controle, otimização, integração e sustentabilidade dos processos operacionais e de gestão</v>
      </c>
      <c r="B45" s="733" t="s">
        <v>293</v>
      </c>
      <c r="C45" s="732"/>
      <c r="D45" s="205" t="s">
        <v>125</v>
      </c>
      <c r="E45" s="221">
        <v>8</v>
      </c>
      <c r="F45" s="185">
        <v>4000</v>
      </c>
      <c r="G45" s="229">
        <f>IF($A$45&lt;&gt;"NÃO SELECIONADO",E45*F45,0)</f>
        <v>32000</v>
      </c>
      <c r="H45" s="189" t="s">
        <v>121</v>
      </c>
      <c r="I45" s="221">
        <v>180</v>
      </c>
      <c r="J45" s="185">
        <v>800</v>
      </c>
      <c r="K45" s="229">
        <f>IF($A$45&lt;&gt;"NÃO SELECIONADO",I45*J45,0)</f>
        <v>144000</v>
      </c>
      <c r="L45" s="560" t="s">
        <v>115</v>
      </c>
      <c r="M45" s="561">
        <v>100</v>
      </c>
      <c r="N45" s="562">
        <v>5000</v>
      </c>
      <c r="O45" s="230">
        <f>IF($A$45&lt;&gt;"NÃO SELECIONADO",M45*N45,0)</f>
        <v>500000</v>
      </c>
      <c r="P45" s="535"/>
      <c r="Q45" s="221"/>
      <c r="R45" s="185"/>
      <c r="S45" s="229">
        <f>IF($A$45&lt;&gt;"NÃO SELECIONADO",Q45*R45,0)</f>
        <v>0</v>
      </c>
      <c r="T45" s="188"/>
      <c r="U45" s="221"/>
      <c r="V45" s="185"/>
      <c r="W45" s="229">
        <f>IF($A$45&lt;&gt;"NÃO SELECIONADO",U45*V45,0)</f>
        <v>0</v>
      </c>
    </row>
    <row r="46" spans="1:23">
      <c r="A46" s="766"/>
      <c r="B46" s="733"/>
      <c r="C46" s="732"/>
      <c r="D46" s="378" t="s">
        <v>116</v>
      </c>
      <c r="E46" s="326">
        <v>160</v>
      </c>
      <c r="F46" s="231">
        <v>1000</v>
      </c>
      <c r="G46" s="229">
        <f>IF($A$45&lt;&gt;"NÃO SELECIONADO",E46*F46,0)</f>
        <v>160000</v>
      </c>
      <c r="H46" s="192"/>
      <c r="I46" s="221"/>
      <c r="J46" s="185"/>
      <c r="K46" s="229">
        <f>IF($A$45&lt;&gt;"NÃO SELECIONADO",I46*J46,0)</f>
        <v>0</v>
      </c>
      <c r="L46" s="190"/>
      <c r="M46" s="221"/>
      <c r="N46" s="185"/>
      <c r="O46" s="229">
        <f>IF($A$45&lt;&gt;"NÃO SELECIONADO",M46*N46,0)</f>
        <v>0</v>
      </c>
      <c r="P46" s="192"/>
      <c r="Q46" s="221"/>
      <c r="R46" s="185"/>
      <c r="S46" s="229">
        <f>IF($A$45&lt;&gt;"NÃO SELECIONADO",Q46*R46,0)</f>
        <v>0</v>
      </c>
      <c r="T46" s="192"/>
      <c r="U46" s="221"/>
      <c r="V46" s="185"/>
      <c r="W46" s="229">
        <f>IF($A$45&lt;&gt;"NÃO SELECIONADO",U46*V46,0)</f>
        <v>0</v>
      </c>
    </row>
    <row r="47" spans="1:23">
      <c r="A47" s="766"/>
      <c r="B47" s="733"/>
      <c r="C47" s="732"/>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c r="A48" s="766"/>
      <c r="B48" s="733"/>
      <c r="C48" s="732"/>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836000</v>
      </c>
      <c r="B49" s="733"/>
      <c r="C49" s="732"/>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71.25" customHeight="1">
      <c r="A50" s="731" t="str">
        <f>'3_Comp e Produtos'!A16</f>
        <v>1.10. Unidade responsável pela definição e monitoramento dos projetos institucionais (Escitório de Gestão de Projetos)</v>
      </c>
      <c r="B50" s="733" t="s">
        <v>294</v>
      </c>
      <c r="C50" s="734"/>
      <c r="D50" s="378" t="s">
        <v>116</v>
      </c>
      <c r="E50" s="221">
        <v>160</v>
      </c>
      <c r="F50" s="185">
        <v>600</v>
      </c>
      <c r="G50" s="230">
        <f>IF($A$65&lt;&gt;"NÃO SELECIONADO",E50*F50,0)</f>
        <v>96000</v>
      </c>
      <c r="H50" s="189" t="s">
        <v>122</v>
      </c>
      <c r="I50" s="221">
        <v>90</v>
      </c>
      <c r="J50" s="185">
        <v>800</v>
      </c>
      <c r="K50" s="230">
        <f>IF($A$65&lt;&gt;"NÃO SELECIONADO",I50*J50,0)</f>
        <v>72000</v>
      </c>
      <c r="L50" s="190" t="s">
        <v>115</v>
      </c>
      <c r="M50" s="221">
        <v>160</v>
      </c>
      <c r="N50" s="185">
        <v>1000</v>
      </c>
      <c r="O50" s="230">
        <f>IF($A$65&lt;&gt;"NÃO SELECIONADO",M50*N50,0)</f>
        <v>160000</v>
      </c>
      <c r="P50" s="192"/>
      <c r="Q50" s="221"/>
      <c r="R50" s="185"/>
      <c r="S50" s="230">
        <f>IF($A$65&lt;&gt;"NÃO SELECIONADO",Q50*R50,0)</f>
        <v>0</v>
      </c>
      <c r="T50" s="192"/>
      <c r="U50" s="221"/>
      <c r="V50" s="185"/>
      <c r="W50" s="230">
        <f>IF($A$65&lt;&gt;"NÃO SELECIONADO",U50*V50,0)</f>
        <v>0</v>
      </c>
    </row>
    <row r="51" spans="1:23" ht="30.75" customHeight="1">
      <c r="A51" s="731"/>
      <c r="B51" s="733"/>
      <c r="C51" s="734"/>
      <c r="D51" s="193" t="s">
        <v>123</v>
      </c>
      <c r="E51" s="221">
        <v>80</v>
      </c>
      <c r="F51" s="185">
        <v>2500</v>
      </c>
      <c r="G51" s="230">
        <f>IF($A$65&lt;&gt;"NÃO SELECIONADO",E51*F51,0)</f>
        <v>200000</v>
      </c>
      <c r="H51" s="192"/>
      <c r="I51" s="221"/>
      <c r="J51" s="185"/>
      <c r="K51" s="230">
        <f>IF($A$65&lt;&gt;"NÃO SELECIONADO",I51*J51,0)</f>
        <v>0</v>
      </c>
      <c r="L51" s="190"/>
      <c r="M51" s="221"/>
      <c r="N51" s="185"/>
      <c r="O51" s="230">
        <f>IF($A$65&lt;&gt;"NÃO SELECIONADO",M51*N51,0)</f>
        <v>0</v>
      </c>
      <c r="P51" s="192"/>
      <c r="Q51" s="221"/>
      <c r="R51" s="185"/>
      <c r="S51" s="230">
        <f>IF($A$65&lt;&gt;"NÃO SELECIONADO",Q51*R51,0)</f>
        <v>0</v>
      </c>
      <c r="T51" s="192"/>
      <c r="U51" s="221"/>
      <c r="V51" s="185"/>
      <c r="W51" s="230">
        <f>IF($A$65&lt;&gt;"NÃO SELECIONADO",U51*V51,0)</f>
        <v>0</v>
      </c>
    </row>
    <row r="52" spans="1:23" ht="29.25" customHeight="1">
      <c r="A52" s="731"/>
      <c r="B52" s="733"/>
      <c r="C52" s="734"/>
      <c r="D52" s="193"/>
      <c r="E52" s="221"/>
      <c r="F52" s="185"/>
      <c r="G52" s="230">
        <f>IF($A$65&lt;&gt;"NÃO SELECIONADO",E52*F52,0)</f>
        <v>0</v>
      </c>
      <c r="H52" s="192"/>
      <c r="I52" s="221"/>
      <c r="J52" s="185"/>
      <c r="K52" s="230">
        <f>IF($A$65&lt;&gt;"NÃO SELECIONADO",I52*J52,0)</f>
        <v>0</v>
      </c>
      <c r="L52" s="190"/>
      <c r="M52" s="221"/>
      <c r="N52" s="185"/>
      <c r="O52" s="230">
        <f>IF($A$65&lt;&gt;"NÃO SELECIONADO",M52*N52,0)</f>
        <v>0</v>
      </c>
      <c r="P52" s="192"/>
      <c r="Q52" s="221"/>
      <c r="R52" s="185"/>
      <c r="S52" s="230">
        <f>IF($A$65&lt;&gt;"NÃO SELECIONADO",Q52*R52,0)</f>
        <v>0</v>
      </c>
      <c r="T52" s="192"/>
      <c r="U52" s="221"/>
      <c r="V52" s="185"/>
      <c r="W52" s="230">
        <f>IF($A$65&lt;&gt;"NÃO SELECIONADO",U52*V52,0)</f>
        <v>0</v>
      </c>
    </row>
    <row r="53" spans="1:23" ht="25.5" customHeight="1">
      <c r="A53" s="731"/>
      <c r="B53" s="733"/>
      <c r="C53" s="734"/>
      <c r="D53" s="193"/>
      <c r="E53" s="221"/>
      <c r="F53" s="185"/>
      <c r="G53" s="230">
        <f>IF($A$65&lt;&gt;"NÃO SELECIONADO",E53*F53,0)</f>
        <v>0</v>
      </c>
      <c r="H53" s="192"/>
      <c r="I53" s="221"/>
      <c r="J53" s="185"/>
      <c r="K53" s="230">
        <f>IF($A$65&lt;&gt;"NÃO SELECIONADO",I53*J53,0)</f>
        <v>0</v>
      </c>
      <c r="L53" s="190"/>
      <c r="M53" s="221"/>
      <c r="N53" s="185"/>
      <c r="O53" s="230">
        <f>IF($A$65&lt;&gt;"NÃO SELECIONADO",M53*N53,0)</f>
        <v>0</v>
      </c>
      <c r="P53" s="192"/>
      <c r="Q53" s="221"/>
      <c r="R53" s="185"/>
      <c r="S53" s="230">
        <f>IF($A$65&lt;&gt;"NÃO SELECIONADO",Q53*R53,0)</f>
        <v>0</v>
      </c>
      <c r="T53" s="192"/>
      <c r="U53" s="221"/>
      <c r="V53" s="185"/>
      <c r="W53" s="230">
        <f>IF($A$65&lt;&gt;"NÃO SELECIONADO",U53*V53,0)</f>
        <v>0</v>
      </c>
    </row>
    <row r="54" spans="1:23">
      <c r="A54" s="287">
        <f>IF(A50&lt;&gt;"NÃO SELECIONADO",SUM(G50:G54)+SUM(K50:K54)+SUM(O50:O54)+SUM(S50:S54)+SUM(W50:W54),0)</f>
        <v>528000</v>
      </c>
      <c r="B54" s="733"/>
      <c r="C54" s="734"/>
      <c r="D54" s="193"/>
      <c r="E54" s="221"/>
      <c r="F54" s="185"/>
      <c r="G54" s="230">
        <f>IF($A$65&lt;&gt;"NÃO SELECIONADO",E54*F54,0)</f>
        <v>0</v>
      </c>
      <c r="H54" s="192"/>
      <c r="I54" s="221"/>
      <c r="J54" s="185"/>
      <c r="K54" s="230">
        <f>IF($A$65&lt;&gt;"NÃO SELECIONADO",I54*J54,0)</f>
        <v>0</v>
      </c>
      <c r="L54" s="190"/>
      <c r="M54" s="221"/>
      <c r="N54" s="185"/>
      <c r="O54" s="230">
        <f>IF($A$65&lt;&gt;"NÃO SELECIONADO",M54*N54,0)</f>
        <v>0</v>
      </c>
      <c r="P54" s="192"/>
      <c r="Q54" s="221"/>
      <c r="R54" s="185"/>
      <c r="S54" s="230">
        <f>IF($A$65&lt;&gt;"NÃO SELECIONADO",Q54*R54,0)</f>
        <v>0</v>
      </c>
      <c r="T54" s="192"/>
      <c r="U54" s="221"/>
      <c r="V54" s="185"/>
      <c r="W54" s="230">
        <f>IF($A$65&lt;&gt;"NÃO SELECIONADO",U54*V54,0)</f>
        <v>0</v>
      </c>
    </row>
    <row r="55" spans="1:23" ht="62.25" customHeight="1">
      <c r="A55" s="731" t="str">
        <f>'3_Comp e Produtos'!A17</f>
        <v>1.11. Política de comunicação das mudanças aos cidadãos, sobre as ações previstas no Projeto, desenhada e implementada</v>
      </c>
      <c r="B55" s="735" t="s">
        <v>283</v>
      </c>
      <c r="C55" s="738"/>
      <c r="D55" s="181"/>
      <c r="E55" s="330"/>
      <c r="F55" s="231"/>
      <c r="G55" s="229">
        <f>IF($A$5&lt;&gt;"NÃO SELECIONADO",E55*F55,0)</f>
        <v>0</v>
      </c>
      <c r="H55" s="181" t="s">
        <v>213</v>
      </c>
      <c r="I55" s="330">
        <f>2*90</f>
        <v>180</v>
      </c>
      <c r="J55" s="311">
        <v>800</v>
      </c>
      <c r="K55" s="229">
        <f>IF($A$5&lt;&gt;"NÃO SELECIONADO",I55*J55,0)</f>
        <v>144000</v>
      </c>
      <c r="L55" s="183"/>
      <c r="M55" s="223"/>
      <c r="N55" s="184"/>
      <c r="O55" s="229">
        <f>IF($A$5&lt;&gt;"NÃO SELECIONADO",M55*N55,0)</f>
        <v>0</v>
      </c>
      <c r="P55" s="181" t="s">
        <v>216</v>
      </c>
      <c r="Q55" s="225">
        <v>27</v>
      </c>
      <c r="R55" s="389">
        <v>20000</v>
      </c>
      <c r="S55" s="229">
        <f>IF($A$5&lt;&gt;"NÃO SELECIONADO",Q55*R55,0)</f>
        <v>540000</v>
      </c>
      <c r="T55" s="390" t="s">
        <v>218</v>
      </c>
      <c r="U55" s="225">
        <v>150</v>
      </c>
      <c r="V55" s="187">
        <v>1000</v>
      </c>
      <c r="W55" s="229">
        <f>IF($A$5&lt;&gt;"NÃO SELECIONADO",U55*V55,0)</f>
        <v>150000</v>
      </c>
    </row>
    <row r="56" spans="1:23" ht="72.75" customHeight="1">
      <c r="A56" s="731"/>
      <c r="B56" s="736"/>
      <c r="C56" s="738"/>
      <c r="D56" s="189"/>
      <c r="E56" s="330"/>
      <c r="F56" s="231"/>
      <c r="G56" s="229">
        <f>IF($A$5&lt;&gt;"NÃO SELECIONADO",E56*F56,0)</f>
        <v>0</v>
      </c>
      <c r="H56" s="181" t="s">
        <v>214</v>
      </c>
      <c r="I56" s="330">
        <v>300</v>
      </c>
      <c r="J56" s="311">
        <v>800</v>
      </c>
      <c r="K56" s="229">
        <f>IF($A$5&lt;&gt;"NÃO SELECIONADO",I56*J56,0)</f>
        <v>240000</v>
      </c>
      <c r="L56" s="190"/>
      <c r="M56" s="221"/>
      <c r="N56" s="185"/>
      <c r="O56" s="229">
        <f>IF($A$5&lt;&gt;"NÃO SELECIONADO",M56*N56,0)</f>
        <v>0</v>
      </c>
      <c r="P56" s="181" t="s">
        <v>217</v>
      </c>
      <c r="Q56" s="221">
        <v>27000</v>
      </c>
      <c r="R56" s="185">
        <v>5</v>
      </c>
      <c r="S56" s="229">
        <f>IF($A$5&lt;&gt;"NÃO SELECIONADO",Q56*R56,0)</f>
        <v>135000</v>
      </c>
      <c r="T56" s="321" t="s">
        <v>219</v>
      </c>
      <c r="U56" s="221">
        <f>150*3</f>
        <v>450</v>
      </c>
      <c r="V56" s="185">
        <v>250</v>
      </c>
      <c r="W56" s="229">
        <f>IF($A$5&lt;&gt;"NÃO SELECIONADO",U56*V56,0)</f>
        <v>112500</v>
      </c>
    </row>
    <row r="57" spans="1:23" ht="63" customHeight="1">
      <c r="A57" s="731"/>
      <c r="B57" s="736"/>
      <c r="C57" s="738"/>
      <c r="D57" s="189"/>
      <c r="E57" s="330"/>
      <c r="F57" s="231"/>
      <c r="G57" s="229">
        <f>IF($A$5&lt;&gt;"NÃO SELECIONADO",E57*F57,0)</f>
        <v>0</v>
      </c>
      <c r="H57" s="189" t="s">
        <v>215</v>
      </c>
      <c r="I57" s="326">
        <v>120</v>
      </c>
      <c r="J57" s="231">
        <v>800</v>
      </c>
      <c r="K57" s="229">
        <f>IF($A$5&lt;&gt;"NÃO SELECIONADO",I57*J57,0)</f>
        <v>96000</v>
      </c>
      <c r="L57" s="190"/>
      <c r="M57" s="221"/>
      <c r="N57" s="185"/>
      <c r="O57" s="229">
        <f>IF($A$5&lt;&gt;"NÃO SELECIONADO",M57*N57,0)</f>
        <v>0</v>
      </c>
      <c r="P57" s="318" t="s">
        <v>220</v>
      </c>
      <c r="Q57" s="221">
        <v>1</v>
      </c>
      <c r="R57" s="185">
        <v>50000</v>
      </c>
      <c r="S57" s="229">
        <f>IF($A$5&lt;&gt;"NÃO SELECIONADO",Q57*R57,0)</f>
        <v>50000</v>
      </c>
      <c r="T57" s="190"/>
      <c r="U57" s="221"/>
      <c r="V57" s="185"/>
      <c r="W57" s="229">
        <f>IF($A$5&lt;&gt;"NÃO SELECIONADO",U57*V57,0)</f>
        <v>0</v>
      </c>
    </row>
    <row r="58" spans="1:23" ht="75.75" customHeight="1">
      <c r="A58" s="731"/>
      <c r="B58" s="736"/>
      <c r="C58" s="738"/>
      <c r="D58" s="324"/>
      <c r="E58" s="326"/>
      <c r="F58" s="231"/>
      <c r="G58" s="229">
        <f>IF($A$5&lt;&gt;"NÃO SELECIONADO",E58*F58,0)</f>
        <v>0</v>
      </c>
      <c r="H58" s="193"/>
      <c r="I58" s="326"/>
      <c r="J58" s="231"/>
      <c r="K58" s="229">
        <f>IF($A$5&lt;&gt;"NÃO SELECIONADO",I58*J58,0)</f>
        <v>0</v>
      </c>
      <c r="L58" s="190"/>
      <c r="M58" s="221"/>
      <c r="N58" s="185"/>
      <c r="O58" s="229">
        <f>IF($A$5&lt;&gt;"NÃO SELECIONADO",M58*N58,0)</f>
        <v>0</v>
      </c>
      <c r="P58" s="191"/>
      <c r="Q58" s="221"/>
      <c r="R58" s="185"/>
      <c r="S58" s="229">
        <f>IF($A$5&lt;&gt;"NÃO SELECIONADO",Q58*R58,0)</f>
        <v>0</v>
      </c>
      <c r="T58" s="192"/>
      <c r="U58" s="221"/>
      <c r="V58" s="185"/>
      <c r="W58" s="229">
        <f>IF($A$5&lt;&gt;"NÃO SELECIONADO",U58*V58,0)</f>
        <v>0</v>
      </c>
    </row>
    <row r="59" spans="1:23" ht="22.5" customHeight="1">
      <c r="A59" s="287">
        <f>W55+W56+S55+S56+S57+K55+K56+K57</f>
        <v>1467500</v>
      </c>
      <c r="B59" s="737"/>
      <c r="C59" s="739"/>
      <c r="D59" s="363"/>
      <c r="E59" s="326"/>
      <c r="F59" s="231"/>
      <c r="G59" s="229">
        <f>IF($A$5&lt;&gt;"NÃO SELECIONADO",E59*F59,0)</f>
        <v>0</v>
      </c>
      <c r="H59" s="193"/>
      <c r="I59" s="326"/>
      <c r="J59" s="231"/>
      <c r="K59" s="229">
        <f>IF($A$5&lt;&gt;"NÃO SELECIONADO",I59*J59,0)</f>
        <v>0</v>
      </c>
      <c r="L59" s="190"/>
      <c r="M59" s="221"/>
      <c r="N59" s="185"/>
      <c r="O59" s="229">
        <f>IF($A$5&lt;&gt;"NÃO SELECIONADO",M59*N59,0)</f>
        <v>0</v>
      </c>
      <c r="P59" s="191"/>
      <c r="Q59" s="221"/>
      <c r="R59" s="185"/>
      <c r="S59" s="229">
        <f>IF($A$5&lt;&gt;"NÃO SELECIONADO",Q59*R59,0)</f>
        <v>0</v>
      </c>
      <c r="T59" s="192"/>
      <c r="U59" s="221"/>
      <c r="V59" s="185"/>
      <c r="W59" s="229">
        <f>IF($A$5&lt;&gt;"NÃO SELECIONADO",U59*V59,0)</f>
        <v>0</v>
      </c>
    </row>
    <row r="60" spans="1:23" ht="80.25" customHeight="1">
      <c r="A60" s="731" t="str">
        <f>'3_Comp e Produtos'!A18</f>
        <v>1.12. Plano de comunicação interna de mudanças desenhado e implementado</v>
      </c>
      <c r="B60" s="740" t="s">
        <v>284</v>
      </c>
      <c r="C60" s="738"/>
      <c r="D60" s="416"/>
      <c r="E60" s="326"/>
      <c r="F60" s="231"/>
      <c r="G60" s="230">
        <f>IF($A$10&lt;&gt;"NÃO SELECIONADO",E60*F60,0)</f>
        <v>0</v>
      </c>
      <c r="H60" s="181" t="s">
        <v>213</v>
      </c>
      <c r="I60" s="330">
        <f>2*90</f>
        <v>180</v>
      </c>
      <c r="J60" s="311">
        <v>800</v>
      </c>
      <c r="K60" s="230">
        <f>IF($A$10&lt;&gt;"NÃO SELECIONADO",I60*J60,0)</f>
        <v>144000</v>
      </c>
      <c r="L60" s="536"/>
      <c r="M60" s="326"/>
      <c r="N60" s="328"/>
      <c r="O60" s="230">
        <f>IF($A$10&lt;&gt;"NÃO SELECIONADO",M60*N60,0)</f>
        <v>0</v>
      </c>
      <c r="P60" s="181" t="s">
        <v>221</v>
      </c>
      <c r="Q60" s="225">
        <v>8</v>
      </c>
      <c r="R60" s="389">
        <v>20000</v>
      </c>
      <c r="S60" s="230">
        <f>IF($A$10&lt;&gt;"NÃO SELECIONADO",Q60*R60,0)</f>
        <v>160000</v>
      </c>
      <c r="T60" s="390" t="s">
        <v>218</v>
      </c>
      <c r="U60" s="225">
        <v>150</v>
      </c>
      <c r="V60" s="187">
        <v>1000</v>
      </c>
      <c r="W60" s="230">
        <f>IF($A$10&lt;&gt;"NÃO SELECIONADO",U60*V60,0)</f>
        <v>150000</v>
      </c>
    </row>
    <row r="61" spans="1:23" ht="81" customHeight="1">
      <c r="A61" s="731"/>
      <c r="B61" s="741"/>
      <c r="C61" s="738"/>
      <c r="D61" s="189"/>
      <c r="E61" s="326"/>
      <c r="F61" s="231"/>
      <c r="G61" s="230">
        <f>IF($A$10&lt;&gt;"NÃO SELECIONADO",E61*F61,0)</f>
        <v>0</v>
      </c>
      <c r="H61" s="181" t="s">
        <v>214</v>
      </c>
      <c r="I61" s="330">
        <v>300</v>
      </c>
      <c r="J61" s="311">
        <v>800</v>
      </c>
      <c r="K61" s="230">
        <f>IF($A$10&lt;&gt;"NÃO SELECIONADO",I61*J61,0)</f>
        <v>240000</v>
      </c>
      <c r="L61" s="536"/>
      <c r="M61" s="326"/>
      <c r="N61" s="328"/>
      <c r="O61" s="230">
        <f>IF($A$10&lt;&gt;"NÃO SELECIONADO",M61*N61,0)</f>
        <v>0</v>
      </c>
      <c r="P61" s="181" t="s">
        <v>217</v>
      </c>
      <c r="Q61" s="221">
        <v>12000</v>
      </c>
      <c r="R61" s="185">
        <v>5</v>
      </c>
      <c r="S61" s="230">
        <f>IF($A$10&lt;&gt;"NÃO SELECIONADO",Q61*R61,0)</f>
        <v>60000</v>
      </c>
      <c r="T61" s="321" t="s">
        <v>219</v>
      </c>
      <c r="U61" s="221">
        <f>150*3</f>
        <v>450</v>
      </c>
      <c r="V61" s="185">
        <v>250</v>
      </c>
      <c r="W61" s="230">
        <f>IF($A$10&lt;&gt;"NÃO SELECIONADO",U61*V61,0)</f>
        <v>112500</v>
      </c>
    </row>
    <row r="62" spans="1:23" ht="77.25" customHeight="1">
      <c r="A62" s="731"/>
      <c r="B62" s="741"/>
      <c r="C62" s="738"/>
      <c r="D62" s="316"/>
      <c r="E62" s="326"/>
      <c r="F62" s="231"/>
      <c r="G62" s="230">
        <f>IF($A$10&lt;&gt;"NÃO SELECIONADO",E62*F62,0)</f>
        <v>0</v>
      </c>
      <c r="H62" s="189" t="s">
        <v>215</v>
      </c>
      <c r="I62" s="326">
        <v>120</v>
      </c>
      <c r="J62" s="231">
        <v>800</v>
      </c>
      <c r="K62" s="230">
        <f>IF($A$10&lt;&gt;"NÃO SELECIONADO",I62*J62,0)</f>
        <v>96000</v>
      </c>
      <c r="L62" s="189"/>
      <c r="M62" s="326"/>
      <c r="N62" s="328"/>
      <c r="O62" s="230">
        <f>IF($A$10&lt;&gt;"NÃO SELECIONADO",M62*N62,0)</f>
        <v>0</v>
      </c>
      <c r="P62" s="318" t="s">
        <v>222</v>
      </c>
      <c r="Q62" s="221">
        <v>1</v>
      </c>
      <c r="R62" s="185">
        <v>30000</v>
      </c>
      <c r="S62" s="230">
        <f>IF($A$10&lt;&gt;"NÃO SELECIONADO",Q62*R62,0)</f>
        <v>30000</v>
      </c>
      <c r="T62" s="390"/>
      <c r="U62" s="221"/>
      <c r="V62" s="185"/>
      <c r="W62" s="230">
        <f>IF($A$10&lt;&gt;"NÃO SELECIONADO",U62*V62,0)</f>
        <v>0</v>
      </c>
    </row>
    <row r="63" spans="1:23" ht="69.75" customHeight="1">
      <c r="A63" s="731"/>
      <c r="B63" s="741"/>
      <c r="C63" s="738"/>
      <c r="D63" s="316"/>
      <c r="E63" s="326"/>
      <c r="F63" s="231"/>
      <c r="G63" s="230">
        <f>IF($A$10&lt;&gt;"NÃO SELECIONADO",E63*F63,0)</f>
        <v>0</v>
      </c>
      <c r="H63" s="189"/>
      <c r="I63" s="326"/>
      <c r="J63" s="231"/>
      <c r="K63" s="230">
        <f>IF($A$10&lt;&gt;"NÃO SELECIONADO",I63*J63,0)</f>
        <v>0</v>
      </c>
      <c r="L63" s="193"/>
      <c r="M63" s="326"/>
      <c r="N63" s="329"/>
      <c r="O63" s="230">
        <f>IF($A$10&lt;&gt;"NÃO SELECIONADO",M63*N63,0)</f>
        <v>0</v>
      </c>
      <c r="P63" s="191"/>
      <c r="Q63" s="221"/>
      <c r="R63" s="185"/>
      <c r="S63" s="230">
        <f>IF($A$10&lt;&gt;"NÃO SELECIONADO",Q63*R63,0)</f>
        <v>0</v>
      </c>
      <c r="T63" s="321"/>
      <c r="U63" s="221"/>
      <c r="V63" s="185"/>
      <c r="W63" s="230">
        <f>IF($A$10&lt;&gt;"NÃO SELECIONADO",U63*V63,0)</f>
        <v>0</v>
      </c>
    </row>
    <row r="64" spans="1:23" ht="19.5" customHeight="1">
      <c r="A64" s="287">
        <f>K60+K61+K62+S60+S61+S62+W60+W61</f>
        <v>992500</v>
      </c>
      <c r="B64" s="742"/>
      <c r="C64" s="739"/>
      <c r="D64" s="316"/>
      <c r="E64" s="326"/>
      <c r="F64" s="231"/>
      <c r="G64" s="230">
        <f>IF($A$10&lt;&gt;"NÃO SELECIONADO",E64*F64,0)</f>
        <v>0</v>
      </c>
      <c r="H64" s="191"/>
      <c r="I64" s="221"/>
      <c r="J64" s="185"/>
      <c r="K64" s="230">
        <f>IF($A$10&lt;&gt;"NÃO SELECIONADO",I64*J64,0)</f>
        <v>0</v>
      </c>
      <c r="L64" s="193"/>
      <c r="M64" s="221"/>
      <c r="N64" s="185"/>
      <c r="O64" s="230">
        <f>IF($A$10&lt;&gt;"NÃO SELECIONADO",M64*N64,0)</f>
        <v>0</v>
      </c>
      <c r="P64" s="191"/>
      <c r="Q64" s="221"/>
      <c r="R64" s="185"/>
      <c r="S64" s="230">
        <f>IF($A$10&lt;&gt;"NÃO SELECIONADO",Q64*R64,0)</f>
        <v>0</v>
      </c>
      <c r="T64" s="192"/>
      <c r="U64" s="221"/>
      <c r="V64" s="185"/>
      <c r="W64" s="230">
        <f>IF($A$10&lt;&gt;"NÃO SELECIONADO",U64*V64,0)</f>
        <v>0</v>
      </c>
    </row>
    <row r="65" spans="1:23" ht="76.5" customHeight="1">
      <c r="A65" s="731" t="str">
        <f>'3_Comp e Produtos'!A19</f>
        <v>1.13. Plano de Gestão da Mudança desenhado e implementado</v>
      </c>
      <c r="B65" s="735" t="s">
        <v>285</v>
      </c>
      <c r="C65" s="744"/>
      <c r="D65" s="416"/>
      <c r="E65" s="330"/>
      <c r="F65" s="364"/>
      <c r="G65" s="230">
        <f>IF($A$15&lt;&gt;"NÃO SELECIONADO",E65*F65,0)</f>
        <v>0</v>
      </c>
      <c r="H65" s="189" t="s">
        <v>223</v>
      </c>
      <c r="I65" s="330">
        <v>240</v>
      </c>
      <c r="J65" s="353">
        <v>800</v>
      </c>
      <c r="K65" s="230">
        <f>IF($A$15&lt;&gt;"NÃO SELECIONADO",I65*J65,0)</f>
        <v>192000</v>
      </c>
      <c r="L65" s="189"/>
      <c r="M65" s="330"/>
      <c r="N65" s="353"/>
      <c r="O65" s="230">
        <f>IF($A$15&lt;&gt;"NÃO SELECIONADO",M65*N65,0)</f>
        <v>0</v>
      </c>
      <c r="P65" s="417"/>
      <c r="Q65" s="201"/>
      <c r="R65" s="202"/>
      <c r="S65" s="230">
        <f>IF($A$15&lt;&gt;"NÃO SELECIONADO",Q65*R65,0)</f>
        <v>0</v>
      </c>
      <c r="T65" s="418"/>
      <c r="U65" s="222"/>
      <c r="V65" s="477"/>
      <c r="W65" s="230">
        <f>IF($A$15&lt;&gt;"NÃO SELECIONADO",U65*V65,0)</f>
        <v>0</v>
      </c>
    </row>
    <row r="66" spans="1:23" ht="87.75" customHeight="1">
      <c r="A66" s="731"/>
      <c r="B66" s="736"/>
      <c r="C66" s="738"/>
      <c r="D66" s="416"/>
      <c r="E66" s="326"/>
      <c r="F66" s="351"/>
      <c r="G66" s="230">
        <f>IF($A$15&lt;&gt;"NÃO SELECIONADO",E66*F66,0)</f>
        <v>0</v>
      </c>
      <c r="H66" s="203"/>
      <c r="I66" s="196"/>
      <c r="J66" s="204"/>
      <c r="K66" s="230">
        <f>IF($A$15&lt;&gt;"NÃO SELECIONADO",I66*J66,0)</f>
        <v>0</v>
      </c>
      <c r="L66" s="197"/>
      <c r="M66" s="198"/>
      <c r="N66" s="199"/>
      <c r="O66" s="230">
        <f>IF($A$15&lt;&gt;"NÃO SELECIONADO",M66*N66,0)</f>
        <v>0</v>
      </c>
      <c r="P66" s="200"/>
      <c r="Q66" s="201"/>
      <c r="R66" s="202"/>
      <c r="S66" s="230">
        <f>IF($A$15&lt;&gt;"NÃO SELECIONADO",Q66*R66,0)</f>
        <v>0</v>
      </c>
      <c r="T66" s="418"/>
      <c r="U66" s="222"/>
      <c r="V66" s="478"/>
      <c r="W66" s="230">
        <f>IF($A$15&lt;&gt;"NÃO SELECIONADO",U66*V66,0)</f>
        <v>0</v>
      </c>
    </row>
    <row r="67" spans="1:23" ht="77.25" customHeight="1">
      <c r="A67" s="731"/>
      <c r="B67" s="736"/>
      <c r="C67" s="738"/>
      <c r="D67" s="189"/>
      <c r="E67" s="326"/>
      <c r="F67" s="351"/>
      <c r="G67" s="230">
        <f>IF($A$15&lt;&gt;"NÃO SELECIONADO",E67*F67,0)</f>
        <v>0</v>
      </c>
      <c r="H67" s="203"/>
      <c r="I67" s="196"/>
      <c r="J67" s="204"/>
      <c r="K67" s="230">
        <f>IF($A$15&lt;&gt;"NÃO SELECIONADO",I67*J67,0)</f>
        <v>0</v>
      </c>
      <c r="L67" s="197"/>
      <c r="M67" s="198"/>
      <c r="N67" s="199"/>
      <c r="O67" s="230">
        <f>IF($A$15&lt;&gt;"NÃO SELECIONADO",M67*N67,0)</f>
        <v>0</v>
      </c>
      <c r="P67" s="200"/>
      <c r="Q67" s="201"/>
      <c r="R67" s="202"/>
      <c r="S67" s="230">
        <f>IF($A$15&lt;&gt;"NÃO SELECIONADO",Q67*R67,0)</f>
        <v>0</v>
      </c>
      <c r="T67" s="205"/>
      <c r="U67" s="222"/>
      <c r="V67" s="478"/>
      <c r="W67" s="230">
        <f>IF($A$15&lt;&gt;"NÃO SELECIONADO",U67*V67,0)</f>
        <v>0</v>
      </c>
    </row>
    <row r="68" spans="1:23" ht="94.5" customHeight="1">
      <c r="A68" s="731"/>
      <c r="B68" s="736"/>
      <c r="C68" s="738"/>
      <c r="D68" s="324"/>
      <c r="E68" s="326"/>
      <c r="F68" s="351"/>
      <c r="G68" s="230">
        <f>IF($A$15&lt;&gt;"NÃO SELECIONADO",E68*F68,0)</f>
        <v>0</v>
      </c>
      <c r="H68" s="206"/>
      <c r="I68" s="222"/>
      <c r="J68" s="194"/>
      <c r="K68" s="230">
        <f>IF($A$15&lt;&gt;"NÃO SELECIONADO",I68*J68,0)</f>
        <v>0</v>
      </c>
      <c r="L68" s="197"/>
      <c r="M68" s="198"/>
      <c r="N68" s="199"/>
      <c r="O68" s="230">
        <f>IF($A$15&lt;&gt;"NÃO SELECIONADO",M68*N68,0)</f>
        <v>0</v>
      </c>
      <c r="P68" s="207"/>
      <c r="Q68" s="208"/>
      <c r="R68" s="209"/>
      <c r="S68" s="230">
        <f>IF($A$15&lt;&gt;"NÃO SELECIONADO",Q68*R68,0)</f>
        <v>0</v>
      </c>
      <c r="T68" s="205"/>
      <c r="U68" s="222"/>
      <c r="V68" s="478"/>
      <c r="W68" s="230">
        <f>IF($A$15&lt;&gt;"NÃO SELECIONADO",U68*V68,0)</f>
        <v>0</v>
      </c>
    </row>
    <row r="69" spans="1:23" ht="24" customHeight="1" thickBot="1">
      <c r="A69" s="287">
        <f>K65</f>
        <v>192000</v>
      </c>
      <c r="B69" s="737"/>
      <c r="C69" s="739"/>
      <c r="D69" s="324"/>
      <c r="E69" s="326"/>
      <c r="F69" s="351"/>
      <c r="G69" s="230">
        <f>IF($A$15&lt;&gt;"NÃO SELECIONADO",E69*F69,0)</f>
        <v>0</v>
      </c>
      <c r="H69" s="191"/>
      <c r="I69" s="221"/>
      <c r="J69" s="185"/>
      <c r="K69" s="230">
        <f>IF($A$15&lt;&gt;"NÃO SELECIONADO",I69*J69,0)</f>
        <v>0</v>
      </c>
      <c r="L69" s="197"/>
      <c r="M69" s="198"/>
      <c r="N69" s="199"/>
      <c r="O69" s="230">
        <f>IF($A$15&lt;&gt;"NÃO SELECIONADO",M69*N69,0)</f>
        <v>0</v>
      </c>
      <c r="P69" s="193"/>
      <c r="Q69" s="221"/>
      <c r="R69" s="185"/>
      <c r="S69" s="230">
        <f>IF($A$15&lt;&gt;"NÃO SELECIONADO",Q69*R69,0)</f>
        <v>0</v>
      </c>
      <c r="T69" s="205"/>
      <c r="U69" s="222"/>
      <c r="V69" s="478"/>
      <c r="W69" s="230">
        <f>IF($A$15&lt;&gt;"NÃO SELECIONADO",U69*V69,0)</f>
        <v>0</v>
      </c>
    </row>
    <row r="70" spans="1:23" s="288" customFormat="1" ht="13.5" thickBot="1">
      <c r="A70" s="211" t="s">
        <v>16</v>
      </c>
      <c r="B70" s="544">
        <f>A69+A64+A59+A54+A49+A44+A39+A34+A29+A24+A19+A14+A9</f>
        <v>7080950</v>
      </c>
      <c r="C70" s="212"/>
      <c r="D70" s="213"/>
      <c r="E70" s="224"/>
      <c r="F70" s="214"/>
      <c r="G70" s="310">
        <f>SUM(G5:G69)</f>
        <v>808000</v>
      </c>
      <c r="H70" s="215"/>
      <c r="I70" s="224"/>
      <c r="J70" s="214"/>
      <c r="K70" s="310">
        <f>SUM(K5:K69)</f>
        <v>2712000</v>
      </c>
      <c r="L70" s="216"/>
      <c r="M70" s="224"/>
      <c r="N70" s="214"/>
      <c r="O70" s="310">
        <f>SUM(O5:O69)</f>
        <v>1550000</v>
      </c>
      <c r="P70" s="215"/>
      <c r="Q70" s="224"/>
      <c r="R70" s="214"/>
      <c r="S70" s="310">
        <f>SUM(S5:S69)</f>
        <v>1082200</v>
      </c>
      <c r="T70" s="215"/>
      <c r="U70" s="224"/>
      <c r="V70" s="214"/>
      <c r="W70" s="310">
        <f>SUM(W5:W69)</f>
        <v>928750</v>
      </c>
    </row>
    <row r="73" spans="1:23">
      <c r="T73" s="217"/>
    </row>
    <row r="76" spans="1:23">
      <c r="H76" s="217"/>
    </row>
    <row r="79" spans="1:23">
      <c r="G79" s="217"/>
    </row>
    <row r="80" spans="1:23">
      <c r="G80" s="217"/>
      <c r="H80" s="217"/>
    </row>
  </sheetData>
  <mergeCells count="53">
    <mergeCell ref="V3:W3"/>
    <mergeCell ref="L3:M3"/>
    <mergeCell ref="P3:Q3"/>
    <mergeCell ref="J3:K3"/>
    <mergeCell ref="N3:O3"/>
    <mergeCell ref="T3:U3"/>
    <mergeCell ref="R3:S3"/>
    <mergeCell ref="A65:A68"/>
    <mergeCell ref="H3:I3"/>
    <mergeCell ref="D3:E3"/>
    <mergeCell ref="F3:G3"/>
    <mergeCell ref="C25:C29"/>
    <mergeCell ref="C65:C69"/>
    <mergeCell ref="C40:C44"/>
    <mergeCell ref="A30:A33"/>
    <mergeCell ref="B30:B34"/>
    <mergeCell ref="B65:B69"/>
    <mergeCell ref="A40:A43"/>
    <mergeCell ref="A25:A28"/>
    <mergeCell ref="B25:B29"/>
    <mergeCell ref="B45:B49"/>
    <mergeCell ref="A35:A38"/>
    <mergeCell ref="A45:A48"/>
    <mergeCell ref="B35:B39"/>
    <mergeCell ref="C35:C39"/>
    <mergeCell ref="C10:C14"/>
    <mergeCell ref="B15:B19"/>
    <mergeCell ref="C15:C19"/>
    <mergeCell ref="C30:C34"/>
    <mergeCell ref="B20:B24"/>
    <mergeCell ref="A5:A8"/>
    <mergeCell ref="C20:C24"/>
    <mergeCell ref="A2:B2"/>
    <mergeCell ref="A3:A4"/>
    <mergeCell ref="B3:B4"/>
    <mergeCell ref="C3:C4"/>
    <mergeCell ref="B5:B9"/>
    <mergeCell ref="C5:C9"/>
    <mergeCell ref="A15:A18"/>
    <mergeCell ref="A10:A13"/>
    <mergeCell ref="B10:B14"/>
    <mergeCell ref="A20:A23"/>
    <mergeCell ref="A60:A63"/>
    <mergeCell ref="A50:A53"/>
    <mergeCell ref="A55:A58"/>
    <mergeCell ref="C45:C49"/>
    <mergeCell ref="B40:B44"/>
    <mergeCell ref="B50:B54"/>
    <mergeCell ref="C50:C54"/>
    <mergeCell ref="B55:B59"/>
    <mergeCell ref="C55:C59"/>
    <mergeCell ref="B60:B64"/>
    <mergeCell ref="C60:C64"/>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5.xml><?xml version="1.0" encoding="utf-8"?>
<worksheet xmlns="http://schemas.openxmlformats.org/spreadsheetml/2006/main" xmlns:r="http://schemas.openxmlformats.org/officeDocument/2006/relationships">
  <dimension ref="A1:BG102"/>
  <sheetViews>
    <sheetView showGridLines="0" zoomScale="85" zoomScaleNormal="85" zoomScaleSheetLayoutView="85" workbookViewId="0">
      <pane xSplit="2" ySplit="4" topLeftCell="C57" activePane="bottomRight" state="frozen"/>
      <selection activeCell="B31" sqref="B31:H35"/>
      <selection pane="topRight" activeCell="B31" sqref="B31:H35"/>
      <selection pane="bottomLeft" activeCell="B31" sqref="B31:H35"/>
      <selection pane="bottomRight" activeCell="A24" sqref="A24"/>
    </sheetView>
  </sheetViews>
  <sheetFormatPr defaultColWidth="9.140625" defaultRowHeight="12.75"/>
  <cols>
    <col min="1" max="1" width="30.7109375" style="217" customWidth="1"/>
    <col min="2" max="2" width="42.7109375" style="169" customWidth="1"/>
    <col min="3" max="3" width="35.42578125" style="169" customWidth="1"/>
    <col min="4" max="4" width="27.5703125" style="169" customWidth="1"/>
    <col min="5" max="5" width="10.7109375" style="219" customWidth="1"/>
    <col min="6" max="6" width="10.7109375" style="218" customWidth="1"/>
    <col min="7" max="7" width="12.7109375" style="169" customWidth="1"/>
    <col min="8" max="8" width="26.85546875" style="169" customWidth="1"/>
    <col min="9" max="9" width="8" style="219" customWidth="1"/>
    <col min="10" max="10" width="8.140625" style="218" bestFit="1" customWidth="1"/>
    <col min="11" max="11" width="14.140625" style="169" customWidth="1"/>
    <col min="12" max="12" width="26.85546875" style="174" customWidth="1"/>
    <col min="13" max="13" width="8.42578125" style="219" customWidth="1"/>
    <col min="14" max="14" width="10.7109375" style="218" customWidth="1"/>
    <col min="15" max="15" width="12.7109375" style="94" customWidth="1"/>
    <col min="16" max="16" width="26.42578125" style="169" customWidth="1"/>
    <col min="17" max="17" width="7.5703125" style="219" bestFit="1" customWidth="1"/>
    <col min="18" max="18" width="10.7109375" style="218" customWidth="1"/>
    <col min="19" max="19" width="11.5703125" style="94" bestFit="1" customWidth="1"/>
    <col min="20" max="20" width="26.42578125" style="169" customWidth="1"/>
    <col min="21" max="21" width="6.7109375" style="219" customWidth="1"/>
    <col min="22" max="22" width="10.7109375" style="218" customWidth="1"/>
    <col min="23" max="23" width="13.42578125"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45" t="str">
        <f>'3_Comp e Produtos'!A17</f>
        <v>1.11. Política de comunicação das mudanças aos cidadãos, sobre as ações previstas no Projeto, desenhada e implementada</v>
      </c>
      <c r="B2" s="745"/>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46" t="s">
        <v>3</v>
      </c>
      <c r="B3" s="747" t="s">
        <v>4</v>
      </c>
      <c r="C3" s="748" t="s">
        <v>5</v>
      </c>
      <c r="D3" s="756" t="s">
        <v>6</v>
      </c>
      <c r="E3" s="757"/>
      <c r="F3" s="758" t="s">
        <v>7</v>
      </c>
      <c r="G3" s="759"/>
      <c r="H3" s="754" t="s">
        <v>8</v>
      </c>
      <c r="I3" s="755"/>
      <c r="J3" s="772" t="s">
        <v>7</v>
      </c>
      <c r="K3" s="773"/>
      <c r="L3" s="756" t="s">
        <v>9</v>
      </c>
      <c r="M3" s="769"/>
      <c r="N3" s="774" t="s">
        <v>7</v>
      </c>
      <c r="O3" s="775"/>
      <c r="P3" s="770" t="s">
        <v>81</v>
      </c>
      <c r="Q3" s="771"/>
      <c r="R3" s="772" t="s">
        <v>7</v>
      </c>
      <c r="S3" s="778"/>
      <c r="T3" s="776" t="s">
        <v>82</v>
      </c>
      <c r="U3" s="777"/>
      <c r="V3" s="767" t="s">
        <v>7</v>
      </c>
      <c r="W3" s="768"/>
    </row>
    <row r="4" spans="1:59" ht="13.5" thickBot="1">
      <c r="A4" s="746"/>
      <c r="B4" s="747"/>
      <c r="C4" s="748"/>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89.25" customHeight="1" thickBot="1">
      <c r="A5" s="743" t="str">
        <f>'3_Comp e Produtos'!A21</f>
        <v>2.1. Fluxos de trabalho Contenciosos da Administração Direta modelados e implantados</v>
      </c>
      <c r="B5" s="735" t="s">
        <v>295</v>
      </c>
      <c r="C5" s="738"/>
      <c r="D5" s="181"/>
      <c r="E5" s="330"/>
      <c r="F5" s="231"/>
      <c r="G5" s="229">
        <f>IF($A$5&lt;&gt;"NÃO SELECIONADO",E5*F5,0)</f>
        <v>0</v>
      </c>
      <c r="H5" s="181" t="s">
        <v>164</v>
      </c>
      <c r="I5" s="330">
        <f>8*360</f>
        <v>2880</v>
      </c>
      <c r="J5" s="311">
        <v>800</v>
      </c>
      <c r="K5" s="229">
        <f>IF($A$5&lt;&gt;"NÃO SELECIONADO",I5*J5,0)</f>
        <v>2304000</v>
      </c>
      <c r="L5" s="183"/>
      <c r="M5" s="223"/>
      <c r="N5" s="184"/>
      <c r="O5" s="229">
        <f>IF($A$5&lt;&gt;"NÃO SELECIONADO",M5*N5,0)</f>
        <v>0</v>
      </c>
      <c r="P5" s="181"/>
      <c r="Q5" s="225"/>
      <c r="R5" s="389"/>
      <c r="S5" s="229">
        <f>IF($A$5&lt;&gt;"NÃO SELECIONADO",Q5*R5,0)</f>
        <v>0</v>
      </c>
      <c r="T5" s="390" t="s">
        <v>159</v>
      </c>
      <c r="U5" s="225">
        <f>3*8</f>
        <v>24</v>
      </c>
      <c r="V5" s="187">
        <v>1000</v>
      </c>
      <c r="W5" s="229">
        <f>IF($A$5&lt;&gt;"NÃO SELECIONADO",U5*V5,0)</f>
        <v>24000</v>
      </c>
    </row>
    <row r="6" spans="1:59" ht="89.25" customHeight="1" thickBot="1">
      <c r="A6" s="743"/>
      <c r="B6" s="736"/>
      <c r="C6" s="738"/>
      <c r="D6" s="189"/>
      <c r="E6" s="330"/>
      <c r="F6" s="231"/>
      <c r="G6" s="229">
        <f>IF($A$5&lt;&gt;"NÃO SELECIONADO",E6*F6,0)</f>
        <v>0</v>
      </c>
      <c r="H6" s="181" t="s">
        <v>163</v>
      </c>
      <c r="I6" s="330">
        <f>3*60*4</f>
        <v>720</v>
      </c>
      <c r="J6" s="311">
        <v>800</v>
      </c>
      <c r="K6" s="229">
        <f>IF($A$5&lt;&gt;"NÃO SELECIONADO",I6*J6,0)</f>
        <v>576000</v>
      </c>
      <c r="L6" s="190"/>
      <c r="M6" s="221"/>
      <c r="N6" s="185"/>
      <c r="O6" s="229">
        <f>IF($A$5&lt;&gt;"NÃO SELECIONADO",M6*N6,0)</f>
        <v>0</v>
      </c>
      <c r="P6" s="191"/>
      <c r="Q6" s="221"/>
      <c r="R6" s="185"/>
      <c r="S6" s="229">
        <f>IF($A$5&lt;&gt;"NÃO SELECIONADO",Q6*R6,0)</f>
        <v>0</v>
      </c>
      <c r="T6" s="321" t="s">
        <v>160</v>
      </c>
      <c r="U6" s="221">
        <f>24*5</f>
        <v>120</v>
      </c>
      <c r="V6" s="185">
        <v>250</v>
      </c>
      <c r="W6" s="229">
        <f>IF($A$5&lt;&gt;"NÃO SELECIONADO",U6*V6,0)</f>
        <v>30000</v>
      </c>
    </row>
    <row r="7" spans="1:59" ht="89.25" customHeight="1" thickBot="1">
      <c r="A7" s="743"/>
      <c r="B7" s="736"/>
      <c r="C7" s="738"/>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390" t="s">
        <v>161</v>
      </c>
      <c r="U7" s="225">
        <f>2*85</f>
        <v>170</v>
      </c>
      <c r="V7" s="187">
        <v>1000</v>
      </c>
      <c r="W7" s="229">
        <f>IF($A$5&lt;&gt;"NÃO SELECIONADO",U7*V7,0)</f>
        <v>170000</v>
      </c>
    </row>
    <row r="8" spans="1:59" ht="122.25" customHeight="1">
      <c r="A8" s="743"/>
      <c r="B8" s="736"/>
      <c r="C8" s="738"/>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321" t="s">
        <v>162</v>
      </c>
      <c r="U8" s="221">
        <f>170*5</f>
        <v>850</v>
      </c>
      <c r="V8" s="185">
        <v>250</v>
      </c>
      <c r="W8" s="229">
        <f>IF($A$5&lt;&gt;"NÃO SELECIONADO",U8*V8,0)</f>
        <v>212500</v>
      </c>
    </row>
    <row r="9" spans="1:59">
      <c r="A9" s="317">
        <f>IF(A5&lt;&gt;"NÃO SELECIONADO",SUM(G5:G9)+SUM(K5:K9)+SUM(O5:O9)+SUM(S5:S9)+SUM(W5:W9),0)</f>
        <v>3316500</v>
      </c>
      <c r="B9" s="737"/>
      <c r="C9" s="739"/>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72.75" customHeight="1">
      <c r="A10" s="779" t="str">
        <f>'3_Comp e Produtos'!A22</f>
        <v>2.2. Fluxos de trabalho de Consultoria e Assessoramento Jurídicos na Administração Direta modelados e implantados</v>
      </c>
      <c r="B10" s="793" t="s">
        <v>296</v>
      </c>
      <c r="C10" s="738"/>
      <c r="D10" s="416"/>
      <c r="E10" s="326"/>
      <c r="F10" s="231"/>
      <c r="G10" s="230">
        <f>IF($A$10&lt;&gt;"NÃO SELECIONADO",E10*F10,0)</f>
        <v>0</v>
      </c>
      <c r="H10" s="183" t="s">
        <v>164</v>
      </c>
      <c r="I10" s="330">
        <f>8*360</f>
        <v>2880</v>
      </c>
      <c r="J10" s="311">
        <v>800</v>
      </c>
      <c r="K10" s="230">
        <f>IF($A$10&lt;&gt;"NÃO SELECIONADO",I10*J10,0)</f>
        <v>2304000</v>
      </c>
      <c r="L10" s="416"/>
      <c r="M10" s="326"/>
      <c r="N10" s="328"/>
      <c r="O10" s="230">
        <f>IF($A$10&lt;&gt;"NÃO SELECIONADO",M10*N10,0)</f>
        <v>0</v>
      </c>
      <c r="P10" s="191"/>
      <c r="Q10" s="221"/>
      <c r="R10" s="185"/>
      <c r="S10" s="230">
        <f>IF($A$10&lt;&gt;"NÃO SELECIONADO",Q10*R10,0)</f>
        <v>0</v>
      </c>
      <c r="T10" s="390" t="s">
        <v>153</v>
      </c>
      <c r="U10" s="225">
        <v>9</v>
      </c>
      <c r="V10" s="187">
        <v>1000</v>
      </c>
      <c r="W10" s="230">
        <f>IF($A$10&lt;&gt;"NÃO SELECIONADO",U10*V10,0)</f>
        <v>9000</v>
      </c>
    </row>
    <row r="11" spans="1:59" ht="72.75" customHeight="1">
      <c r="A11" s="780"/>
      <c r="B11" s="794"/>
      <c r="C11" s="738"/>
      <c r="D11" s="189"/>
      <c r="E11" s="326"/>
      <c r="F11" s="231"/>
      <c r="G11" s="230">
        <f>IF($A$10&lt;&gt;"NÃO SELECIONADO",E11*F11,0)</f>
        <v>0</v>
      </c>
      <c r="H11" s="181" t="s">
        <v>163</v>
      </c>
      <c r="I11" s="330">
        <f>3*60*4</f>
        <v>720</v>
      </c>
      <c r="J11" s="311">
        <v>800</v>
      </c>
      <c r="K11" s="230">
        <f>IF($A$10&lt;&gt;"NÃO SELECIONADO",I11*J11,0)</f>
        <v>576000</v>
      </c>
      <c r="L11" s="416"/>
      <c r="M11" s="326"/>
      <c r="N11" s="328"/>
      <c r="O11" s="230">
        <f>IF($A$10&lt;&gt;"NÃO SELECIONADO",M11*N11,0)</f>
        <v>0</v>
      </c>
      <c r="P11" s="191"/>
      <c r="Q11" s="221"/>
      <c r="R11" s="185"/>
      <c r="S11" s="230">
        <f>IF($A$10&lt;&gt;"NÃO SELECIONADO",Q11*R11,0)</f>
        <v>0</v>
      </c>
      <c r="T11" s="321" t="s">
        <v>154</v>
      </c>
      <c r="U11" s="221">
        <v>45</v>
      </c>
      <c r="V11" s="185">
        <v>250</v>
      </c>
      <c r="W11" s="230">
        <f>IF($A$10&lt;&gt;"NÃO SELECIONADO",U11*V11,0)</f>
        <v>11250</v>
      </c>
    </row>
    <row r="12" spans="1:59" ht="72.75" customHeight="1">
      <c r="A12" s="780"/>
      <c r="B12" s="794"/>
      <c r="C12" s="738"/>
      <c r="D12" s="316"/>
      <c r="E12" s="326"/>
      <c r="F12" s="231"/>
      <c r="G12" s="230">
        <f>IF($A$10&lt;&gt;"NÃO SELECIONADO",E12*F12,0)</f>
        <v>0</v>
      </c>
      <c r="H12" s="195"/>
      <c r="I12" s="196"/>
      <c r="J12" s="194"/>
      <c r="K12" s="230">
        <f>IF($A$10&lt;&gt;"NÃO SELECIONADO",I12*J12,0)</f>
        <v>0</v>
      </c>
      <c r="L12" s="189"/>
      <c r="M12" s="326"/>
      <c r="N12" s="328"/>
      <c r="O12" s="230">
        <f>IF($A$10&lt;&gt;"NÃO SELECIONADO",M12*N12,0)</f>
        <v>0</v>
      </c>
      <c r="P12" s="191"/>
      <c r="Q12" s="221"/>
      <c r="R12" s="185"/>
      <c r="S12" s="230">
        <f>IF($A$10&lt;&gt;"NÃO SELECIONADO",Q12*R12,0)</f>
        <v>0</v>
      </c>
      <c r="T12" s="390" t="s">
        <v>165</v>
      </c>
      <c r="U12" s="225">
        <f>2*27</f>
        <v>54</v>
      </c>
      <c r="V12" s="187">
        <v>1000</v>
      </c>
      <c r="W12" s="230">
        <f>IF($A$10&lt;&gt;"NÃO SELECIONADO",U12*V12,0)</f>
        <v>54000</v>
      </c>
    </row>
    <row r="13" spans="1:59" ht="98.25" customHeight="1">
      <c r="A13" s="780"/>
      <c r="B13" s="794"/>
      <c r="C13" s="738"/>
      <c r="D13" s="316"/>
      <c r="E13" s="326"/>
      <c r="F13" s="231"/>
      <c r="G13" s="230">
        <f>IF($A$10&lt;&gt;"NÃO SELECIONADO",E13*F13,0)</f>
        <v>0</v>
      </c>
      <c r="H13" s="191"/>
      <c r="I13" s="221"/>
      <c r="J13" s="185"/>
      <c r="K13" s="230">
        <f>IF($A$10&lt;&gt;"NÃO SELECIONADO",I13*J13,0)</f>
        <v>0</v>
      </c>
      <c r="L13" s="193"/>
      <c r="M13" s="326"/>
      <c r="N13" s="329"/>
      <c r="O13" s="230">
        <f>IF($A$10&lt;&gt;"NÃO SELECIONADO",M13*N13,0)</f>
        <v>0</v>
      </c>
      <c r="P13" s="191"/>
      <c r="Q13" s="221"/>
      <c r="R13" s="185"/>
      <c r="S13" s="230">
        <f>IF($A$10&lt;&gt;"NÃO SELECIONADO",Q13*R13,0)</f>
        <v>0</v>
      </c>
      <c r="T13" s="321" t="s">
        <v>166</v>
      </c>
      <c r="U13" s="221">
        <f>54*5</f>
        <v>270</v>
      </c>
      <c r="V13" s="185">
        <v>250</v>
      </c>
      <c r="W13" s="230">
        <f>IF($A$10&lt;&gt;"NÃO SELECIONADO",U13*V13,0)</f>
        <v>67500</v>
      </c>
    </row>
    <row r="14" spans="1:59">
      <c r="A14" s="317">
        <f>IF(A10&lt;&gt;"NÃO SELECIONADO",SUM(G10:G14)+SUM(K10:K14)+SUM(O10:O14)+SUM(S10:S14)+SUM(W10:W14),0)</f>
        <v>3021750</v>
      </c>
      <c r="B14" s="795"/>
      <c r="C14" s="739"/>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49" t="str">
        <f>'3_Comp e Produtos'!A24</f>
        <v>2.3. Plano de estratégias de prevenção abrangente a todos os órgãos da Administração Direta</v>
      </c>
      <c r="B15" s="735" t="s">
        <v>273</v>
      </c>
      <c r="C15" s="744"/>
      <c r="D15" s="536" t="s">
        <v>156</v>
      </c>
      <c r="E15" s="330">
        <v>150</v>
      </c>
      <c r="F15" s="364">
        <v>1000</v>
      </c>
      <c r="G15" s="230">
        <f>IF($A$15&lt;&gt;"NÃO SELECIONADO",E15*F15,0)</f>
        <v>150000</v>
      </c>
      <c r="H15" s="181" t="s">
        <v>155</v>
      </c>
      <c r="I15" s="330">
        <f>3*120</f>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50</v>
      </c>
      <c r="V15" s="477">
        <v>1000</v>
      </c>
      <c r="W15" s="230">
        <f>IF($A$15&lt;&gt;"NÃO SELECIONADO",U15*V15,0)</f>
        <v>50000</v>
      </c>
    </row>
    <row r="16" spans="1:59" ht="22.5" customHeight="1">
      <c r="A16" s="796"/>
      <c r="B16" s="736"/>
      <c r="C16" s="738"/>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545" t="s">
        <v>158</v>
      </c>
      <c r="U16" s="222">
        <f>50*4</f>
        <v>200</v>
      </c>
      <c r="V16" s="478">
        <v>250</v>
      </c>
      <c r="W16" s="230">
        <f>IF($A$15&lt;&gt;"NÃO SELECIONADO",U16*V16,0)</f>
        <v>50000</v>
      </c>
    </row>
    <row r="17" spans="1:23" ht="22.5" customHeight="1">
      <c r="A17" s="796"/>
      <c r="B17" s="736"/>
      <c r="C17" s="738"/>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22.5" customHeight="1">
      <c r="A18" s="797"/>
      <c r="B18" s="736"/>
      <c r="C18" s="738"/>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538000</v>
      </c>
      <c r="B19" s="737"/>
      <c r="C19" s="739"/>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87.75" customHeight="1">
      <c r="A20" s="731" t="str">
        <f>'3_Comp e Produtos'!A25</f>
        <v>2.4. Fluxos de trabalho Contenciosos, de Consultoria e Assessoramento Jurídicos na Administração Indireta modelados e implantados</v>
      </c>
      <c r="B20" s="735" t="s">
        <v>272</v>
      </c>
      <c r="C20" s="798"/>
      <c r="D20" s="189"/>
      <c r="E20" s="326"/>
      <c r="F20" s="351"/>
      <c r="G20" s="230">
        <f>IF($A$20&lt;&gt;"NÃO SELECIONADO",E20*F20,0)</f>
        <v>0</v>
      </c>
      <c r="H20" s="181" t="s">
        <v>164</v>
      </c>
      <c r="I20" s="330">
        <f>8*360</f>
        <v>2880</v>
      </c>
      <c r="J20" s="311">
        <v>800</v>
      </c>
      <c r="K20" s="230">
        <f>IF($A$20&lt;&gt;"NÃO SELECIONADO",I20*J20,0)</f>
        <v>2304000</v>
      </c>
      <c r="L20" s="226"/>
      <c r="M20" s="227"/>
      <c r="N20" s="228"/>
      <c r="O20" s="230">
        <f>IF($A$20&lt;&gt;"NÃO SELECIONADO",M20*N20,0)</f>
        <v>0</v>
      </c>
      <c r="P20" s="533"/>
      <c r="Q20" s="534"/>
      <c r="R20" s="534"/>
      <c r="S20" s="230">
        <f>IF($A$20&lt;&gt;"NÃO SELECIONADO",Q20*R20,0)</f>
        <v>0</v>
      </c>
      <c r="T20" s="390" t="s">
        <v>151</v>
      </c>
      <c r="U20" s="225">
        <f>3*8</f>
        <v>24</v>
      </c>
      <c r="V20" s="187">
        <v>1000</v>
      </c>
      <c r="W20" s="230">
        <f>IF($A$20&lt;&gt;"NÃO SELECIONADO",U20*V20,0)</f>
        <v>24000</v>
      </c>
    </row>
    <row r="21" spans="1:23" ht="87.75" customHeight="1">
      <c r="A21" s="731"/>
      <c r="B21" s="736"/>
      <c r="C21" s="738"/>
      <c r="D21" s="324"/>
      <c r="E21" s="326"/>
      <c r="F21" s="351"/>
      <c r="G21" s="230">
        <f>IF($A$20&lt;&gt;"NÃO SELECIONADO",E21*F21,0)</f>
        <v>0</v>
      </c>
      <c r="H21" s="181" t="s">
        <v>163</v>
      </c>
      <c r="I21" s="330">
        <f>3*60*4</f>
        <v>720</v>
      </c>
      <c r="J21" s="311">
        <v>800</v>
      </c>
      <c r="K21" s="230">
        <f>IF($A$20&lt;&gt;"NÃO SELECIONADO",I21*J21,0)</f>
        <v>576000</v>
      </c>
      <c r="L21" s="226"/>
      <c r="M21" s="227"/>
      <c r="N21" s="228"/>
      <c r="O21" s="230">
        <f>IF($A$20&lt;&gt;"NÃO SELECIONADO",M21*N21,0)</f>
        <v>0</v>
      </c>
      <c r="P21" s="200"/>
      <c r="Q21" s="201"/>
      <c r="R21" s="202"/>
      <c r="S21" s="230">
        <f>IF($A$20&lt;&gt;"NÃO SELECIONADO",Q21*R21,0)</f>
        <v>0</v>
      </c>
      <c r="T21" s="321" t="s">
        <v>152</v>
      </c>
      <c r="U21" s="221">
        <f>24*5</f>
        <v>120</v>
      </c>
      <c r="V21" s="185">
        <v>250</v>
      </c>
      <c r="W21" s="230">
        <f>IF($A$20&lt;&gt;"NÃO SELECIONADO",U21*V21,0)</f>
        <v>30000</v>
      </c>
    </row>
    <row r="22" spans="1:23" ht="87.75" customHeight="1">
      <c r="A22" s="731"/>
      <c r="B22" s="736"/>
      <c r="C22" s="738"/>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167</v>
      </c>
      <c r="U22" s="225">
        <f>2*120</f>
        <v>240</v>
      </c>
      <c r="V22" s="187">
        <v>1000</v>
      </c>
      <c r="W22" s="230">
        <f>IF($A$20&lt;&gt;"NÃO SELECIONADO",U22*V22,0)</f>
        <v>240000</v>
      </c>
    </row>
    <row r="23" spans="1:23" ht="281.25" customHeight="1">
      <c r="A23" s="731"/>
      <c r="B23" s="736"/>
      <c r="C23" s="738"/>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321" t="s">
        <v>168</v>
      </c>
      <c r="U23" s="221">
        <f>240*5</f>
        <v>1200</v>
      </c>
      <c r="V23" s="185">
        <v>250</v>
      </c>
      <c r="W23" s="230">
        <f>IF($A$20&lt;&gt;"NÃO SELECIONADO",U23*V23,0)</f>
        <v>300000</v>
      </c>
    </row>
    <row r="24" spans="1:23">
      <c r="A24" s="317">
        <f>IF(A20&lt;&gt;"NÃO SELECIONADO",SUM(G20:G24)+SUM(K20:K24)+SUM(O20:O24)+SUM(S20:S24)+SUM(W20:W24),0)</f>
        <v>3474000</v>
      </c>
      <c r="B24" s="737"/>
      <c r="C24" s="739"/>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51">
      <c r="A25" s="731" t="str">
        <f>'3_Comp e Produtos'!A30</f>
        <v>2.5. Plano de estratégias de prevenção abrangente a todos os órgãos da Administração Indireta</v>
      </c>
      <c r="B25" s="763" t="s">
        <v>270</v>
      </c>
      <c r="C25" s="760"/>
      <c r="D25" s="536" t="s">
        <v>156</v>
      </c>
      <c r="E25" s="330">
        <v>180</v>
      </c>
      <c r="F25" s="364">
        <v>1000</v>
      </c>
      <c r="G25" s="230">
        <f>IF($A$25&lt;&gt;"NÃO SELECIONADO",E25*F25,0)</f>
        <v>180000</v>
      </c>
      <c r="H25" s="181" t="s">
        <v>155</v>
      </c>
      <c r="I25" s="330">
        <f>3*120</f>
        <v>360</v>
      </c>
      <c r="J25" s="353">
        <v>800</v>
      </c>
      <c r="K25" s="230">
        <f>IF($A$25&lt;&gt;"NÃO SELECIONADO",I25*J25,0)</f>
        <v>288000</v>
      </c>
      <c r="L25" s="379"/>
      <c r="M25" s="222"/>
      <c r="N25" s="380"/>
      <c r="O25" s="230">
        <f>IF($A$25&lt;&gt;"NÃO SELECIONADO",M25*N25,0)</f>
        <v>0</v>
      </c>
      <c r="P25" s="379"/>
      <c r="Q25" s="381"/>
      <c r="R25" s="382"/>
      <c r="S25" s="230">
        <f>IF($A$25&lt;&gt;"NÃO SELECIONADO",Q25*R25,0)</f>
        <v>0</v>
      </c>
      <c r="T25" s="545" t="s">
        <v>157</v>
      </c>
      <c r="U25" s="222">
        <v>180</v>
      </c>
      <c r="V25" s="477">
        <v>1000</v>
      </c>
      <c r="W25" s="230">
        <f>IF($A$25&lt;&gt;"NÃO SELECIONADO",U25*V25,0)</f>
        <v>180000</v>
      </c>
    </row>
    <row r="26" spans="1:23" ht="28.5" customHeight="1">
      <c r="A26" s="731"/>
      <c r="B26" s="764"/>
      <c r="C26" s="761"/>
      <c r="D26" s="193"/>
      <c r="E26" s="326"/>
      <c r="F26" s="331"/>
      <c r="G26" s="230">
        <f>IF($A$25&lt;&gt;"NÃO SELECIONADO",E26*F26,0)</f>
        <v>0</v>
      </c>
      <c r="H26" s="191"/>
      <c r="I26" s="221"/>
      <c r="J26" s="185"/>
      <c r="K26" s="230">
        <f>IF($A$25&lt;&gt;"NÃO SELECIONADO",I26*J26,0)</f>
        <v>0</v>
      </c>
      <c r="L26" s="379"/>
      <c r="M26" s="222"/>
      <c r="N26" s="194"/>
      <c r="O26" s="230">
        <f>IF($A$25&lt;&gt;"NÃO SELECIONADO",M26*N26,0)</f>
        <v>0</v>
      </c>
      <c r="P26" s="320"/>
      <c r="Q26" s="221"/>
      <c r="R26" s="185"/>
      <c r="S26" s="230">
        <f>IF($A$25&lt;&gt;"NÃO SELECIONADO",Q26*R26,0)</f>
        <v>0</v>
      </c>
      <c r="T26" s="545" t="s">
        <v>158</v>
      </c>
      <c r="U26" s="222">
        <f>180*4</f>
        <v>720</v>
      </c>
      <c r="V26" s="478">
        <v>250</v>
      </c>
      <c r="W26" s="230">
        <f>IF($A$25&lt;&gt;"NÃO SELECIONADO",U26*V26,0)</f>
        <v>180000</v>
      </c>
    </row>
    <row r="27" spans="1:23" ht="28.5" customHeight="1">
      <c r="A27" s="731"/>
      <c r="B27" s="764"/>
      <c r="C27" s="76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8.5" customHeight="1">
      <c r="A28" s="731"/>
      <c r="B28" s="764"/>
      <c r="C28" s="76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828000</v>
      </c>
      <c r="B29" s="765"/>
      <c r="C29" s="76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51">
      <c r="A30" s="731" t="str">
        <f>'3_Comp e Produtos'!A31</f>
        <v>2.6. Métodos Alternativos de Resolução de Conflitos (MARC) definidos e implementados</v>
      </c>
      <c r="B30" s="733" t="s">
        <v>271</v>
      </c>
      <c r="C30" s="734"/>
      <c r="D30" s="193"/>
      <c r="E30" s="221"/>
      <c r="F30" s="185"/>
      <c r="G30" s="230">
        <f>IF($A$30&lt;&gt;"NÃO SELECIONADO",E30*F30,0)</f>
        <v>0</v>
      </c>
      <c r="H30" s="205" t="s">
        <v>169</v>
      </c>
      <c r="I30" s="220">
        <f>3*120</f>
        <v>360</v>
      </c>
      <c r="J30" s="182">
        <v>800</v>
      </c>
      <c r="K30" s="230">
        <f>IF($A$30&lt;&gt;"NÃO SELECIONADO",I30*J30,0)</f>
        <v>288000</v>
      </c>
      <c r="L30" s="190"/>
      <c r="M30" s="221"/>
      <c r="N30" s="185"/>
      <c r="O30" s="230">
        <f>IF($A$30&lt;&gt;"NÃO SELECIONADO",M30*N30,0)</f>
        <v>0</v>
      </c>
      <c r="P30" s="189" t="s">
        <v>170</v>
      </c>
      <c r="Q30" s="221">
        <v>10</v>
      </c>
      <c r="R30" s="185">
        <v>20000</v>
      </c>
      <c r="S30" s="230">
        <f>IF($A$30&lt;&gt;"NÃO SELECIONADO",Q30*R30,0)</f>
        <v>200000</v>
      </c>
      <c r="T30" s="181" t="s">
        <v>172</v>
      </c>
      <c r="U30" s="221">
        <v>10</v>
      </c>
      <c r="V30" s="185">
        <v>3000</v>
      </c>
      <c r="W30" s="230">
        <f>IF($A$30&lt;&gt;"NÃO SELECIONADO",U30*V30,0)</f>
        <v>30000</v>
      </c>
    </row>
    <row r="31" spans="1:23" ht="25.5">
      <c r="A31" s="731"/>
      <c r="B31" s="733"/>
      <c r="C31" s="734"/>
      <c r="D31" s="193"/>
      <c r="E31" s="221"/>
      <c r="F31" s="185"/>
      <c r="G31" s="230">
        <f>IF($A$30&lt;&gt;"NÃO SELECIONADO",E31*F31,0)</f>
        <v>0</v>
      </c>
      <c r="H31" s="192"/>
      <c r="I31" s="221"/>
      <c r="J31" s="185"/>
      <c r="K31" s="230">
        <f>IF($A$30&lt;&gt;"NÃO SELECIONADO",I31*J31,0)</f>
        <v>0</v>
      </c>
      <c r="L31" s="190"/>
      <c r="M31" s="221"/>
      <c r="N31" s="185"/>
      <c r="O31" s="230">
        <f>IF($A$30&lt;&gt;"NÃO SELECIONADO",M31*N31,0)</f>
        <v>0</v>
      </c>
      <c r="P31" s="189" t="s">
        <v>171</v>
      </c>
      <c r="Q31" s="221">
        <v>10000</v>
      </c>
      <c r="R31" s="185">
        <v>5</v>
      </c>
      <c r="S31" s="230">
        <f>IF($A$30&lt;&gt;"NÃO SELECIONADO",Q31*R31,0)</f>
        <v>50000</v>
      </c>
      <c r="T31" s="181" t="s">
        <v>173</v>
      </c>
      <c r="U31" s="221">
        <v>50</v>
      </c>
      <c r="V31" s="185">
        <v>1000</v>
      </c>
      <c r="W31" s="230">
        <f>IF($A$30&lt;&gt;"NÃO SELECIONADO",U31*V31,0)</f>
        <v>50000</v>
      </c>
    </row>
    <row r="32" spans="1:23" ht="25.5">
      <c r="A32" s="731"/>
      <c r="B32" s="733"/>
      <c r="C32" s="734"/>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81" t="s">
        <v>174</v>
      </c>
      <c r="U32" s="221">
        <v>50</v>
      </c>
      <c r="V32" s="185">
        <v>1000</v>
      </c>
      <c r="W32" s="230">
        <f>IF($A$30&lt;&gt;"NÃO SELECIONADO",U32*V32,0)</f>
        <v>50000</v>
      </c>
    </row>
    <row r="33" spans="1:23" ht="382.5" customHeight="1">
      <c r="A33" s="731"/>
      <c r="B33" s="733"/>
      <c r="C33" s="734"/>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81" t="s">
        <v>175</v>
      </c>
      <c r="U33" s="221">
        <v>250</v>
      </c>
      <c r="V33" s="185">
        <v>250</v>
      </c>
      <c r="W33" s="230">
        <f>IF($A$30&lt;&gt;"NÃO SELECIONADO",U33*V33,0)</f>
        <v>62500</v>
      </c>
    </row>
    <row r="34" spans="1:23" ht="16.5" customHeight="1">
      <c r="A34" s="287">
        <f>IF(A30&lt;&gt;"NÃO SELECIONADO",SUM(G30:G34)+SUM(K30:K34)+SUM(O30:O34)+SUM(S30:S34)+SUM(W30:W34),0)</f>
        <v>730500</v>
      </c>
      <c r="B34" s="733"/>
      <c r="C34" s="734"/>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58.5" customHeight="1">
      <c r="A35" s="731" t="str">
        <f>'3_Comp e Produtos'!A35</f>
        <v>2.7. Capacitação contínua de pessoal especializado em gerenciamento e recuperação de créditos</v>
      </c>
      <c r="B35" s="733" t="s">
        <v>275</v>
      </c>
      <c r="C35" s="734"/>
      <c r="D35" s="378"/>
      <c r="E35" s="326"/>
      <c r="F35" s="231"/>
      <c r="G35" s="230">
        <f>IF($A$35&lt;&gt;"NÃO SELECIONADO",E35*F35,0)</f>
        <v>0</v>
      </c>
      <c r="H35" s="181" t="s">
        <v>176</v>
      </c>
      <c r="I35" s="330">
        <f>2*210</f>
        <v>420</v>
      </c>
      <c r="J35" s="311">
        <v>800</v>
      </c>
      <c r="K35" s="230">
        <f>IF($A$35&lt;&gt;"NÃO SELECIONADO",I35*J35,0)</f>
        <v>336000</v>
      </c>
      <c r="L35" s="379"/>
      <c r="M35" s="222"/>
      <c r="N35" s="380"/>
      <c r="O35" s="230">
        <f>IF($A$35&lt;&gt;"NÃO SELECIONADO",M35*N35,0)</f>
        <v>0</v>
      </c>
      <c r="P35" s="189" t="s">
        <v>178</v>
      </c>
      <c r="Q35" s="221">
        <v>20</v>
      </c>
      <c r="R35" s="185">
        <v>20000</v>
      </c>
      <c r="S35" s="230">
        <f>IF($A$35&lt;&gt;"NÃO SELECIONADO",Q35*R35,0)</f>
        <v>400000</v>
      </c>
      <c r="T35" s="181" t="s">
        <v>180</v>
      </c>
      <c r="U35" s="221">
        <f>15*20</f>
        <v>300</v>
      </c>
      <c r="V35" s="185">
        <v>1000</v>
      </c>
      <c r="W35" s="230">
        <f>IF($A$35&lt;&gt;"NÃO SELECIONADO",U35*V35,0)</f>
        <v>300000</v>
      </c>
    </row>
    <row r="36" spans="1:23" ht="58.5" customHeight="1">
      <c r="A36" s="731"/>
      <c r="B36" s="733"/>
      <c r="C36" s="734"/>
      <c r="D36" s="193"/>
      <c r="E36" s="221"/>
      <c r="F36" s="185"/>
      <c r="G36" s="230">
        <f>IF($A$35&lt;&gt;"NÃO SELECIONADO",E36*F36,0)</f>
        <v>0</v>
      </c>
      <c r="H36" s="181" t="s">
        <v>177</v>
      </c>
      <c r="I36" s="221">
        <v>120</v>
      </c>
      <c r="J36" s="185">
        <v>800</v>
      </c>
      <c r="K36" s="230">
        <f>IF($A$35&lt;&gt;"NÃO SELECIONADO",I36*J36,0)</f>
        <v>96000</v>
      </c>
      <c r="L36" s="379"/>
      <c r="M36" s="221"/>
      <c r="N36" s="185"/>
      <c r="O36" s="230">
        <f>IF($A$35&lt;&gt;"NÃO SELECIONADO",M36*N36,0)</f>
        <v>0</v>
      </c>
      <c r="P36" s="189" t="s">
        <v>179</v>
      </c>
      <c r="Q36" s="221">
        <f>20*40</f>
        <v>800</v>
      </c>
      <c r="R36" s="185">
        <v>5</v>
      </c>
      <c r="S36" s="230">
        <f>IF($A$35&lt;&gt;"NÃO SELECIONADO",Q36*R36,0)</f>
        <v>4000</v>
      </c>
      <c r="T36" s="181" t="s">
        <v>181</v>
      </c>
      <c r="U36" s="221">
        <f>300*5</f>
        <v>1500</v>
      </c>
      <c r="V36" s="185">
        <v>250</v>
      </c>
      <c r="W36" s="230">
        <f>IF($A$35&lt;&gt;"NÃO SELECIONADO",U36*V36,0)</f>
        <v>375000</v>
      </c>
    </row>
    <row r="37" spans="1:23" ht="58.5" customHeight="1">
      <c r="A37" s="731"/>
      <c r="B37" s="733"/>
      <c r="C37" s="734"/>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8.5" customHeight="1">
      <c r="A38" s="731"/>
      <c r="B38" s="733"/>
      <c r="C38" s="734"/>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1511000</v>
      </c>
      <c r="B39" s="733"/>
      <c r="C39" s="734"/>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36.75" customHeight="1">
      <c r="A40" s="731" t="str">
        <f>'3_Comp e Produtos'!A36</f>
        <v xml:space="preserve">2.8. Plano de ação para aprimoramento da integração interinstitucional entre os órgãos responsáveis pela dívida ativa </v>
      </c>
      <c r="B40" s="733" t="s">
        <v>274</v>
      </c>
      <c r="C40" s="734"/>
      <c r="D40" s="378"/>
      <c r="E40" s="326"/>
      <c r="F40" s="231"/>
      <c r="G40" s="230">
        <f>IF($A$40&lt;&gt;"NÃO SELECIONADO",E40*F40,0)</f>
        <v>0</v>
      </c>
      <c r="H40" s="181" t="s">
        <v>182</v>
      </c>
      <c r="I40" s="221">
        <f>3*180</f>
        <v>540</v>
      </c>
      <c r="J40" s="185">
        <v>800</v>
      </c>
      <c r="K40" s="230">
        <f>IF($A$40&lt;&gt;"NÃO SELECIONADO",I40*J40,0)</f>
        <v>432000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37.5" customHeight="1">
      <c r="A41" s="731"/>
      <c r="B41" s="733"/>
      <c r="C41" s="734"/>
      <c r="D41" s="193"/>
      <c r="E41" s="221"/>
      <c r="F41" s="185"/>
      <c r="G41" s="230">
        <f>IF($A$40&lt;&gt;"NÃO SELECIONADO",E41*F41,0)</f>
        <v>0</v>
      </c>
      <c r="H41" s="532" t="s">
        <v>183</v>
      </c>
      <c r="I41" s="221">
        <v>45</v>
      </c>
      <c r="J41" s="185">
        <v>800</v>
      </c>
      <c r="K41" s="230">
        <f>IF($A$40&lt;&gt;"NÃO SELECIONADO",I41*J41,0)</f>
        <v>36000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37.5" customHeight="1">
      <c r="A42" s="731"/>
      <c r="B42" s="733"/>
      <c r="C42" s="734"/>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ht="38.25" customHeight="1">
      <c r="A43" s="731"/>
      <c r="B43" s="733"/>
      <c r="C43" s="734"/>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468000</v>
      </c>
      <c r="B44" s="733"/>
      <c r="C44" s="734"/>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c r="A45" s="766" t="str">
        <f>'3_Comp e Produtos'!A37</f>
        <v>2.9. Solução para avaliação de riscos do Estado e inclusões nos sistemas corporativos da AGU</v>
      </c>
      <c r="B45" s="789" t="s">
        <v>298</v>
      </c>
      <c r="C45" s="732"/>
      <c r="D45" s="193"/>
      <c r="E45" s="221"/>
      <c r="F45" s="185"/>
      <c r="G45" s="229">
        <f>IF($A$45&lt;&gt;"NÃO SELECIONADO",E45*F45,0)</f>
        <v>0</v>
      </c>
      <c r="H45" s="189"/>
      <c r="I45" s="221"/>
      <c r="J45" s="185"/>
      <c r="K45" s="229">
        <f>IF($A$45&lt;&gt;"NÃO SELECIONADO",I45*J45,0)</f>
        <v>0</v>
      </c>
      <c r="L45" s="390" t="s">
        <v>184</v>
      </c>
      <c r="M45" s="221">
        <v>1</v>
      </c>
      <c r="N45" s="185">
        <v>500000</v>
      </c>
      <c r="O45" s="229">
        <f>IF($A$45&lt;&gt;"NÃO SELECIONADO",M45*N45,0)</f>
        <v>500000</v>
      </c>
      <c r="P45" s="535"/>
      <c r="Q45" s="221"/>
      <c r="R45" s="185"/>
      <c r="S45" s="229">
        <f>IF($A$45&lt;&gt;"NÃO SELECIONADO",Q45*R45,0)</f>
        <v>0</v>
      </c>
      <c r="T45" s="188"/>
      <c r="U45" s="221"/>
      <c r="V45" s="185"/>
      <c r="W45" s="229">
        <f>IF($A$45&lt;&gt;"NÃO SELECIONADO",U45*V45,0)</f>
        <v>0</v>
      </c>
    </row>
    <row r="46" spans="1:23">
      <c r="A46" s="766"/>
      <c r="B46" s="789"/>
      <c r="C46" s="732"/>
      <c r="D46" s="193"/>
      <c r="E46" s="221"/>
      <c r="F46" s="185"/>
      <c r="G46" s="229">
        <f>IF($A$45&lt;&gt;"NÃO SELECIONADO",E46*F46,0)</f>
        <v>0</v>
      </c>
      <c r="H46" s="192"/>
      <c r="I46" s="221"/>
      <c r="J46" s="185"/>
      <c r="K46" s="229">
        <f>IF($A$45&lt;&gt;"NÃO SELECIONADO",I46*J46,0)</f>
        <v>0</v>
      </c>
      <c r="L46" s="321" t="s">
        <v>185</v>
      </c>
      <c r="M46" s="221">
        <v>1</v>
      </c>
      <c r="N46" s="185">
        <v>200000</v>
      </c>
      <c r="O46" s="229">
        <f>IF($A$45&lt;&gt;"NÃO SELECIONADO",M46*N46,0)</f>
        <v>200000</v>
      </c>
      <c r="P46" s="192"/>
      <c r="Q46" s="221"/>
      <c r="R46" s="185"/>
      <c r="S46" s="229">
        <f>IF($A$45&lt;&gt;"NÃO SELECIONADO",Q46*R46,0)</f>
        <v>0</v>
      </c>
      <c r="T46" s="192"/>
      <c r="U46" s="221"/>
      <c r="V46" s="185"/>
      <c r="W46" s="229">
        <f>IF($A$45&lt;&gt;"NÃO SELECIONADO",U46*V46,0)</f>
        <v>0</v>
      </c>
    </row>
    <row r="47" spans="1:23">
      <c r="A47" s="766"/>
      <c r="B47" s="789"/>
      <c r="C47" s="732"/>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ht="243" customHeight="1">
      <c r="A48" s="766"/>
      <c r="B48" s="789"/>
      <c r="C48" s="732"/>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700000</v>
      </c>
      <c r="B49" s="789"/>
      <c r="C49" s="732"/>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59.25" customHeight="1">
      <c r="A50" s="731" t="str">
        <f>'3_Comp e Produtos'!A38</f>
        <v xml:space="preserve">2.10. Solução para identificação e facilitação da eliminação dos pagamentos indevidos nos processos contra o Estado </v>
      </c>
      <c r="B50" s="733" t="s">
        <v>276</v>
      </c>
      <c r="C50" s="734"/>
      <c r="D50" s="378"/>
      <c r="E50" s="221"/>
      <c r="F50" s="185"/>
      <c r="G50" s="230">
        <f>IF($A$50&lt;&gt;"NÃO SELECIONADO",E50*F50,0)</f>
        <v>0</v>
      </c>
      <c r="H50" s="189" t="s">
        <v>186</v>
      </c>
      <c r="I50" s="221">
        <f>3*90</f>
        <v>270</v>
      </c>
      <c r="J50" s="185">
        <v>800</v>
      </c>
      <c r="K50" s="230">
        <f>IF($A$50&lt;&gt;"NÃO SELECIONADO",I50*J50,0)</f>
        <v>216000</v>
      </c>
      <c r="L50" s="536"/>
      <c r="M50" s="221"/>
      <c r="N50" s="185"/>
      <c r="O50" s="230">
        <f t="shared" ref="O50:O66" si="0">IF($A$87&lt;&gt;"NÃO SELECIONADO",M50*N50,0)</f>
        <v>0</v>
      </c>
      <c r="P50" s="192"/>
      <c r="Q50" s="221"/>
      <c r="R50" s="185"/>
      <c r="S50" s="230">
        <f t="shared" ref="S50:S56" si="1">IF($A$87&lt;&gt;"NÃO SELECIONADO",Q50*R50,0)</f>
        <v>0</v>
      </c>
      <c r="T50" s="192"/>
      <c r="U50" s="221"/>
      <c r="V50" s="185"/>
      <c r="W50" s="230">
        <f t="shared" ref="W50:W56" si="2">IF($A$87&lt;&gt;"NÃO SELECIONADO",U50*V50,0)</f>
        <v>0</v>
      </c>
    </row>
    <row r="51" spans="1:23" ht="44.25" customHeight="1">
      <c r="A51" s="731"/>
      <c r="B51" s="733"/>
      <c r="C51" s="734"/>
      <c r="D51" s="193"/>
      <c r="E51" s="221"/>
      <c r="F51" s="185"/>
      <c r="G51" s="230">
        <f t="shared" ref="G51:G53" si="3">IF($A$50&lt;&gt;"NÃO SELECIONADO",E51*F51,0)</f>
        <v>0</v>
      </c>
      <c r="H51" s="192"/>
      <c r="I51" s="221"/>
      <c r="J51" s="185"/>
      <c r="K51" s="230">
        <f t="shared" ref="K51:K56" si="4">IF($A$87&lt;&gt;"NÃO SELECIONADO",I51*J51,0)</f>
        <v>0</v>
      </c>
      <c r="L51" s="190"/>
      <c r="M51" s="221"/>
      <c r="N51" s="185"/>
      <c r="O51" s="230">
        <f t="shared" si="0"/>
        <v>0</v>
      </c>
      <c r="P51" s="192"/>
      <c r="Q51" s="221"/>
      <c r="R51" s="185"/>
      <c r="S51" s="230">
        <f t="shared" si="1"/>
        <v>0</v>
      </c>
      <c r="T51" s="192"/>
      <c r="U51" s="221"/>
      <c r="V51" s="185"/>
      <c r="W51" s="230">
        <f t="shared" si="2"/>
        <v>0</v>
      </c>
    </row>
    <row r="52" spans="1:23" ht="46.5" customHeight="1">
      <c r="A52" s="731"/>
      <c r="B52" s="733"/>
      <c r="C52" s="734"/>
      <c r="D52" s="193"/>
      <c r="E52" s="221"/>
      <c r="F52" s="185"/>
      <c r="G52" s="230">
        <f t="shared" si="3"/>
        <v>0</v>
      </c>
      <c r="H52" s="192"/>
      <c r="I52" s="221"/>
      <c r="J52" s="185"/>
      <c r="K52" s="230">
        <f t="shared" si="4"/>
        <v>0</v>
      </c>
      <c r="L52" s="190"/>
      <c r="M52" s="221"/>
      <c r="N52" s="185"/>
      <c r="O52" s="230">
        <f t="shared" si="0"/>
        <v>0</v>
      </c>
      <c r="P52" s="192"/>
      <c r="Q52" s="221"/>
      <c r="R52" s="185"/>
      <c r="S52" s="230">
        <f t="shared" si="1"/>
        <v>0</v>
      </c>
      <c r="T52" s="192"/>
      <c r="U52" s="221"/>
      <c r="V52" s="185"/>
      <c r="W52" s="230">
        <f t="shared" si="2"/>
        <v>0</v>
      </c>
    </row>
    <row r="53" spans="1:23" ht="27" customHeight="1">
      <c r="A53" s="731"/>
      <c r="B53" s="733"/>
      <c r="C53" s="734"/>
      <c r="D53" s="193"/>
      <c r="E53" s="221"/>
      <c r="F53" s="185"/>
      <c r="G53" s="230">
        <f t="shared" si="3"/>
        <v>0</v>
      </c>
      <c r="H53" s="192"/>
      <c r="I53" s="221"/>
      <c r="J53" s="185"/>
      <c r="K53" s="230">
        <f t="shared" si="4"/>
        <v>0</v>
      </c>
      <c r="L53" s="190"/>
      <c r="M53" s="221"/>
      <c r="N53" s="185"/>
      <c r="O53" s="230">
        <f t="shared" si="0"/>
        <v>0</v>
      </c>
      <c r="P53" s="192"/>
      <c r="Q53" s="221"/>
      <c r="R53" s="185"/>
      <c r="S53" s="230">
        <f t="shared" si="1"/>
        <v>0</v>
      </c>
      <c r="T53" s="192"/>
      <c r="U53" s="221"/>
      <c r="V53" s="185"/>
      <c r="W53" s="230">
        <f t="shared" si="2"/>
        <v>0</v>
      </c>
    </row>
    <row r="54" spans="1:23" ht="27.75" customHeight="1">
      <c r="A54" s="287">
        <f>IF(A50&lt;&gt;"NÃO SELECIONADO",SUM(G50:G54)+SUM(K50:K54)+SUM(O50:O54)+SUM(S50:S54)+SUM(W50:W54),0)</f>
        <v>216000</v>
      </c>
      <c r="B54" s="733"/>
      <c r="C54" s="734"/>
      <c r="D54" s="193"/>
      <c r="E54" s="221"/>
      <c r="F54" s="185"/>
      <c r="G54" s="230">
        <f>IF($A$87&lt;&gt;"NÃO SELECIONADO",E54*F54,0)</f>
        <v>0</v>
      </c>
      <c r="H54" s="192"/>
      <c r="I54" s="221"/>
      <c r="J54" s="185"/>
      <c r="K54" s="230">
        <f t="shared" si="4"/>
        <v>0</v>
      </c>
      <c r="L54" s="190"/>
      <c r="M54" s="221"/>
      <c r="N54" s="185"/>
      <c r="O54" s="230">
        <f t="shared" si="0"/>
        <v>0</v>
      </c>
      <c r="P54" s="192"/>
      <c r="Q54" s="221"/>
      <c r="R54" s="185"/>
      <c r="S54" s="230">
        <f t="shared" si="1"/>
        <v>0</v>
      </c>
      <c r="T54" s="192"/>
      <c r="U54" s="221"/>
      <c r="V54" s="185"/>
      <c r="W54" s="230">
        <f t="shared" si="2"/>
        <v>0</v>
      </c>
    </row>
    <row r="55" spans="1:23" ht="49.5" customHeight="1">
      <c r="A55" s="731" t="str">
        <f>'3_Comp e Produtos'!A39</f>
        <v>2.11. Sistema Integrado de Gestão Jurídica da AGU desenvolvido e implantado</v>
      </c>
      <c r="B55" s="789" t="s">
        <v>297</v>
      </c>
      <c r="C55" s="734"/>
      <c r="D55" s="378" t="s">
        <v>143</v>
      </c>
      <c r="E55" s="221">
        <v>4</v>
      </c>
      <c r="F55" s="185">
        <v>5000</v>
      </c>
      <c r="G55" s="230">
        <f>IF($A$55&lt;&gt;"NÃO SELECIONADO",E55*F55,0)</f>
        <v>20000</v>
      </c>
      <c r="H55" s="189" t="s">
        <v>139</v>
      </c>
      <c r="I55" s="221">
        <f>6*180</f>
        <v>1080</v>
      </c>
      <c r="J55" s="185">
        <v>800</v>
      </c>
      <c r="K55" s="230">
        <f t="shared" si="4"/>
        <v>864000</v>
      </c>
      <c r="L55" s="536" t="s">
        <v>229</v>
      </c>
      <c r="M55" s="557">
        <f>36*12</f>
        <v>432</v>
      </c>
      <c r="N55" s="328">
        <v>20000</v>
      </c>
      <c r="O55" s="230">
        <f t="shared" si="0"/>
        <v>8640000</v>
      </c>
      <c r="P55" s="573" t="s">
        <v>241</v>
      </c>
      <c r="Q55" s="221">
        <v>8000</v>
      </c>
      <c r="R55" s="185">
        <v>400</v>
      </c>
      <c r="S55" s="230">
        <f t="shared" si="1"/>
        <v>3200000</v>
      </c>
      <c r="T55" s="532" t="s">
        <v>142</v>
      </c>
      <c r="U55" s="221">
        <f>3*27</f>
        <v>81</v>
      </c>
      <c r="V55" s="185">
        <f>1000+(250*5)</f>
        <v>2250</v>
      </c>
      <c r="W55" s="230">
        <f t="shared" si="2"/>
        <v>182250</v>
      </c>
    </row>
    <row r="56" spans="1:23" ht="63.75">
      <c r="A56" s="731"/>
      <c r="B56" s="789"/>
      <c r="C56" s="734"/>
      <c r="D56" s="378" t="s">
        <v>144</v>
      </c>
      <c r="E56" s="221">
        <v>400</v>
      </c>
      <c r="F56" s="185">
        <v>500</v>
      </c>
      <c r="G56" s="230">
        <f t="shared" ref="G56:G58" si="5">IF($A$50&lt;&gt;"NÃO SELECIONADO",E56*F56,0)</f>
        <v>200000</v>
      </c>
      <c r="H56" s="189" t="s">
        <v>230</v>
      </c>
      <c r="I56" s="221">
        <f>8*360</f>
        <v>2880</v>
      </c>
      <c r="J56" s="185">
        <v>800</v>
      </c>
      <c r="K56" s="230">
        <f t="shared" si="4"/>
        <v>2304000</v>
      </c>
      <c r="L56" s="536" t="s">
        <v>269</v>
      </c>
      <c r="M56" s="558">
        <f>3*56</f>
        <v>168</v>
      </c>
      <c r="N56" s="185">
        <v>20000</v>
      </c>
      <c r="O56" s="230">
        <f t="shared" si="0"/>
        <v>3360000</v>
      </c>
      <c r="P56" s="192"/>
      <c r="Q56" s="221"/>
      <c r="R56" s="185"/>
      <c r="S56" s="230">
        <f t="shared" si="1"/>
        <v>0</v>
      </c>
      <c r="T56" s="192"/>
      <c r="U56" s="221"/>
      <c r="V56" s="185"/>
      <c r="W56" s="230">
        <f t="shared" si="2"/>
        <v>0</v>
      </c>
    </row>
    <row r="57" spans="1:23" ht="49.5" customHeight="1">
      <c r="A57" s="731"/>
      <c r="B57" s="789"/>
      <c r="C57" s="734"/>
      <c r="D57" s="378"/>
      <c r="E57" s="221"/>
      <c r="F57" s="185"/>
      <c r="G57" s="230">
        <f t="shared" si="5"/>
        <v>0</v>
      </c>
      <c r="H57" s="192"/>
      <c r="I57" s="221"/>
      <c r="J57" s="185"/>
      <c r="K57" s="230"/>
      <c r="L57" s="559" t="s">
        <v>226</v>
      </c>
      <c r="M57" s="221">
        <v>1</v>
      </c>
      <c r="N57" s="185">
        <v>4000000</v>
      </c>
      <c r="O57" s="230">
        <f t="shared" si="0"/>
        <v>4000000</v>
      </c>
      <c r="P57" s="192"/>
      <c r="Q57" s="221"/>
      <c r="R57" s="185"/>
      <c r="S57" s="230"/>
      <c r="T57" s="192"/>
      <c r="U57" s="221"/>
      <c r="V57" s="185"/>
      <c r="W57" s="230"/>
    </row>
    <row r="58" spans="1:23" ht="49.5" customHeight="1">
      <c r="A58" s="731"/>
      <c r="B58" s="789"/>
      <c r="C58" s="734"/>
      <c r="D58" s="378"/>
      <c r="E58" s="221"/>
      <c r="F58" s="185"/>
      <c r="G58" s="230">
        <f t="shared" si="5"/>
        <v>0</v>
      </c>
      <c r="H58" s="192"/>
      <c r="I58" s="221"/>
      <c r="J58" s="185"/>
      <c r="K58" s="230"/>
      <c r="L58" s="559" t="s">
        <v>227</v>
      </c>
      <c r="M58" s="221">
        <v>150</v>
      </c>
      <c r="N58" s="185">
        <v>9000</v>
      </c>
      <c r="O58" s="230">
        <f t="shared" si="0"/>
        <v>1350000</v>
      </c>
      <c r="P58" s="192"/>
      <c r="Q58" s="221"/>
      <c r="R58" s="185"/>
      <c r="S58" s="230"/>
      <c r="T58" s="192"/>
      <c r="U58" s="221"/>
      <c r="V58" s="185"/>
      <c r="W58" s="230"/>
    </row>
    <row r="59" spans="1:23" ht="38.25">
      <c r="A59" s="731"/>
      <c r="B59" s="789"/>
      <c r="C59" s="734"/>
      <c r="D59" s="378" t="s">
        <v>145</v>
      </c>
      <c r="E59" s="221">
        <v>300</v>
      </c>
      <c r="F59" s="185">
        <v>500</v>
      </c>
      <c r="G59" s="230">
        <f>IF($A$87&lt;&gt;"NÃO SELECIONADO",E59*F59,0)</f>
        <v>150000</v>
      </c>
      <c r="H59" s="192"/>
      <c r="I59" s="221"/>
      <c r="J59" s="185"/>
      <c r="K59" s="230">
        <f t="shared" ref="K59:K66" si="6">IF($A$87&lt;&gt;"NÃO SELECIONADO",I59*J59,0)</f>
        <v>0</v>
      </c>
      <c r="L59" s="559" t="s">
        <v>225</v>
      </c>
      <c r="M59" s="221">
        <v>2</v>
      </c>
      <c r="N59" s="185">
        <v>1400000</v>
      </c>
      <c r="O59" s="230">
        <f t="shared" si="0"/>
        <v>2800000</v>
      </c>
      <c r="P59" s="192"/>
      <c r="Q59" s="221"/>
      <c r="R59" s="185"/>
      <c r="S59" s="230">
        <f t="shared" ref="S59:S66" si="7">IF($A$87&lt;&gt;"NÃO SELECIONADO",Q59*R59,0)</f>
        <v>0</v>
      </c>
      <c r="T59" s="192"/>
      <c r="U59" s="221"/>
      <c r="V59" s="185"/>
      <c r="W59" s="230">
        <f t="shared" ref="W59:W66" si="8">IF($A$87&lt;&gt;"NÃO SELECIONADO",U59*V59,0)</f>
        <v>0</v>
      </c>
    </row>
    <row r="60" spans="1:23">
      <c r="A60" s="731"/>
      <c r="B60" s="789"/>
      <c r="C60" s="734"/>
      <c r="D60" s="193"/>
      <c r="E60" s="221"/>
      <c r="F60" s="185"/>
      <c r="G60" s="230">
        <f>IF($A$87&lt;&gt;"NÃO SELECIONADO",E60*F60,0)</f>
        <v>0</v>
      </c>
      <c r="H60" s="192"/>
      <c r="I60" s="221"/>
      <c r="J60" s="185"/>
      <c r="K60" s="230">
        <f t="shared" si="6"/>
        <v>0</v>
      </c>
      <c r="L60" s="559" t="s">
        <v>140</v>
      </c>
      <c r="M60" s="221">
        <v>6500</v>
      </c>
      <c r="N60" s="185">
        <v>2500</v>
      </c>
      <c r="O60" s="230">
        <f t="shared" si="0"/>
        <v>16250000</v>
      </c>
      <c r="P60" s="192"/>
      <c r="Q60" s="221"/>
      <c r="R60" s="185"/>
      <c r="S60" s="230">
        <f t="shared" si="7"/>
        <v>0</v>
      </c>
      <c r="T60" s="192"/>
      <c r="U60" s="221"/>
      <c r="V60" s="185"/>
      <c r="W60" s="230">
        <f t="shared" si="8"/>
        <v>0</v>
      </c>
    </row>
    <row r="61" spans="1:23">
      <c r="A61" s="287">
        <f>IF(A55&lt;&gt;"NÃO SELECIONADO",SUM(G55:G61)+SUM(K55:K61)+SUM(O55:O61)+SUM(S55:S61)+SUM(W55:W61),0)</f>
        <v>44653750</v>
      </c>
      <c r="B61" s="789"/>
      <c r="C61" s="734"/>
      <c r="D61" s="193"/>
      <c r="E61" s="221"/>
      <c r="F61" s="185"/>
      <c r="G61" s="230">
        <f>IF($A$87&lt;&gt;"NÃO SELECIONADO",E61*F61,0)</f>
        <v>0</v>
      </c>
      <c r="H61" s="192"/>
      <c r="I61" s="221"/>
      <c r="J61" s="185"/>
      <c r="K61" s="230">
        <f t="shared" si="6"/>
        <v>0</v>
      </c>
      <c r="L61" s="559" t="s">
        <v>141</v>
      </c>
      <c r="M61" s="221">
        <v>210</v>
      </c>
      <c r="N61" s="185">
        <v>6350</v>
      </c>
      <c r="O61" s="230">
        <f t="shared" si="0"/>
        <v>1333500</v>
      </c>
      <c r="P61" s="192"/>
      <c r="Q61" s="221"/>
      <c r="R61" s="185"/>
      <c r="S61" s="230">
        <f t="shared" si="7"/>
        <v>0</v>
      </c>
      <c r="T61" s="192"/>
      <c r="U61" s="221"/>
      <c r="V61" s="185"/>
      <c r="W61" s="230">
        <f t="shared" si="8"/>
        <v>0</v>
      </c>
    </row>
    <row r="62" spans="1:23" ht="89.25">
      <c r="A62" s="779" t="str">
        <f>'3_Comp e Produtos'!A42</f>
        <v>2.12. Redesenho e implementação dos fluxos de trabalho relativos a cálculos e perícias</v>
      </c>
      <c r="B62" s="790" t="s">
        <v>299</v>
      </c>
      <c r="C62" s="784"/>
      <c r="D62" s="378"/>
      <c r="E62" s="221"/>
      <c r="F62" s="185"/>
      <c r="G62" s="230">
        <f>IF($A$50&lt;&gt;"NÃO SELECIONADO",E62*F62,0)</f>
        <v>0</v>
      </c>
      <c r="H62" s="181" t="s">
        <v>228</v>
      </c>
      <c r="I62" s="330">
        <f>8*360</f>
        <v>2880</v>
      </c>
      <c r="J62" s="311">
        <v>800</v>
      </c>
      <c r="K62" s="230">
        <f t="shared" si="6"/>
        <v>2304000</v>
      </c>
      <c r="L62" s="190"/>
      <c r="M62" s="221"/>
      <c r="N62" s="185"/>
      <c r="O62" s="230">
        <f t="shared" si="0"/>
        <v>0</v>
      </c>
      <c r="P62" s="192"/>
      <c r="Q62" s="221"/>
      <c r="R62" s="185"/>
      <c r="S62" s="230">
        <f t="shared" si="7"/>
        <v>0</v>
      </c>
      <c r="T62" s="390" t="s">
        <v>153</v>
      </c>
      <c r="U62" s="225">
        <v>9</v>
      </c>
      <c r="V62" s="187">
        <v>1000</v>
      </c>
      <c r="W62" s="230">
        <f t="shared" si="8"/>
        <v>9000</v>
      </c>
    </row>
    <row r="63" spans="1:23" ht="60.75" customHeight="1">
      <c r="A63" s="780"/>
      <c r="B63" s="791"/>
      <c r="C63" s="785"/>
      <c r="D63" s="193"/>
      <c r="E63" s="221"/>
      <c r="F63" s="185"/>
      <c r="G63" s="230">
        <f t="shared" ref="G63:G65" si="9">IF($A$50&lt;&gt;"NÃO SELECIONADO",E63*F63,0)</f>
        <v>0</v>
      </c>
      <c r="H63" s="181" t="s">
        <v>163</v>
      </c>
      <c r="I63" s="330">
        <f>3*60*4</f>
        <v>720</v>
      </c>
      <c r="J63" s="311">
        <v>800</v>
      </c>
      <c r="K63" s="230">
        <f t="shared" si="6"/>
        <v>576000</v>
      </c>
      <c r="L63" s="190"/>
      <c r="M63" s="221"/>
      <c r="N63" s="185"/>
      <c r="O63" s="230">
        <f t="shared" si="0"/>
        <v>0</v>
      </c>
      <c r="P63" s="192"/>
      <c r="Q63" s="221"/>
      <c r="R63" s="185"/>
      <c r="S63" s="230">
        <f t="shared" si="7"/>
        <v>0</v>
      </c>
      <c r="T63" s="321" t="s">
        <v>154</v>
      </c>
      <c r="U63" s="221">
        <v>45</v>
      </c>
      <c r="V63" s="185">
        <v>250</v>
      </c>
      <c r="W63" s="230">
        <f t="shared" si="8"/>
        <v>11250</v>
      </c>
    </row>
    <row r="64" spans="1:23" ht="60.75" customHeight="1">
      <c r="A64" s="780"/>
      <c r="B64" s="791"/>
      <c r="C64" s="785"/>
      <c r="D64" s="193"/>
      <c r="E64" s="221"/>
      <c r="F64" s="185"/>
      <c r="G64" s="230">
        <f t="shared" si="9"/>
        <v>0</v>
      </c>
      <c r="H64" s="192"/>
      <c r="I64" s="221"/>
      <c r="J64" s="185"/>
      <c r="K64" s="230">
        <f t="shared" si="6"/>
        <v>0</v>
      </c>
      <c r="L64" s="190"/>
      <c r="M64" s="221"/>
      <c r="N64" s="185"/>
      <c r="O64" s="230">
        <f t="shared" si="0"/>
        <v>0</v>
      </c>
      <c r="P64" s="192"/>
      <c r="Q64" s="221"/>
      <c r="R64" s="185"/>
      <c r="S64" s="230">
        <f t="shared" si="7"/>
        <v>0</v>
      </c>
      <c r="T64" s="390" t="s">
        <v>165</v>
      </c>
      <c r="U64" s="225">
        <f>2*27</f>
        <v>54</v>
      </c>
      <c r="V64" s="187">
        <v>1000</v>
      </c>
      <c r="W64" s="230">
        <f t="shared" si="8"/>
        <v>54000</v>
      </c>
    </row>
    <row r="65" spans="1:23" ht="101.25" customHeight="1">
      <c r="A65" s="766"/>
      <c r="B65" s="791"/>
      <c r="C65" s="785"/>
      <c r="D65" s="193"/>
      <c r="E65" s="221"/>
      <c r="F65" s="185"/>
      <c r="G65" s="230">
        <f t="shared" si="9"/>
        <v>0</v>
      </c>
      <c r="H65" s="192"/>
      <c r="I65" s="221"/>
      <c r="J65" s="185"/>
      <c r="K65" s="230">
        <f t="shared" si="6"/>
        <v>0</v>
      </c>
      <c r="L65" s="190"/>
      <c r="M65" s="221"/>
      <c r="N65" s="185"/>
      <c r="O65" s="230">
        <f t="shared" si="0"/>
        <v>0</v>
      </c>
      <c r="P65" s="192"/>
      <c r="Q65" s="221"/>
      <c r="R65" s="185"/>
      <c r="S65" s="230">
        <f t="shared" si="7"/>
        <v>0</v>
      </c>
      <c r="T65" s="321" t="s">
        <v>166</v>
      </c>
      <c r="U65" s="221">
        <f>54*5</f>
        <v>270</v>
      </c>
      <c r="V65" s="185">
        <v>250</v>
      </c>
      <c r="W65" s="230">
        <f t="shared" si="8"/>
        <v>67500</v>
      </c>
    </row>
    <row r="66" spans="1:23" ht="13.5" thickBot="1">
      <c r="A66" s="287">
        <f>IF(A62&lt;&gt;"NÃO SELECIONADO",SUM(G62:G66)+SUM(K62:K66)+SUM(O62:O66)+SUM(S62:S66)+SUM(W62:W66),0)</f>
        <v>3021750</v>
      </c>
      <c r="B66" s="792"/>
      <c r="C66" s="786"/>
      <c r="D66" s="193"/>
      <c r="E66" s="221"/>
      <c r="F66" s="185"/>
      <c r="G66" s="230">
        <f>IF($A$87&lt;&gt;"NÃO SELECIONADO",E66*F66,0)</f>
        <v>0</v>
      </c>
      <c r="H66" s="192"/>
      <c r="I66" s="221"/>
      <c r="J66" s="185"/>
      <c r="K66" s="230">
        <f t="shared" si="6"/>
        <v>0</v>
      </c>
      <c r="L66" s="190"/>
      <c r="M66" s="221"/>
      <c r="N66" s="185"/>
      <c r="O66" s="230">
        <f t="shared" si="0"/>
        <v>0</v>
      </c>
      <c r="P66" s="192"/>
      <c r="Q66" s="221"/>
      <c r="R66" s="185"/>
      <c r="S66" s="230">
        <f t="shared" si="7"/>
        <v>0</v>
      </c>
      <c r="T66" s="192"/>
      <c r="U66" s="221"/>
      <c r="V66" s="185"/>
      <c r="W66" s="230">
        <f t="shared" si="8"/>
        <v>0</v>
      </c>
    </row>
    <row r="67" spans="1:23" ht="12.75" hidden="1" customHeight="1">
      <c r="A67" s="779" t="str">
        <f>'3_Comp e Produtos'!A36</f>
        <v xml:space="preserve">2.8. Plano de ação para aprimoramento da integração interinstitucional entre os órgãos responsáveis pela dívida ativa </v>
      </c>
      <c r="B67" s="781"/>
      <c r="C67" s="784"/>
      <c r="D67" s="378"/>
      <c r="E67" s="221"/>
      <c r="F67" s="185"/>
      <c r="G67" s="230">
        <f t="shared" ref="G67:G91" si="10">IF($A$87&lt;&gt;"NÃO SELECIONADO",E67*F67,0)</f>
        <v>0</v>
      </c>
      <c r="H67" s="189"/>
      <c r="I67" s="221"/>
      <c r="J67" s="185"/>
      <c r="K67" s="230">
        <f t="shared" ref="K67:K91" si="11">IF($A$87&lt;&gt;"NÃO SELECIONADO",I67*J67,0)</f>
        <v>0</v>
      </c>
      <c r="L67" s="190"/>
      <c r="M67" s="221"/>
      <c r="N67" s="185"/>
      <c r="O67" s="230">
        <f t="shared" ref="O67:O91" si="12">IF($A$87&lt;&gt;"NÃO SELECIONADO",M67*N67,0)</f>
        <v>0</v>
      </c>
      <c r="P67" s="192"/>
      <c r="Q67" s="221"/>
      <c r="R67" s="185"/>
      <c r="S67" s="230">
        <f t="shared" ref="S67:S91" si="13">IF($A$87&lt;&gt;"NÃO SELECIONADO",Q67*R67,0)</f>
        <v>0</v>
      </c>
      <c r="T67" s="192"/>
      <c r="U67" s="221"/>
      <c r="V67" s="185"/>
      <c r="W67" s="230">
        <f t="shared" ref="W67:W91" si="14">IF($A$87&lt;&gt;"NÃO SELECIONADO",U67*V67,0)</f>
        <v>0</v>
      </c>
    </row>
    <row r="68" spans="1:23" hidden="1">
      <c r="A68" s="780"/>
      <c r="B68" s="782"/>
      <c r="C68" s="785"/>
      <c r="D68" s="193"/>
      <c r="E68" s="221"/>
      <c r="F68" s="185"/>
      <c r="G68" s="230">
        <f t="shared" si="10"/>
        <v>0</v>
      </c>
      <c r="H68" s="192"/>
      <c r="I68" s="221"/>
      <c r="J68" s="185"/>
      <c r="K68" s="230">
        <f t="shared" si="11"/>
        <v>0</v>
      </c>
      <c r="L68" s="190"/>
      <c r="M68" s="221"/>
      <c r="N68" s="185"/>
      <c r="O68" s="230">
        <f t="shared" si="12"/>
        <v>0</v>
      </c>
      <c r="P68" s="192"/>
      <c r="Q68" s="221"/>
      <c r="R68" s="185"/>
      <c r="S68" s="230">
        <f t="shared" si="13"/>
        <v>0</v>
      </c>
      <c r="T68" s="192"/>
      <c r="U68" s="221"/>
      <c r="V68" s="185"/>
      <c r="W68" s="230">
        <f t="shared" si="14"/>
        <v>0</v>
      </c>
    </row>
    <row r="69" spans="1:23" hidden="1">
      <c r="A69" s="780"/>
      <c r="B69" s="782"/>
      <c r="C69" s="785"/>
      <c r="D69" s="193"/>
      <c r="E69" s="221"/>
      <c r="F69" s="185"/>
      <c r="G69" s="230">
        <f t="shared" si="10"/>
        <v>0</v>
      </c>
      <c r="H69" s="192"/>
      <c r="I69" s="221"/>
      <c r="J69" s="185"/>
      <c r="K69" s="230">
        <f t="shared" si="11"/>
        <v>0</v>
      </c>
      <c r="L69" s="190"/>
      <c r="M69" s="221"/>
      <c r="N69" s="185"/>
      <c r="O69" s="230">
        <f t="shared" si="12"/>
        <v>0</v>
      </c>
      <c r="P69" s="192"/>
      <c r="Q69" s="221"/>
      <c r="R69" s="185"/>
      <c r="S69" s="230">
        <f t="shared" si="13"/>
        <v>0</v>
      </c>
      <c r="T69" s="192"/>
      <c r="U69" s="221"/>
      <c r="V69" s="185"/>
      <c r="W69" s="230">
        <f t="shared" si="14"/>
        <v>0</v>
      </c>
    </row>
    <row r="70" spans="1:23" hidden="1">
      <c r="A70" s="766"/>
      <c r="B70" s="782"/>
      <c r="C70" s="785"/>
      <c r="D70" s="193"/>
      <c r="E70" s="221"/>
      <c r="F70" s="185"/>
      <c r="G70" s="230">
        <f t="shared" si="10"/>
        <v>0</v>
      </c>
      <c r="H70" s="192"/>
      <c r="I70" s="221"/>
      <c r="J70" s="185"/>
      <c r="K70" s="230">
        <f t="shared" si="11"/>
        <v>0</v>
      </c>
      <c r="L70" s="190"/>
      <c r="M70" s="221"/>
      <c r="N70" s="185"/>
      <c r="O70" s="230">
        <f t="shared" si="12"/>
        <v>0</v>
      </c>
      <c r="P70" s="192"/>
      <c r="Q70" s="221"/>
      <c r="R70" s="185"/>
      <c r="S70" s="230">
        <f t="shared" si="13"/>
        <v>0</v>
      </c>
      <c r="T70" s="192"/>
      <c r="U70" s="221"/>
      <c r="V70" s="185"/>
      <c r="W70" s="230">
        <f t="shared" si="14"/>
        <v>0</v>
      </c>
    </row>
    <row r="71" spans="1:23" hidden="1">
      <c r="A71" s="287">
        <f>IF(A67&lt;&gt;"NÃO SELECIONADO",SUM(G67:G71)+SUM(K67:K71)+SUM(O67:O71)+SUM(S67:S71)+SUM(W67:W71),0)</f>
        <v>0</v>
      </c>
      <c r="B71" s="783"/>
      <c r="C71" s="786"/>
      <c r="D71" s="193"/>
      <c r="E71" s="221"/>
      <c r="F71" s="185"/>
      <c r="G71" s="230">
        <f t="shared" si="10"/>
        <v>0</v>
      </c>
      <c r="H71" s="192"/>
      <c r="I71" s="221"/>
      <c r="J71" s="185"/>
      <c r="K71" s="230">
        <f t="shared" si="11"/>
        <v>0</v>
      </c>
      <c r="L71" s="190"/>
      <c r="M71" s="221"/>
      <c r="N71" s="185"/>
      <c r="O71" s="230">
        <f t="shared" si="12"/>
        <v>0</v>
      </c>
      <c r="P71" s="192"/>
      <c r="Q71" s="221"/>
      <c r="R71" s="185"/>
      <c r="S71" s="230">
        <f t="shared" si="13"/>
        <v>0</v>
      </c>
      <c r="T71" s="192"/>
      <c r="U71" s="221"/>
      <c r="V71" s="185"/>
      <c r="W71" s="230">
        <f t="shared" si="14"/>
        <v>0</v>
      </c>
    </row>
    <row r="72" spans="1:23" ht="12.75" hidden="1" customHeight="1">
      <c r="A72" s="779" t="str">
        <f>'3_Comp e Produtos'!A37</f>
        <v>2.9. Solução para avaliação de riscos do Estado e inclusões nos sistemas corporativos da AGU</v>
      </c>
      <c r="B72" s="781"/>
      <c r="C72" s="784"/>
      <c r="D72" s="378"/>
      <c r="E72" s="221"/>
      <c r="F72" s="185"/>
      <c r="G72" s="230">
        <f t="shared" si="10"/>
        <v>0</v>
      </c>
      <c r="H72" s="189"/>
      <c r="I72" s="221"/>
      <c r="J72" s="185"/>
      <c r="K72" s="230">
        <f t="shared" si="11"/>
        <v>0</v>
      </c>
      <c r="L72" s="190"/>
      <c r="M72" s="221"/>
      <c r="N72" s="185"/>
      <c r="O72" s="230">
        <f t="shared" si="12"/>
        <v>0</v>
      </c>
      <c r="P72" s="192"/>
      <c r="Q72" s="221"/>
      <c r="R72" s="185"/>
      <c r="S72" s="230">
        <f t="shared" si="13"/>
        <v>0</v>
      </c>
      <c r="T72" s="192"/>
      <c r="U72" s="221"/>
      <c r="V72" s="185"/>
      <c r="W72" s="230">
        <f t="shared" si="14"/>
        <v>0</v>
      </c>
    </row>
    <row r="73" spans="1:23" hidden="1">
      <c r="A73" s="780"/>
      <c r="B73" s="782"/>
      <c r="C73" s="785"/>
      <c r="D73" s="193"/>
      <c r="E73" s="221"/>
      <c r="F73" s="185"/>
      <c r="G73" s="230">
        <f t="shared" si="10"/>
        <v>0</v>
      </c>
      <c r="H73" s="192"/>
      <c r="I73" s="221"/>
      <c r="J73" s="185"/>
      <c r="K73" s="230">
        <f t="shared" si="11"/>
        <v>0</v>
      </c>
      <c r="L73" s="190"/>
      <c r="M73" s="221"/>
      <c r="N73" s="185"/>
      <c r="O73" s="230">
        <f t="shared" si="12"/>
        <v>0</v>
      </c>
      <c r="P73" s="192"/>
      <c r="Q73" s="221"/>
      <c r="R73" s="185"/>
      <c r="S73" s="230">
        <f t="shared" si="13"/>
        <v>0</v>
      </c>
      <c r="T73" s="192"/>
      <c r="U73" s="221"/>
      <c r="V73" s="185"/>
      <c r="W73" s="230">
        <f t="shared" si="14"/>
        <v>0</v>
      </c>
    </row>
    <row r="74" spans="1:23" hidden="1">
      <c r="A74" s="780"/>
      <c r="B74" s="782"/>
      <c r="C74" s="785"/>
      <c r="D74" s="193"/>
      <c r="E74" s="221"/>
      <c r="F74" s="185"/>
      <c r="G74" s="230">
        <f t="shared" si="10"/>
        <v>0</v>
      </c>
      <c r="H74" s="192"/>
      <c r="I74" s="221"/>
      <c r="J74" s="185"/>
      <c r="K74" s="230">
        <f t="shared" si="11"/>
        <v>0</v>
      </c>
      <c r="L74" s="190"/>
      <c r="M74" s="221"/>
      <c r="N74" s="185"/>
      <c r="O74" s="230">
        <f t="shared" si="12"/>
        <v>0</v>
      </c>
      <c r="P74" s="192"/>
      <c r="Q74" s="221"/>
      <c r="R74" s="185"/>
      <c r="S74" s="230">
        <f t="shared" si="13"/>
        <v>0</v>
      </c>
      <c r="T74" s="192"/>
      <c r="U74" s="221"/>
      <c r="V74" s="185"/>
      <c r="W74" s="230">
        <f t="shared" si="14"/>
        <v>0</v>
      </c>
    </row>
    <row r="75" spans="1:23" hidden="1">
      <c r="A75" s="766"/>
      <c r="B75" s="782"/>
      <c r="C75" s="785"/>
      <c r="D75" s="193"/>
      <c r="E75" s="221"/>
      <c r="F75" s="185"/>
      <c r="G75" s="230">
        <f t="shared" si="10"/>
        <v>0</v>
      </c>
      <c r="H75" s="192"/>
      <c r="I75" s="221"/>
      <c r="J75" s="185"/>
      <c r="K75" s="230">
        <f t="shared" si="11"/>
        <v>0</v>
      </c>
      <c r="L75" s="190"/>
      <c r="M75" s="221"/>
      <c r="N75" s="185"/>
      <c r="O75" s="230">
        <f t="shared" si="12"/>
        <v>0</v>
      </c>
      <c r="P75" s="192"/>
      <c r="Q75" s="221"/>
      <c r="R75" s="185"/>
      <c r="S75" s="230">
        <f t="shared" si="13"/>
        <v>0</v>
      </c>
      <c r="T75" s="192"/>
      <c r="U75" s="221"/>
      <c r="V75" s="185"/>
      <c r="W75" s="230">
        <f t="shared" si="14"/>
        <v>0</v>
      </c>
    </row>
    <row r="76" spans="1:23" hidden="1">
      <c r="A76" s="287">
        <f>IF(A72&lt;&gt;"NÃO SELECIONADO",SUM(G72:G76)+SUM(K72:K76)+SUM(O72:O76)+SUM(S72:S76)+SUM(W72:W76),0)</f>
        <v>0</v>
      </c>
      <c r="B76" s="783"/>
      <c r="C76" s="786"/>
      <c r="D76" s="193"/>
      <c r="E76" s="221"/>
      <c r="F76" s="185"/>
      <c r="G76" s="230">
        <f t="shared" si="10"/>
        <v>0</v>
      </c>
      <c r="H76" s="192"/>
      <c r="I76" s="221"/>
      <c r="J76" s="185"/>
      <c r="K76" s="230">
        <f t="shared" si="11"/>
        <v>0</v>
      </c>
      <c r="L76" s="190"/>
      <c r="M76" s="221"/>
      <c r="N76" s="185"/>
      <c r="O76" s="230">
        <f t="shared" si="12"/>
        <v>0</v>
      </c>
      <c r="P76" s="192"/>
      <c r="Q76" s="221"/>
      <c r="R76" s="185"/>
      <c r="S76" s="230">
        <f t="shared" si="13"/>
        <v>0</v>
      </c>
      <c r="T76" s="192"/>
      <c r="U76" s="221"/>
      <c r="V76" s="185"/>
      <c r="W76" s="230">
        <f t="shared" si="14"/>
        <v>0</v>
      </c>
    </row>
    <row r="77" spans="1:23" ht="12.75" hidden="1" customHeight="1">
      <c r="A77" s="779" t="str">
        <f>'3_Comp e Produtos'!A38</f>
        <v xml:space="preserve">2.10. Solução para identificação e facilitação da eliminação dos pagamentos indevidos nos processos contra o Estado </v>
      </c>
      <c r="B77" s="781"/>
      <c r="C77" s="784"/>
      <c r="D77" s="378"/>
      <c r="E77" s="221"/>
      <c r="F77" s="185"/>
      <c r="G77" s="230">
        <f t="shared" si="10"/>
        <v>0</v>
      </c>
      <c r="H77" s="189"/>
      <c r="I77" s="221"/>
      <c r="J77" s="185"/>
      <c r="K77" s="230">
        <f t="shared" si="11"/>
        <v>0</v>
      </c>
      <c r="L77" s="190"/>
      <c r="M77" s="221"/>
      <c r="N77" s="185"/>
      <c r="O77" s="230">
        <f t="shared" si="12"/>
        <v>0</v>
      </c>
      <c r="P77" s="192"/>
      <c r="Q77" s="221"/>
      <c r="R77" s="185"/>
      <c r="S77" s="230">
        <f t="shared" si="13"/>
        <v>0</v>
      </c>
      <c r="T77" s="192"/>
      <c r="U77" s="221"/>
      <c r="V77" s="185"/>
      <c r="W77" s="230">
        <f t="shared" si="14"/>
        <v>0</v>
      </c>
    </row>
    <row r="78" spans="1:23" hidden="1">
      <c r="A78" s="780"/>
      <c r="B78" s="782"/>
      <c r="C78" s="785"/>
      <c r="D78" s="193"/>
      <c r="E78" s="221"/>
      <c r="F78" s="185"/>
      <c r="G78" s="230">
        <f t="shared" si="10"/>
        <v>0</v>
      </c>
      <c r="H78" s="192"/>
      <c r="I78" s="221"/>
      <c r="J78" s="185"/>
      <c r="K78" s="230">
        <f t="shared" si="11"/>
        <v>0</v>
      </c>
      <c r="L78" s="190"/>
      <c r="M78" s="221"/>
      <c r="N78" s="185"/>
      <c r="O78" s="230">
        <f t="shared" si="12"/>
        <v>0</v>
      </c>
      <c r="P78" s="192"/>
      <c r="Q78" s="221"/>
      <c r="R78" s="185"/>
      <c r="S78" s="230">
        <f t="shared" si="13"/>
        <v>0</v>
      </c>
      <c r="T78" s="192"/>
      <c r="U78" s="221"/>
      <c r="V78" s="185"/>
      <c r="W78" s="230">
        <f t="shared" si="14"/>
        <v>0</v>
      </c>
    </row>
    <row r="79" spans="1:23" hidden="1">
      <c r="A79" s="780"/>
      <c r="B79" s="782"/>
      <c r="C79" s="785"/>
      <c r="D79" s="193"/>
      <c r="E79" s="221"/>
      <c r="F79" s="185"/>
      <c r="G79" s="230">
        <f t="shared" si="10"/>
        <v>0</v>
      </c>
      <c r="H79" s="192"/>
      <c r="I79" s="221"/>
      <c r="J79" s="185"/>
      <c r="K79" s="230">
        <f t="shared" si="11"/>
        <v>0</v>
      </c>
      <c r="L79" s="190"/>
      <c r="M79" s="221"/>
      <c r="N79" s="185"/>
      <c r="O79" s="230">
        <f t="shared" si="12"/>
        <v>0</v>
      </c>
      <c r="P79" s="192"/>
      <c r="Q79" s="221"/>
      <c r="R79" s="185"/>
      <c r="S79" s="230">
        <f t="shared" si="13"/>
        <v>0</v>
      </c>
      <c r="T79" s="192"/>
      <c r="U79" s="221"/>
      <c r="V79" s="185"/>
      <c r="W79" s="230">
        <f t="shared" si="14"/>
        <v>0</v>
      </c>
    </row>
    <row r="80" spans="1:23" hidden="1">
      <c r="A80" s="766"/>
      <c r="B80" s="782"/>
      <c r="C80" s="785"/>
      <c r="D80" s="193"/>
      <c r="E80" s="221"/>
      <c r="F80" s="185"/>
      <c r="G80" s="230">
        <f t="shared" si="10"/>
        <v>0</v>
      </c>
      <c r="H80" s="192"/>
      <c r="I80" s="221"/>
      <c r="J80" s="185"/>
      <c r="K80" s="230">
        <f t="shared" si="11"/>
        <v>0</v>
      </c>
      <c r="L80" s="190"/>
      <c r="M80" s="221"/>
      <c r="N80" s="185"/>
      <c r="O80" s="230">
        <f t="shared" si="12"/>
        <v>0</v>
      </c>
      <c r="P80" s="192"/>
      <c r="Q80" s="221"/>
      <c r="R80" s="185"/>
      <c r="S80" s="230">
        <f t="shared" si="13"/>
        <v>0</v>
      </c>
      <c r="T80" s="192"/>
      <c r="U80" s="221"/>
      <c r="V80" s="185"/>
      <c r="W80" s="230">
        <f t="shared" si="14"/>
        <v>0</v>
      </c>
    </row>
    <row r="81" spans="1:23" hidden="1">
      <c r="A81" s="287">
        <f>IF(A77&lt;&gt;"NÃO SELECIONADO",SUM(G77:G81)+SUM(K77:K81)+SUM(O77:O81)+SUM(S77:S81)+SUM(W77:W81),0)</f>
        <v>0</v>
      </c>
      <c r="B81" s="783"/>
      <c r="C81" s="786"/>
      <c r="D81" s="193"/>
      <c r="E81" s="221"/>
      <c r="F81" s="185"/>
      <c r="G81" s="230">
        <f t="shared" si="10"/>
        <v>0</v>
      </c>
      <c r="H81" s="192"/>
      <c r="I81" s="221"/>
      <c r="J81" s="185"/>
      <c r="K81" s="230">
        <f t="shared" si="11"/>
        <v>0</v>
      </c>
      <c r="L81" s="190"/>
      <c r="M81" s="221"/>
      <c r="N81" s="185"/>
      <c r="O81" s="230">
        <f t="shared" si="12"/>
        <v>0</v>
      </c>
      <c r="P81" s="192"/>
      <c r="Q81" s="221"/>
      <c r="R81" s="185"/>
      <c r="S81" s="230">
        <f t="shared" si="13"/>
        <v>0</v>
      </c>
      <c r="T81" s="192"/>
      <c r="U81" s="221"/>
      <c r="V81" s="185"/>
      <c r="W81" s="230">
        <f t="shared" si="14"/>
        <v>0</v>
      </c>
    </row>
    <row r="82" spans="1:23" ht="12.75" hidden="1" customHeight="1">
      <c r="A82" s="779" t="str">
        <f>'3_Comp e Produtos'!A40</f>
        <v>2.11.1 Definição do modelo conceitual; proposta e definição de uma nova arquitetura de sistemas, incluindo as estratégias de migração dos sistemas atuais</v>
      </c>
      <c r="B82" s="781"/>
      <c r="C82" s="784"/>
      <c r="D82" s="378"/>
      <c r="E82" s="221"/>
      <c r="F82" s="185"/>
      <c r="G82" s="230">
        <f t="shared" si="10"/>
        <v>0</v>
      </c>
      <c r="H82" s="189"/>
      <c r="I82" s="221"/>
      <c r="J82" s="185"/>
      <c r="K82" s="230">
        <f t="shared" si="11"/>
        <v>0</v>
      </c>
      <c r="L82" s="190"/>
      <c r="M82" s="221"/>
      <c r="N82" s="185"/>
      <c r="O82" s="230">
        <f t="shared" si="12"/>
        <v>0</v>
      </c>
      <c r="P82" s="192"/>
      <c r="Q82" s="221"/>
      <c r="R82" s="185"/>
      <c r="S82" s="230">
        <f t="shared" si="13"/>
        <v>0</v>
      </c>
      <c r="T82" s="192"/>
      <c r="U82" s="221"/>
      <c r="V82" s="185"/>
      <c r="W82" s="230">
        <f t="shared" si="14"/>
        <v>0</v>
      </c>
    </row>
    <row r="83" spans="1:23" hidden="1">
      <c r="A83" s="780"/>
      <c r="B83" s="782"/>
      <c r="C83" s="785"/>
      <c r="D83" s="193"/>
      <c r="E83" s="221"/>
      <c r="F83" s="185"/>
      <c r="G83" s="230">
        <f t="shared" si="10"/>
        <v>0</v>
      </c>
      <c r="H83" s="192"/>
      <c r="I83" s="221"/>
      <c r="J83" s="185"/>
      <c r="K83" s="230">
        <f t="shared" si="11"/>
        <v>0</v>
      </c>
      <c r="L83" s="190"/>
      <c r="M83" s="221"/>
      <c r="N83" s="185"/>
      <c r="O83" s="230">
        <f t="shared" si="12"/>
        <v>0</v>
      </c>
      <c r="P83" s="192"/>
      <c r="Q83" s="221"/>
      <c r="R83" s="185"/>
      <c r="S83" s="230">
        <f t="shared" si="13"/>
        <v>0</v>
      </c>
      <c r="T83" s="192"/>
      <c r="U83" s="221"/>
      <c r="V83" s="185"/>
      <c r="W83" s="230">
        <f t="shared" si="14"/>
        <v>0</v>
      </c>
    </row>
    <row r="84" spans="1:23" hidden="1">
      <c r="A84" s="780"/>
      <c r="B84" s="782"/>
      <c r="C84" s="785"/>
      <c r="D84" s="193"/>
      <c r="E84" s="221"/>
      <c r="F84" s="185"/>
      <c r="G84" s="230">
        <f t="shared" si="10"/>
        <v>0</v>
      </c>
      <c r="H84" s="192"/>
      <c r="I84" s="221"/>
      <c r="J84" s="185"/>
      <c r="K84" s="230">
        <f t="shared" si="11"/>
        <v>0</v>
      </c>
      <c r="L84" s="190"/>
      <c r="M84" s="221"/>
      <c r="N84" s="185"/>
      <c r="O84" s="230">
        <f t="shared" si="12"/>
        <v>0</v>
      </c>
      <c r="P84" s="192"/>
      <c r="Q84" s="221"/>
      <c r="R84" s="185"/>
      <c r="S84" s="230">
        <f t="shared" si="13"/>
        <v>0</v>
      </c>
      <c r="T84" s="192"/>
      <c r="U84" s="221"/>
      <c r="V84" s="185"/>
      <c r="W84" s="230">
        <f t="shared" si="14"/>
        <v>0</v>
      </c>
    </row>
    <row r="85" spans="1:23" hidden="1">
      <c r="A85" s="766"/>
      <c r="B85" s="782"/>
      <c r="C85" s="785"/>
      <c r="D85" s="193"/>
      <c r="E85" s="221"/>
      <c r="F85" s="185"/>
      <c r="G85" s="230">
        <f t="shared" si="10"/>
        <v>0</v>
      </c>
      <c r="H85" s="192"/>
      <c r="I85" s="221"/>
      <c r="J85" s="185"/>
      <c r="K85" s="230">
        <f t="shared" si="11"/>
        <v>0</v>
      </c>
      <c r="L85" s="190"/>
      <c r="M85" s="221"/>
      <c r="N85" s="185"/>
      <c r="O85" s="230">
        <f t="shared" si="12"/>
        <v>0</v>
      </c>
      <c r="P85" s="192"/>
      <c r="Q85" s="221"/>
      <c r="R85" s="185"/>
      <c r="S85" s="230">
        <f t="shared" si="13"/>
        <v>0</v>
      </c>
      <c r="T85" s="192"/>
      <c r="U85" s="221"/>
      <c r="V85" s="185"/>
      <c r="W85" s="230">
        <f t="shared" si="14"/>
        <v>0</v>
      </c>
    </row>
    <row r="86" spans="1:23" hidden="1">
      <c r="A86" s="287">
        <f>IF(A82&lt;&gt;"NÃO SELECIONADO",SUM(G82:G86)+SUM(K82:K86)+SUM(O82:O86)+SUM(S82:S86)+SUM(W82:W86),0)</f>
        <v>0</v>
      </c>
      <c r="B86" s="783"/>
      <c r="C86" s="786"/>
      <c r="D86" s="193"/>
      <c r="E86" s="221"/>
      <c r="F86" s="185"/>
      <c r="G86" s="230">
        <f t="shared" si="10"/>
        <v>0</v>
      </c>
      <c r="H86" s="192"/>
      <c r="I86" s="221"/>
      <c r="J86" s="185"/>
      <c r="K86" s="230">
        <f t="shared" si="11"/>
        <v>0</v>
      </c>
      <c r="L86" s="190"/>
      <c r="M86" s="221"/>
      <c r="N86" s="185"/>
      <c r="O86" s="230">
        <f t="shared" si="12"/>
        <v>0</v>
      </c>
      <c r="P86" s="192"/>
      <c r="Q86" s="221"/>
      <c r="R86" s="185"/>
      <c r="S86" s="230">
        <f t="shared" si="13"/>
        <v>0</v>
      </c>
      <c r="T86" s="192"/>
      <c r="U86" s="221"/>
      <c r="V86" s="185"/>
      <c r="W86" s="230">
        <f t="shared" si="14"/>
        <v>0</v>
      </c>
    </row>
    <row r="87" spans="1:23" ht="12.75" hidden="1" customHeight="1">
      <c r="A87" s="779" t="str">
        <f>'3_Comp e Produtos'!A41</f>
        <v>2.11.2 Desenvolvimento e implementação de um sistema integrado de gestão jurídica para a AGU, incluindo a interconexão com os sistemas do judiciário</v>
      </c>
      <c r="B87" s="781"/>
      <c r="C87" s="784"/>
      <c r="D87" s="378"/>
      <c r="E87" s="221"/>
      <c r="F87" s="185"/>
      <c r="G87" s="230">
        <f t="shared" si="10"/>
        <v>0</v>
      </c>
      <c r="H87" s="189"/>
      <c r="I87" s="221"/>
      <c r="J87" s="185"/>
      <c r="K87" s="230">
        <f t="shared" si="11"/>
        <v>0</v>
      </c>
      <c r="L87" s="190"/>
      <c r="M87" s="221"/>
      <c r="N87" s="185"/>
      <c r="O87" s="230">
        <f t="shared" si="12"/>
        <v>0</v>
      </c>
      <c r="P87" s="192"/>
      <c r="Q87" s="221"/>
      <c r="R87" s="185"/>
      <c r="S87" s="230">
        <f t="shared" si="13"/>
        <v>0</v>
      </c>
      <c r="T87" s="192"/>
      <c r="U87" s="221"/>
      <c r="V87" s="185"/>
      <c r="W87" s="230">
        <f t="shared" si="14"/>
        <v>0</v>
      </c>
    </row>
    <row r="88" spans="1:23" hidden="1">
      <c r="A88" s="780"/>
      <c r="B88" s="782"/>
      <c r="C88" s="785"/>
      <c r="D88" s="193"/>
      <c r="E88" s="221"/>
      <c r="F88" s="185"/>
      <c r="G88" s="230">
        <f t="shared" si="10"/>
        <v>0</v>
      </c>
      <c r="H88" s="192"/>
      <c r="I88" s="221"/>
      <c r="J88" s="185"/>
      <c r="K88" s="230">
        <f t="shared" si="11"/>
        <v>0</v>
      </c>
      <c r="L88" s="190"/>
      <c r="M88" s="221"/>
      <c r="N88" s="185"/>
      <c r="O88" s="230">
        <f t="shared" si="12"/>
        <v>0</v>
      </c>
      <c r="P88" s="192"/>
      <c r="Q88" s="221"/>
      <c r="R88" s="185"/>
      <c r="S88" s="230">
        <f t="shared" si="13"/>
        <v>0</v>
      </c>
      <c r="T88" s="192"/>
      <c r="U88" s="221"/>
      <c r="V88" s="185"/>
      <c r="W88" s="230">
        <f t="shared" si="14"/>
        <v>0</v>
      </c>
    </row>
    <row r="89" spans="1:23" hidden="1">
      <c r="A89" s="780"/>
      <c r="B89" s="782"/>
      <c r="C89" s="785"/>
      <c r="D89" s="193"/>
      <c r="E89" s="221"/>
      <c r="F89" s="185"/>
      <c r="G89" s="230">
        <f t="shared" si="10"/>
        <v>0</v>
      </c>
      <c r="H89" s="192"/>
      <c r="I89" s="221"/>
      <c r="J89" s="185"/>
      <c r="K89" s="230">
        <f t="shared" si="11"/>
        <v>0</v>
      </c>
      <c r="L89" s="190"/>
      <c r="M89" s="221"/>
      <c r="N89" s="185"/>
      <c r="O89" s="230">
        <f t="shared" si="12"/>
        <v>0</v>
      </c>
      <c r="P89" s="192"/>
      <c r="Q89" s="221"/>
      <c r="R89" s="185"/>
      <c r="S89" s="230">
        <f t="shared" si="13"/>
        <v>0</v>
      </c>
      <c r="T89" s="192"/>
      <c r="U89" s="221"/>
      <c r="V89" s="185"/>
      <c r="W89" s="230">
        <f t="shared" si="14"/>
        <v>0</v>
      </c>
    </row>
    <row r="90" spans="1:23" hidden="1">
      <c r="A90" s="766"/>
      <c r="B90" s="782"/>
      <c r="C90" s="785"/>
      <c r="D90" s="193"/>
      <c r="E90" s="221"/>
      <c r="F90" s="185"/>
      <c r="G90" s="230">
        <f t="shared" si="10"/>
        <v>0</v>
      </c>
      <c r="H90" s="192"/>
      <c r="I90" s="221"/>
      <c r="J90" s="185"/>
      <c r="K90" s="230">
        <f t="shared" si="11"/>
        <v>0</v>
      </c>
      <c r="L90" s="190"/>
      <c r="M90" s="221"/>
      <c r="N90" s="185"/>
      <c r="O90" s="230">
        <f t="shared" si="12"/>
        <v>0</v>
      </c>
      <c r="P90" s="192"/>
      <c r="Q90" s="221"/>
      <c r="R90" s="185"/>
      <c r="S90" s="230">
        <f t="shared" si="13"/>
        <v>0</v>
      </c>
      <c r="T90" s="192"/>
      <c r="U90" s="221"/>
      <c r="V90" s="185"/>
      <c r="W90" s="230">
        <f t="shared" si="14"/>
        <v>0</v>
      </c>
    </row>
    <row r="91" spans="1:23" ht="13.5" hidden="1" thickBot="1">
      <c r="A91" s="287">
        <f>IF(A87&lt;&gt;"NÃO SELECIONADO",SUM(G87:G91)+SUM(K87:K91)+SUM(O87:O91)+SUM(S87:S91)+SUM(W87:W91),0)</f>
        <v>0</v>
      </c>
      <c r="B91" s="788"/>
      <c r="C91" s="787"/>
      <c r="D91" s="193"/>
      <c r="E91" s="221"/>
      <c r="F91" s="185"/>
      <c r="G91" s="230">
        <f t="shared" si="10"/>
        <v>0</v>
      </c>
      <c r="H91" s="192"/>
      <c r="I91" s="221"/>
      <c r="J91" s="185"/>
      <c r="K91" s="230">
        <f t="shared" si="11"/>
        <v>0</v>
      </c>
      <c r="L91" s="190"/>
      <c r="M91" s="221"/>
      <c r="N91" s="185"/>
      <c r="O91" s="230">
        <f t="shared" si="12"/>
        <v>0</v>
      </c>
      <c r="P91" s="192"/>
      <c r="Q91" s="221"/>
      <c r="R91" s="185"/>
      <c r="S91" s="230">
        <f t="shared" si="13"/>
        <v>0</v>
      </c>
      <c r="T91" s="192"/>
      <c r="U91" s="221"/>
      <c r="V91" s="185"/>
      <c r="W91" s="230">
        <f t="shared" si="14"/>
        <v>0</v>
      </c>
    </row>
    <row r="92" spans="1:23" s="288" customFormat="1" ht="13.5" thickBot="1">
      <c r="A92" s="211" t="s">
        <v>16</v>
      </c>
      <c r="B92" s="544">
        <f>SUM(G92:W92)</f>
        <v>62479250</v>
      </c>
      <c r="C92" s="212"/>
      <c r="D92" s="213"/>
      <c r="E92" s="224"/>
      <c r="F92" s="214"/>
      <c r="G92" s="310">
        <f>SUM(G5:G91)</f>
        <v>700000</v>
      </c>
      <c r="H92" s="215"/>
      <c r="I92" s="224"/>
      <c r="J92" s="214"/>
      <c r="K92" s="310">
        <f>SUM(K5:K91)</f>
        <v>16668000</v>
      </c>
      <c r="L92" s="216"/>
      <c r="M92" s="224"/>
      <c r="N92" s="214"/>
      <c r="O92" s="310">
        <f>SUM(O5:O91)</f>
        <v>38433500</v>
      </c>
      <c r="P92" s="215"/>
      <c r="Q92" s="224"/>
      <c r="R92" s="214"/>
      <c r="S92" s="310">
        <f>SUM(S5:S91)</f>
        <v>3854000</v>
      </c>
      <c r="T92" s="215"/>
      <c r="U92" s="224"/>
      <c r="V92" s="214"/>
      <c r="W92" s="310">
        <f>SUM(W5:W91)</f>
        <v>2823750</v>
      </c>
    </row>
    <row r="95" spans="1:23">
      <c r="T95" s="217"/>
    </row>
    <row r="98" spans="7:8">
      <c r="H98" s="217"/>
    </row>
    <row r="101" spans="7:8">
      <c r="G101" s="217"/>
    </row>
    <row r="102" spans="7:8">
      <c r="G102" s="217"/>
      <c r="H102" s="217"/>
    </row>
  </sheetData>
  <mergeCells count="65">
    <mergeCell ref="A35:A38"/>
    <mergeCell ref="B45:B49"/>
    <mergeCell ref="C45:C49"/>
    <mergeCell ref="B35:B39"/>
    <mergeCell ref="A20:A23"/>
    <mergeCell ref="B20:B24"/>
    <mergeCell ref="C20:C24"/>
    <mergeCell ref="A25:A28"/>
    <mergeCell ref="B25:B29"/>
    <mergeCell ref="C25:C29"/>
    <mergeCell ref="C35:C39"/>
    <mergeCell ref="A40:A43"/>
    <mergeCell ref="A45:A48"/>
    <mergeCell ref="B40:B44"/>
    <mergeCell ref="C40:C44"/>
    <mergeCell ref="A30:A33"/>
    <mergeCell ref="B30:B34"/>
    <mergeCell ref="C30:C34"/>
    <mergeCell ref="V3:W3"/>
    <mergeCell ref="D3:E3"/>
    <mergeCell ref="F3:G3"/>
    <mergeCell ref="H3:I3"/>
    <mergeCell ref="J3:K3"/>
    <mergeCell ref="L3:M3"/>
    <mergeCell ref="R3:S3"/>
    <mergeCell ref="T3:U3"/>
    <mergeCell ref="N3:O3"/>
    <mergeCell ref="P3:Q3"/>
    <mergeCell ref="A62:A65"/>
    <mergeCell ref="B62:B66"/>
    <mergeCell ref="C62:C66"/>
    <mergeCell ref="A2:B2"/>
    <mergeCell ref="A3:A4"/>
    <mergeCell ref="B3:B4"/>
    <mergeCell ref="C3:C4"/>
    <mergeCell ref="A10:A13"/>
    <mergeCell ref="B10:B14"/>
    <mergeCell ref="C10:C14"/>
    <mergeCell ref="A5:A8"/>
    <mergeCell ref="B5:B9"/>
    <mergeCell ref="C5:C9"/>
    <mergeCell ref="A15:A18"/>
    <mergeCell ref="B15:B19"/>
    <mergeCell ref="C15:C19"/>
    <mergeCell ref="A55:A60"/>
    <mergeCell ref="B55:B61"/>
    <mergeCell ref="C55:C61"/>
    <mergeCell ref="A50:A53"/>
    <mergeCell ref="B50:B54"/>
    <mergeCell ref="C50:C54"/>
    <mergeCell ref="A67:A70"/>
    <mergeCell ref="B67:B71"/>
    <mergeCell ref="C67:C71"/>
    <mergeCell ref="A72:A75"/>
    <mergeCell ref="B72:B76"/>
    <mergeCell ref="C72:C76"/>
    <mergeCell ref="A77:A80"/>
    <mergeCell ref="B77:B81"/>
    <mergeCell ref="C77:C81"/>
    <mergeCell ref="C87:C91"/>
    <mergeCell ref="B87:B91"/>
    <mergeCell ref="A87:A90"/>
    <mergeCell ref="B82:B86"/>
    <mergeCell ref="A82:A85"/>
    <mergeCell ref="C82:C86"/>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6.xml><?xml version="1.0" encoding="utf-8"?>
<worksheet xmlns="http://schemas.openxmlformats.org/spreadsheetml/2006/main" xmlns:r="http://schemas.openxmlformats.org/officeDocument/2006/relationships">
  <dimension ref="A1:BG67"/>
  <sheetViews>
    <sheetView zoomScale="85" zoomScaleNormal="85" workbookViewId="0">
      <selection activeCell="B64" sqref="B64"/>
    </sheetView>
  </sheetViews>
  <sheetFormatPr defaultColWidth="9.140625" defaultRowHeight="12.75"/>
  <cols>
    <col min="1" max="1" width="30.7109375" style="217" customWidth="1"/>
    <col min="2" max="2" width="42.7109375" style="169" customWidth="1"/>
    <col min="3" max="3" width="29.140625" style="169" customWidth="1"/>
    <col min="4" max="4" width="31.28515625" style="169" customWidth="1"/>
    <col min="5" max="5" width="10.7109375" style="219" customWidth="1"/>
    <col min="6" max="6" width="10.7109375" style="218" customWidth="1"/>
    <col min="7" max="7" width="12.7109375" style="169" customWidth="1"/>
    <col min="8" max="8" width="25" style="169" customWidth="1"/>
    <col min="9" max="9" width="6.7109375" style="219" customWidth="1"/>
    <col min="10" max="10" width="8.140625" style="218" bestFit="1" customWidth="1"/>
    <col min="11" max="11" width="12.140625" style="169" customWidth="1"/>
    <col min="12" max="12" width="25" style="174" customWidth="1"/>
    <col min="13" max="13" width="6.7109375" style="219" customWidth="1"/>
    <col min="14" max="14" width="10.7109375" style="218" customWidth="1"/>
    <col min="15" max="15" width="12.7109375" style="94" customWidth="1"/>
    <col min="16" max="16" width="25.42578125" style="169" customWidth="1"/>
    <col min="17" max="17" width="7.5703125" style="219" bestFit="1" customWidth="1"/>
    <col min="18" max="18" width="10.7109375" style="218" customWidth="1"/>
    <col min="19" max="19" width="11.5703125" style="94" bestFit="1" customWidth="1"/>
    <col min="20" max="20" width="25.4257812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45" t="s">
        <v>187</v>
      </c>
      <c r="B2" s="745"/>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46" t="s">
        <v>3</v>
      </c>
      <c r="B3" s="747" t="s">
        <v>4</v>
      </c>
      <c r="C3" s="748" t="s">
        <v>5</v>
      </c>
      <c r="D3" s="756" t="s">
        <v>6</v>
      </c>
      <c r="E3" s="757"/>
      <c r="F3" s="758" t="s">
        <v>7</v>
      </c>
      <c r="G3" s="759"/>
      <c r="H3" s="754" t="s">
        <v>8</v>
      </c>
      <c r="I3" s="755"/>
      <c r="J3" s="772" t="s">
        <v>7</v>
      </c>
      <c r="K3" s="773"/>
      <c r="L3" s="756" t="s">
        <v>9</v>
      </c>
      <c r="M3" s="769"/>
      <c r="N3" s="774" t="s">
        <v>7</v>
      </c>
      <c r="O3" s="775"/>
      <c r="P3" s="770" t="s">
        <v>81</v>
      </c>
      <c r="Q3" s="771"/>
      <c r="R3" s="772" t="s">
        <v>7</v>
      </c>
      <c r="S3" s="778"/>
      <c r="T3" s="776" t="s">
        <v>82</v>
      </c>
      <c r="U3" s="777"/>
      <c r="V3" s="767" t="s">
        <v>7</v>
      </c>
      <c r="W3" s="768"/>
    </row>
    <row r="4" spans="1:59" ht="13.5" thickBot="1">
      <c r="A4" s="746"/>
      <c r="B4" s="747"/>
      <c r="C4" s="748"/>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26.25" thickBot="1">
      <c r="A5" s="743" t="str">
        <f>'3_Comp e Produtos'!A44</f>
        <v>3.1. Elaboração do plano estratégico de gestão da Secretaria-Geral</v>
      </c>
      <c r="B5" s="735" t="s">
        <v>277</v>
      </c>
      <c r="C5" s="738"/>
      <c r="D5" s="181"/>
      <c r="E5" s="330"/>
      <c r="F5" s="231"/>
      <c r="G5" s="229">
        <f>IF($A$5&lt;&gt;"NÃO SELECIONADO",E5*F5,0)</f>
        <v>0</v>
      </c>
      <c r="H5" s="181" t="s">
        <v>201</v>
      </c>
      <c r="I5" s="330">
        <v>180</v>
      </c>
      <c r="J5" s="311">
        <v>800</v>
      </c>
      <c r="K5" s="229">
        <f>IF($A$5&lt;&gt;"NÃO SELECIONADO",I5*J5,0)</f>
        <v>144000</v>
      </c>
      <c r="L5" s="183"/>
      <c r="M5" s="223"/>
      <c r="N5" s="184"/>
      <c r="O5" s="229">
        <f>IF($A$5&lt;&gt;"NÃO SELECIONADO",M5*N5,0)</f>
        <v>0</v>
      </c>
      <c r="P5" s="181"/>
      <c r="Q5" s="225"/>
      <c r="R5" s="389"/>
      <c r="S5" s="229">
        <f>IF($A$5&lt;&gt;"NÃO SELECIONADO",Q5*R5,0)</f>
        <v>0</v>
      </c>
      <c r="T5" s="390"/>
      <c r="U5" s="225"/>
      <c r="V5" s="187"/>
      <c r="W5" s="229">
        <f>IF($A$5&lt;&gt;"NÃO SELECIONADO",U5*V5,0)</f>
        <v>0</v>
      </c>
    </row>
    <row r="6" spans="1:59" ht="13.5" thickBot="1">
      <c r="A6" s="743"/>
      <c r="B6" s="736"/>
      <c r="C6" s="738"/>
      <c r="D6" s="189"/>
      <c r="E6" s="330"/>
      <c r="F6" s="231"/>
      <c r="G6" s="229">
        <f>IF($A$5&lt;&gt;"NÃO SELECIONADO",E6*F6,0)</f>
        <v>0</v>
      </c>
      <c r="H6" s="181"/>
      <c r="I6" s="330"/>
      <c r="J6" s="311"/>
      <c r="K6" s="229">
        <f>IF($A$5&lt;&gt;"NÃO SELECIONADO",I6*J6,0)</f>
        <v>0</v>
      </c>
      <c r="L6" s="190"/>
      <c r="M6" s="221"/>
      <c r="N6" s="185"/>
      <c r="O6" s="229">
        <f>IF($A$5&lt;&gt;"NÃO SELECIONADO",M6*N6,0)</f>
        <v>0</v>
      </c>
      <c r="P6" s="191"/>
      <c r="Q6" s="221"/>
      <c r="R6" s="185"/>
      <c r="S6" s="229">
        <f>IF($A$5&lt;&gt;"NÃO SELECIONADO",Q6*R6,0)</f>
        <v>0</v>
      </c>
      <c r="T6" s="321"/>
      <c r="U6" s="221"/>
      <c r="V6" s="185"/>
      <c r="W6" s="229">
        <f>IF($A$5&lt;&gt;"NÃO SELECIONADO",U6*V6,0)</f>
        <v>0</v>
      </c>
    </row>
    <row r="7" spans="1:59" ht="13.5" thickBot="1">
      <c r="A7" s="743"/>
      <c r="B7" s="736"/>
      <c r="C7" s="738"/>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c r="A8" s="743"/>
      <c r="B8" s="736"/>
      <c r="C8" s="738"/>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144000</v>
      </c>
      <c r="B9" s="737"/>
      <c r="C9" s="739"/>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1.5" customHeight="1">
      <c r="A10" s="752" t="str">
        <f>'3_Comp e Produtos'!A45</f>
        <v xml:space="preserve">3.2. Reestruturação dos fluxos de trabalho dos processos administrativos </v>
      </c>
      <c r="B10" s="740" t="s">
        <v>278</v>
      </c>
      <c r="C10" s="738"/>
      <c r="D10" s="416"/>
      <c r="E10" s="326"/>
      <c r="F10" s="231"/>
      <c r="G10" s="230">
        <f>IF($A$10&lt;&gt;"NÃO SELECIONADO",E10*F10,0)</f>
        <v>0</v>
      </c>
      <c r="H10" s="181" t="s">
        <v>202</v>
      </c>
      <c r="I10" s="330">
        <f>4*180</f>
        <v>720</v>
      </c>
      <c r="J10" s="311">
        <v>800</v>
      </c>
      <c r="K10" s="230">
        <f>IF($A$10&lt;&gt;"NÃO SELECIONADO",I10*J10,0)</f>
        <v>576000</v>
      </c>
      <c r="L10" s="536"/>
      <c r="M10" s="326"/>
      <c r="N10" s="328"/>
      <c r="O10" s="230">
        <f>IF($A$10&lt;&gt;"NÃO SELECIONADO",M10*N10,0)</f>
        <v>0</v>
      </c>
      <c r="P10" s="191"/>
      <c r="Q10" s="221"/>
      <c r="R10" s="185"/>
      <c r="S10" s="230">
        <f>IF($A$10&lt;&gt;"NÃO SELECIONADO",Q10*R10,0)</f>
        <v>0</v>
      </c>
      <c r="T10" s="390" t="s">
        <v>204</v>
      </c>
      <c r="U10" s="225">
        <v>64</v>
      </c>
      <c r="V10" s="187">
        <v>1000</v>
      </c>
      <c r="W10" s="230">
        <f>IF($A$10&lt;&gt;"NÃO SELECIONADO",U10*V10,0)</f>
        <v>64000</v>
      </c>
    </row>
    <row r="11" spans="1:59" ht="61.5" customHeight="1">
      <c r="A11" s="753"/>
      <c r="B11" s="741"/>
      <c r="C11" s="738"/>
      <c r="D11" s="189"/>
      <c r="E11" s="326"/>
      <c r="F11" s="231"/>
      <c r="G11" s="230">
        <f>IF($A$10&lt;&gt;"NÃO SELECIONADO",E11*F11,0)</f>
        <v>0</v>
      </c>
      <c r="H11" s="181" t="s">
        <v>203</v>
      </c>
      <c r="I11" s="330">
        <f>2*30*4</f>
        <v>240</v>
      </c>
      <c r="J11" s="311">
        <v>800</v>
      </c>
      <c r="K11" s="230">
        <f>IF($A$10&lt;&gt;"NÃO SELECIONADO",I11*J11,0)</f>
        <v>192000</v>
      </c>
      <c r="L11" s="536"/>
      <c r="M11" s="326"/>
      <c r="N11" s="328"/>
      <c r="O11" s="230">
        <f>IF($A$10&lt;&gt;"NÃO SELECIONADO",M11*N11,0)</f>
        <v>0</v>
      </c>
      <c r="P11" s="191"/>
      <c r="Q11" s="221"/>
      <c r="R11" s="185"/>
      <c r="S11" s="230">
        <f>IF($A$10&lt;&gt;"NÃO SELECIONADO",Q11*R11,0)</f>
        <v>0</v>
      </c>
      <c r="T11" s="321" t="s">
        <v>205</v>
      </c>
      <c r="U11" s="221">
        <v>320</v>
      </c>
      <c r="V11" s="185">
        <v>250</v>
      </c>
      <c r="W11" s="230">
        <f>IF($A$10&lt;&gt;"NÃO SELECIONADO",U11*V11,0)</f>
        <v>80000</v>
      </c>
    </row>
    <row r="12" spans="1:59" ht="61.5" customHeight="1">
      <c r="A12" s="753"/>
      <c r="B12" s="741"/>
      <c r="C12" s="738"/>
      <c r="D12" s="316"/>
      <c r="E12" s="326"/>
      <c r="F12" s="231"/>
      <c r="G12" s="230">
        <f>IF($A$10&lt;&gt;"NÃO SELECIONADO",E12*F12,0)</f>
        <v>0</v>
      </c>
      <c r="H12" s="189"/>
      <c r="I12" s="220"/>
      <c r="J12" s="531"/>
      <c r="K12" s="230">
        <f>IF($A$10&lt;&gt;"NÃO SELECIONADO",I12*J12,0)</f>
        <v>0</v>
      </c>
      <c r="L12" s="189"/>
      <c r="M12" s="326"/>
      <c r="N12" s="328"/>
      <c r="O12" s="230">
        <f>IF($A$10&lt;&gt;"NÃO SELECIONADO",M12*N12,0)</f>
        <v>0</v>
      </c>
      <c r="P12" s="191"/>
      <c r="Q12" s="221"/>
      <c r="R12" s="185"/>
      <c r="S12" s="230">
        <f>IF($A$10&lt;&gt;"NÃO SELECIONADO",Q12*R12,0)</f>
        <v>0</v>
      </c>
      <c r="T12" s="390"/>
      <c r="U12" s="221"/>
      <c r="V12" s="185"/>
      <c r="W12" s="230">
        <f>IF($A$10&lt;&gt;"NÃO SELECIONADO",U12*V12,0)</f>
        <v>0</v>
      </c>
    </row>
    <row r="13" spans="1:59" ht="61.5" customHeight="1">
      <c r="A13" s="753"/>
      <c r="B13" s="741"/>
      <c r="C13" s="738"/>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c r="U13" s="221"/>
      <c r="V13" s="185"/>
      <c r="W13" s="230">
        <f>IF($A$10&lt;&gt;"NÃO SELECIONADO",U13*V13,0)</f>
        <v>0</v>
      </c>
    </row>
    <row r="14" spans="1:59">
      <c r="A14" s="317">
        <f>IF(A10&lt;&gt;"NÃO SELECIONADO",SUM(G10:G14)+SUM(K10:K14)+SUM(O10:O14)+SUM(S10:S14)+SUM(W10:W14),0)</f>
        <v>912000</v>
      </c>
      <c r="B14" s="742"/>
      <c r="C14" s="739"/>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66" customHeight="1">
      <c r="A15" s="749" t="str">
        <f>'3_Comp e Produtos'!A46</f>
        <v>3.3. Implementação dos centros de custos</v>
      </c>
      <c r="B15" s="735" t="s">
        <v>279</v>
      </c>
      <c r="C15" s="744"/>
      <c r="D15" s="536" t="s">
        <v>207</v>
      </c>
      <c r="E15" s="330">
        <v>10</v>
      </c>
      <c r="F15" s="364">
        <v>2500</v>
      </c>
      <c r="G15" s="230">
        <f>IF($A$15&lt;&gt;"NÃO SELECIONADO",E15*F15,0)</f>
        <v>25000</v>
      </c>
      <c r="H15" s="189" t="s">
        <v>206</v>
      </c>
      <c r="I15" s="330">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25</v>
      </c>
      <c r="V15" s="477">
        <v>1000</v>
      </c>
      <c r="W15" s="230">
        <f>IF($A$15&lt;&gt;"NÃO SELECIONADO",U15*V15,0)</f>
        <v>25000</v>
      </c>
    </row>
    <row r="16" spans="1:59" ht="66" customHeight="1">
      <c r="A16" s="750"/>
      <c r="B16" s="736"/>
      <c r="C16" s="738"/>
      <c r="D16" s="536"/>
      <c r="E16" s="326"/>
      <c r="F16" s="351"/>
      <c r="G16" s="230">
        <f>IF($A$15&lt;&gt;"NÃO SELECIONADO",E16*F16,0)</f>
        <v>0</v>
      </c>
      <c r="H16" s="536" t="s">
        <v>183</v>
      </c>
      <c r="I16" s="330">
        <v>120</v>
      </c>
      <c r="J16" s="353">
        <v>800</v>
      </c>
      <c r="K16" s="230">
        <f>IF($A$15&lt;&gt;"NÃO SELECIONADO",I16*J16,0)</f>
        <v>96000</v>
      </c>
      <c r="L16" s="197"/>
      <c r="M16" s="198"/>
      <c r="N16" s="199"/>
      <c r="O16" s="230">
        <f>IF($A$15&lt;&gt;"NÃO SELECIONADO",M16*N16,0)</f>
        <v>0</v>
      </c>
      <c r="P16" s="200"/>
      <c r="Q16" s="201"/>
      <c r="R16" s="202"/>
      <c r="S16" s="230">
        <f>IF($A$15&lt;&gt;"NÃO SELECIONADO",Q16*R16,0)</f>
        <v>0</v>
      </c>
      <c r="T16" s="545" t="s">
        <v>313</v>
      </c>
      <c r="U16" s="222">
        <v>90</v>
      </c>
      <c r="V16" s="478">
        <v>250</v>
      </c>
      <c r="W16" s="230">
        <f>IF($A$15&lt;&gt;"NÃO SELECIONADO",U16*V16,0)</f>
        <v>22500</v>
      </c>
    </row>
    <row r="17" spans="1:23" ht="66" customHeight="1">
      <c r="A17" s="750"/>
      <c r="B17" s="736"/>
      <c r="C17" s="738"/>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66" customHeight="1">
      <c r="A18" s="751"/>
      <c r="B18" s="736"/>
      <c r="C18" s="738"/>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456500</v>
      </c>
      <c r="B19" s="737"/>
      <c r="C19" s="739"/>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69" customHeight="1">
      <c r="A20" s="731" t="str">
        <f>'3_Comp e Produtos'!A47</f>
        <v>3.4. Revisão do modelo de gestão logística territorial e avaliação da implementação</v>
      </c>
      <c r="B20" s="735" t="s">
        <v>280</v>
      </c>
      <c r="C20" s="744"/>
      <c r="D20" s="536" t="s">
        <v>209</v>
      </c>
      <c r="E20" s="330">
        <v>10</v>
      </c>
      <c r="F20" s="364">
        <v>2500</v>
      </c>
      <c r="G20" s="230">
        <f>IF($A$20&lt;&gt;"NÃO SELECIONADO",E20*F20,0)</f>
        <v>25000</v>
      </c>
      <c r="H20" s="189" t="s">
        <v>208</v>
      </c>
      <c r="I20" s="330">
        <v>360</v>
      </c>
      <c r="J20" s="353">
        <v>800</v>
      </c>
      <c r="K20" s="230">
        <f>IF($A$20&lt;&gt;"NÃO SELECIONADO",I20*J20,0)</f>
        <v>288000</v>
      </c>
      <c r="L20" s="226"/>
      <c r="M20" s="227"/>
      <c r="N20" s="228"/>
      <c r="O20" s="230">
        <f>IF($A$20&lt;&gt;"NÃO SELECIONADO",M20*N20,0)</f>
        <v>0</v>
      </c>
      <c r="P20" s="533"/>
      <c r="Q20" s="534"/>
      <c r="R20" s="534"/>
      <c r="S20" s="230">
        <f>IF($A$20&lt;&gt;"NÃO SELECIONADO",Q20*R20,0)</f>
        <v>0</v>
      </c>
      <c r="T20" s="545" t="s">
        <v>157</v>
      </c>
      <c r="U20" s="222">
        <v>25</v>
      </c>
      <c r="V20" s="477">
        <v>1000</v>
      </c>
      <c r="W20" s="230">
        <f>IF($A$20&lt;&gt;"NÃO SELECIONADO",U20*V20,0)</f>
        <v>25000</v>
      </c>
    </row>
    <row r="21" spans="1:23" ht="69" customHeight="1">
      <c r="A21" s="731"/>
      <c r="B21" s="736"/>
      <c r="C21" s="738"/>
      <c r="D21" s="324"/>
      <c r="E21" s="326"/>
      <c r="F21" s="351"/>
      <c r="G21" s="230">
        <f>IF($A$20&lt;&gt;"NÃO SELECIONADO",E21*F21,0)</f>
        <v>0</v>
      </c>
      <c r="H21" s="536" t="s">
        <v>183</v>
      </c>
      <c r="I21" s="330">
        <v>120</v>
      </c>
      <c r="J21" s="353">
        <v>800</v>
      </c>
      <c r="K21" s="230">
        <f>IF($A$20&lt;&gt;"NÃO SELECIONADO",I21*J21,0)</f>
        <v>96000</v>
      </c>
      <c r="L21" s="226"/>
      <c r="M21" s="227"/>
      <c r="N21" s="228"/>
      <c r="O21" s="230">
        <f>IF($A$20&lt;&gt;"NÃO SELECIONADO",M21*N21,0)</f>
        <v>0</v>
      </c>
      <c r="P21" s="200"/>
      <c r="Q21" s="201"/>
      <c r="R21" s="202"/>
      <c r="S21" s="230">
        <f>IF($A$20&lt;&gt;"NÃO SELECIONADO",Q21*R21,0)</f>
        <v>0</v>
      </c>
      <c r="T21" s="545" t="s">
        <v>157</v>
      </c>
      <c r="U21" s="222">
        <v>90</v>
      </c>
      <c r="V21" s="478">
        <v>250</v>
      </c>
      <c r="W21" s="230">
        <f>IF($A$20&lt;&gt;"NÃO SELECIONADO",U21*V21,0)</f>
        <v>22500</v>
      </c>
    </row>
    <row r="22" spans="1:23" ht="69" customHeight="1">
      <c r="A22" s="731"/>
      <c r="B22" s="736"/>
      <c r="C22" s="738"/>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c r="U22" s="222"/>
      <c r="V22" s="194"/>
      <c r="W22" s="230">
        <f>IF($A$20&lt;&gt;"NÃO SELECIONADO",U22*V22,0)</f>
        <v>0</v>
      </c>
    </row>
    <row r="23" spans="1:23" ht="69" customHeight="1">
      <c r="A23" s="731"/>
      <c r="B23" s="736"/>
      <c r="C23" s="738"/>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c r="U23" s="222"/>
      <c r="V23" s="194"/>
      <c r="W23" s="230">
        <f>IF($A$20&lt;&gt;"NÃO SELECIONADO",U23*V23,0)</f>
        <v>0</v>
      </c>
    </row>
    <row r="24" spans="1:23">
      <c r="A24" s="317">
        <f>IF(A20&lt;&gt;"NÃO SELECIONADO",SUM(G20:G24)+SUM(K20:K24)+SUM(O20:O24)+SUM(S20:S24)+SUM(W20:W24),0)</f>
        <v>456500</v>
      </c>
      <c r="B24" s="737"/>
      <c r="C24" s="739"/>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70.5" customHeight="1">
      <c r="A25" s="749" t="str">
        <f>'3_Comp e Produtos'!A48</f>
        <v xml:space="preserve">3.5. Implantação de Sistema Integrado de Gestão Administrativa, sincronizado ao SIAFI </v>
      </c>
      <c r="B25" s="799" t="s">
        <v>281</v>
      </c>
      <c r="C25" s="760"/>
      <c r="D25" s="378"/>
      <c r="E25" s="326"/>
      <c r="F25" s="231"/>
      <c r="G25" s="230">
        <f>IF($A$25&lt;&gt;"NÃO SELECIONADO",E25*F25,0)</f>
        <v>0</v>
      </c>
      <c r="H25" s="181" t="s">
        <v>210</v>
      </c>
      <c r="I25" s="330">
        <f>5*270</f>
        <v>1350</v>
      </c>
      <c r="J25" s="311">
        <v>800</v>
      </c>
      <c r="K25" s="230">
        <f>IF($A$25&lt;&gt;"NÃO SELECIONADO",I25*J25,0)</f>
        <v>1080000</v>
      </c>
      <c r="L25" s="379"/>
      <c r="M25" s="222"/>
      <c r="N25" s="380"/>
      <c r="O25" s="230">
        <f>IF($A$25&lt;&gt;"NÃO SELECIONADO",M25*N25,0)</f>
        <v>0</v>
      </c>
      <c r="P25" s="379"/>
      <c r="Q25" s="381"/>
      <c r="R25" s="382"/>
      <c r="S25" s="230">
        <f>IF($A$25&lt;&gt;"NÃO SELECIONADO",Q25*R25,0)</f>
        <v>0</v>
      </c>
      <c r="T25" s="622" t="s">
        <v>314</v>
      </c>
      <c r="U25" s="225">
        <v>24</v>
      </c>
      <c r="V25" s="187">
        <v>1000</v>
      </c>
      <c r="W25" s="230">
        <f>IF($A$25&lt;&gt;"NÃO SELECIONADO",U25*V25,0)</f>
        <v>24000</v>
      </c>
    </row>
    <row r="26" spans="1:23" ht="70.5" customHeight="1">
      <c r="A26" s="802"/>
      <c r="B26" s="800"/>
      <c r="C26" s="761"/>
      <c r="D26" s="193"/>
      <c r="E26" s="326"/>
      <c r="F26" s="331"/>
      <c r="G26" s="230">
        <f>IF($A$25&lt;&gt;"NÃO SELECIONADO",E26*F26,0)</f>
        <v>0</v>
      </c>
      <c r="H26" s="181" t="s">
        <v>203</v>
      </c>
      <c r="I26" s="330">
        <f>2*30*4</f>
        <v>240</v>
      </c>
      <c r="J26" s="311">
        <v>800</v>
      </c>
      <c r="K26" s="230">
        <f>IF($A$25&lt;&gt;"NÃO SELECIONADO",I26*J26,0)</f>
        <v>192000</v>
      </c>
      <c r="L26" s="379"/>
      <c r="M26" s="222"/>
      <c r="N26" s="194"/>
      <c r="O26" s="230">
        <f>IF($A$25&lt;&gt;"NÃO SELECIONADO",M26*N26,0)</f>
        <v>0</v>
      </c>
      <c r="P26" s="320"/>
      <c r="Q26" s="221"/>
      <c r="R26" s="185"/>
      <c r="S26" s="230">
        <f>IF($A$25&lt;&gt;"NÃO SELECIONADO",Q26*R26,0)</f>
        <v>0</v>
      </c>
      <c r="T26" s="623" t="s">
        <v>315</v>
      </c>
      <c r="U26" s="221">
        <v>120</v>
      </c>
      <c r="V26" s="185">
        <v>250</v>
      </c>
      <c r="W26" s="230">
        <f>IF($A$25&lt;&gt;"NÃO SELECIONADO",U26*V26,0)</f>
        <v>30000</v>
      </c>
    </row>
    <row r="27" spans="1:23" ht="70.5" customHeight="1">
      <c r="A27" s="802"/>
      <c r="B27" s="800"/>
      <c r="C27" s="76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622" t="s">
        <v>316</v>
      </c>
      <c r="U27" s="225">
        <v>16</v>
      </c>
      <c r="V27" s="187">
        <v>1000</v>
      </c>
      <c r="W27" s="230">
        <f>IF($A$25&lt;&gt;"NÃO SELECIONADO",U27*V27,0)</f>
        <v>16000</v>
      </c>
    </row>
    <row r="28" spans="1:23" ht="70.5" customHeight="1">
      <c r="A28" s="802"/>
      <c r="B28" s="800"/>
      <c r="C28" s="76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623" t="s">
        <v>317</v>
      </c>
      <c r="U28" s="221">
        <v>80</v>
      </c>
      <c r="V28" s="185">
        <v>250</v>
      </c>
      <c r="W28" s="230">
        <f>IF($A$25&lt;&gt;"NÃO SELECIONADO",U28*V28,0)</f>
        <v>20000</v>
      </c>
    </row>
    <row r="29" spans="1:23" ht="66" customHeight="1">
      <c r="A29" s="802"/>
      <c r="B29" s="800"/>
      <c r="C29" s="761"/>
      <c r="D29" s="186"/>
      <c r="E29" s="326"/>
      <c r="F29" s="551"/>
      <c r="G29" s="230"/>
      <c r="H29" s="191"/>
      <c r="I29" s="221"/>
      <c r="J29" s="185"/>
      <c r="K29" s="230"/>
      <c r="L29" s="195"/>
      <c r="M29" s="222"/>
      <c r="N29" s="194"/>
      <c r="O29" s="230"/>
      <c r="P29" s="320"/>
      <c r="Q29" s="221"/>
      <c r="R29" s="185"/>
      <c r="S29" s="230"/>
      <c r="T29" s="192"/>
      <c r="U29" s="221"/>
      <c r="V29" s="185"/>
      <c r="W29" s="230"/>
    </row>
    <row r="30" spans="1:23" ht="212.25" hidden="1" customHeight="1">
      <c r="A30" s="803"/>
      <c r="B30" s="800"/>
      <c r="C30" s="761"/>
      <c r="D30" s="186"/>
      <c r="E30" s="326"/>
      <c r="F30" s="556"/>
      <c r="G30" s="230"/>
      <c r="H30" s="191"/>
      <c r="I30" s="221"/>
      <c r="J30" s="185"/>
      <c r="K30" s="230"/>
      <c r="L30" s="195"/>
      <c r="M30" s="222"/>
      <c r="N30" s="194"/>
      <c r="O30" s="230"/>
      <c r="P30" s="320"/>
      <c r="Q30" s="221"/>
      <c r="R30" s="185"/>
      <c r="S30" s="230"/>
      <c r="T30" s="192"/>
      <c r="U30" s="221"/>
      <c r="V30" s="185"/>
      <c r="W30" s="230"/>
    </row>
    <row r="31" spans="1:23">
      <c r="A31" s="287">
        <f>IF(A25&lt;&gt;"NÃO SELECIONADO",SUM(G25:G31)+SUM(K25:K31)+SUM(O25:O31)+SUM(S25:S31)+SUM(W25:W31),0)</f>
        <v>1362000</v>
      </c>
      <c r="B31" s="801"/>
      <c r="C31" s="762"/>
      <c r="D31" s="186"/>
      <c r="E31" s="326"/>
      <c r="F31" s="556"/>
      <c r="G31" s="230">
        <f>IF($A$25&lt;&gt;"NÃO SELECIONADO",E31*F31,0)</f>
        <v>0</v>
      </c>
      <c r="H31" s="191"/>
      <c r="I31" s="221"/>
      <c r="J31" s="185"/>
      <c r="K31" s="230">
        <f>IF($A$25&lt;&gt;"NÃO SELECIONADO",I31*J31,0)</f>
        <v>0</v>
      </c>
      <c r="L31" s="195"/>
      <c r="M31" s="222"/>
      <c r="N31" s="194"/>
      <c r="O31" s="230">
        <f>IF($A$25&lt;&gt;"NÃO SELECIONADO",M31*N31,0)</f>
        <v>0</v>
      </c>
      <c r="P31" s="189"/>
      <c r="Q31" s="221"/>
      <c r="R31" s="185"/>
      <c r="S31" s="230">
        <f>IF($A$25&lt;&gt;"NÃO SELECIONADO",Q31*R31,0)</f>
        <v>0</v>
      </c>
      <c r="T31" s="192"/>
      <c r="U31" s="221"/>
      <c r="V31" s="185"/>
      <c r="W31" s="230">
        <f>IF($A$25&lt;&gt;"NÃO SELECIONADO",U31*V31,0)</f>
        <v>0</v>
      </c>
    </row>
    <row r="32" spans="1:23" ht="121.5" customHeight="1">
      <c r="A32" s="731" t="str">
        <f>'3_Comp e Produtos'!A49</f>
        <v>3.6. Definição conceitual, desenho e implementação do modelo de gestão por competências da AGU</v>
      </c>
      <c r="B32" s="733" t="s">
        <v>282</v>
      </c>
      <c r="C32" s="734"/>
      <c r="D32" s="193"/>
      <c r="E32" s="221"/>
      <c r="F32" s="185"/>
      <c r="G32" s="230">
        <f>IF($A$32&lt;&gt;"NÃO SELECIONADO",E32*F32,0)</f>
        <v>0</v>
      </c>
      <c r="H32" s="189" t="s">
        <v>212</v>
      </c>
      <c r="I32" s="220">
        <f>720*3</f>
        <v>2160</v>
      </c>
      <c r="J32" s="182">
        <v>800</v>
      </c>
      <c r="K32" s="230">
        <f>IF($A$32&lt;&gt;"NÃO SELECIONADO",I32*J32,0)</f>
        <v>1728000</v>
      </c>
      <c r="L32" s="190"/>
      <c r="M32" s="221"/>
      <c r="N32" s="185"/>
      <c r="O32" s="230">
        <f>IF($A$32&lt;&gt;"NÃO SELECIONADO",M32*N32,0)</f>
        <v>0</v>
      </c>
      <c r="P32" s="193"/>
      <c r="Q32" s="221"/>
      <c r="R32" s="185"/>
      <c r="S32" s="230">
        <f>IF($A$32&lt;&gt;"NÃO SELECIONADO",Q32*R32,0)</f>
        <v>0</v>
      </c>
      <c r="T32" s="622" t="s">
        <v>318</v>
      </c>
      <c r="U32" s="225">
        <v>8</v>
      </c>
      <c r="V32" s="187">
        <v>3000</v>
      </c>
      <c r="W32" s="230">
        <f>IF($A$32&lt;&gt;"NÃO SELECIONADO",U32*V32,0)</f>
        <v>24000</v>
      </c>
    </row>
    <row r="33" spans="1:23" ht="121.5" customHeight="1">
      <c r="A33" s="731"/>
      <c r="B33" s="733"/>
      <c r="C33" s="734"/>
      <c r="D33" s="193"/>
      <c r="E33" s="221"/>
      <c r="F33" s="185"/>
      <c r="G33" s="230">
        <f>IF($A$32&lt;&gt;"NÃO SELECIONADO",E33*F33,0)</f>
        <v>0</v>
      </c>
      <c r="H33" s="189" t="s">
        <v>211</v>
      </c>
      <c r="I33" s="221">
        <v>30</v>
      </c>
      <c r="J33" s="185">
        <v>1600</v>
      </c>
      <c r="K33" s="230">
        <f>IF($A$32&lt;&gt;"NÃO SELECIONADO",I33*J33,0)</f>
        <v>48000</v>
      </c>
      <c r="L33" s="190"/>
      <c r="M33" s="221"/>
      <c r="N33" s="185"/>
      <c r="O33" s="230">
        <f>IF($A$32&lt;&gt;"NÃO SELECIONADO",M33*N33,0)</f>
        <v>0</v>
      </c>
      <c r="P33" s="193"/>
      <c r="Q33" s="221"/>
      <c r="R33" s="185"/>
      <c r="S33" s="230">
        <f>IF($A$32&lt;&gt;"NÃO SELECIONADO",Q33*R33,0)</f>
        <v>0</v>
      </c>
      <c r="T33" s="321" t="s">
        <v>108</v>
      </c>
      <c r="U33" s="221">
        <v>10</v>
      </c>
      <c r="V33" s="185">
        <v>3000</v>
      </c>
      <c r="W33" s="230">
        <f>IF($A$32&lt;&gt;"NÃO SELECIONADO",U33*V33,0)</f>
        <v>30000</v>
      </c>
    </row>
    <row r="34" spans="1:23" ht="121.5" customHeight="1">
      <c r="A34" s="731"/>
      <c r="B34" s="733"/>
      <c r="C34" s="734"/>
      <c r="D34" s="193"/>
      <c r="E34" s="221"/>
      <c r="F34" s="185"/>
      <c r="G34" s="230">
        <f>IF($A$32&lt;&gt;"NÃO SELECIONADO",E34*F34,0)</f>
        <v>0</v>
      </c>
      <c r="H34" s="192"/>
      <c r="I34" s="221"/>
      <c r="J34" s="185"/>
      <c r="K34" s="230">
        <f>IF($A$32&lt;&gt;"NÃO SELECIONADO",I34*J34,0)</f>
        <v>0</v>
      </c>
      <c r="L34" s="190"/>
      <c r="M34" s="221"/>
      <c r="N34" s="185"/>
      <c r="O34" s="230">
        <f>IF($A$32&lt;&gt;"NÃO SELECIONADO",M34*N34,0)</f>
        <v>0</v>
      </c>
      <c r="P34" s="193"/>
      <c r="Q34" s="221"/>
      <c r="R34" s="185"/>
      <c r="S34" s="230">
        <f>IF($A$32&lt;&gt;"NÃO SELECIONADO",Q34*R34,0)</f>
        <v>0</v>
      </c>
      <c r="T34" s="622" t="s">
        <v>319</v>
      </c>
      <c r="U34" s="221">
        <v>40</v>
      </c>
      <c r="V34" s="185">
        <v>1000</v>
      </c>
      <c r="W34" s="230">
        <f>IF($A$32&lt;&gt;"NÃO SELECIONADO",U34*V34,0)</f>
        <v>40000</v>
      </c>
    </row>
    <row r="35" spans="1:23" ht="157.5" customHeight="1">
      <c r="A35" s="731"/>
      <c r="B35" s="733"/>
      <c r="C35" s="734"/>
      <c r="D35" s="193"/>
      <c r="E35" s="221"/>
      <c r="F35" s="185"/>
      <c r="G35" s="230">
        <f>IF($A$32&lt;&gt;"NÃO SELECIONADO",E35*F35,0)</f>
        <v>0</v>
      </c>
      <c r="H35" s="192"/>
      <c r="I35" s="221"/>
      <c r="J35" s="185"/>
      <c r="K35" s="230">
        <f>IF($A$32&lt;&gt;"NÃO SELECIONADO",I35*J35,0)</f>
        <v>0</v>
      </c>
      <c r="L35" s="190"/>
      <c r="M35" s="221"/>
      <c r="N35" s="185"/>
      <c r="O35" s="230">
        <f>IF($A$32&lt;&gt;"NÃO SELECIONADO",M35*N35,0)</f>
        <v>0</v>
      </c>
      <c r="P35" s="193"/>
      <c r="Q35" s="221"/>
      <c r="R35" s="185"/>
      <c r="S35" s="230">
        <f>IF($A$32&lt;&gt;"NÃO SELECIONADO",Q35*R35,0)</f>
        <v>0</v>
      </c>
      <c r="T35" s="321" t="s">
        <v>109</v>
      </c>
      <c r="U35" s="221">
        <v>50</v>
      </c>
      <c r="V35" s="185">
        <v>1000</v>
      </c>
      <c r="W35" s="230">
        <f>IF($A$32&lt;&gt;"NÃO SELECIONADO",U35*V35,0)</f>
        <v>50000</v>
      </c>
    </row>
    <row r="36" spans="1:23" ht="13.5" thickBot="1">
      <c r="A36" s="287">
        <f>IF(A32&lt;&gt;"NÃO SELECIONADO",SUM(G32:G36)+SUM(K32:K36)+SUM(O32:O36)+SUM(S32:S36)+SUM(W32:W36),0)</f>
        <v>1920000</v>
      </c>
      <c r="B36" s="733"/>
      <c r="C36" s="734"/>
      <c r="D36" s="193"/>
      <c r="E36" s="221"/>
      <c r="F36" s="185"/>
      <c r="G36" s="230">
        <f>IF($A$32&lt;&gt;"NÃO SELECIONADO",E36*F36,0)</f>
        <v>0</v>
      </c>
      <c r="H36" s="192"/>
      <c r="I36" s="221"/>
      <c r="J36" s="185"/>
      <c r="K36" s="230">
        <f>IF($A$32&lt;&gt;"NÃO SELECIONADO",I36*J36,0)</f>
        <v>0</v>
      </c>
      <c r="L36" s="190"/>
      <c r="M36" s="221"/>
      <c r="N36" s="185"/>
      <c r="O36" s="230">
        <f>IF($A$32&lt;&gt;"NÃO SELECIONADO",M36*N36,0)</f>
        <v>0</v>
      </c>
      <c r="P36" s="193"/>
      <c r="Q36" s="221"/>
      <c r="R36" s="185"/>
      <c r="S36" s="230">
        <f>IF($A$32&lt;&gt;"NÃO SELECIONADO",Q36*R36,0)</f>
        <v>0</v>
      </c>
      <c r="T36" s="192"/>
      <c r="U36" s="221"/>
      <c r="V36" s="185"/>
      <c r="W36" s="230">
        <f>IF($A$32&lt;&gt;"NÃO SELECIONADO",U36*V36,0)</f>
        <v>0</v>
      </c>
    </row>
    <row r="37" spans="1:23" hidden="1">
      <c r="A37" s="731" t="str">
        <f>IF('3_Comp e Produtos'!B13="Sim",'3_Comp e Produtos'!A13,"NÃO SELECIONADO")</f>
        <v>1.7. Instalar uma ferramenta de BI incluindo recursos para Text Mining e Data Mining</v>
      </c>
      <c r="B37" s="804"/>
      <c r="C37" s="734"/>
      <c r="D37" s="378"/>
      <c r="E37" s="326"/>
      <c r="F37" s="231"/>
      <c r="G37" s="230">
        <f>IF($A$37&lt;&gt;"NÃO SELECIONADO",E37*F37,0)</f>
        <v>0</v>
      </c>
      <c r="H37" s="532"/>
      <c r="I37" s="221"/>
      <c r="J37" s="185"/>
      <c r="K37" s="230">
        <f>IF($A$37&lt;&gt;"NÃO SELECIONADO",I37*J37,0)</f>
        <v>0</v>
      </c>
      <c r="L37" s="379"/>
      <c r="M37" s="222"/>
      <c r="N37" s="380"/>
      <c r="O37" s="230">
        <f>IF($A$37&lt;&gt;"NÃO SELECIONADO",M37*N37,0)</f>
        <v>0</v>
      </c>
      <c r="P37" s="193"/>
      <c r="Q37" s="221"/>
      <c r="R37" s="185"/>
      <c r="S37" s="230">
        <f>IF($A$37&lt;&gt;"NÃO SELECIONADO",Q37*R37,0)</f>
        <v>0</v>
      </c>
      <c r="T37" s="181"/>
      <c r="U37" s="221"/>
      <c r="V37" s="185"/>
      <c r="W37" s="230">
        <f>IF($A$37&lt;&gt;"NÃO SELECIONADO",U37*V37,0)</f>
        <v>0</v>
      </c>
    </row>
    <row r="38" spans="1:23" hidden="1">
      <c r="A38" s="731"/>
      <c r="B38" s="805"/>
      <c r="C38" s="734"/>
      <c r="D38" s="193"/>
      <c r="E38" s="221"/>
      <c r="F38" s="185"/>
      <c r="G38" s="230">
        <f>IF($A$37&lt;&gt;"NÃO SELECIONADO",E38*F38,0)</f>
        <v>0</v>
      </c>
      <c r="H38" s="192"/>
      <c r="I38" s="221"/>
      <c r="J38" s="185"/>
      <c r="K38" s="230">
        <f>IF($A$37&lt;&gt;"NÃO SELECIONADO",I38*J38,0)</f>
        <v>0</v>
      </c>
      <c r="L38" s="379"/>
      <c r="M38" s="221"/>
      <c r="N38" s="185"/>
      <c r="O38" s="230">
        <f>IF($A$37&lt;&gt;"NÃO SELECIONADO",M38*N38,0)</f>
        <v>0</v>
      </c>
      <c r="P38" s="193"/>
      <c r="Q38" s="221"/>
      <c r="R38" s="185"/>
      <c r="S38" s="230">
        <f>IF($A$37&lt;&gt;"NÃO SELECIONADO",Q38*R38,0)</f>
        <v>0</v>
      </c>
      <c r="T38" s="181"/>
      <c r="U38" s="221"/>
      <c r="V38" s="185"/>
      <c r="W38" s="230">
        <f>IF($A$37&lt;&gt;"NÃO SELECIONADO",U38*V38,0)</f>
        <v>0</v>
      </c>
    </row>
    <row r="39" spans="1:23" hidden="1">
      <c r="A39" s="731"/>
      <c r="B39" s="805"/>
      <c r="C39" s="734"/>
      <c r="D39" s="193"/>
      <c r="E39" s="221"/>
      <c r="F39" s="185"/>
      <c r="G39" s="230">
        <f>IF($A$37&lt;&gt;"NÃO SELECIONADO",E39*F39,0)</f>
        <v>0</v>
      </c>
      <c r="H39" s="192"/>
      <c r="I39" s="221"/>
      <c r="J39" s="185"/>
      <c r="K39" s="230">
        <f>IF($A$37&lt;&gt;"NÃO SELECIONADO",I39*J39,0)</f>
        <v>0</v>
      </c>
      <c r="L39" s="190"/>
      <c r="M39" s="221"/>
      <c r="N39" s="185"/>
      <c r="O39" s="230">
        <f>IF($A$37&lt;&gt;"NÃO SELECIONADO",M39*N39,0)</f>
        <v>0</v>
      </c>
      <c r="P39" s="193"/>
      <c r="Q39" s="221"/>
      <c r="R39" s="185"/>
      <c r="S39" s="230">
        <f>IF($A$37&lt;&gt;"NÃO SELECIONADO",Q39*R39,0)</f>
        <v>0</v>
      </c>
      <c r="T39" s="192"/>
      <c r="U39" s="221"/>
      <c r="V39" s="185"/>
      <c r="W39" s="230">
        <f>IF($A$37&lt;&gt;"NÃO SELECIONADO",U39*V39,0)</f>
        <v>0</v>
      </c>
    </row>
    <row r="40" spans="1:23" hidden="1">
      <c r="A40" s="731"/>
      <c r="B40" s="805"/>
      <c r="C40" s="734"/>
      <c r="D40" s="193"/>
      <c r="E40" s="221"/>
      <c r="F40" s="185"/>
      <c r="G40" s="230">
        <f>IF($A$37&lt;&gt;"NÃO SELECIONADO",E40*F40,0)</f>
        <v>0</v>
      </c>
      <c r="H40" s="192"/>
      <c r="I40" s="221"/>
      <c r="J40" s="185"/>
      <c r="K40" s="230">
        <f>IF($A$37&lt;&gt;"NÃO SELECIONADO",I40*J40,0)</f>
        <v>0</v>
      </c>
      <c r="L40" s="190"/>
      <c r="M40" s="221"/>
      <c r="N40" s="185"/>
      <c r="O40" s="230">
        <f>IF($A$37&lt;&gt;"NÃO SELECIONADO",M40*N40,0)</f>
        <v>0</v>
      </c>
      <c r="P40" s="193"/>
      <c r="Q40" s="221"/>
      <c r="R40" s="185"/>
      <c r="S40" s="230">
        <f>IF($A$37&lt;&gt;"NÃO SELECIONADO",Q40*R40,0)</f>
        <v>0</v>
      </c>
      <c r="T40" s="192"/>
      <c r="U40" s="221"/>
      <c r="V40" s="185"/>
      <c r="W40" s="230">
        <f>IF($A$37&lt;&gt;"NÃO SELECIONADO",U40*V40,0)</f>
        <v>0</v>
      </c>
    </row>
    <row r="41" spans="1:23" hidden="1">
      <c r="A41" s="287">
        <f>IF(A37&lt;&gt;"NÃO SELECIONADO",SUM(G37:G41)+SUM(K37:K41)+SUM(O37:O41)+SUM(S37:S41)+SUM(W37:W41),0)</f>
        <v>0</v>
      </c>
      <c r="B41" s="805"/>
      <c r="C41" s="734"/>
      <c r="D41" s="193"/>
      <c r="E41" s="221"/>
      <c r="F41" s="185"/>
      <c r="G41" s="230">
        <f>IF($A$37&lt;&gt;"NÃO SELECIONADO",E41*F41,0)</f>
        <v>0</v>
      </c>
      <c r="H41" s="192"/>
      <c r="I41" s="221"/>
      <c r="J41" s="185"/>
      <c r="K41" s="230">
        <f>IF($A$37&lt;&gt;"NÃO SELECIONADO",I41*J41,0)</f>
        <v>0</v>
      </c>
      <c r="L41" s="190"/>
      <c r="M41" s="221"/>
      <c r="N41" s="185"/>
      <c r="O41" s="230">
        <f>IF($A$37&lt;&gt;"NÃO SELECIONADO",M41*N41,0)</f>
        <v>0</v>
      </c>
      <c r="P41" s="193"/>
      <c r="Q41" s="221"/>
      <c r="R41" s="185"/>
      <c r="S41" s="230">
        <f>IF($A$37&lt;&gt;"NÃO SELECIONADO",Q41*R41,0)</f>
        <v>0</v>
      </c>
      <c r="T41" s="192"/>
      <c r="U41" s="221"/>
      <c r="V41" s="185"/>
      <c r="W41" s="230">
        <f>IF($A$37&lt;&gt;"NÃO SELECIONADO",U41*V41,0)</f>
        <v>0</v>
      </c>
    </row>
    <row r="42" spans="1:23" hidden="1">
      <c r="A42" s="731" t="str">
        <f>IF('3_Comp e Produtos'!B14="Sim",'3_Comp e Produtos'!A14,"NÃO SELECIONADO")</f>
        <v>1.8. Criação do Escritório de Processos</v>
      </c>
      <c r="B42" s="806"/>
      <c r="C42" s="734"/>
      <c r="D42" s="378"/>
      <c r="E42" s="326"/>
      <c r="F42" s="231"/>
      <c r="G42" s="230">
        <f>IF($A$42&lt;&gt;"NÃO SELECIONADO",E42*F42,0)</f>
        <v>0</v>
      </c>
      <c r="H42" s="189"/>
      <c r="I42" s="221"/>
      <c r="J42" s="185"/>
      <c r="K42" s="230">
        <f>IF($A$42&lt;&gt;"NÃO SELECIONADO",I42*J42,0)</f>
        <v>0</v>
      </c>
      <c r="L42" s="379"/>
      <c r="M42" s="222"/>
      <c r="N42" s="380"/>
      <c r="O42" s="230">
        <f>IF($A$42&lt;&gt;"NÃO SELECIONADO",M42*N42,0)</f>
        <v>0</v>
      </c>
      <c r="P42" s="193"/>
      <c r="Q42" s="221"/>
      <c r="R42" s="185"/>
      <c r="S42" s="230">
        <f>IF($A$42&lt;&gt;"NÃO SELECIONADO",Q42*R42,0)</f>
        <v>0</v>
      </c>
      <c r="T42" s="192"/>
      <c r="U42" s="221"/>
      <c r="V42" s="185"/>
      <c r="W42" s="230">
        <f>IF($A$42&lt;&gt;"NÃO SELECIONADO",U42*V42,0)</f>
        <v>0</v>
      </c>
    </row>
    <row r="43" spans="1:23" hidden="1">
      <c r="A43" s="731"/>
      <c r="B43" s="805"/>
      <c r="C43" s="734"/>
      <c r="D43" s="193"/>
      <c r="E43" s="221"/>
      <c r="F43" s="185"/>
      <c r="G43" s="230">
        <f>IF($A$42&lt;&gt;"NÃO SELECIONADO",E43*F43,0)</f>
        <v>0</v>
      </c>
      <c r="H43" s="192"/>
      <c r="I43" s="221"/>
      <c r="J43" s="185"/>
      <c r="K43" s="230">
        <f>IF($A$42&lt;&gt;"NÃO SELECIONADO",I43*J43,0)</f>
        <v>0</v>
      </c>
      <c r="L43" s="379"/>
      <c r="M43" s="222"/>
      <c r="N43" s="194"/>
      <c r="O43" s="230">
        <f>IF($A$42&lt;&gt;"NÃO SELECIONADO",M43*N43,0)</f>
        <v>0</v>
      </c>
      <c r="P43" s="193"/>
      <c r="Q43" s="221"/>
      <c r="R43" s="185"/>
      <c r="S43" s="230">
        <f>IF($A$42&lt;&gt;"NÃO SELECIONADO",Q43*R43,0)</f>
        <v>0</v>
      </c>
      <c r="T43" s="192"/>
      <c r="U43" s="221"/>
      <c r="V43" s="185"/>
      <c r="W43" s="230">
        <f>IF($A$42&lt;&gt;"NÃO SELECIONADO",U43*V43,0)</f>
        <v>0</v>
      </c>
    </row>
    <row r="44" spans="1:23" hidden="1">
      <c r="A44" s="731"/>
      <c r="B44" s="805"/>
      <c r="C44" s="734"/>
      <c r="D44" s="193"/>
      <c r="E44" s="221"/>
      <c r="F44" s="185"/>
      <c r="G44" s="230">
        <f>IF($A$42&lt;&gt;"NÃO SELECIONADO",E44*F44,0)</f>
        <v>0</v>
      </c>
      <c r="H44" s="192"/>
      <c r="I44" s="221"/>
      <c r="J44" s="185"/>
      <c r="K44" s="230">
        <f>IF($A$42&lt;&gt;"NÃO SELECIONADO",I44*J44,0)</f>
        <v>0</v>
      </c>
      <c r="L44" s="190"/>
      <c r="M44" s="221"/>
      <c r="N44" s="185"/>
      <c r="O44" s="230">
        <f>IF($A$42&lt;&gt;"NÃO SELECIONADO",M44*N44,0)</f>
        <v>0</v>
      </c>
      <c r="P44" s="193"/>
      <c r="Q44" s="221"/>
      <c r="R44" s="185"/>
      <c r="S44" s="230">
        <f>IF($A$42&lt;&gt;"NÃO SELECIONADO",Q44*R44,0)</f>
        <v>0</v>
      </c>
      <c r="T44" s="192"/>
      <c r="U44" s="221"/>
      <c r="V44" s="185"/>
      <c r="W44" s="230">
        <f>IF($A$42&lt;&gt;"NÃO SELECIONADO",U44*V44,0)</f>
        <v>0</v>
      </c>
    </row>
    <row r="45" spans="1:23" hidden="1">
      <c r="A45" s="731"/>
      <c r="B45" s="805"/>
      <c r="C45" s="734"/>
      <c r="D45" s="193"/>
      <c r="E45" s="221"/>
      <c r="F45" s="185"/>
      <c r="G45" s="230">
        <f>IF($A$42&lt;&gt;"NÃO SELECIONADO",E45*F45,0)</f>
        <v>0</v>
      </c>
      <c r="H45" s="192"/>
      <c r="I45" s="221"/>
      <c r="J45" s="185"/>
      <c r="K45" s="230">
        <f>IF($A$42&lt;&gt;"NÃO SELECIONADO",I45*J45,0)</f>
        <v>0</v>
      </c>
      <c r="L45" s="190"/>
      <c r="M45" s="221"/>
      <c r="N45" s="185"/>
      <c r="O45" s="230">
        <f>IF($A$42&lt;&gt;"NÃO SELECIONADO",M45*N45,0)</f>
        <v>0</v>
      </c>
      <c r="P45" s="193"/>
      <c r="Q45" s="221"/>
      <c r="R45" s="185"/>
      <c r="S45" s="230">
        <f>IF($A$42&lt;&gt;"NÃO SELECIONADO",Q45*R45,0)</f>
        <v>0</v>
      </c>
      <c r="T45" s="192"/>
      <c r="U45" s="221"/>
      <c r="V45" s="185"/>
      <c r="W45" s="230">
        <f>IF($A$42&lt;&gt;"NÃO SELECIONADO",U45*V45,0)</f>
        <v>0</v>
      </c>
    </row>
    <row r="46" spans="1:23" hidden="1">
      <c r="A46" s="287">
        <f>IF(A42&lt;&gt;"NÃO SELECIONADO",SUM(G42:G46)+SUM(K42:K46)+SUM(O42:O46)+SUM(S42:S46)+SUM(W42:W46),0)</f>
        <v>0</v>
      </c>
      <c r="B46" s="805"/>
      <c r="C46" s="734"/>
      <c r="D46" s="193"/>
      <c r="E46" s="221"/>
      <c r="F46" s="185"/>
      <c r="G46" s="230">
        <f>IF($A$42&lt;&gt;"NÃO SELECIONADO",E46*F46,0)</f>
        <v>0</v>
      </c>
      <c r="H46" s="192"/>
      <c r="I46" s="221"/>
      <c r="J46" s="185"/>
      <c r="K46" s="230">
        <f>IF($A$42&lt;&gt;"NÃO SELECIONADO",I46*J46,0)</f>
        <v>0</v>
      </c>
      <c r="L46" s="190"/>
      <c r="M46" s="221"/>
      <c r="N46" s="185"/>
      <c r="O46" s="230">
        <f>IF($A$42&lt;&gt;"NÃO SELECIONADO",M46*N46,0)</f>
        <v>0</v>
      </c>
      <c r="P46" s="210"/>
      <c r="Q46" s="221"/>
      <c r="R46" s="185"/>
      <c r="S46" s="230">
        <f>IF($A$42&lt;&gt;"NÃO SELECIONADO",Q46*R46,0)</f>
        <v>0</v>
      </c>
      <c r="T46" s="192"/>
      <c r="U46" s="221"/>
      <c r="V46" s="185"/>
      <c r="W46" s="230">
        <f>IF($A$42&lt;&gt;"NÃO SELECIONADO",U46*V46,0)</f>
        <v>0</v>
      </c>
    </row>
    <row r="47" spans="1:23" hidden="1">
      <c r="A47" s="766" t="str">
        <f>IF('3_Comp e Produtos'!B15="Sim",'3_Comp e Produtos'!A15,"NÃO SELECIONADO")</f>
        <v>1.9. Modelo dinâmico de gerência, controle, otimização, integração e sustentabilidade dos processos operacionais e de gestão</v>
      </c>
      <c r="B47" s="806"/>
      <c r="C47" s="732"/>
      <c r="D47" s="189"/>
      <c r="E47" s="221"/>
      <c r="F47" s="185"/>
      <c r="G47" s="229">
        <f>IF($A$47&lt;&gt;"NÃO SELECIONADO",E47*F47,0)</f>
        <v>0</v>
      </c>
      <c r="H47" s="189"/>
      <c r="I47" s="221"/>
      <c r="J47" s="185"/>
      <c r="K47" s="229">
        <f>IF($A$47&lt;&gt;"NÃO SELECIONADO",I47*J47,0)</f>
        <v>0</v>
      </c>
      <c r="L47" s="541"/>
      <c r="M47" s="542"/>
      <c r="N47" s="543"/>
      <c r="O47" s="229">
        <f>IF($A$47&lt;&gt;"NÃO SELECIONADO",M47*N47,0)</f>
        <v>0</v>
      </c>
      <c r="P47" s="535"/>
      <c r="Q47" s="221"/>
      <c r="R47" s="185"/>
      <c r="S47" s="229">
        <f>IF($A$47&lt;&gt;"NÃO SELECIONADO",Q47*R47,0)</f>
        <v>0</v>
      </c>
      <c r="T47" s="188"/>
      <c r="U47" s="221"/>
      <c r="V47" s="185"/>
      <c r="W47" s="229">
        <f>IF($A$47&lt;&gt;"NÃO SELECIONADO",U47*V47,0)</f>
        <v>0</v>
      </c>
    </row>
    <row r="48" spans="1:23" hidden="1">
      <c r="A48" s="766"/>
      <c r="B48" s="805"/>
      <c r="C48" s="732"/>
      <c r="D48" s="378"/>
      <c r="E48" s="326"/>
      <c r="F48" s="231"/>
      <c r="G48" s="229">
        <f>IF($A$47&lt;&gt;"NÃO SELECIONADO",E48*F48,0)</f>
        <v>0</v>
      </c>
      <c r="H48" s="192"/>
      <c r="I48" s="221"/>
      <c r="J48" s="185"/>
      <c r="K48" s="229">
        <f>IF($A$47&lt;&gt;"NÃO SELECIONADO",I48*J48,0)</f>
        <v>0</v>
      </c>
      <c r="L48" s="190"/>
      <c r="M48" s="221"/>
      <c r="N48" s="185"/>
      <c r="O48" s="229">
        <f>IF($A$47&lt;&gt;"NÃO SELECIONADO",M48*N48,0)</f>
        <v>0</v>
      </c>
      <c r="P48" s="192"/>
      <c r="Q48" s="221"/>
      <c r="R48" s="185"/>
      <c r="S48" s="229">
        <f>IF($A$47&lt;&gt;"NÃO SELECIONADO",Q48*R48,0)</f>
        <v>0</v>
      </c>
      <c r="T48" s="192"/>
      <c r="U48" s="221"/>
      <c r="V48" s="185"/>
      <c r="W48" s="229">
        <f>IF($A$47&lt;&gt;"NÃO SELECIONADO",U48*V48,0)</f>
        <v>0</v>
      </c>
    </row>
    <row r="49" spans="1:23" hidden="1">
      <c r="A49" s="766"/>
      <c r="B49" s="805"/>
      <c r="C49" s="732"/>
      <c r="D49" s="193"/>
      <c r="E49" s="221"/>
      <c r="F49" s="185"/>
      <c r="G49" s="229">
        <f>IF($A$47&lt;&gt;"NÃO SELECIONADO",E49*F49,0)</f>
        <v>0</v>
      </c>
      <c r="H49" s="192"/>
      <c r="I49" s="221"/>
      <c r="J49" s="185"/>
      <c r="K49" s="229">
        <f>IF($A$47&lt;&gt;"NÃO SELECIONADO",I49*J49,0)</f>
        <v>0</v>
      </c>
      <c r="L49" s="190"/>
      <c r="M49" s="221"/>
      <c r="N49" s="185"/>
      <c r="O49" s="229">
        <f>IF($A$47&lt;&gt;"NÃO SELECIONADO",M49*N49,0)</f>
        <v>0</v>
      </c>
      <c r="P49" s="192"/>
      <c r="Q49" s="221"/>
      <c r="R49" s="185"/>
      <c r="S49" s="229">
        <f>IF($A$47&lt;&gt;"NÃO SELECIONADO",Q49*R49,0)</f>
        <v>0</v>
      </c>
      <c r="T49" s="192"/>
      <c r="U49" s="221"/>
      <c r="V49" s="185"/>
      <c r="W49" s="229">
        <f>IF($A$47&lt;&gt;"NÃO SELECIONADO",U49*V49,0)</f>
        <v>0</v>
      </c>
    </row>
    <row r="50" spans="1:23" hidden="1">
      <c r="A50" s="766"/>
      <c r="B50" s="805"/>
      <c r="C50" s="732"/>
      <c r="D50" s="193"/>
      <c r="E50" s="221"/>
      <c r="F50" s="185"/>
      <c r="G50" s="229">
        <f>IF($A$47&lt;&gt;"NÃO SELECIONADO",E50*F50,0)</f>
        <v>0</v>
      </c>
      <c r="H50" s="192"/>
      <c r="I50" s="221"/>
      <c r="J50" s="185"/>
      <c r="K50" s="229">
        <f>IF($A$47&lt;&gt;"NÃO SELECIONADO",I50*J50,0)</f>
        <v>0</v>
      </c>
      <c r="L50" s="190"/>
      <c r="M50" s="221"/>
      <c r="N50" s="185"/>
      <c r="O50" s="229">
        <f>IF($A$47&lt;&gt;"NÃO SELECIONADO",M50*N50,0)</f>
        <v>0</v>
      </c>
      <c r="P50" s="192"/>
      <c r="Q50" s="221"/>
      <c r="R50" s="185"/>
      <c r="S50" s="229">
        <f>IF($A$47&lt;&gt;"NÃO SELECIONADO",Q50*R50,0)</f>
        <v>0</v>
      </c>
      <c r="T50" s="192"/>
      <c r="U50" s="221"/>
      <c r="V50" s="185"/>
      <c r="W50" s="229">
        <f>IF($A$47&lt;&gt;"NÃO SELECIONADO",U50*V50,0)</f>
        <v>0</v>
      </c>
    </row>
    <row r="51" spans="1:23" hidden="1">
      <c r="A51" s="287">
        <f>IF(A47&lt;&gt;"NÃO SELECIONADO",SUM(G47:G51)+SUM(K47:K51)+SUM(O47:O51)+SUM(S47:S51)+SUM(W47:W51),0)</f>
        <v>0</v>
      </c>
      <c r="B51" s="805"/>
      <c r="C51" s="732"/>
      <c r="D51" s="193"/>
      <c r="E51" s="221"/>
      <c r="F51" s="185"/>
      <c r="G51" s="229">
        <f>IF($A$47&lt;&gt;"NÃO SELECIONADO",E51*F51,0)</f>
        <v>0</v>
      </c>
      <c r="H51" s="192"/>
      <c r="I51" s="221"/>
      <c r="J51" s="185"/>
      <c r="K51" s="229">
        <f>IF($A$47&lt;&gt;"NÃO SELECIONADO",I51*J51,0)</f>
        <v>0</v>
      </c>
      <c r="L51" s="190"/>
      <c r="M51" s="221"/>
      <c r="N51" s="185"/>
      <c r="O51" s="229">
        <f>IF($A$47&lt;&gt;"NÃO SELECIONADO",M51*N51,0)</f>
        <v>0</v>
      </c>
      <c r="P51" s="192"/>
      <c r="Q51" s="221"/>
      <c r="R51" s="185"/>
      <c r="S51" s="229">
        <f>IF($A$47&lt;&gt;"NÃO SELECIONADO",Q51*R51,0)</f>
        <v>0</v>
      </c>
      <c r="T51" s="192"/>
      <c r="U51" s="221"/>
      <c r="V51" s="185"/>
      <c r="W51" s="229">
        <f>IF($A$47&lt;&gt;"NÃO SELECIONADO",U51*V51,0)</f>
        <v>0</v>
      </c>
    </row>
    <row r="52" spans="1:23" hidden="1">
      <c r="A52" s="731" t="str">
        <f>IF('3_Comp e Produtos'!B16="Sim",'3_Comp e Produtos'!A16,"NÃO SELECIONADO")</f>
        <v>1.10. Unidade responsável pela definição e monitoramento dos projetos institucionais (Escitório de Gestão de Projetos)</v>
      </c>
      <c r="B52" s="806"/>
      <c r="C52" s="734"/>
      <c r="D52" s="378"/>
      <c r="E52" s="221"/>
      <c r="F52" s="185"/>
      <c r="G52" s="230">
        <f>IF($A$52&lt;&gt;"NÃO SELECIONADO",E52*F52,0)</f>
        <v>0</v>
      </c>
      <c r="H52" s="189"/>
      <c r="I52" s="221"/>
      <c r="J52" s="185"/>
      <c r="K52" s="230">
        <f>IF($A$52&lt;&gt;"NÃO SELECIONADO",I52*J52,0)</f>
        <v>0</v>
      </c>
      <c r="L52" s="190"/>
      <c r="M52" s="221"/>
      <c r="N52" s="185"/>
      <c r="O52" s="230">
        <f>IF($A$52&lt;&gt;"NÃO SELECIONADO",M52*N52,0)</f>
        <v>0</v>
      </c>
      <c r="P52" s="192"/>
      <c r="Q52" s="221"/>
      <c r="R52" s="185"/>
      <c r="S52" s="230">
        <f>IF($A$52&lt;&gt;"NÃO SELECIONADO",Q52*R52,0)</f>
        <v>0</v>
      </c>
      <c r="T52" s="192"/>
      <c r="U52" s="221"/>
      <c r="V52" s="185"/>
      <c r="W52" s="230">
        <f>IF($A$52&lt;&gt;"NÃO SELECIONADO",U52*V52,0)</f>
        <v>0</v>
      </c>
    </row>
    <row r="53" spans="1:23" hidden="1">
      <c r="A53" s="731"/>
      <c r="B53" s="805"/>
      <c r="C53" s="734"/>
      <c r="D53" s="193"/>
      <c r="E53" s="221"/>
      <c r="F53" s="185"/>
      <c r="G53" s="230">
        <f>IF($A$52&lt;&gt;"NÃO SELECIONADO",E53*F53,0)</f>
        <v>0</v>
      </c>
      <c r="H53" s="192"/>
      <c r="I53" s="221"/>
      <c r="J53" s="185"/>
      <c r="K53" s="230">
        <f>IF($A$52&lt;&gt;"NÃO SELECIONADO",I53*J53,0)</f>
        <v>0</v>
      </c>
      <c r="L53" s="190"/>
      <c r="M53" s="221"/>
      <c r="N53" s="185"/>
      <c r="O53" s="230">
        <f>IF($A$52&lt;&gt;"NÃO SELECIONADO",M53*N53,0)</f>
        <v>0</v>
      </c>
      <c r="P53" s="192"/>
      <c r="Q53" s="221"/>
      <c r="R53" s="185"/>
      <c r="S53" s="230">
        <f>IF($A$52&lt;&gt;"NÃO SELECIONADO",Q53*R53,0)</f>
        <v>0</v>
      </c>
      <c r="T53" s="192"/>
      <c r="U53" s="221"/>
      <c r="V53" s="185"/>
      <c r="W53" s="230">
        <f>IF($A$52&lt;&gt;"NÃO SELECIONADO",U53*V53,0)</f>
        <v>0</v>
      </c>
    </row>
    <row r="54" spans="1:23" hidden="1">
      <c r="A54" s="731"/>
      <c r="B54" s="805"/>
      <c r="C54" s="734"/>
      <c r="D54" s="193"/>
      <c r="E54" s="221"/>
      <c r="F54" s="185"/>
      <c r="G54" s="230">
        <f>IF($A$52&lt;&gt;"NÃO SELECIONADO",E54*F54,0)</f>
        <v>0</v>
      </c>
      <c r="H54" s="192"/>
      <c r="I54" s="221"/>
      <c r="J54" s="185"/>
      <c r="K54" s="230">
        <f>IF($A$52&lt;&gt;"NÃO SELECIONADO",I54*J54,0)</f>
        <v>0</v>
      </c>
      <c r="L54" s="190"/>
      <c r="M54" s="221"/>
      <c r="N54" s="185"/>
      <c r="O54" s="230">
        <f>IF($A$52&lt;&gt;"NÃO SELECIONADO",M54*N54,0)</f>
        <v>0</v>
      </c>
      <c r="P54" s="192"/>
      <c r="Q54" s="221"/>
      <c r="R54" s="185"/>
      <c r="S54" s="230">
        <f>IF($A$52&lt;&gt;"NÃO SELECIONADO",Q54*R54,0)</f>
        <v>0</v>
      </c>
      <c r="T54" s="192"/>
      <c r="U54" s="221"/>
      <c r="V54" s="185"/>
      <c r="W54" s="230">
        <f>IF($A$52&lt;&gt;"NÃO SELECIONADO",U54*V54,0)</f>
        <v>0</v>
      </c>
    </row>
    <row r="55" spans="1:23" hidden="1">
      <c r="A55" s="731"/>
      <c r="B55" s="805"/>
      <c r="C55" s="734"/>
      <c r="D55" s="193"/>
      <c r="E55" s="221"/>
      <c r="F55" s="185"/>
      <c r="G55" s="230">
        <f>IF($A$52&lt;&gt;"NÃO SELECIONADO",E55*F55,0)</f>
        <v>0</v>
      </c>
      <c r="H55" s="192"/>
      <c r="I55" s="221"/>
      <c r="J55" s="185"/>
      <c r="K55" s="230">
        <f>IF($A$52&lt;&gt;"NÃO SELECIONADO",I55*J55,0)</f>
        <v>0</v>
      </c>
      <c r="L55" s="190"/>
      <c r="M55" s="221"/>
      <c r="N55" s="185"/>
      <c r="O55" s="230">
        <f>IF($A$52&lt;&gt;"NÃO SELECIONADO",M55*N55,0)</f>
        <v>0</v>
      </c>
      <c r="P55" s="192"/>
      <c r="Q55" s="221"/>
      <c r="R55" s="185"/>
      <c r="S55" s="230">
        <f>IF($A$52&lt;&gt;"NÃO SELECIONADO",Q55*R55,0)</f>
        <v>0</v>
      </c>
      <c r="T55" s="192"/>
      <c r="U55" s="221"/>
      <c r="V55" s="185"/>
      <c r="W55" s="230">
        <f>IF($A$52&lt;&gt;"NÃO SELECIONADO",U55*V55,0)</f>
        <v>0</v>
      </c>
    </row>
    <row r="56" spans="1:23" ht="13.5" hidden="1" thickBot="1">
      <c r="A56" s="287">
        <f>IF(A52&lt;&gt;"NÃO SELECIONADO",SUM(G52:G56)+SUM(K52:K56)+SUM(O52:O56)+SUM(S52:S56)+SUM(W52:W56),0)</f>
        <v>0</v>
      </c>
      <c r="B56" s="805"/>
      <c r="C56" s="734"/>
      <c r="D56" s="193"/>
      <c r="E56" s="221"/>
      <c r="F56" s="185"/>
      <c r="G56" s="230">
        <f>IF($A$52&lt;&gt;"NÃO SELECIONADO",E56*F56,0)</f>
        <v>0</v>
      </c>
      <c r="H56" s="192"/>
      <c r="I56" s="221"/>
      <c r="J56" s="185"/>
      <c r="K56" s="230">
        <f>IF($A$52&lt;&gt;"NÃO SELECIONADO",I56*J56,0)</f>
        <v>0</v>
      </c>
      <c r="L56" s="190"/>
      <c r="M56" s="221"/>
      <c r="N56" s="185"/>
      <c r="O56" s="230">
        <f>IF($A$52&lt;&gt;"NÃO SELECIONADO",M56*N56,0)</f>
        <v>0</v>
      </c>
      <c r="P56" s="192"/>
      <c r="Q56" s="221"/>
      <c r="R56" s="185"/>
      <c r="S56" s="230">
        <f>IF($A$52&lt;&gt;"NÃO SELECIONADO",Q56*R56,0)</f>
        <v>0</v>
      </c>
      <c r="T56" s="192"/>
      <c r="U56" s="221"/>
      <c r="V56" s="185"/>
      <c r="W56" s="230">
        <f>IF($A$52&lt;&gt;"NÃO SELECIONADO",U56*V56,0)</f>
        <v>0</v>
      </c>
    </row>
    <row r="57" spans="1:23" s="288" customFormat="1" ht="13.5" thickBot="1">
      <c r="A57" s="211" t="s">
        <v>16</v>
      </c>
      <c r="B57" s="544">
        <f>SUM(G57:W57)</f>
        <v>5251000</v>
      </c>
      <c r="C57" s="212"/>
      <c r="D57" s="213"/>
      <c r="E57" s="224"/>
      <c r="F57" s="214"/>
      <c r="G57" s="310">
        <f>SUM(G5:G56)</f>
        <v>50000</v>
      </c>
      <c r="H57" s="215"/>
      <c r="I57" s="224"/>
      <c r="J57" s="214"/>
      <c r="K57" s="310">
        <f>SUM(K5:K56)</f>
        <v>4728000</v>
      </c>
      <c r="L57" s="216"/>
      <c r="M57" s="224"/>
      <c r="N57" s="214"/>
      <c r="O57" s="310">
        <f>SUM(O5:O56)</f>
        <v>0</v>
      </c>
      <c r="P57" s="215"/>
      <c r="Q57" s="224"/>
      <c r="R57" s="214"/>
      <c r="S57" s="310">
        <f>SUM(S5:S56)</f>
        <v>0</v>
      </c>
      <c r="T57" s="215"/>
      <c r="U57" s="224"/>
      <c r="V57" s="214"/>
      <c r="W57" s="310">
        <f>SUM(W5:W56)</f>
        <v>473000</v>
      </c>
    </row>
    <row r="60" spans="1:23">
      <c r="T60" s="217"/>
    </row>
    <row r="63" spans="1:23">
      <c r="H63" s="217"/>
    </row>
    <row r="66" spans="7:8">
      <c r="G66" s="217"/>
    </row>
    <row r="67" spans="7:8">
      <c r="G67" s="217"/>
      <c r="H67" s="217"/>
    </row>
  </sheetData>
  <mergeCells count="44">
    <mergeCell ref="A47:A50"/>
    <mergeCell ref="B47:B51"/>
    <mergeCell ref="C47:C51"/>
    <mergeCell ref="A52:A55"/>
    <mergeCell ref="B52:B56"/>
    <mergeCell ref="C52:C56"/>
    <mergeCell ref="A37:A40"/>
    <mergeCell ref="B37:B41"/>
    <mergeCell ref="C37:C41"/>
    <mergeCell ref="A42:A45"/>
    <mergeCell ref="B42:B46"/>
    <mergeCell ref="C42:C46"/>
    <mergeCell ref="B25:B31"/>
    <mergeCell ref="C25:C31"/>
    <mergeCell ref="A32:A35"/>
    <mergeCell ref="B32:B36"/>
    <mergeCell ref="C32:C36"/>
    <mergeCell ref="A25:A30"/>
    <mergeCell ref="A15:A18"/>
    <mergeCell ref="B15:B19"/>
    <mergeCell ref="C15:C19"/>
    <mergeCell ref="A20:A23"/>
    <mergeCell ref="B20:B24"/>
    <mergeCell ref="C20:C24"/>
    <mergeCell ref="T3:U3"/>
    <mergeCell ref="V3:W3"/>
    <mergeCell ref="A5:A8"/>
    <mergeCell ref="B5:B9"/>
    <mergeCell ref="C5:C9"/>
    <mergeCell ref="L3:M3"/>
    <mergeCell ref="N3:O3"/>
    <mergeCell ref="P3:Q3"/>
    <mergeCell ref="R3:S3"/>
    <mergeCell ref="A10:A13"/>
    <mergeCell ref="B10:B14"/>
    <mergeCell ref="C10:C14"/>
    <mergeCell ref="H3:I3"/>
    <mergeCell ref="J3:K3"/>
    <mergeCell ref="F3:G3"/>
    <mergeCell ref="A2:B2"/>
    <mergeCell ref="A3:A4"/>
    <mergeCell ref="B3:B4"/>
    <mergeCell ref="C3:C4"/>
    <mergeCell ref="D3:E3"/>
  </mergeCells>
  <printOptions verticalCentered="1"/>
  <pageMargins left="0.39370078740157483" right="0.39370078740157483" top="0.78740157480314965" bottom="0.59055118110236227" header="0.31496062992125984" footer="0.31496062992125984"/>
  <pageSetup paperSize="9" scale="75" orientation="landscape" horizontalDpi="200" verticalDpi="200" r:id="rId1"/>
  <headerFooter>
    <oddHeader>&amp;LBID Modernização da AGU&amp;C
&amp;"Arial,Negrito"PLANO DE AÇÃO E DE INVESTIMENTOS - PAI</oddHeader>
    <oddFooter>&amp;L&amp;D&amp;C&amp;A&amp;R&amp;P / &amp;N</oddFooter>
  </headerFooter>
  <legacyDrawing r:id="rId2"/>
</worksheet>
</file>

<file path=xl/worksheets/sheet7.xml><?xml version="1.0" encoding="utf-8"?>
<worksheet xmlns="http://schemas.openxmlformats.org/spreadsheetml/2006/main" xmlns:r="http://schemas.openxmlformats.org/officeDocument/2006/relationships">
  <dimension ref="A1:BG31"/>
  <sheetViews>
    <sheetView showGridLines="0" zoomScale="85" zoomScaleNormal="85" zoomScaleSheetLayoutView="85" workbookViewId="0">
      <pane xSplit="2" ySplit="4" topLeftCell="P5" activePane="bottomRight" state="frozen"/>
      <selection activeCell="B31" sqref="B31:H35"/>
      <selection pane="topRight" activeCell="B31" sqref="B31:H35"/>
      <selection pane="bottomLeft" activeCell="B31" sqref="B31:H35"/>
      <selection pane="bottomRight" activeCell="Y26" sqref="Y26"/>
    </sheetView>
  </sheetViews>
  <sheetFormatPr defaultColWidth="9.140625" defaultRowHeight="12.75"/>
  <cols>
    <col min="1" max="1" width="30.7109375" customWidth="1"/>
    <col min="2" max="2" width="44.28515625" customWidth="1"/>
    <col min="3" max="3" width="44.5703125" customWidth="1"/>
    <col min="4" max="4" width="28.7109375" customWidth="1"/>
    <col min="5" max="5" width="10.7109375" style="14" customWidth="1"/>
    <col min="6" max="6" width="10.7109375" style="15" customWidth="1"/>
    <col min="7" max="7" width="12.7109375" customWidth="1"/>
    <col min="8" max="8" width="27.85546875" customWidth="1"/>
    <col min="9" max="9" width="6.7109375" style="16" customWidth="1"/>
    <col min="10" max="10" width="8.140625" style="17" bestFit="1" customWidth="1"/>
    <col min="11" max="11" width="12.7109375" customWidth="1"/>
    <col min="12" max="12" width="27.140625" customWidth="1"/>
    <col min="13" max="13" width="6.7109375" style="14" customWidth="1"/>
    <col min="14" max="14" width="8.140625" style="15" bestFit="1" customWidth="1"/>
    <col min="15" max="15" width="11" style="15" customWidth="1"/>
    <col min="16" max="16" width="27.42578125" customWidth="1"/>
    <col min="17" max="17" width="6.7109375" style="14" customWidth="1"/>
    <col min="18" max="18" width="10.7109375" style="15" customWidth="1"/>
    <col min="19" max="19" width="11.42578125" style="15" customWidth="1"/>
    <col min="20" max="20" width="27.140625" customWidth="1"/>
    <col min="21" max="21" width="6.7109375" style="14" customWidth="1"/>
    <col min="22" max="22" width="8.140625" style="15" bestFit="1" customWidth="1"/>
    <col min="23" max="23" width="10.7109375" style="15" customWidth="1"/>
  </cols>
  <sheetData>
    <row r="1" spans="1:59" ht="28.5" customHeight="1" thickBot="1">
      <c r="A1" s="18" t="s">
        <v>85</v>
      </c>
      <c r="B1" s="19"/>
      <c r="C1" s="20"/>
      <c r="D1" s="20"/>
      <c r="E1" s="21"/>
      <c r="F1" s="22"/>
      <c r="G1" s="23"/>
      <c r="H1" s="23"/>
      <c r="I1" s="24"/>
      <c r="J1" s="25"/>
      <c r="K1" s="23"/>
      <c r="L1" s="23"/>
      <c r="M1" s="26"/>
      <c r="N1" s="27"/>
      <c r="O1" s="27"/>
      <c r="P1" s="23"/>
      <c r="Q1" s="26"/>
      <c r="R1" s="27"/>
      <c r="S1" s="27"/>
      <c r="T1" s="23"/>
      <c r="U1" s="26"/>
      <c r="V1" s="27"/>
      <c r="W1" s="35"/>
    </row>
    <row r="2" spans="1:59" s="29" customFormat="1" ht="13.5" thickBot="1">
      <c r="A2" s="308" t="str">
        <f>'3_Comp e Produtos'!A52</f>
        <v>ADMINISTRAÇÃO</v>
      </c>
      <c r="B2" s="309"/>
      <c r="C2" s="36"/>
      <c r="D2" s="36"/>
      <c r="E2" s="37"/>
      <c r="F2" s="38"/>
      <c r="G2" s="36"/>
      <c r="H2" s="36"/>
      <c r="I2" s="39"/>
      <c r="J2" s="40"/>
      <c r="K2" s="36"/>
      <c r="L2" s="36"/>
      <c r="M2" s="37"/>
      <c r="N2" s="38"/>
      <c r="O2" s="38"/>
      <c r="P2" s="36"/>
      <c r="Q2" s="37"/>
      <c r="R2" s="38"/>
      <c r="S2" s="38"/>
      <c r="T2" s="36"/>
      <c r="U2" s="37"/>
      <c r="V2" s="38"/>
      <c r="W2" s="95"/>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row>
    <row r="3" spans="1:59" ht="27.75" customHeight="1" thickBot="1">
      <c r="A3" s="807" t="s">
        <v>3</v>
      </c>
      <c r="B3" s="809" t="s">
        <v>4</v>
      </c>
      <c r="C3" s="818" t="s">
        <v>5</v>
      </c>
      <c r="D3" s="815" t="s">
        <v>6</v>
      </c>
      <c r="E3" s="816"/>
      <c r="F3" s="822" t="s">
        <v>7</v>
      </c>
      <c r="G3" s="823"/>
      <c r="H3" s="824" t="s">
        <v>8</v>
      </c>
      <c r="I3" s="825"/>
      <c r="J3" s="826" t="s">
        <v>7</v>
      </c>
      <c r="K3" s="827"/>
      <c r="L3" s="811" t="s">
        <v>9</v>
      </c>
      <c r="M3" s="812"/>
      <c r="N3" s="813" t="s">
        <v>7</v>
      </c>
      <c r="O3" s="814"/>
      <c r="P3" s="820" t="s">
        <v>81</v>
      </c>
      <c r="Q3" s="821"/>
      <c r="R3" s="772" t="s">
        <v>7</v>
      </c>
      <c r="S3" s="778"/>
      <c r="T3" s="776" t="s">
        <v>82</v>
      </c>
      <c r="U3" s="777"/>
      <c r="V3" s="813" t="s">
        <v>7</v>
      </c>
      <c r="W3" s="817"/>
    </row>
    <row r="4" spans="1:59" ht="13.5" thickBot="1">
      <c r="A4" s="808"/>
      <c r="B4" s="810"/>
      <c r="C4" s="819"/>
      <c r="D4" s="303" t="s">
        <v>10</v>
      </c>
      <c r="E4" s="297" t="s">
        <v>11</v>
      </c>
      <c r="F4" s="297" t="s">
        <v>0</v>
      </c>
      <c r="G4" s="304" t="s">
        <v>62</v>
      </c>
      <c r="H4" s="305" t="s">
        <v>12</v>
      </c>
      <c r="I4" s="306" t="s">
        <v>1</v>
      </c>
      <c r="J4" s="306" t="s">
        <v>0</v>
      </c>
      <c r="K4" s="307" t="s">
        <v>62</v>
      </c>
      <c r="L4" s="303" t="s">
        <v>13</v>
      </c>
      <c r="M4" s="297" t="s">
        <v>14</v>
      </c>
      <c r="N4" s="297" t="s">
        <v>0</v>
      </c>
      <c r="O4" s="304" t="s">
        <v>62</v>
      </c>
      <c r="P4" s="305" t="s">
        <v>13</v>
      </c>
      <c r="Q4" s="306" t="s">
        <v>14</v>
      </c>
      <c r="R4" s="306" t="s">
        <v>0</v>
      </c>
      <c r="S4" s="307" t="s">
        <v>62</v>
      </c>
      <c r="T4" s="296" t="s">
        <v>15</v>
      </c>
      <c r="U4" s="297" t="s">
        <v>14</v>
      </c>
      <c r="V4" s="297" t="s">
        <v>0</v>
      </c>
      <c r="W4" s="298" t="s">
        <v>62</v>
      </c>
    </row>
    <row r="5" spans="1:59" s="12" customFormat="1" ht="25.5">
      <c r="A5" s="833" t="str">
        <f>IF('3_Comp e Produtos'!B53="Sim",'3_Comp e Produtos'!A53,"NÃO SELECIONADO")</f>
        <v>A1 - Gestão do Projeto</v>
      </c>
      <c r="B5" s="760" t="s">
        <v>231</v>
      </c>
      <c r="C5" s="829"/>
      <c r="D5" s="93" t="s">
        <v>232</v>
      </c>
      <c r="E5" s="354">
        <f>4*8*2</f>
        <v>64</v>
      </c>
      <c r="F5" s="355">
        <v>1000</v>
      </c>
      <c r="G5" s="312">
        <f>IF($A$5&lt;&gt;"NÃO SELECIONADO",E5*F5,0)</f>
        <v>64000</v>
      </c>
      <c r="H5" s="93" t="s">
        <v>234</v>
      </c>
      <c r="I5" s="338">
        <f>3*3*360+180</f>
        <v>3420</v>
      </c>
      <c r="J5" s="311">
        <f>8000/30</f>
        <v>267</v>
      </c>
      <c r="K5" s="312">
        <f>IF($A$5&lt;&gt;"NÃO SELECIONADO",I5*J5,0)</f>
        <v>913140</v>
      </c>
      <c r="L5" s="89" t="s">
        <v>235</v>
      </c>
      <c r="M5" s="86">
        <v>4</v>
      </c>
      <c r="N5" s="311">
        <v>10000</v>
      </c>
      <c r="O5" s="312">
        <f>IF($A$5&lt;&gt;"NÃO SELECIONADO",M5*N5,0)</f>
        <v>40000</v>
      </c>
      <c r="P5" s="315"/>
      <c r="Q5" s="338"/>
      <c r="R5" s="339"/>
      <c r="S5" s="312">
        <f>IF($A$5&lt;&gt;"NÃO SELECIONADO",Q5*R5,0)</f>
        <v>0</v>
      </c>
      <c r="T5" s="89" t="s">
        <v>236</v>
      </c>
      <c r="U5" s="86">
        <f>8*4*4</f>
        <v>128</v>
      </c>
      <c r="V5" s="311">
        <v>1000</v>
      </c>
      <c r="W5" s="312">
        <f>IF($A$5&lt;&gt;"NÃO SELECIONADO",U5*V5,0)</f>
        <v>128000</v>
      </c>
    </row>
    <row r="6" spans="1:59" s="12" customFormat="1" ht="30.6" customHeight="1">
      <c r="A6" s="834"/>
      <c r="B6" s="761"/>
      <c r="C6" s="829"/>
      <c r="D6" s="92"/>
      <c r="E6" s="333"/>
      <c r="F6" s="355"/>
      <c r="G6" s="312">
        <f>IF($A$5&lt;&gt;"NÃO SELECIONADO",E6*F6,0)</f>
        <v>0</v>
      </c>
      <c r="H6" s="357" t="s">
        <v>233</v>
      </c>
      <c r="I6" s="358">
        <f>4*360</f>
        <v>1440</v>
      </c>
      <c r="J6" s="327">
        <v>267</v>
      </c>
      <c r="K6" s="312">
        <f>IF($A$5&lt;&gt;"NÃO SELECIONADO",I6*J6,0)</f>
        <v>384480</v>
      </c>
      <c r="L6" s="93" t="s">
        <v>239</v>
      </c>
      <c r="M6" s="91">
        <v>4</v>
      </c>
      <c r="N6" s="231">
        <v>20000</v>
      </c>
      <c r="O6" s="312">
        <f>IF($A$5&lt;&gt;"NÃO SELECIONADO",M6*N6,0)</f>
        <v>80000</v>
      </c>
      <c r="P6" s="92"/>
      <c r="Q6" s="333"/>
      <c r="R6" s="343"/>
      <c r="S6" s="312">
        <f>IF($A$5&lt;&gt;"NÃO SELECIONADO",Q6*R6,0)</f>
        <v>0</v>
      </c>
      <c r="T6" s="181" t="s">
        <v>237</v>
      </c>
      <c r="U6" s="91">
        <f>128*3</f>
        <v>384</v>
      </c>
      <c r="V6" s="231">
        <v>250</v>
      </c>
      <c r="W6" s="312">
        <f>IF($A$5&lt;&gt;"NÃO SELECIONADO",U6*V6,0)</f>
        <v>96000</v>
      </c>
    </row>
    <row r="7" spans="1:59" s="12" customFormat="1">
      <c r="A7" s="834"/>
      <c r="B7" s="761"/>
      <c r="C7" s="829"/>
      <c r="D7" s="92"/>
      <c r="E7" s="333"/>
      <c r="F7" s="355"/>
      <c r="G7" s="312">
        <f>IF($A$5&lt;&gt;"NÃO SELECIONADO",E7*F7,0)</f>
        <v>0</v>
      </c>
      <c r="H7" s="357"/>
      <c r="I7" s="333"/>
      <c r="J7" s="313"/>
      <c r="K7" s="312">
        <f>IF($A$5&lt;&gt;"NÃO SELECIONADO",I7*J7,0)</f>
        <v>0</v>
      </c>
      <c r="L7" s="90"/>
      <c r="M7" s="91"/>
      <c r="N7" s="231"/>
      <c r="O7" s="312">
        <f>IF($A$5&lt;&gt;"NÃO SELECIONADO",M7*N7,0)</f>
        <v>0</v>
      </c>
      <c r="P7" s="90"/>
      <c r="Q7" s="333"/>
      <c r="R7" s="343"/>
      <c r="S7" s="312">
        <f>IF($A$5&lt;&gt;"NÃO SELECIONADO",Q7*R7,0)</f>
        <v>0</v>
      </c>
      <c r="T7" s="90"/>
      <c r="U7" s="91"/>
      <c r="V7" s="231"/>
      <c r="W7" s="312">
        <f>IF($A$5&lt;&gt;"NÃO SELECIONADO",U7*V7,0)</f>
        <v>0</v>
      </c>
    </row>
    <row r="8" spans="1:59" s="12" customFormat="1">
      <c r="A8" s="834"/>
      <c r="B8" s="761"/>
      <c r="C8" s="829"/>
      <c r="D8" s="92"/>
      <c r="E8" s="333"/>
      <c r="F8" s="355"/>
      <c r="G8" s="312">
        <f>IF($A$5&lt;&gt;"NÃO SELECIONADO",E8*F8,0)</f>
        <v>0</v>
      </c>
      <c r="H8" s="359"/>
      <c r="I8" s="333"/>
      <c r="J8" s="334"/>
      <c r="K8" s="312">
        <f>IF($A$5&lt;&gt;"NÃO SELECIONADO",I8*J8,0)</f>
        <v>0</v>
      </c>
      <c r="L8" s="90"/>
      <c r="M8" s="91"/>
      <c r="N8" s="231"/>
      <c r="O8" s="312">
        <f>IF($A$5&lt;&gt;"NÃO SELECIONADO",M8*N8,0)</f>
        <v>0</v>
      </c>
      <c r="P8" s="341"/>
      <c r="Q8" s="358"/>
      <c r="R8" s="327"/>
      <c r="S8" s="312">
        <f>IF($A$5&lt;&gt;"NÃO SELECIONADO",Q8*R8,0)</f>
        <v>0</v>
      </c>
      <c r="T8" s="90"/>
      <c r="U8" s="91"/>
      <c r="V8" s="231"/>
      <c r="W8" s="312">
        <f>IF($A$5&lt;&gt;"NÃO SELECIONADO",U8*V8,0)</f>
        <v>0</v>
      </c>
    </row>
    <row r="9" spans="1:59" s="12" customFormat="1">
      <c r="A9" s="834"/>
      <c r="B9" s="761"/>
      <c r="C9" s="829"/>
      <c r="D9" s="92"/>
      <c r="E9" s="333"/>
      <c r="F9" s="334"/>
      <c r="G9" s="229">
        <f t="shared" ref="G9:G14" si="0">IF($A$5&lt;&gt;"NÃO SELECIONADO",E9*F9,0)</f>
        <v>0</v>
      </c>
      <c r="H9" s="92"/>
      <c r="I9" s="91"/>
      <c r="J9" s="313"/>
      <c r="K9" s="229">
        <f t="shared" ref="K9:K14" si="1">IF($A$5&lt;&gt;"NÃO SELECIONADO",I9*J9,0)</f>
        <v>0</v>
      </c>
      <c r="L9" s="90"/>
      <c r="M9" s="91"/>
      <c r="N9" s="313"/>
      <c r="O9" s="229">
        <f t="shared" ref="O9:O14" si="2">IF($A$5&lt;&gt;"NÃO SELECIONADO",M9*N9,0)</f>
        <v>0</v>
      </c>
      <c r="P9" s="360"/>
      <c r="Q9" s="358"/>
      <c r="R9" s="327"/>
      <c r="S9" s="229">
        <f t="shared" ref="S9:S14" si="3">IF($A$5&lt;&gt;"NÃO SELECIONADO",Q9*R9,0)</f>
        <v>0</v>
      </c>
      <c r="T9" s="90"/>
      <c r="U9" s="91"/>
      <c r="V9" s="313"/>
      <c r="W9" s="229">
        <f t="shared" ref="W9:W14" si="4">IF($A$5&lt;&gt;"NÃO SELECIONADO",U9*V9,0)</f>
        <v>0</v>
      </c>
    </row>
    <row r="10" spans="1:59" s="12" customFormat="1">
      <c r="A10" s="834"/>
      <c r="B10" s="761"/>
      <c r="C10" s="829"/>
      <c r="D10" s="92"/>
      <c r="E10" s="333"/>
      <c r="F10" s="334"/>
      <c r="G10" s="229">
        <f t="shared" si="0"/>
        <v>0</v>
      </c>
      <c r="H10" s="92"/>
      <c r="I10" s="91"/>
      <c r="J10" s="313"/>
      <c r="K10" s="229">
        <f t="shared" si="1"/>
        <v>0</v>
      </c>
      <c r="L10" s="90"/>
      <c r="M10" s="91"/>
      <c r="N10" s="313"/>
      <c r="O10" s="229">
        <f t="shared" si="2"/>
        <v>0</v>
      </c>
      <c r="P10" s="90"/>
      <c r="Q10" s="91"/>
      <c r="R10" s="313"/>
      <c r="S10" s="229">
        <f t="shared" si="3"/>
        <v>0</v>
      </c>
      <c r="T10" s="90"/>
      <c r="U10" s="91"/>
      <c r="V10" s="313"/>
      <c r="W10" s="229">
        <f t="shared" si="4"/>
        <v>0</v>
      </c>
    </row>
    <row r="11" spans="1:59" s="12" customFormat="1">
      <c r="A11" s="834"/>
      <c r="B11" s="761"/>
      <c r="C11" s="829"/>
      <c r="D11" s="356"/>
      <c r="E11" s="342"/>
      <c r="F11" s="343"/>
      <c r="G11" s="229">
        <f t="shared" si="0"/>
        <v>0</v>
      </c>
      <c r="H11" s="92"/>
      <c r="I11" s="91"/>
      <c r="J11" s="313"/>
      <c r="K11" s="229">
        <f t="shared" si="1"/>
        <v>0</v>
      </c>
      <c r="L11" s="90"/>
      <c r="M11" s="91"/>
      <c r="N11" s="313"/>
      <c r="O11" s="229">
        <f t="shared" si="2"/>
        <v>0</v>
      </c>
      <c r="P11" s="90"/>
      <c r="Q11" s="91"/>
      <c r="R11" s="313"/>
      <c r="S11" s="229">
        <f t="shared" si="3"/>
        <v>0</v>
      </c>
      <c r="T11" s="90"/>
      <c r="U11" s="91"/>
      <c r="V11" s="313"/>
      <c r="W11" s="229">
        <f t="shared" si="4"/>
        <v>0</v>
      </c>
    </row>
    <row r="12" spans="1:59" s="12" customFormat="1">
      <c r="A12" s="834"/>
      <c r="B12" s="761"/>
      <c r="C12" s="829"/>
      <c r="D12" s="341"/>
      <c r="E12" s="342"/>
      <c r="F12" s="343"/>
      <c r="G12" s="229">
        <f t="shared" si="0"/>
        <v>0</v>
      </c>
      <c r="H12" s="92"/>
      <c r="I12" s="91"/>
      <c r="J12" s="313"/>
      <c r="K12" s="229">
        <f t="shared" si="1"/>
        <v>0</v>
      </c>
      <c r="L12" s="90"/>
      <c r="M12" s="91"/>
      <c r="N12" s="313"/>
      <c r="O12" s="229">
        <f t="shared" si="2"/>
        <v>0</v>
      </c>
      <c r="P12" s="90"/>
      <c r="Q12" s="91"/>
      <c r="R12" s="313"/>
      <c r="S12" s="229">
        <f t="shared" si="3"/>
        <v>0</v>
      </c>
      <c r="T12" s="92"/>
      <c r="U12" s="91"/>
      <c r="V12" s="313"/>
      <c r="W12" s="229">
        <f t="shared" si="4"/>
        <v>0</v>
      </c>
    </row>
    <row r="13" spans="1:59" s="12" customFormat="1">
      <c r="A13" s="835"/>
      <c r="B13" s="761"/>
      <c r="C13" s="829"/>
      <c r="D13" s="92"/>
      <c r="E13" s="333"/>
      <c r="F13" s="334"/>
      <c r="G13" s="229">
        <f t="shared" si="0"/>
        <v>0</v>
      </c>
      <c r="H13" s="92"/>
      <c r="I13" s="91"/>
      <c r="J13" s="313"/>
      <c r="K13" s="229">
        <f t="shared" si="1"/>
        <v>0</v>
      </c>
      <c r="L13" s="90"/>
      <c r="M13" s="91"/>
      <c r="N13" s="313"/>
      <c r="O13" s="229">
        <f t="shared" si="2"/>
        <v>0</v>
      </c>
      <c r="P13" s="90"/>
      <c r="Q13" s="91"/>
      <c r="R13" s="313"/>
      <c r="S13" s="229">
        <f t="shared" si="3"/>
        <v>0</v>
      </c>
      <c r="T13" s="90"/>
      <c r="U13" s="91"/>
      <c r="V13" s="313"/>
      <c r="W13" s="229">
        <f t="shared" si="4"/>
        <v>0</v>
      </c>
    </row>
    <row r="14" spans="1:59" s="12" customFormat="1" ht="13.5" thickBot="1">
      <c r="A14" s="323">
        <f>IF(A5&lt;&gt;"NÃO SELECIONADO",SUM(G5:G14)+SUM(K5:K14)+SUM(O5:O14)+SUM(S5:S14)+SUM(W5:W14),0)</f>
        <v>1705620</v>
      </c>
      <c r="B14" s="762"/>
      <c r="C14" s="830"/>
      <c r="D14" s="92"/>
      <c r="E14" s="333"/>
      <c r="F14" s="334"/>
      <c r="G14" s="229">
        <f t="shared" si="0"/>
        <v>0</v>
      </c>
      <c r="H14" s="92"/>
      <c r="I14" s="91"/>
      <c r="J14" s="313"/>
      <c r="K14" s="229">
        <f t="shared" si="1"/>
        <v>0</v>
      </c>
      <c r="L14" s="90"/>
      <c r="M14" s="91"/>
      <c r="N14" s="313"/>
      <c r="O14" s="229">
        <f t="shared" si="2"/>
        <v>0</v>
      </c>
      <c r="P14" s="90"/>
      <c r="Q14" s="91"/>
      <c r="R14" s="313"/>
      <c r="S14" s="229">
        <f t="shared" si="3"/>
        <v>0</v>
      </c>
      <c r="T14" s="90"/>
      <c r="U14" s="91"/>
      <c r="V14" s="313"/>
      <c r="W14" s="229">
        <f t="shared" si="4"/>
        <v>0</v>
      </c>
    </row>
    <row r="15" spans="1:59" s="113" customFormat="1" ht="13.5" thickBot="1">
      <c r="A15" s="108" t="s">
        <v>41</v>
      </c>
      <c r="B15" s="234">
        <f>SUM(G15:W15)</f>
        <v>1705620</v>
      </c>
      <c r="C15" s="109"/>
      <c r="D15" s="110"/>
      <c r="E15" s="111"/>
      <c r="F15" s="314"/>
      <c r="G15" s="310">
        <f>SUM(G5:G14)</f>
        <v>64000</v>
      </c>
      <c r="H15" s="112"/>
      <c r="I15" s="111"/>
      <c r="J15" s="314"/>
      <c r="K15" s="310">
        <f>SUM(K5:K14)</f>
        <v>1297620</v>
      </c>
      <c r="L15" s="112"/>
      <c r="M15" s="111"/>
      <c r="N15" s="314"/>
      <c r="O15" s="310">
        <f>SUM(O5:O14)</f>
        <v>120000</v>
      </c>
      <c r="P15" s="112"/>
      <c r="Q15" s="111"/>
      <c r="R15" s="314"/>
      <c r="S15" s="310">
        <f>SUM(S5:S14)</f>
        <v>0</v>
      </c>
      <c r="T15" s="112"/>
      <c r="U15" s="111"/>
      <c r="V15" s="314"/>
      <c r="W15" s="310">
        <f>SUM(W5:W14)</f>
        <v>224000</v>
      </c>
    </row>
    <row r="16" spans="1:59" s="12" customFormat="1">
      <c r="A16" s="831" t="str">
        <f>IF('3_Comp e Produtos'!B54="Sim",'3_Comp e Produtos'!A54,"NÃO SELECIONADO")</f>
        <v>A2 -Avaliação Independente</v>
      </c>
      <c r="B16" s="832" t="s">
        <v>238</v>
      </c>
      <c r="C16" s="828"/>
      <c r="D16" s="90"/>
      <c r="E16" s="333"/>
      <c r="F16" s="355"/>
      <c r="G16" s="230">
        <f t="shared" ref="G16:G25" si="5">IF($A$16&lt;&gt;"NÃO SELECIONADO",E16*F16,0)</f>
        <v>0</v>
      </c>
      <c r="H16" s="87" t="s">
        <v>90</v>
      </c>
      <c r="I16" s="86">
        <v>180</v>
      </c>
      <c r="J16" s="231">
        <v>800</v>
      </c>
      <c r="K16" s="230">
        <f t="shared" ref="K16:K25" si="6">IF($A$16&lt;&gt;"NÃO SELECIONADO",I16*J16,0)</f>
        <v>144000</v>
      </c>
      <c r="L16" s="92"/>
      <c r="M16" s="338"/>
      <c r="N16" s="339"/>
      <c r="O16" s="230">
        <f t="shared" ref="O16:O25" si="7">IF($A$16&lt;&gt;"NÃO SELECIONADO",M16*N16,0)</f>
        <v>0</v>
      </c>
      <c r="P16" s="92"/>
      <c r="Q16" s="86"/>
      <c r="R16" s="231"/>
      <c r="S16" s="230">
        <f t="shared" ref="S16:S25" si="8">IF($A$16&lt;&gt;"NÃO SELECIONADO",Q16*R16,0)</f>
        <v>0</v>
      </c>
      <c r="T16" s="90"/>
      <c r="U16" s="86"/>
      <c r="V16" s="231"/>
      <c r="W16" s="230">
        <f t="shared" ref="W16:W25" si="9">IF($A$16&lt;&gt;"NÃO SELECIONADO",U16*V16,0)</f>
        <v>0</v>
      </c>
    </row>
    <row r="17" spans="1:23" s="12" customFormat="1">
      <c r="A17" s="831"/>
      <c r="B17" s="761"/>
      <c r="C17" s="829"/>
      <c r="D17" s="92"/>
      <c r="E17" s="333"/>
      <c r="F17" s="355"/>
      <c r="G17" s="230">
        <f t="shared" si="5"/>
        <v>0</v>
      </c>
      <c r="H17" s="159"/>
      <c r="I17" s="160"/>
      <c r="J17" s="231"/>
      <c r="K17" s="230">
        <f t="shared" si="6"/>
        <v>0</v>
      </c>
      <c r="L17" s="90"/>
      <c r="M17" s="91"/>
      <c r="N17" s="231"/>
      <c r="O17" s="230">
        <f t="shared" si="7"/>
        <v>0</v>
      </c>
      <c r="P17" s="92"/>
      <c r="Q17" s="91"/>
      <c r="R17" s="231"/>
      <c r="S17" s="230">
        <f t="shared" si="8"/>
        <v>0</v>
      </c>
      <c r="T17" s="90"/>
      <c r="U17" s="91"/>
      <c r="V17" s="231"/>
      <c r="W17" s="230">
        <f t="shared" si="9"/>
        <v>0</v>
      </c>
    </row>
    <row r="18" spans="1:23" s="12" customFormat="1">
      <c r="A18" s="831"/>
      <c r="B18" s="761"/>
      <c r="C18" s="829"/>
      <c r="D18" s="361"/>
      <c r="E18" s="333"/>
      <c r="F18" s="355"/>
      <c r="G18" s="230">
        <f t="shared" si="5"/>
        <v>0</v>
      </c>
      <c r="H18" s="90"/>
      <c r="I18" s="91"/>
      <c r="J18" s="313"/>
      <c r="K18" s="230">
        <f t="shared" si="6"/>
        <v>0</v>
      </c>
      <c r="L18" s="90"/>
      <c r="M18" s="91"/>
      <c r="N18" s="313"/>
      <c r="O18" s="230">
        <f t="shared" si="7"/>
        <v>0</v>
      </c>
      <c r="P18" s="92"/>
      <c r="Q18" s="91"/>
      <c r="R18" s="313"/>
      <c r="S18" s="230">
        <f t="shared" si="8"/>
        <v>0</v>
      </c>
      <c r="T18" s="90"/>
      <c r="U18" s="91"/>
      <c r="V18" s="313"/>
      <c r="W18" s="230">
        <f t="shared" si="9"/>
        <v>0</v>
      </c>
    </row>
    <row r="19" spans="1:23" s="12" customFormat="1">
      <c r="A19" s="831"/>
      <c r="B19" s="761"/>
      <c r="C19" s="829"/>
      <c r="D19" s="345"/>
      <c r="E19" s="358"/>
      <c r="F19" s="362"/>
      <c r="G19" s="230">
        <f t="shared" si="5"/>
        <v>0</v>
      </c>
      <c r="H19" s="90"/>
      <c r="I19" s="91"/>
      <c r="J19" s="313"/>
      <c r="K19" s="230">
        <f t="shared" si="6"/>
        <v>0</v>
      </c>
      <c r="L19" s="90"/>
      <c r="M19" s="91"/>
      <c r="N19" s="313"/>
      <c r="O19" s="230">
        <f t="shared" si="7"/>
        <v>0</v>
      </c>
      <c r="P19" s="92"/>
      <c r="Q19" s="91"/>
      <c r="R19" s="313"/>
      <c r="S19" s="230">
        <f t="shared" si="8"/>
        <v>0</v>
      </c>
      <c r="T19" s="90"/>
      <c r="U19" s="91"/>
      <c r="V19" s="313"/>
      <c r="W19" s="230">
        <f t="shared" si="9"/>
        <v>0</v>
      </c>
    </row>
    <row r="20" spans="1:23" s="12" customFormat="1">
      <c r="A20" s="831"/>
      <c r="B20" s="761"/>
      <c r="C20" s="829"/>
      <c r="D20" s="344"/>
      <c r="E20" s="358"/>
      <c r="F20" s="362"/>
      <c r="G20" s="230">
        <f t="shared" si="5"/>
        <v>0</v>
      </c>
      <c r="H20" s="90"/>
      <c r="I20" s="91"/>
      <c r="J20" s="313"/>
      <c r="K20" s="230">
        <f t="shared" si="6"/>
        <v>0</v>
      </c>
      <c r="L20" s="90"/>
      <c r="M20" s="91"/>
      <c r="N20" s="313"/>
      <c r="O20" s="230">
        <f t="shared" si="7"/>
        <v>0</v>
      </c>
      <c r="P20" s="92"/>
      <c r="Q20" s="91"/>
      <c r="R20" s="313"/>
      <c r="S20" s="230">
        <f t="shared" si="8"/>
        <v>0</v>
      </c>
      <c r="T20" s="90"/>
      <c r="U20" s="91"/>
      <c r="V20" s="313"/>
      <c r="W20" s="230">
        <f t="shared" si="9"/>
        <v>0</v>
      </c>
    </row>
    <row r="21" spans="1:23" s="12" customFormat="1">
      <c r="A21" s="831"/>
      <c r="B21" s="761"/>
      <c r="C21" s="829"/>
      <c r="D21" s="84"/>
      <c r="E21" s="335"/>
      <c r="F21" s="336"/>
      <c r="G21" s="230">
        <f t="shared" si="5"/>
        <v>0</v>
      </c>
      <c r="H21" s="90"/>
      <c r="I21" s="91"/>
      <c r="J21" s="313"/>
      <c r="K21" s="230">
        <f t="shared" si="6"/>
        <v>0</v>
      </c>
      <c r="L21" s="90"/>
      <c r="M21" s="91"/>
      <c r="N21" s="313"/>
      <c r="O21" s="230">
        <f t="shared" si="7"/>
        <v>0</v>
      </c>
      <c r="P21" s="92"/>
      <c r="Q21" s="91"/>
      <c r="R21" s="313"/>
      <c r="S21" s="230">
        <f t="shared" si="8"/>
        <v>0</v>
      </c>
      <c r="T21" s="90"/>
      <c r="U21" s="91"/>
      <c r="V21" s="313"/>
      <c r="W21" s="230">
        <f t="shared" si="9"/>
        <v>0</v>
      </c>
    </row>
    <row r="22" spans="1:23" s="12" customFormat="1">
      <c r="A22" s="831"/>
      <c r="B22" s="761"/>
      <c r="C22" s="829"/>
      <c r="D22" s="92"/>
      <c r="E22" s="333"/>
      <c r="F22" s="337"/>
      <c r="G22" s="230">
        <f t="shared" si="5"/>
        <v>0</v>
      </c>
      <c r="H22" s="90"/>
      <c r="I22" s="91"/>
      <c r="J22" s="313"/>
      <c r="K22" s="230">
        <f t="shared" si="6"/>
        <v>0</v>
      </c>
      <c r="L22" s="90"/>
      <c r="M22" s="91"/>
      <c r="N22" s="313"/>
      <c r="O22" s="230">
        <f t="shared" si="7"/>
        <v>0</v>
      </c>
      <c r="P22" s="92"/>
      <c r="Q22" s="91"/>
      <c r="R22" s="313"/>
      <c r="S22" s="230">
        <f t="shared" si="8"/>
        <v>0</v>
      </c>
      <c r="T22" s="90"/>
      <c r="U22" s="91"/>
      <c r="V22" s="313"/>
      <c r="W22" s="230">
        <f t="shared" si="9"/>
        <v>0</v>
      </c>
    </row>
    <row r="23" spans="1:23" s="12" customFormat="1">
      <c r="A23" s="831"/>
      <c r="B23" s="761"/>
      <c r="C23" s="829"/>
      <c r="D23" s="92"/>
      <c r="E23" s="333"/>
      <c r="F23" s="337"/>
      <c r="G23" s="230">
        <f t="shared" si="5"/>
        <v>0</v>
      </c>
      <c r="H23" s="90"/>
      <c r="I23" s="91"/>
      <c r="J23" s="313"/>
      <c r="K23" s="230">
        <f t="shared" si="6"/>
        <v>0</v>
      </c>
      <c r="L23" s="90"/>
      <c r="M23" s="91"/>
      <c r="N23" s="313"/>
      <c r="O23" s="230">
        <f t="shared" si="7"/>
        <v>0</v>
      </c>
      <c r="P23" s="92"/>
      <c r="Q23" s="91"/>
      <c r="R23" s="313"/>
      <c r="S23" s="230">
        <f t="shared" si="8"/>
        <v>0</v>
      </c>
      <c r="T23" s="90"/>
      <c r="U23" s="91"/>
      <c r="V23" s="313"/>
      <c r="W23" s="230">
        <f t="shared" si="9"/>
        <v>0</v>
      </c>
    </row>
    <row r="24" spans="1:23" s="12" customFormat="1">
      <c r="A24" s="831"/>
      <c r="B24" s="761"/>
      <c r="C24" s="829"/>
      <c r="D24" s="92"/>
      <c r="E24" s="333"/>
      <c r="F24" s="337"/>
      <c r="G24" s="230">
        <f t="shared" si="5"/>
        <v>0</v>
      </c>
      <c r="H24" s="90"/>
      <c r="I24" s="91"/>
      <c r="J24" s="313"/>
      <c r="K24" s="230">
        <f t="shared" si="6"/>
        <v>0</v>
      </c>
      <c r="L24" s="90"/>
      <c r="M24" s="91"/>
      <c r="N24" s="313"/>
      <c r="O24" s="230">
        <f t="shared" si="7"/>
        <v>0</v>
      </c>
      <c r="P24" s="92"/>
      <c r="Q24" s="91"/>
      <c r="R24" s="313"/>
      <c r="S24" s="230">
        <f t="shared" si="8"/>
        <v>0</v>
      </c>
      <c r="T24" s="90"/>
      <c r="U24" s="91"/>
      <c r="V24" s="313"/>
      <c r="W24" s="230">
        <f t="shared" si="9"/>
        <v>0</v>
      </c>
    </row>
    <row r="25" spans="1:23" s="12" customFormat="1" ht="13.5" thickBot="1">
      <c r="A25" s="323">
        <f>IF(A16&lt;&gt;"NÃO SELECIONADO",SUM(G16:G25)+SUM(K16:K25)+SUM(O16:O25)+SUM(S16:S25)+SUM(W16:W25),0)</f>
        <v>144000</v>
      </c>
      <c r="B25" s="762"/>
      <c r="C25" s="830"/>
      <c r="D25" s="92"/>
      <c r="E25" s="333"/>
      <c r="F25" s="337"/>
      <c r="G25" s="230">
        <f t="shared" si="5"/>
        <v>0</v>
      </c>
      <c r="H25" s="90"/>
      <c r="I25" s="91"/>
      <c r="J25" s="313"/>
      <c r="K25" s="230">
        <f t="shared" si="6"/>
        <v>0</v>
      </c>
      <c r="L25" s="90"/>
      <c r="M25" s="91"/>
      <c r="N25" s="313"/>
      <c r="O25" s="230">
        <f t="shared" si="7"/>
        <v>0</v>
      </c>
      <c r="P25" s="92"/>
      <c r="Q25" s="91"/>
      <c r="R25" s="313"/>
      <c r="S25" s="230">
        <f t="shared" si="8"/>
        <v>0</v>
      </c>
      <c r="T25" s="90"/>
      <c r="U25" s="91"/>
      <c r="V25" s="313"/>
      <c r="W25" s="230">
        <f t="shared" si="9"/>
        <v>0</v>
      </c>
    </row>
    <row r="26" spans="1:23" ht="13.5" thickBot="1">
      <c r="A26" s="30" t="s">
        <v>41</v>
      </c>
      <c r="B26" s="232">
        <f>SUM(G26:W26)</f>
        <v>144000</v>
      </c>
      <c r="C26" s="31"/>
      <c r="D26" s="32"/>
      <c r="E26" s="33"/>
      <c r="F26" s="314"/>
      <c r="G26" s="310">
        <f>SUM(G16:G25)</f>
        <v>0</v>
      </c>
      <c r="H26" s="34"/>
      <c r="I26" s="33"/>
      <c r="J26" s="314"/>
      <c r="K26" s="310">
        <f>SUM(K16:K25)</f>
        <v>144000</v>
      </c>
      <c r="L26" s="34"/>
      <c r="M26" s="33"/>
      <c r="N26" s="314"/>
      <c r="O26" s="310">
        <f>SUM(O16:O25)</f>
        <v>0</v>
      </c>
      <c r="P26" s="34"/>
      <c r="Q26" s="33"/>
      <c r="R26" s="314"/>
      <c r="S26" s="310">
        <f>SUM(S16:S25)</f>
        <v>0</v>
      </c>
      <c r="T26" s="34"/>
      <c r="U26" s="33"/>
      <c r="V26" s="314"/>
      <c r="W26" s="310">
        <f>SUM(W16:W25)</f>
        <v>0</v>
      </c>
    </row>
    <row r="27" spans="1:23" ht="13.5" thickBot="1">
      <c r="A27" s="30" t="s">
        <v>16</v>
      </c>
      <c r="B27" s="233">
        <f>SUM(G27:W27)</f>
        <v>1849620</v>
      </c>
      <c r="C27" s="31"/>
      <c r="D27" s="32"/>
      <c r="E27" s="33"/>
      <c r="F27" s="314"/>
      <c r="G27" s="310">
        <f>G15+G26</f>
        <v>64000</v>
      </c>
      <c r="H27" s="34"/>
      <c r="I27" s="33"/>
      <c r="J27" s="314"/>
      <c r="K27" s="310">
        <f>K15+K26</f>
        <v>1441620</v>
      </c>
      <c r="L27" s="34"/>
      <c r="M27" s="33"/>
      <c r="N27" s="314"/>
      <c r="O27" s="310">
        <f>O15+O26</f>
        <v>120000</v>
      </c>
      <c r="P27" s="34"/>
      <c r="Q27" s="33"/>
      <c r="R27" s="314"/>
      <c r="S27" s="310">
        <f>S15+S26</f>
        <v>0</v>
      </c>
      <c r="T27" s="34"/>
      <c r="U27" s="33"/>
      <c r="V27" s="314"/>
      <c r="W27" s="310">
        <f>W15+W26</f>
        <v>224000</v>
      </c>
    </row>
    <row r="31" spans="1:23">
      <c r="B31" s="340">
        <f>B27/'3_Comp e Produtos'!E3</f>
        <v>2.41E-2</v>
      </c>
    </row>
  </sheetData>
  <mergeCells count="19">
    <mergeCell ref="C16:C25"/>
    <mergeCell ref="C5:C14"/>
    <mergeCell ref="A16:A24"/>
    <mergeCell ref="B16:B25"/>
    <mergeCell ref="A5:A13"/>
    <mergeCell ref="B5:B14"/>
    <mergeCell ref="R3:S3"/>
    <mergeCell ref="T3:U3"/>
    <mergeCell ref="V3:W3"/>
    <mergeCell ref="C3:C4"/>
    <mergeCell ref="P3:Q3"/>
    <mergeCell ref="F3:G3"/>
    <mergeCell ref="H3:I3"/>
    <mergeCell ref="J3:K3"/>
    <mergeCell ref="A3:A4"/>
    <mergeCell ref="B3:B4"/>
    <mergeCell ref="L3:M3"/>
    <mergeCell ref="N3:O3"/>
    <mergeCell ref="D3:E3"/>
  </mergeCells>
  <phoneticPr fontId="0" type="noConversion"/>
  <printOptions horizont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8.xml><?xml version="1.0" encoding="utf-8"?>
<worksheet xmlns="http://schemas.openxmlformats.org/spreadsheetml/2006/main" xmlns:r="http://schemas.openxmlformats.org/officeDocument/2006/relationships">
  <sheetPr>
    <tabColor rgb="FFFF0000"/>
    <pageSetUpPr fitToPage="1"/>
  </sheetPr>
  <dimension ref="A1:R37"/>
  <sheetViews>
    <sheetView tabSelected="1" zoomScale="85" zoomScaleNormal="85" zoomScaleSheetLayoutView="75" workbookViewId="0">
      <pane ySplit="3" topLeftCell="A4" activePane="bottomLeft" state="frozen"/>
      <selection activeCell="B31" sqref="B31:H35"/>
      <selection pane="bottomLeft" activeCell="G34" sqref="G34"/>
    </sheetView>
  </sheetViews>
  <sheetFormatPr defaultColWidth="9.140625" defaultRowHeight="12.75"/>
  <cols>
    <col min="1" max="1" width="57.7109375" style="41" customWidth="1"/>
    <col min="2" max="2" width="14.85546875" style="41" bestFit="1" customWidth="1"/>
    <col min="3" max="3" width="14.28515625" style="41" bestFit="1" customWidth="1"/>
    <col min="4" max="4" width="18.140625" style="41" customWidth="1"/>
    <col min="5" max="5" width="18.7109375" style="41" customWidth="1"/>
    <col min="6" max="6" width="18.5703125" style="41" bestFit="1" customWidth="1"/>
    <col min="7" max="7" width="14.28515625" style="41" bestFit="1" customWidth="1"/>
    <col min="8" max="8" width="11.85546875" style="42" customWidth="1"/>
    <col min="9" max="9" width="19.28515625" style="41" customWidth="1"/>
    <col min="10" max="10" width="11.140625" style="41" bestFit="1" customWidth="1"/>
    <col min="11" max="16384" width="9.140625" style="41"/>
  </cols>
  <sheetData>
    <row r="1" spans="1:18">
      <c r="A1" s="847" t="s">
        <v>86</v>
      </c>
      <c r="B1" s="847"/>
      <c r="C1" s="847"/>
      <c r="D1" s="847"/>
      <c r="E1" s="847"/>
      <c r="F1" s="847"/>
      <c r="G1" s="847"/>
      <c r="H1" s="847"/>
      <c r="I1" s="43"/>
      <c r="J1" s="43"/>
      <c r="K1" s="43"/>
      <c r="L1" s="43"/>
      <c r="M1" s="43"/>
      <c r="N1" s="43"/>
      <c r="O1" s="43"/>
      <c r="P1" s="43"/>
      <c r="Q1" s="43"/>
      <c r="R1" s="43"/>
    </row>
    <row r="2" spans="1:18">
      <c r="A2" s="845" t="s">
        <v>64</v>
      </c>
      <c r="B2" s="845"/>
      <c r="C2" s="845"/>
      <c r="D2" s="845"/>
      <c r="E2" s="845"/>
      <c r="F2" s="845"/>
      <c r="G2" s="848" t="s">
        <v>7</v>
      </c>
      <c r="H2" s="848"/>
    </row>
    <row r="3" spans="1:18" ht="39" thickBot="1">
      <c r="A3" s="44" t="s">
        <v>83</v>
      </c>
      <c r="B3" s="45" t="s">
        <v>6</v>
      </c>
      <c r="C3" s="45" t="s">
        <v>8</v>
      </c>
      <c r="D3" s="45" t="s">
        <v>43</v>
      </c>
      <c r="E3" s="45" t="s">
        <v>81</v>
      </c>
      <c r="F3" s="45" t="s">
        <v>82</v>
      </c>
      <c r="G3" s="45" t="s">
        <v>16</v>
      </c>
      <c r="H3" s="46" t="s">
        <v>44</v>
      </c>
    </row>
    <row r="4" spans="1:18">
      <c r="A4" s="849" t="s">
        <v>33</v>
      </c>
      <c r="B4" s="849"/>
      <c r="C4" s="849"/>
      <c r="D4" s="849"/>
      <c r="E4" s="849"/>
      <c r="F4" s="849"/>
      <c r="G4" s="849"/>
      <c r="H4" s="849"/>
    </row>
    <row r="5" spans="1:18" ht="25.5">
      <c r="A5" s="59" t="str">
        <f>'3_Comp e Produtos'!A6</f>
        <v>COMPONENTE 1: FORTALECIMENTO DA GESTÃO ESTRATÉGICA</v>
      </c>
      <c r="B5" s="419">
        <f>'4_Componente 1'!G70</f>
        <v>808000</v>
      </c>
      <c r="C5" s="419">
        <f>'4_Componente 1'!K70</f>
        <v>2712000</v>
      </c>
      <c r="D5" s="419">
        <f>'4_Componente 1'!O70</f>
        <v>1550000</v>
      </c>
      <c r="E5" s="419">
        <f>'4_Componente 1'!S70</f>
        <v>1082200</v>
      </c>
      <c r="F5" s="419">
        <f>'4_Componente 1'!W70</f>
        <v>928750</v>
      </c>
      <c r="G5" s="419">
        <f>SUM(B5:F5)</f>
        <v>7080950</v>
      </c>
      <c r="H5" s="420">
        <f>G5/G8</f>
        <v>9.4700000000000006E-2</v>
      </c>
    </row>
    <row r="6" spans="1:18" ht="25.5">
      <c r="A6" s="59" t="str">
        <f>'3_Comp e Produtos'!A20</f>
        <v>COMPONENTE 2: APRIMORAMENTO DA GESTÃO JURÍDICA DA AGU</v>
      </c>
      <c r="B6" s="419">
        <f>'5_Componente 2'!G92</f>
        <v>700000</v>
      </c>
      <c r="C6" s="419">
        <f>'5_Componente 2'!K92</f>
        <v>16668000</v>
      </c>
      <c r="D6" s="419">
        <f>'5_Componente 2'!O92</f>
        <v>38433500</v>
      </c>
      <c r="E6" s="419">
        <f>'5_Componente 2'!S92</f>
        <v>3854000</v>
      </c>
      <c r="F6" s="419">
        <f>'5_Componente 2'!W92</f>
        <v>2823750</v>
      </c>
      <c r="G6" s="419">
        <f t="shared" ref="G6:G7" si="0">SUM(B6:F6)</f>
        <v>62479250</v>
      </c>
      <c r="H6" s="420">
        <f>G6/G8</f>
        <v>0.83520000000000005</v>
      </c>
      <c r="I6" s="47"/>
    </row>
    <row r="7" spans="1:18" ht="25.5">
      <c r="A7" s="59" t="str">
        <f>'3_Comp e Produtos'!A43</f>
        <v>COMPONENTE 3: APRIMORAMENTO DA GESTÃO ADMINISTRATIVA DA AGU</v>
      </c>
      <c r="B7" s="419">
        <f>'6_Componente 3'!G57</f>
        <v>50000</v>
      </c>
      <c r="C7" s="419">
        <f>'6_Componente 3'!K57</f>
        <v>4728000</v>
      </c>
      <c r="D7" s="419">
        <f>'6_Componente 3'!O57</f>
        <v>0</v>
      </c>
      <c r="E7" s="419">
        <f>'6_Componente 3'!S57</f>
        <v>0</v>
      </c>
      <c r="F7" s="419">
        <f>'6_Componente 3'!W57</f>
        <v>473000</v>
      </c>
      <c r="G7" s="419">
        <f t="shared" si="0"/>
        <v>5251000</v>
      </c>
      <c r="H7" s="420">
        <f>G7/G8</f>
        <v>7.0199999999999999E-2</v>
      </c>
      <c r="I7" s="47"/>
    </row>
    <row r="8" spans="1:18" s="49" customFormat="1">
      <c r="A8" s="83" t="s">
        <v>45</v>
      </c>
      <c r="B8" s="421">
        <f t="shared" ref="B8:G8" si="1">SUM(B5:B7)</f>
        <v>1558000</v>
      </c>
      <c r="C8" s="421">
        <f t="shared" si="1"/>
        <v>24108000</v>
      </c>
      <c r="D8" s="421">
        <f t="shared" si="1"/>
        <v>39983500</v>
      </c>
      <c r="E8" s="421">
        <f t="shared" si="1"/>
        <v>4936200</v>
      </c>
      <c r="F8" s="421">
        <f t="shared" si="1"/>
        <v>4225500</v>
      </c>
      <c r="G8" s="419">
        <f t="shared" si="1"/>
        <v>74811200</v>
      </c>
      <c r="H8" s="422">
        <f>SUM(H5:H6)</f>
        <v>0.92989999999999995</v>
      </c>
      <c r="I8" s="48"/>
    </row>
    <row r="9" spans="1:18" ht="13.5" thickBot="1">
      <c r="A9" s="423" t="s">
        <v>46</v>
      </c>
      <c r="B9" s="424">
        <f t="shared" ref="B9:G9" si="2">B8/$G8</f>
        <v>2.0799999999999999E-2</v>
      </c>
      <c r="C9" s="424">
        <f t="shared" si="2"/>
        <v>0.32229999999999998</v>
      </c>
      <c r="D9" s="424">
        <f t="shared" si="2"/>
        <v>0.53449999999999998</v>
      </c>
      <c r="E9" s="424">
        <f t="shared" si="2"/>
        <v>6.6000000000000003E-2</v>
      </c>
      <c r="F9" s="424">
        <f t="shared" si="2"/>
        <v>5.6500000000000002E-2</v>
      </c>
      <c r="G9" s="424">
        <f t="shared" si="2"/>
        <v>1</v>
      </c>
      <c r="H9" s="425"/>
    </row>
    <row r="10" spans="1:18">
      <c r="A10" s="850" t="s">
        <v>24</v>
      </c>
      <c r="B10" s="851"/>
      <c r="C10" s="851"/>
      <c r="D10" s="851"/>
      <c r="E10" s="851"/>
      <c r="F10" s="851"/>
      <c r="G10" s="851"/>
      <c r="H10" s="852"/>
      <c r="I10" s="47"/>
    </row>
    <row r="11" spans="1:18">
      <c r="A11" s="426" t="str">
        <f>'3_Comp e Produtos'!A53</f>
        <v>A1 - Gestão do Projeto</v>
      </c>
      <c r="B11" s="427">
        <f>'7_ADM'!G$15</f>
        <v>64000</v>
      </c>
      <c r="C11" s="427">
        <f>'7_ADM'!K$15</f>
        <v>1297620</v>
      </c>
      <c r="D11" s="427">
        <f>'7_ADM'!O$15</f>
        <v>120000</v>
      </c>
      <c r="E11" s="427">
        <f>'7_ADM'!S$15</f>
        <v>0</v>
      </c>
      <c r="F11" s="427">
        <f>'7_ADM'!W$15</f>
        <v>224000</v>
      </c>
      <c r="G11" s="419">
        <f>SUM(B11:F11)</f>
        <v>1705620</v>
      </c>
      <c r="H11" s="428">
        <f>G11/G$14</f>
        <v>0.92210000000000003</v>
      </c>
      <c r="I11" s="47"/>
    </row>
    <row r="12" spans="1:18">
      <c r="A12" s="426" t="str">
        <f>'3_Comp e Produtos'!A54</f>
        <v>A2 -Avaliação Independente</v>
      </c>
      <c r="B12" s="427">
        <f>'7_ADM'!G$26</f>
        <v>0</v>
      </c>
      <c r="C12" s="427">
        <f>'7_ADM'!K$26</f>
        <v>144000</v>
      </c>
      <c r="D12" s="427">
        <f>'7_ADM'!O$26</f>
        <v>0</v>
      </c>
      <c r="E12" s="427">
        <f>'7_ADM'!S$26</f>
        <v>0</v>
      </c>
      <c r="F12" s="427">
        <f>'7_ADM'!W$26</f>
        <v>0</v>
      </c>
      <c r="G12" s="419">
        <f>SUM(B12:F12)</f>
        <v>144000</v>
      </c>
      <c r="H12" s="428">
        <f>G12/G$14</f>
        <v>7.7899999999999997E-2</v>
      </c>
      <c r="I12" s="47"/>
    </row>
    <row r="13" spans="1:18">
      <c r="A13" s="426" t="s">
        <v>240</v>
      </c>
      <c r="B13" s="427">
        <v>0</v>
      </c>
      <c r="C13" s="427">
        <v>0</v>
      </c>
      <c r="D13" s="427">
        <v>0</v>
      </c>
      <c r="E13" s="427">
        <v>0</v>
      </c>
      <c r="F13" s="427">
        <v>0</v>
      </c>
      <c r="G13" s="419">
        <v>361180</v>
      </c>
      <c r="H13" s="430"/>
      <c r="I13" s="47"/>
    </row>
    <row r="14" spans="1:18" ht="13.5" thickBot="1">
      <c r="A14" s="429" t="s">
        <v>47</v>
      </c>
      <c r="B14" s="419">
        <f t="shared" ref="B14:H14" si="3">SUM(B11:B12)</f>
        <v>64000</v>
      </c>
      <c r="C14" s="419">
        <f t="shared" si="3"/>
        <v>1441620</v>
      </c>
      <c r="D14" s="419">
        <f t="shared" si="3"/>
        <v>120000</v>
      </c>
      <c r="E14" s="419">
        <f t="shared" si="3"/>
        <v>0</v>
      </c>
      <c r="F14" s="419">
        <f t="shared" si="3"/>
        <v>224000</v>
      </c>
      <c r="G14" s="419">
        <f t="shared" si="3"/>
        <v>1849620</v>
      </c>
      <c r="H14" s="430">
        <f t="shared" si="3"/>
        <v>1</v>
      </c>
      <c r="I14" s="47"/>
    </row>
    <row r="15" spans="1:18" ht="13.5" thickBot="1">
      <c r="A15" s="431" t="s">
        <v>44</v>
      </c>
      <c r="B15" s="424">
        <f t="shared" ref="B15:G15" si="4">B14/$G14</f>
        <v>3.4599999999999999E-2</v>
      </c>
      <c r="C15" s="424">
        <f t="shared" si="4"/>
        <v>0.77939999999999998</v>
      </c>
      <c r="D15" s="424">
        <f t="shared" si="4"/>
        <v>6.4899999999999999E-2</v>
      </c>
      <c r="E15" s="424">
        <f t="shared" si="4"/>
        <v>0</v>
      </c>
      <c r="F15" s="424">
        <f t="shared" si="4"/>
        <v>0.1211</v>
      </c>
      <c r="G15" s="432">
        <f t="shared" si="4"/>
        <v>1</v>
      </c>
      <c r="H15" s="437">
        <f>G14/G8</f>
        <v>2.47E-2</v>
      </c>
      <c r="I15" s="47"/>
    </row>
    <row r="16" spans="1:18" s="49" customFormat="1">
      <c r="A16" s="433" t="s">
        <v>48</v>
      </c>
      <c r="B16" s="434">
        <f t="shared" ref="B16:F16" si="5">B8+B14</f>
        <v>1622000</v>
      </c>
      <c r="C16" s="434">
        <f t="shared" si="5"/>
        <v>25549620</v>
      </c>
      <c r="D16" s="434">
        <f t="shared" si="5"/>
        <v>40103500</v>
      </c>
      <c r="E16" s="434">
        <f t="shared" si="5"/>
        <v>4936200</v>
      </c>
      <c r="F16" s="434">
        <f t="shared" si="5"/>
        <v>4449500</v>
      </c>
      <c r="G16" s="434">
        <f>G8+G14+G13</f>
        <v>77022000</v>
      </c>
      <c r="H16" s="840"/>
      <c r="I16" s="48"/>
    </row>
    <row r="17" spans="1:10" s="51" customFormat="1" ht="13.5" thickBot="1">
      <c r="A17" s="435" t="s">
        <v>44</v>
      </c>
      <c r="B17" s="436">
        <f t="shared" ref="B17:G17" si="6">B16/$G16</f>
        <v>2.1100000000000001E-2</v>
      </c>
      <c r="C17" s="436">
        <f t="shared" si="6"/>
        <v>0.33169999999999999</v>
      </c>
      <c r="D17" s="436">
        <f t="shared" si="6"/>
        <v>0.52070000000000005</v>
      </c>
      <c r="E17" s="436">
        <f t="shared" si="6"/>
        <v>6.4100000000000004E-2</v>
      </c>
      <c r="F17" s="436">
        <f t="shared" si="6"/>
        <v>5.7799999999999997E-2</v>
      </c>
      <c r="G17" s="436">
        <f t="shared" si="6"/>
        <v>1</v>
      </c>
      <c r="H17" s="841"/>
      <c r="I17" s="50"/>
    </row>
    <row r="18" spans="1:10" ht="13.5" thickBot="1">
      <c r="F18" s="839"/>
      <c r="G18" s="839"/>
      <c r="H18" s="839"/>
    </row>
    <row r="19" spans="1:10" ht="13.5" thickBot="1">
      <c r="A19" s="52" t="s">
        <v>95</v>
      </c>
      <c r="B19" s="53"/>
      <c r="C19" s="53"/>
      <c r="D19" s="53"/>
      <c r="E19" s="53"/>
      <c r="F19" s="53"/>
      <c r="G19" s="54" t="s">
        <v>49</v>
      </c>
      <c r="H19" s="55">
        <f>'3_Comp e Produtos'!E1</f>
        <v>1.8</v>
      </c>
    </row>
    <row r="20" spans="1:10">
      <c r="A20" s="845" t="str">
        <f>A2</f>
        <v>ESTA PLANILHA NÃO DEVE SER PREENCHIDA. CONSOLIDA OS RECURSOS DOS COMPONENTES E SUBCOMPONENTES.</v>
      </c>
      <c r="B20" s="845"/>
      <c r="C20" s="845"/>
      <c r="D20" s="845"/>
      <c r="E20" s="845"/>
      <c r="F20" s="845"/>
      <c r="G20" s="846" t="s">
        <v>50</v>
      </c>
      <c r="H20" s="846"/>
    </row>
    <row r="21" spans="1:10" ht="39" thickBot="1">
      <c r="A21" s="56" t="s">
        <v>42</v>
      </c>
      <c r="B21" s="57" t="s">
        <v>6</v>
      </c>
      <c r="C21" s="57" t="s">
        <v>8</v>
      </c>
      <c r="D21" s="57" t="s">
        <v>43</v>
      </c>
      <c r="E21" s="57" t="s">
        <v>81</v>
      </c>
      <c r="F21" s="57" t="s">
        <v>82</v>
      </c>
      <c r="G21" s="57" t="s">
        <v>16</v>
      </c>
      <c r="H21" s="58" t="s">
        <v>44</v>
      </c>
    </row>
    <row r="22" spans="1:10">
      <c r="A22" s="836" t="s">
        <v>33</v>
      </c>
      <c r="B22" s="837"/>
      <c r="C22" s="837"/>
      <c r="D22" s="837"/>
      <c r="E22" s="837"/>
      <c r="F22" s="837"/>
      <c r="G22" s="837"/>
      <c r="H22" s="838"/>
    </row>
    <row r="23" spans="1:10" ht="25.5">
      <c r="A23" s="565" t="str">
        <f>A5</f>
        <v>COMPONENTE 1: FORTALECIMENTO DA GESTÃO ESTRATÉGICA</v>
      </c>
      <c r="B23" s="566">
        <f t="shared" ref="B23:C25" si="7">B5/1.8</f>
        <v>448889</v>
      </c>
      <c r="C23" s="566">
        <f t="shared" si="7"/>
        <v>1506667</v>
      </c>
      <c r="D23" s="566">
        <f t="shared" ref="D23:E25" si="8">D5/1.8</f>
        <v>861111</v>
      </c>
      <c r="E23" s="566">
        <f t="shared" si="8"/>
        <v>601222</v>
      </c>
      <c r="F23" s="566">
        <f t="shared" ref="F23:G23" si="9">F5/1.8</f>
        <v>515972</v>
      </c>
      <c r="G23" s="566">
        <f t="shared" si="9"/>
        <v>3933861</v>
      </c>
      <c r="H23" s="567">
        <f>G23/G$26</f>
        <v>9.4700000000000006E-2</v>
      </c>
    </row>
    <row r="24" spans="1:10" ht="25.5">
      <c r="A24" s="565" t="str">
        <f>A6</f>
        <v>COMPONENTE 2: APRIMORAMENTO DA GESTÃO JURÍDICA DA AGU</v>
      </c>
      <c r="B24" s="566">
        <f t="shared" si="7"/>
        <v>388889</v>
      </c>
      <c r="C24" s="566">
        <f t="shared" si="7"/>
        <v>9260000</v>
      </c>
      <c r="D24" s="566">
        <f t="shared" si="8"/>
        <v>21351944</v>
      </c>
      <c r="E24" s="566">
        <f t="shared" si="8"/>
        <v>2141111</v>
      </c>
      <c r="F24" s="566">
        <f t="shared" ref="F24:G24" si="10">F6/1.8</f>
        <v>1568750</v>
      </c>
      <c r="G24" s="566">
        <f t="shared" si="10"/>
        <v>34710694</v>
      </c>
      <c r="H24" s="567">
        <f>G24/G$26</f>
        <v>0.83520000000000005</v>
      </c>
    </row>
    <row r="25" spans="1:10" ht="25.5">
      <c r="A25" s="565" t="str">
        <f>A7</f>
        <v>COMPONENTE 3: APRIMORAMENTO DA GESTÃO ADMINISTRATIVA DA AGU</v>
      </c>
      <c r="B25" s="566">
        <f t="shared" si="7"/>
        <v>27778</v>
      </c>
      <c r="C25" s="566">
        <f t="shared" si="7"/>
        <v>2626667</v>
      </c>
      <c r="D25" s="566">
        <f t="shared" si="8"/>
        <v>0</v>
      </c>
      <c r="E25" s="566">
        <f t="shared" si="8"/>
        <v>0</v>
      </c>
      <c r="F25" s="566">
        <f t="shared" ref="F25:G25" si="11">F7/1.8</f>
        <v>262778</v>
      </c>
      <c r="G25" s="566">
        <f t="shared" si="11"/>
        <v>2917222</v>
      </c>
      <c r="H25" s="567">
        <f>G25/G$26</f>
        <v>7.0199999999999999E-2</v>
      </c>
    </row>
    <row r="26" spans="1:10">
      <c r="A26" s="569" t="s">
        <v>45</v>
      </c>
      <c r="B26" s="568">
        <f t="shared" ref="B26:G26" si="12">SUM(B23:B25)</f>
        <v>865556</v>
      </c>
      <c r="C26" s="568">
        <f t="shared" si="12"/>
        <v>13393334</v>
      </c>
      <c r="D26" s="568">
        <f t="shared" si="12"/>
        <v>22213055</v>
      </c>
      <c r="E26" s="568">
        <f t="shared" si="12"/>
        <v>2742333</v>
      </c>
      <c r="F26" s="568">
        <f t="shared" si="12"/>
        <v>2347500</v>
      </c>
      <c r="G26" s="566">
        <f t="shared" si="12"/>
        <v>41561777</v>
      </c>
      <c r="H26" s="567">
        <f>G26/G$26</f>
        <v>1</v>
      </c>
    </row>
    <row r="27" spans="1:10" ht="13.5" thickBot="1">
      <c r="A27" s="570" t="s">
        <v>46</v>
      </c>
      <c r="B27" s="571">
        <f t="shared" ref="B27" si="13">B26/$G26</f>
        <v>2.0799999999999999E-2</v>
      </c>
      <c r="C27" s="571">
        <f t="shared" ref="C27:G27" si="14">C26/$G26</f>
        <v>0.32229999999999998</v>
      </c>
      <c r="D27" s="571">
        <f t="shared" si="14"/>
        <v>0.53449999999999998</v>
      </c>
      <c r="E27" s="571">
        <f t="shared" si="14"/>
        <v>6.6000000000000003E-2</v>
      </c>
      <c r="F27" s="571">
        <f t="shared" si="14"/>
        <v>5.6500000000000002E-2</v>
      </c>
      <c r="G27" s="571">
        <f t="shared" si="14"/>
        <v>1</v>
      </c>
      <c r="H27" s="572"/>
    </row>
    <row r="28" spans="1:10">
      <c r="A28" s="842" t="s">
        <v>24</v>
      </c>
      <c r="B28" s="843"/>
      <c r="C28" s="843"/>
      <c r="D28" s="843"/>
      <c r="E28" s="843"/>
      <c r="F28" s="843"/>
      <c r="G28" s="843"/>
      <c r="H28" s="844"/>
    </row>
    <row r="29" spans="1:10">
      <c r="A29" s="426" t="str">
        <f>A11</f>
        <v>A1 - Gestão do Projeto</v>
      </c>
      <c r="B29" s="427">
        <f>B11/$H$19</f>
        <v>35556</v>
      </c>
      <c r="C29" s="427">
        <f t="shared" ref="C29:F30" si="15">C11/$H$19</f>
        <v>720900</v>
      </c>
      <c r="D29" s="427">
        <f t="shared" si="15"/>
        <v>66667</v>
      </c>
      <c r="E29" s="427">
        <f t="shared" si="15"/>
        <v>0</v>
      </c>
      <c r="F29" s="427">
        <f t="shared" si="15"/>
        <v>124444</v>
      </c>
      <c r="G29" s="419">
        <f>SUM(B29:F29)</f>
        <v>947567</v>
      </c>
      <c r="H29" s="428">
        <f>G29/G32</f>
        <v>0.92210000000000003</v>
      </c>
    </row>
    <row r="30" spans="1:10">
      <c r="A30" s="426" t="str">
        <f>A12</f>
        <v>A2 -Avaliação Independente</v>
      </c>
      <c r="B30" s="427">
        <f>B12/$H$19</f>
        <v>0</v>
      </c>
      <c r="C30" s="427">
        <f t="shared" si="15"/>
        <v>80000</v>
      </c>
      <c r="D30" s="427">
        <f t="shared" si="15"/>
        <v>0</v>
      </c>
      <c r="E30" s="427">
        <f t="shared" si="15"/>
        <v>0</v>
      </c>
      <c r="F30" s="427">
        <f t="shared" si="15"/>
        <v>0</v>
      </c>
      <c r="G30" s="419">
        <f>SUM(B30:F30)</f>
        <v>80000</v>
      </c>
      <c r="H30" s="428">
        <f>G30/G32</f>
        <v>7.7899999999999997E-2</v>
      </c>
    </row>
    <row r="31" spans="1:10">
      <c r="A31" s="426" t="s">
        <v>240</v>
      </c>
      <c r="B31" s="427">
        <v>0</v>
      </c>
      <c r="C31" s="427">
        <v>0</v>
      </c>
      <c r="D31" s="427">
        <v>0</v>
      </c>
      <c r="E31" s="427">
        <v>0</v>
      </c>
      <c r="F31" s="427">
        <v>0</v>
      </c>
      <c r="G31" s="419">
        <f>G13/1.8</f>
        <v>200656</v>
      </c>
      <c r="H31" s="430"/>
    </row>
    <row r="32" spans="1:10" ht="13.5" thickBot="1">
      <c r="A32" s="429" t="s">
        <v>47</v>
      </c>
      <c r="B32" s="419">
        <f t="shared" ref="B32:F32" si="16">SUM(B29:B30)</f>
        <v>35556</v>
      </c>
      <c r="C32" s="419">
        <f t="shared" si="16"/>
        <v>800900</v>
      </c>
      <c r="D32" s="419">
        <f t="shared" si="16"/>
        <v>66667</v>
      </c>
      <c r="E32" s="419">
        <f t="shared" si="16"/>
        <v>0</v>
      </c>
      <c r="F32" s="419">
        <f t="shared" si="16"/>
        <v>124444</v>
      </c>
      <c r="G32" s="419">
        <f>SUM(G29:G30)</f>
        <v>1027567</v>
      </c>
      <c r="H32" s="430">
        <f t="shared" ref="H32" si="17">SUM(H29:H30)</f>
        <v>1</v>
      </c>
      <c r="I32" s="235"/>
      <c r="J32" s="577"/>
    </row>
    <row r="33" spans="1:10" ht="13.5" thickBot="1">
      <c r="A33" s="431" t="s">
        <v>44</v>
      </c>
      <c r="B33" s="424">
        <f t="shared" ref="B33:G33" si="18">B32/$G32</f>
        <v>3.4599999999999999E-2</v>
      </c>
      <c r="C33" s="424">
        <f t="shared" si="18"/>
        <v>0.77939999999999998</v>
      </c>
      <c r="D33" s="424">
        <f t="shared" si="18"/>
        <v>6.4899999999999999E-2</v>
      </c>
      <c r="E33" s="424">
        <f t="shared" si="18"/>
        <v>0</v>
      </c>
      <c r="F33" s="424">
        <f t="shared" si="18"/>
        <v>0.1211</v>
      </c>
      <c r="G33" s="432">
        <f t="shared" si="18"/>
        <v>1</v>
      </c>
      <c r="H33" s="437">
        <f>G32/G26</f>
        <v>2.47E-2</v>
      </c>
      <c r="I33" s="235"/>
      <c r="J33" s="235"/>
    </row>
    <row r="34" spans="1:10">
      <c r="A34" s="433" t="s">
        <v>48</v>
      </c>
      <c r="B34" s="434">
        <f t="shared" ref="B34:F34" si="19">B26+B32</f>
        <v>901112</v>
      </c>
      <c r="C34" s="434">
        <f t="shared" si="19"/>
        <v>14194234</v>
      </c>
      <c r="D34" s="434">
        <f t="shared" si="19"/>
        <v>22279722</v>
      </c>
      <c r="E34" s="434">
        <f t="shared" si="19"/>
        <v>2742333</v>
      </c>
      <c r="F34" s="434">
        <f t="shared" si="19"/>
        <v>2471944</v>
      </c>
      <c r="G34" s="434">
        <f>G26+G32+G31</f>
        <v>42790000</v>
      </c>
      <c r="H34" s="840"/>
      <c r="I34" s="235"/>
      <c r="J34" s="235"/>
    </row>
    <row r="35" spans="1:10" ht="13.5" thickBot="1">
      <c r="A35" s="435" t="s">
        <v>44</v>
      </c>
      <c r="B35" s="436">
        <f t="shared" ref="B35:G35" si="20">B34/$G34</f>
        <v>2.1100000000000001E-2</v>
      </c>
      <c r="C35" s="436">
        <f t="shared" si="20"/>
        <v>0.33169999999999999</v>
      </c>
      <c r="D35" s="436">
        <f t="shared" si="20"/>
        <v>0.52070000000000005</v>
      </c>
      <c r="E35" s="436">
        <f t="shared" si="20"/>
        <v>6.4100000000000004E-2</v>
      </c>
      <c r="F35" s="436">
        <f t="shared" si="20"/>
        <v>5.7799999999999997E-2</v>
      </c>
      <c r="G35" s="436">
        <f t="shared" si="20"/>
        <v>1</v>
      </c>
      <c r="H35" s="841"/>
      <c r="J35" s="235"/>
    </row>
    <row r="36" spans="1:10">
      <c r="I36" s="235"/>
    </row>
    <row r="37" spans="1:10">
      <c r="G37" s="235"/>
    </row>
  </sheetData>
  <mergeCells count="12">
    <mergeCell ref="A1:H1"/>
    <mergeCell ref="A2:F2"/>
    <mergeCell ref="G2:H2"/>
    <mergeCell ref="A4:H4"/>
    <mergeCell ref="A10:H10"/>
    <mergeCell ref="A22:H22"/>
    <mergeCell ref="F18:H18"/>
    <mergeCell ref="H16:H17"/>
    <mergeCell ref="A28:H28"/>
    <mergeCell ref="H34:H35"/>
    <mergeCell ref="A20:F20"/>
    <mergeCell ref="G20:H20"/>
  </mergeCells>
  <phoneticPr fontId="0" type="noConversion"/>
  <conditionalFormatting sqref="H33 H15">
    <cfRule type="cellIs" dxfId="4" priority="4" stopIfTrue="1" operator="greaterThan">
      <formula>0.05</formula>
    </cfRule>
  </conditionalFormatting>
  <conditionalFormatting sqref="G27 G9">
    <cfRule type="cellIs" dxfId="3" priority="6" stopIfTrue="1" operator="between">
      <formula>0</formula>
      <formula>0.1</formula>
    </cfRule>
  </conditionalFormatting>
  <printOptions horizontalCentered="1"/>
  <pageMargins left="0.39370078740157483" right="0.39370078740157483" top="0.59055118110236227" bottom="0.59055118110236227" header="0.31496062992125984" footer="0.31496062992125984"/>
  <pageSetup paperSize="9" scale="84" firstPageNumber="0" fitToHeight="2" orientation="landscape" r:id="rId1"/>
  <headerFooter>
    <oddHeader>&amp;LBID Modernização da AGU&amp;C
&amp;"Arial,Negrito"PLANO DE AÇÃO E DE INVESTIMENTOS - PAI</oddHeader>
    <oddFooter>&amp;L&amp;D&amp;C&amp;A&amp;R&amp;P / &amp;N</oddFooter>
  </headerFooter>
  <rowBreaks count="2" manualBreakCount="2">
    <brk id="17" max="16383" man="1"/>
    <brk id="18" max="16383" man="1"/>
  </rowBreaks>
</worksheet>
</file>

<file path=xl/worksheets/sheet9.xml><?xml version="1.0" encoding="utf-8"?>
<worksheet xmlns="http://schemas.openxmlformats.org/spreadsheetml/2006/main" xmlns:r="http://schemas.openxmlformats.org/officeDocument/2006/relationships">
  <dimension ref="A1:BI49"/>
  <sheetViews>
    <sheetView showGridLines="0" topLeftCell="AV10" zoomScale="70" zoomScaleNormal="70" workbookViewId="0">
      <selection activeCell="BG40" sqref="BG40"/>
    </sheetView>
  </sheetViews>
  <sheetFormatPr defaultColWidth="9.140625" defaultRowHeight="12.75"/>
  <cols>
    <col min="1" max="1" width="66.28515625" customWidth="1"/>
    <col min="2" max="2" width="8.85546875" customWidth="1"/>
    <col min="3" max="3" width="10.85546875" customWidth="1"/>
    <col min="4" max="4" width="10.7109375" style="12" customWidth="1"/>
    <col min="5" max="5" width="2.7109375" style="12" hidden="1" customWidth="1"/>
    <col min="6" max="8" width="2.7109375" hidden="1" customWidth="1"/>
    <col min="9" max="28" width="2.7109375" customWidth="1"/>
    <col min="29" max="29" width="17.7109375" bestFit="1" customWidth="1"/>
    <col min="30" max="31" width="14" hidden="1" customWidth="1"/>
    <col min="32" max="32" width="15.7109375" hidden="1" customWidth="1"/>
    <col min="33" max="33" width="16" hidden="1" customWidth="1"/>
    <col min="34" max="34" width="16.42578125" hidden="1" customWidth="1"/>
    <col min="35" max="36" width="16" bestFit="1" customWidth="1"/>
    <col min="37" max="38" width="16.42578125" bestFit="1" customWidth="1"/>
    <col min="39" max="39" width="16.85546875" bestFit="1" customWidth="1"/>
    <col min="40" max="43" width="16.42578125" bestFit="1" customWidth="1"/>
    <col min="44" max="44" width="16.85546875" bestFit="1" customWidth="1"/>
    <col min="45" max="47" width="16.42578125" bestFit="1" customWidth="1"/>
    <col min="48" max="48" width="16" bestFit="1" customWidth="1"/>
    <col min="49" max="49" width="19.5703125" bestFit="1" customWidth="1"/>
    <col min="50" max="50" width="16.42578125" bestFit="1" customWidth="1"/>
    <col min="51" max="51" width="16.85546875" bestFit="1" customWidth="1"/>
    <col min="52" max="53" width="16.42578125" bestFit="1" customWidth="1"/>
    <col min="54" max="54" width="19.5703125" bestFit="1" customWidth="1"/>
    <col min="55" max="55" width="16.42578125" bestFit="1" customWidth="1"/>
    <col min="56" max="56" width="16.85546875" bestFit="1" customWidth="1"/>
    <col min="57" max="58" width="16.42578125" bestFit="1" customWidth="1"/>
    <col min="59" max="59" width="18.5703125" bestFit="1" customWidth="1"/>
    <col min="60" max="60" width="15.5703125" customWidth="1"/>
    <col min="61" max="61" width="18" customWidth="1"/>
  </cols>
  <sheetData>
    <row r="1" spans="1:59" ht="28.5" customHeight="1" thickBot="1">
      <c r="A1" s="459" t="s">
        <v>92</v>
      </c>
      <c r="B1" s="460"/>
      <c r="C1" s="460"/>
      <c r="D1" s="460"/>
      <c r="E1" s="460"/>
      <c r="F1" s="460"/>
      <c r="G1" s="460"/>
      <c r="H1" s="460"/>
      <c r="I1" s="461"/>
      <c r="J1" s="461"/>
      <c r="K1" s="461"/>
      <c r="L1" s="461"/>
      <c r="M1" s="461"/>
      <c r="N1" s="461"/>
      <c r="O1" s="461"/>
      <c r="P1" s="461"/>
      <c r="Q1" s="461"/>
      <c r="R1" s="461"/>
      <c r="S1" s="461"/>
      <c r="T1" s="461"/>
      <c r="U1" s="461"/>
      <c r="V1" s="461"/>
      <c r="W1" s="461"/>
      <c r="X1" s="462"/>
      <c r="Y1" s="461"/>
      <c r="Z1" s="461"/>
      <c r="AA1" s="461"/>
      <c r="AB1" s="462"/>
      <c r="AC1" s="463"/>
      <c r="AD1" s="438"/>
      <c r="AE1" s="438"/>
      <c r="AF1" s="438"/>
      <c r="AG1" s="438"/>
      <c r="AH1" s="438"/>
      <c r="AI1" s="439"/>
      <c r="AJ1" s="439"/>
      <c r="AK1" s="439"/>
      <c r="AL1" s="439"/>
      <c r="AM1" s="441"/>
      <c r="AN1" s="439"/>
      <c r="AO1" s="439"/>
      <c r="AP1" s="439"/>
      <c r="AQ1" s="439"/>
      <c r="AR1" s="439"/>
      <c r="AS1" s="439"/>
      <c r="AT1" s="439"/>
      <c r="AU1" s="439"/>
      <c r="AV1" s="440"/>
      <c r="AW1" s="440"/>
      <c r="AX1" s="475"/>
      <c r="AY1" s="461"/>
      <c r="AZ1" s="461"/>
      <c r="BA1" s="462"/>
      <c r="BB1" s="476"/>
      <c r="BC1" s="475"/>
      <c r="BD1" s="461"/>
      <c r="BE1" s="461"/>
      <c r="BF1" s="462"/>
      <c r="BG1" s="476"/>
    </row>
    <row r="2" spans="1:59" ht="12.75" customHeight="1">
      <c r="A2" s="452" t="s">
        <v>51</v>
      </c>
      <c r="B2" s="856">
        <v>40909</v>
      </c>
      <c r="C2" s="856"/>
      <c r="D2" s="453"/>
      <c r="E2" s="453"/>
      <c r="F2" s="454"/>
      <c r="G2" s="454"/>
      <c r="H2" s="454"/>
      <c r="I2" s="455"/>
      <c r="J2" s="455"/>
      <c r="K2" s="455"/>
      <c r="L2" s="455"/>
      <c r="M2" s="455"/>
      <c r="N2" s="455"/>
      <c r="O2" s="455"/>
      <c r="P2" s="455"/>
      <c r="Q2" s="455"/>
      <c r="R2" s="455"/>
      <c r="S2" s="455"/>
      <c r="T2" s="455"/>
      <c r="U2" s="455"/>
      <c r="V2" s="455"/>
      <c r="W2" s="455"/>
      <c r="X2" s="455"/>
      <c r="Y2" s="455"/>
      <c r="Z2" s="455"/>
      <c r="AA2" s="455"/>
      <c r="AB2" s="455"/>
      <c r="AC2" s="464"/>
      <c r="AD2" s="456"/>
      <c r="AE2" s="454"/>
      <c r="AF2" s="454"/>
      <c r="AG2" s="454"/>
      <c r="AH2" s="470"/>
      <c r="AI2" s="457"/>
      <c r="AJ2" s="455"/>
      <c r="AK2" s="455"/>
      <c r="AL2" s="455"/>
      <c r="AM2" s="464"/>
      <c r="AN2" s="457"/>
      <c r="AO2" s="455"/>
      <c r="AP2" s="455"/>
      <c r="AQ2" s="455"/>
      <c r="AR2" s="464"/>
      <c r="AS2" s="457"/>
      <c r="AT2" s="455"/>
      <c r="AU2" s="455"/>
      <c r="AV2" s="458"/>
      <c r="AW2" s="458"/>
      <c r="AX2" s="457"/>
      <c r="AY2" s="455"/>
      <c r="AZ2" s="455"/>
      <c r="BA2" s="458"/>
      <c r="BB2" s="473"/>
      <c r="BC2" s="457"/>
      <c r="BD2" s="455"/>
      <c r="BE2" s="455"/>
      <c r="BF2" s="458"/>
      <c r="BG2" s="473"/>
    </row>
    <row r="3" spans="1:59" ht="13.5" customHeight="1">
      <c r="A3" s="857" t="s">
        <v>42</v>
      </c>
      <c r="B3" s="853" t="s">
        <v>52</v>
      </c>
      <c r="C3" s="853" t="s">
        <v>53</v>
      </c>
      <c r="D3" s="853" t="s">
        <v>54</v>
      </c>
      <c r="E3" s="858" t="s">
        <v>304</v>
      </c>
      <c r="F3" s="858"/>
      <c r="G3" s="858"/>
      <c r="H3" s="858"/>
      <c r="I3" s="853" t="s">
        <v>304</v>
      </c>
      <c r="J3" s="853"/>
      <c r="K3" s="853"/>
      <c r="L3" s="853"/>
      <c r="M3" s="853" t="s">
        <v>305</v>
      </c>
      <c r="N3" s="853"/>
      <c r="O3" s="853"/>
      <c r="P3" s="853"/>
      <c r="Q3" s="853" t="s">
        <v>306</v>
      </c>
      <c r="R3" s="853"/>
      <c r="S3" s="853"/>
      <c r="T3" s="853"/>
      <c r="U3" s="853" t="s">
        <v>307</v>
      </c>
      <c r="V3" s="853"/>
      <c r="W3" s="853"/>
      <c r="X3" s="853"/>
      <c r="Y3" s="853" t="s">
        <v>308</v>
      </c>
      <c r="Z3" s="853"/>
      <c r="AA3" s="853"/>
      <c r="AB3" s="853"/>
      <c r="AC3" s="465" t="s">
        <v>60</v>
      </c>
      <c r="AD3" s="854" t="s">
        <v>55</v>
      </c>
      <c r="AE3" s="855"/>
      <c r="AF3" s="855"/>
      <c r="AG3" s="855"/>
      <c r="AH3" s="448" t="e">
        <f>AH5/$AC5</f>
        <v>#REF!</v>
      </c>
      <c r="AI3" s="854" t="s">
        <v>55</v>
      </c>
      <c r="AJ3" s="855"/>
      <c r="AK3" s="855"/>
      <c r="AL3" s="855"/>
      <c r="AM3" s="448"/>
      <c r="AN3" s="854" t="s">
        <v>56</v>
      </c>
      <c r="AO3" s="855"/>
      <c r="AP3" s="855"/>
      <c r="AQ3" s="855"/>
      <c r="AR3" s="448"/>
      <c r="AS3" s="854" t="s">
        <v>57</v>
      </c>
      <c r="AT3" s="855"/>
      <c r="AU3" s="855"/>
      <c r="AV3" s="855"/>
      <c r="AW3" s="448"/>
      <c r="AX3" s="854" t="s">
        <v>58</v>
      </c>
      <c r="AY3" s="855"/>
      <c r="AZ3" s="855"/>
      <c r="BA3" s="855"/>
      <c r="BB3" s="448"/>
      <c r="BC3" s="854" t="s">
        <v>59</v>
      </c>
      <c r="BD3" s="855"/>
      <c r="BE3" s="855"/>
      <c r="BF3" s="855"/>
      <c r="BG3" s="448"/>
    </row>
    <row r="4" spans="1:59">
      <c r="A4" s="857"/>
      <c r="B4" s="853"/>
      <c r="C4" s="853"/>
      <c r="D4" s="853"/>
      <c r="E4" s="578">
        <v>1</v>
      </c>
      <c r="F4" s="578">
        <v>2</v>
      </c>
      <c r="G4" s="595">
        <v>3</v>
      </c>
      <c r="H4" s="595">
        <v>4</v>
      </c>
      <c r="I4" s="595">
        <v>1</v>
      </c>
      <c r="J4" s="595">
        <v>2</v>
      </c>
      <c r="K4" s="595">
        <v>3</v>
      </c>
      <c r="L4" s="595">
        <v>4</v>
      </c>
      <c r="M4" s="595">
        <v>1</v>
      </c>
      <c r="N4" s="578">
        <v>2</v>
      </c>
      <c r="O4" s="578">
        <v>3</v>
      </c>
      <c r="P4" s="578">
        <v>4</v>
      </c>
      <c r="Q4" s="578">
        <v>1</v>
      </c>
      <c r="R4" s="578">
        <v>2</v>
      </c>
      <c r="S4" s="578">
        <v>3</v>
      </c>
      <c r="T4" s="578">
        <v>4</v>
      </c>
      <c r="U4" s="578">
        <v>1</v>
      </c>
      <c r="V4" s="578">
        <v>2</v>
      </c>
      <c r="W4" s="578">
        <v>3</v>
      </c>
      <c r="X4" s="578">
        <v>4</v>
      </c>
      <c r="Y4" s="578">
        <v>1</v>
      </c>
      <c r="Z4" s="578">
        <v>2</v>
      </c>
      <c r="AA4" s="578">
        <v>3</v>
      </c>
      <c r="AB4" s="578">
        <v>4</v>
      </c>
      <c r="AC4" s="465" t="s">
        <v>61</v>
      </c>
      <c r="AD4" s="579">
        <v>1</v>
      </c>
      <c r="AE4" s="580">
        <v>2</v>
      </c>
      <c r="AF4" s="580">
        <v>3</v>
      </c>
      <c r="AG4" s="580">
        <v>4</v>
      </c>
      <c r="AH4" s="449" t="s">
        <v>62</v>
      </c>
      <c r="AI4" s="579">
        <v>1</v>
      </c>
      <c r="AJ4" s="580">
        <v>2</v>
      </c>
      <c r="AK4" s="580">
        <v>3</v>
      </c>
      <c r="AL4" s="580">
        <v>4</v>
      </c>
      <c r="AM4" s="449" t="s">
        <v>62</v>
      </c>
      <c r="AN4" s="579">
        <v>1</v>
      </c>
      <c r="AO4" s="580">
        <v>2</v>
      </c>
      <c r="AP4" s="580">
        <v>3</v>
      </c>
      <c r="AQ4" s="580">
        <v>4</v>
      </c>
      <c r="AR4" s="449" t="s">
        <v>62</v>
      </c>
      <c r="AS4" s="579">
        <v>1</v>
      </c>
      <c r="AT4" s="580">
        <v>2</v>
      </c>
      <c r="AU4" s="580">
        <v>3</v>
      </c>
      <c r="AV4" s="580">
        <v>4</v>
      </c>
      <c r="AW4" s="474" t="s">
        <v>62</v>
      </c>
      <c r="AX4" s="579">
        <v>1</v>
      </c>
      <c r="AY4" s="580">
        <v>2</v>
      </c>
      <c r="AZ4" s="580">
        <v>3</v>
      </c>
      <c r="BA4" s="580">
        <v>4</v>
      </c>
      <c r="BB4" s="449" t="s">
        <v>62</v>
      </c>
      <c r="BC4" s="579">
        <v>1</v>
      </c>
      <c r="BD4" s="580">
        <v>2</v>
      </c>
      <c r="BE4" s="580">
        <v>3</v>
      </c>
      <c r="BF4" s="580">
        <v>4</v>
      </c>
      <c r="BG4" s="449" t="s">
        <v>62</v>
      </c>
    </row>
    <row r="5" spans="1:59" ht="12.75" hidden="1" customHeight="1">
      <c r="A5" s="450"/>
      <c r="B5" s="442"/>
      <c r="C5" s="442"/>
      <c r="D5" s="442"/>
      <c r="E5" s="443"/>
      <c r="F5" s="443"/>
      <c r="G5" s="443">
        <v>40725</v>
      </c>
      <c r="H5" s="443">
        <v>40817</v>
      </c>
      <c r="I5" s="443">
        <v>40909</v>
      </c>
      <c r="J5" s="443">
        <v>41000</v>
      </c>
      <c r="K5" s="443">
        <v>41091</v>
      </c>
      <c r="L5" s="443">
        <v>41183</v>
      </c>
      <c r="M5" s="443">
        <v>41275</v>
      </c>
      <c r="N5" s="443">
        <v>41365</v>
      </c>
      <c r="O5" s="443">
        <v>41456</v>
      </c>
      <c r="P5" s="443">
        <v>41548</v>
      </c>
      <c r="Q5" s="443">
        <v>41640</v>
      </c>
      <c r="R5" s="443">
        <v>41730</v>
      </c>
      <c r="S5" s="443">
        <v>41821</v>
      </c>
      <c r="T5" s="443">
        <v>41913</v>
      </c>
      <c r="U5" s="443">
        <v>42005</v>
      </c>
      <c r="V5" s="443">
        <v>42095</v>
      </c>
      <c r="W5" s="443">
        <v>42186</v>
      </c>
      <c r="X5" s="443">
        <v>42278</v>
      </c>
      <c r="Y5" s="443">
        <v>42370</v>
      </c>
      <c r="Z5" s="443">
        <v>42461</v>
      </c>
      <c r="AA5" s="443">
        <v>42583</v>
      </c>
      <c r="AB5" s="443"/>
      <c r="AC5" s="574" t="e">
        <f>AC6+AC20+AC40+AC33+#REF!</f>
        <v>#REF!</v>
      </c>
      <c r="AD5" s="444" t="e">
        <f>AD6+AD20+AD40+AD33+#REF!</f>
        <v>#REF!</v>
      </c>
      <c r="AE5" s="444" t="e">
        <f>AE6+AE20+AE40+AE33+#REF!</f>
        <v>#REF!</v>
      </c>
      <c r="AF5" s="444" t="e">
        <f>AF6+AF20+AF40+AF33+#REF!</f>
        <v>#REF!</v>
      </c>
      <c r="AG5" s="444" t="e">
        <f>AG6+AG20+AG40+AG33+#REF!</f>
        <v>#REF!</v>
      </c>
      <c r="AH5" s="444" t="e">
        <f>AH6+AH20+AH40+AH33+#REF!</f>
        <v>#REF!</v>
      </c>
      <c r="AI5" s="444" t="e">
        <f>AI6+AI20+AI40+AI33+#REF!</f>
        <v>#REF!</v>
      </c>
      <c r="AJ5" s="444" t="e">
        <f>AJ6+AJ20+AJ40+AJ33+#REF!</f>
        <v>#REF!</v>
      </c>
      <c r="AK5" s="444" t="e">
        <f>AK6+AK20+AK40+AK33+#REF!</f>
        <v>#REF!</v>
      </c>
      <c r="AL5" s="444" t="e">
        <f>AL6+AL20+AL40+AL33+#REF!</f>
        <v>#REF!</v>
      </c>
      <c r="AM5" s="444" t="e">
        <f>AM6+AM20+AM40+AM33+#REF!</f>
        <v>#REF!</v>
      </c>
      <c r="AN5" s="444" t="e">
        <f>AN6+AN20+AN40+AN33+#REF!</f>
        <v>#REF!</v>
      </c>
      <c r="AO5" s="444" t="e">
        <f>AO6+AO20+AO40+AO33+#REF!</f>
        <v>#REF!</v>
      </c>
      <c r="AP5" s="444" t="e">
        <f>AP6+AP20+AP40+AP33+#REF!</f>
        <v>#REF!</v>
      </c>
      <c r="AQ5" s="444" t="e">
        <f>AQ6+AQ20+AQ40+AQ33+#REF!</f>
        <v>#REF!</v>
      </c>
      <c r="AR5" s="444" t="e">
        <f>AR6+AR20+AR40+AR33+#REF!</f>
        <v>#REF!</v>
      </c>
      <c r="AS5" s="444" t="e">
        <f>AS6+AS20+AS40+AS33+#REF!</f>
        <v>#REF!</v>
      </c>
      <c r="AT5" s="444" t="e">
        <f>AT6+AT20+AT40+AT33+#REF!</f>
        <v>#REF!</v>
      </c>
      <c r="AU5" s="444" t="e">
        <f>AU6+AU20+AU40+AU33+#REF!</f>
        <v>#REF!</v>
      </c>
      <c r="AV5" s="444" t="e">
        <f>AV6+AV20+AV40+AV33+#REF!</f>
        <v>#REF!</v>
      </c>
      <c r="AW5" s="444" t="e">
        <f>AW6+AW20+AW40+AW33+#REF!</f>
        <v>#REF!</v>
      </c>
      <c r="AX5" s="444" t="e">
        <f>AX6+AX20+AX40+AX33+#REF!</f>
        <v>#REF!</v>
      </c>
      <c r="AY5" s="444" t="e">
        <f>AY6+AY20+AY40+AY33+#REF!</f>
        <v>#REF!</v>
      </c>
      <c r="AZ5" s="444" t="e">
        <f>AZ6+AZ20+AZ40+AZ33+#REF!</f>
        <v>#REF!</v>
      </c>
      <c r="BA5" s="444" t="e">
        <f>BA6+BA20+BA40+BA33+#REF!</f>
        <v>#REF!</v>
      </c>
      <c r="BB5" s="444" t="e">
        <f>BB6+BB20+BB40+BB33+#REF!</f>
        <v>#REF!</v>
      </c>
      <c r="BC5" s="444" t="e">
        <f>BC6+BC20+BC40+BC33+#REF!</f>
        <v>#REF!</v>
      </c>
      <c r="BD5" s="444" t="e">
        <f>BD6+BD20+BD40+BD33+#REF!</f>
        <v>#REF!</v>
      </c>
      <c r="BE5" s="444" t="e">
        <f>BE6+BE20+BE40+BE33+#REF!</f>
        <v>#REF!</v>
      </c>
      <c r="BF5" s="444" t="e">
        <f>BF6+BF20+BF40+BF33+#REF!</f>
        <v>#REF!</v>
      </c>
      <c r="BG5" s="582" t="e">
        <f>BG6+BG20+BG40+BG33+#REF!</f>
        <v>#REF!</v>
      </c>
    </row>
    <row r="6" spans="1:59" s="12" customFormat="1" ht="33.75" customHeight="1">
      <c r="A6" s="451" t="str">
        <f>'3_Comp e Produtos'!A6</f>
        <v>COMPONENTE 1: FORTALECIMENTO DA GESTÃO ESTRATÉGICA</v>
      </c>
      <c r="B6" s="445">
        <f>MIN(B7:B16)</f>
        <v>40909</v>
      </c>
      <c r="C6" s="446">
        <f>IF(INT((D6-B6)/30)+1&gt;21,INT((D6-B6)/30),INT((D6-B6)/30)+1)</f>
        <v>36</v>
      </c>
      <c r="D6" s="445">
        <f>MAX(D7:D16)</f>
        <v>41995</v>
      </c>
      <c r="E6" s="447" t="str">
        <f>IF(COUNTIF(E7:E16,"X")&lt;&gt;0,"X","")</f>
        <v/>
      </c>
      <c r="F6" s="447" t="str">
        <f>IF(COUNTIF(F7:F16,"X")&lt;&gt;0,"X","")</f>
        <v/>
      </c>
      <c r="G6" s="447" t="str">
        <f t="shared" ref="G6:X6" si="0">IF(COUNTIF(G7:G16,"X")&lt;&gt;0,"X","")</f>
        <v/>
      </c>
      <c r="H6" s="447" t="str">
        <f t="shared" si="0"/>
        <v/>
      </c>
      <c r="I6" s="447" t="str">
        <f t="shared" si="0"/>
        <v>X</v>
      </c>
      <c r="J6" s="447" t="str">
        <f t="shared" si="0"/>
        <v>X</v>
      </c>
      <c r="K6" s="447" t="str">
        <f t="shared" si="0"/>
        <v>X</v>
      </c>
      <c r="L6" s="447" t="str">
        <f t="shared" si="0"/>
        <v>X</v>
      </c>
      <c r="M6" s="447" t="str">
        <f t="shared" si="0"/>
        <v>X</v>
      </c>
      <c r="N6" s="447" t="str">
        <f t="shared" si="0"/>
        <v>X</v>
      </c>
      <c r="O6" s="447" t="str">
        <f t="shared" si="0"/>
        <v>X</v>
      </c>
      <c r="P6" s="447" t="str">
        <f t="shared" si="0"/>
        <v>X</v>
      </c>
      <c r="Q6" s="447" t="str">
        <f t="shared" si="0"/>
        <v>X</v>
      </c>
      <c r="R6" s="447" t="str">
        <f t="shared" si="0"/>
        <v>X</v>
      </c>
      <c r="S6" s="447" t="str">
        <f t="shared" si="0"/>
        <v>X</v>
      </c>
      <c r="T6" s="447" t="str">
        <f t="shared" si="0"/>
        <v>X</v>
      </c>
      <c r="U6" s="447" t="str">
        <f t="shared" si="0"/>
        <v/>
      </c>
      <c r="V6" s="447" t="str">
        <f t="shared" si="0"/>
        <v/>
      </c>
      <c r="W6" s="447" t="str">
        <f t="shared" si="0"/>
        <v/>
      </c>
      <c r="X6" s="447" t="str">
        <f t="shared" si="0"/>
        <v/>
      </c>
      <c r="Y6" s="447" t="str">
        <f t="shared" ref="Y6:AB6" si="1">IF(COUNTIF(Y7:Y16,"X")&lt;&gt;0,"X","")</f>
        <v/>
      </c>
      <c r="Z6" s="447" t="str">
        <f t="shared" si="1"/>
        <v/>
      </c>
      <c r="AA6" s="447" t="str">
        <f t="shared" si="1"/>
        <v/>
      </c>
      <c r="AB6" s="447" t="str">
        <f t="shared" si="1"/>
        <v/>
      </c>
      <c r="AC6" s="722">
        <f>SUM(AC7:AC19)</f>
        <v>7080950</v>
      </c>
      <c r="AD6" s="471">
        <f>SUM(AD7:AD16)</f>
        <v>0</v>
      </c>
      <c r="AE6" s="471">
        <f>SUM(AE7:AE16)</f>
        <v>0</v>
      </c>
      <c r="AF6" s="471">
        <f>SUM(AF7:AF16)</f>
        <v>0</v>
      </c>
      <c r="AG6" s="471">
        <f>SUM(AG7:AG16)</f>
        <v>0</v>
      </c>
      <c r="AH6" s="471">
        <f t="shared" ref="AH6" si="2">SUM(AH7:AH16)</f>
        <v>0</v>
      </c>
      <c r="AI6" s="471">
        <f>SUM(AI7:AI19)</f>
        <v>1496000</v>
      </c>
      <c r="AJ6" s="471">
        <f t="shared" ref="AJ6:AM6" si="3">SUM(AJ7:AJ19)</f>
        <v>577266.67000000004</v>
      </c>
      <c r="AK6" s="471">
        <f t="shared" si="3"/>
        <v>520516.67</v>
      </c>
      <c r="AL6" s="471">
        <f t="shared" si="3"/>
        <v>754666.67</v>
      </c>
      <c r="AM6" s="471">
        <f t="shared" si="3"/>
        <v>3348450.01</v>
      </c>
      <c r="AN6" s="471">
        <f>SUM(AN7:AN19)</f>
        <v>468791.67</v>
      </c>
      <c r="AO6" s="471">
        <f t="shared" ref="AO6:AR6" si="4">SUM(AO7:AO19)</f>
        <v>212291.67</v>
      </c>
      <c r="AP6" s="471">
        <f t="shared" si="4"/>
        <v>212291.67</v>
      </c>
      <c r="AQ6" s="471">
        <f t="shared" si="4"/>
        <v>212291.67</v>
      </c>
      <c r="AR6" s="471">
        <f t="shared" si="4"/>
        <v>1105666.68</v>
      </c>
      <c r="AS6" s="471">
        <f>SUM(AS7:AS19)</f>
        <v>363541.67</v>
      </c>
      <c r="AT6" s="471">
        <f t="shared" ref="AT6:AW6" si="5">SUM(AT7:AT19)</f>
        <v>363541.67</v>
      </c>
      <c r="AU6" s="471">
        <f t="shared" si="5"/>
        <v>579541.67000000004</v>
      </c>
      <c r="AV6" s="471">
        <f t="shared" si="5"/>
        <v>363541.67</v>
      </c>
      <c r="AW6" s="471">
        <f t="shared" si="5"/>
        <v>1670166.68</v>
      </c>
      <c r="AX6" s="471">
        <f>SUM(AX7:AX19)</f>
        <v>136666.67000000001</v>
      </c>
      <c r="AY6" s="471">
        <f t="shared" ref="AY6:BB6" si="6">SUM(AY7:AY19)</f>
        <v>136666.67000000001</v>
      </c>
      <c r="AZ6" s="471">
        <f t="shared" si="6"/>
        <v>136666.67000000001</v>
      </c>
      <c r="BA6" s="471">
        <f t="shared" si="6"/>
        <v>136666.67000000001</v>
      </c>
      <c r="BB6" s="471">
        <f t="shared" si="6"/>
        <v>546666.68000000005</v>
      </c>
      <c r="BC6" s="471">
        <f>SUM(BC7:BC19)</f>
        <v>136666.67000000001</v>
      </c>
      <c r="BD6" s="471">
        <f t="shared" ref="BD6:BG6" si="7">SUM(BD7:BD19)</f>
        <v>136666.67000000001</v>
      </c>
      <c r="BE6" s="471">
        <f t="shared" si="7"/>
        <v>136666.67000000001</v>
      </c>
      <c r="BF6" s="471">
        <f t="shared" si="7"/>
        <v>0</v>
      </c>
      <c r="BG6" s="471">
        <f t="shared" si="7"/>
        <v>410000.01</v>
      </c>
    </row>
    <row r="7" spans="1:59" s="12" customFormat="1" ht="51">
      <c r="A7" s="14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349">
        <v>41000</v>
      </c>
      <c r="C7" s="365">
        <v>6</v>
      </c>
      <c r="D7" s="270">
        <f t="shared" ref="D7:D42" si="8">IF(C7&lt;&gt;0,IF(C7&lt;24,B7+29*C7,B7+30*C7),"")</f>
        <v>41174</v>
      </c>
      <c r="E7" s="115" t="str">
        <f t="shared" ref="E7:AB19" si="9">IF(AND($C7&lt;&gt;0,$A7&lt;&gt;"NÃO SELECIONADO"),IF(E$5&gt;=$B7,IF(E$5&lt;=$D7,"X"," ")," "),"")</f>
        <v xml:space="preserve"> </v>
      </c>
      <c r="F7" s="115" t="str">
        <f t="shared" si="9"/>
        <v xml:space="preserve"> </v>
      </c>
      <c r="G7" s="115" t="str">
        <f t="shared" si="9"/>
        <v xml:space="preserve"> </v>
      </c>
      <c r="H7" s="115" t="str">
        <f t="shared" si="9"/>
        <v xml:space="preserve"> </v>
      </c>
      <c r="I7" s="115"/>
      <c r="J7" s="115" t="str">
        <f t="shared" si="9"/>
        <v>X</v>
      </c>
      <c r="K7" s="115" t="str">
        <f t="shared" si="9"/>
        <v>X</v>
      </c>
      <c r="L7" s="115" t="str">
        <f t="shared" si="9"/>
        <v xml:space="preserve"> </v>
      </c>
      <c r="M7" s="115" t="str">
        <f t="shared" si="9"/>
        <v xml:space="preserve"> </v>
      </c>
      <c r="N7" s="115" t="str">
        <f t="shared" si="9"/>
        <v xml:space="preserve"> </v>
      </c>
      <c r="O7" s="115" t="str">
        <f t="shared" si="9"/>
        <v xml:space="preserve"> </v>
      </c>
      <c r="P7" s="115" t="str">
        <f t="shared" si="9"/>
        <v xml:space="preserve"> </v>
      </c>
      <c r="Q7" s="115" t="str">
        <f t="shared" si="9"/>
        <v xml:space="preserve"> </v>
      </c>
      <c r="R7" s="115" t="str">
        <f t="shared" si="9"/>
        <v xml:space="preserve"> </v>
      </c>
      <c r="S7" s="115" t="str">
        <f t="shared" si="9"/>
        <v xml:space="preserve"> </v>
      </c>
      <c r="T7" s="115" t="str">
        <f t="shared" si="9"/>
        <v xml:space="preserve"> </v>
      </c>
      <c r="U7" s="115" t="str">
        <f t="shared" si="9"/>
        <v xml:space="preserve"> </v>
      </c>
      <c r="V7" s="115" t="str">
        <f t="shared" si="9"/>
        <v xml:space="preserve"> </v>
      </c>
      <c r="W7" s="115" t="str">
        <f t="shared" si="9"/>
        <v xml:space="preserve"> </v>
      </c>
      <c r="X7" s="115" t="str">
        <f t="shared" si="9"/>
        <v xml:space="preserve"> </v>
      </c>
      <c r="Y7" s="115" t="str">
        <f t="shared" si="9"/>
        <v xml:space="preserve"> </v>
      </c>
      <c r="Z7" s="115" t="str">
        <f t="shared" si="9"/>
        <v xml:space="preserve"> </v>
      </c>
      <c r="AA7" s="115" t="str">
        <f t="shared" si="9"/>
        <v xml:space="preserve"> </v>
      </c>
      <c r="AB7" s="115" t="str">
        <f t="shared" si="9"/>
        <v xml:space="preserve"> </v>
      </c>
      <c r="AC7" s="467">
        <f>'3_Comp e Produtos'!E7</f>
        <v>689200</v>
      </c>
      <c r="AD7" s="119">
        <f t="shared" ref="AD7:AG19" si="10">IF(E7="X",$AC7/$C7*3,0)</f>
        <v>0</v>
      </c>
      <c r="AE7" s="119">
        <f t="shared" si="10"/>
        <v>0</v>
      </c>
      <c r="AF7" s="119">
        <f t="shared" si="10"/>
        <v>0</v>
      </c>
      <c r="AG7" s="119">
        <f t="shared" si="10"/>
        <v>0</v>
      </c>
      <c r="AH7" s="120">
        <f t="shared" ref="AH7:AH42" si="11">SUM(AD7:AG7)</f>
        <v>0</v>
      </c>
      <c r="AI7" s="119">
        <f>IF(I7="X",$AC7/$C7*3,0)</f>
        <v>0</v>
      </c>
      <c r="AJ7" s="119">
        <f t="shared" ref="AJ7:AL19" si="12">IF(J7="X",$AC7/$C7*3,0)</f>
        <v>344600</v>
      </c>
      <c r="AK7" s="119">
        <f t="shared" si="12"/>
        <v>344600</v>
      </c>
      <c r="AL7" s="119">
        <f t="shared" si="12"/>
        <v>0</v>
      </c>
      <c r="AM7" s="120">
        <f t="shared" ref="AM7:AM42" si="13">SUM(AI7:AL7)</f>
        <v>689200</v>
      </c>
      <c r="AN7" s="119">
        <f t="shared" ref="AN7:AN42" si="14">IF(M7="X",$AC7/$C7*3,0)</f>
        <v>0</v>
      </c>
      <c r="AO7" s="119">
        <f t="shared" ref="AO7:AO19" si="15">IF(N7="X",$AC7/$C7*3,0)</f>
        <v>0</v>
      </c>
      <c r="AP7" s="119">
        <f t="shared" ref="AP7:AP19" si="16">IF(O7="X",$AC7/$C7*3,0)</f>
        <v>0</v>
      </c>
      <c r="AQ7" s="119">
        <f t="shared" ref="AQ7:AQ19" si="17">IF(P7="X",$AC7/$C7*3,0)</f>
        <v>0</v>
      </c>
      <c r="AR7" s="120">
        <f t="shared" ref="AR7:AR19" si="18">SUM(AN7:AQ7)</f>
        <v>0</v>
      </c>
      <c r="AS7" s="119">
        <f t="shared" ref="AS7:AS42" si="19">IF(Q7="X",$AC7/$C7*3,0)</f>
        <v>0</v>
      </c>
      <c r="AT7" s="119">
        <f t="shared" ref="AT7:AT19" si="20">IF(R7="X",$AC7/$C7*3,0)</f>
        <v>0</v>
      </c>
      <c r="AU7" s="119">
        <f t="shared" ref="AU7:AU19" si="21">IF(S7="X",$AC7/$C7*3,0)</f>
        <v>0</v>
      </c>
      <c r="AV7" s="119">
        <f t="shared" ref="AV7:AV19" si="22">IF(T7="X",$AC7/$C7*3,0)</f>
        <v>0</v>
      </c>
      <c r="AW7" s="120">
        <f t="shared" ref="AW7:AW19" si="23">SUM(AS7:AV7)</f>
        <v>0</v>
      </c>
      <c r="AX7" s="119">
        <f t="shared" ref="AX7:AX42" si="24">IF(U7="X",$AC7/$C7*3,0)</f>
        <v>0</v>
      </c>
      <c r="AY7" s="119">
        <f t="shared" ref="AY7:AY19" si="25">IF(V7="X",$AC7/$C7*3,0)</f>
        <v>0</v>
      </c>
      <c r="AZ7" s="119">
        <f t="shared" ref="AZ7:AZ19" si="26">IF(W7="X",$AC7/$C7*3,0)</f>
        <v>0</v>
      </c>
      <c r="BA7" s="119">
        <f t="shared" ref="BA7:BA19" si="27">IF(X7="X",$AC7/$C7*3,0)</f>
        <v>0</v>
      </c>
      <c r="BB7" s="120">
        <f t="shared" ref="BB7:BB19" si="28">SUM(AX7:BA7)</f>
        <v>0</v>
      </c>
      <c r="BC7" s="119">
        <f>IF(Y7="X",$AC7/$C7*3,0)</f>
        <v>0</v>
      </c>
      <c r="BD7" s="119">
        <f t="shared" ref="BD7:BF19" si="29">IF(Z7="X",$AC7/$C7*3,0)</f>
        <v>0</v>
      </c>
      <c r="BE7" s="119">
        <f t="shared" si="29"/>
        <v>0</v>
      </c>
      <c r="BF7" s="119">
        <f t="shared" si="29"/>
        <v>0</v>
      </c>
      <c r="BG7" s="120">
        <f t="shared" ref="BG7:BG19" si="30">SUM(BC7:BF7)</f>
        <v>0</v>
      </c>
    </row>
    <row r="8" spans="1:59" s="12" customFormat="1">
      <c r="A8" s="143" t="str">
        <f>IF('3_Comp e Produtos'!B8="Sim",'3_Comp e Produtos'!A8,"NÃO SELECIONADO")</f>
        <v>1.2 Monitoramento estratégico dos créditos ativos e riscos para o Estado</v>
      </c>
      <c r="B8" s="349">
        <v>41183</v>
      </c>
      <c r="C8" s="365">
        <v>3</v>
      </c>
      <c r="D8" s="270">
        <f t="shared" si="8"/>
        <v>41270</v>
      </c>
      <c r="E8" s="115" t="str">
        <f t="shared" si="9"/>
        <v xml:space="preserve"> </v>
      </c>
      <c r="F8" s="115" t="str">
        <f t="shared" si="9"/>
        <v xml:space="preserve"> </v>
      </c>
      <c r="G8" s="115" t="str">
        <f t="shared" si="9"/>
        <v xml:space="preserve"> </v>
      </c>
      <c r="H8" s="115" t="str">
        <f t="shared" si="9"/>
        <v xml:space="preserve"> </v>
      </c>
      <c r="I8" s="115" t="str">
        <f t="shared" si="9"/>
        <v xml:space="preserve"> </v>
      </c>
      <c r="J8" s="115" t="str">
        <f t="shared" si="9"/>
        <v xml:space="preserve"> </v>
      </c>
      <c r="K8" s="115" t="str">
        <f t="shared" si="9"/>
        <v xml:space="preserve"> </v>
      </c>
      <c r="L8" s="115" t="str">
        <f t="shared" si="9"/>
        <v>X</v>
      </c>
      <c r="M8" s="115" t="str">
        <f t="shared" si="9"/>
        <v xml:space="preserve"> </v>
      </c>
      <c r="N8" s="115" t="str">
        <f t="shared" si="9"/>
        <v xml:space="preserve"> </v>
      </c>
      <c r="O8" s="115" t="str">
        <f t="shared" si="9"/>
        <v xml:space="preserve"> </v>
      </c>
      <c r="P8" s="115" t="str">
        <f t="shared" si="9"/>
        <v xml:space="preserve"> </v>
      </c>
      <c r="Q8" s="115" t="str">
        <f t="shared" si="9"/>
        <v xml:space="preserve"> </v>
      </c>
      <c r="R8" s="115" t="str">
        <f t="shared" si="9"/>
        <v xml:space="preserve"> </v>
      </c>
      <c r="S8" s="115" t="str">
        <f t="shared" si="9"/>
        <v xml:space="preserve"> </v>
      </c>
      <c r="T8" s="115" t="str">
        <f t="shared" si="9"/>
        <v xml:space="preserve"> </v>
      </c>
      <c r="U8" s="115" t="str">
        <f t="shared" si="9"/>
        <v xml:space="preserve"> </v>
      </c>
      <c r="V8" s="115" t="str">
        <f t="shared" si="9"/>
        <v xml:space="preserve"> </v>
      </c>
      <c r="W8" s="115" t="str">
        <f t="shared" si="9"/>
        <v xml:space="preserve"> </v>
      </c>
      <c r="X8" s="115" t="str">
        <f t="shared" si="9"/>
        <v xml:space="preserve"> </v>
      </c>
      <c r="Y8" s="115" t="str">
        <f t="shared" si="9"/>
        <v xml:space="preserve"> </v>
      </c>
      <c r="Z8" s="115" t="str">
        <f t="shared" si="9"/>
        <v xml:space="preserve"> </v>
      </c>
      <c r="AA8" s="115" t="str">
        <f t="shared" si="9"/>
        <v xml:space="preserve"> </v>
      </c>
      <c r="AB8" s="115" t="str">
        <f t="shared" si="9"/>
        <v xml:space="preserve"> </v>
      </c>
      <c r="AC8" s="467">
        <f>'3_Comp e Produtos'!E8</f>
        <v>618000</v>
      </c>
      <c r="AD8" s="119">
        <f t="shared" si="10"/>
        <v>0</v>
      </c>
      <c r="AE8" s="119">
        <f t="shared" si="10"/>
        <v>0</v>
      </c>
      <c r="AF8" s="119">
        <f t="shared" si="10"/>
        <v>0</v>
      </c>
      <c r="AG8" s="119">
        <f t="shared" si="10"/>
        <v>0</v>
      </c>
      <c r="AH8" s="120">
        <f t="shared" si="11"/>
        <v>0</v>
      </c>
      <c r="AI8" s="119">
        <f t="shared" ref="AI8:AI19" si="31">IF(I8="X",$AC8/$C8*3,0)</f>
        <v>0</v>
      </c>
      <c r="AJ8" s="119">
        <f t="shared" si="12"/>
        <v>0</v>
      </c>
      <c r="AK8" s="119">
        <f t="shared" si="12"/>
        <v>0</v>
      </c>
      <c r="AL8" s="119">
        <f t="shared" si="12"/>
        <v>618000</v>
      </c>
      <c r="AM8" s="120">
        <f t="shared" si="13"/>
        <v>618000</v>
      </c>
      <c r="AN8" s="119">
        <f t="shared" si="14"/>
        <v>0</v>
      </c>
      <c r="AO8" s="119">
        <f t="shared" si="15"/>
        <v>0</v>
      </c>
      <c r="AP8" s="119">
        <f t="shared" si="16"/>
        <v>0</v>
      </c>
      <c r="AQ8" s="119">
        <f t="shared" si="17"/>
        <v>0</v>
      </c>
      <c r="AR8" s="120">
        <f t="shared" si="18"/>
        <v>0</v>
      </c>
      <c r="AS8" s="119">
        <f t="shared" si="19"/>
        <v>0</v>
      </c>
      <c r="AT8" s="119">
        <f t="shared" si="20"/>
        <v>0</v>
      </c>
      <c r="AU8" s="119">
        <f t="shared" si="21"/>
        <v>0</v>
      </c>
      <c r="AV8" s="119">
        <f t="shared" si="22"/>
        <v>0</v>
      </c>
      <c r="AW8" s="120">
        <f t="shared" si="23"/>
        <v>0</v>
      </c>
      <c r="AX8" s="119">
        <f t="shared" si="24"/>
        <v>0</v>
      </c>
      <c r="AY8" s="119">
        <f t="shared" si="25"/>
        <v>0</v>
      </c>
      <c r="AZ8" s="119">
        <f t="shared" si="26"/>
        <v>0</v>
      </c>
      <c r="BA8" s="119">
        <f t="shared" si="27"/>
        <v>0</v>
      </c>
      <c r="BB8" s="120">
        <f t="shared" si="28"/>
        <v>0</v>
      </c>
      <c r="BC8" s="119">
        <f t="shared" ref="BC8:BC19" si="32">IF(Y8="X",$AC8/$C8*3,0)</f>
        <v>0</v>
      </c>
      <c r="BD8" s="119">
        <f t="shared" si="29"/>
        <v>0</v>
      </c>
      <c r="BE8" s="119">
        <f t="shared" si="29"/>
        <v>0</v>
      </c>
      <c r="BF8" s="119">
        <f t="shared" si="29"/>
        <v>0</v>
      </c>
      <c r="BG8" s="120">
        <f t="shared" si="30"/>
        <v>0</v>
      </c>
    </row>
    <row r="9" spans="1:59" s="12" customFormat="1" ht="25.5">
      <c r="A9" s="143" t="str">
        <f>IF('3_Comp e Produtos'!B9="Sim",'3_Comp e Produtos'!A9,"NÃO SELECIONADO")</f>
        <v>1.3. Dimensionamento do custo fiscal implícito nos processos contra o Estado</v>
      </c>
      <c r="B9" s="349">
        <v>41821</v>
      </c>
      <c r="C9" s="365">
        <v>3</v>
      </c>
      <c r="D9" s="270">
        <f t="shared" si="8"/>
        <v>41908</v>
      </c>
      <c r="E9" s="115" t="str">
        <f t="shared" si="9"/>
        <v xml:space="preserve"> </v>
      </c>
      <c r="F9" s="115" t="str">
        <f t="shared" si="9"/>
        <v xml:space="preserve"> </v>
      </c>
      <c r="G9" s="115" t="str">
        <f t="shared" si="9"/>
        <v xml:space="preserve"> </v>
      </c>
      <c r="H9" s="115" t="str">
        <f t="shared" si="9"/>
        <v xml:space="preserve"> </v>
      </c>
      <c r="I9" s="115" t="str">
        <f t="shared" si="9"/>
        <v xml:space="preserve"> </v>
      </c>
      <c r="J9" s="115" t="str">
        <f t="shared" si="9"/>
        <v xml:space="preserve"> </v>
      </c>
      <c r="K9" s="115" t="str">
        <f t="shared" si="9"/>
        <v xml:space="preserve"> </v>
      </c>
      <c r="L9" s="115" t="str">
        <f t="shared" si="9"/>
        <v xml:space="preserve"> </v>
      </c>
      <c r="M9" s="115" t="str">
        <f t="shared" si="9"/>
        <v xml:space="preserve"> </v>
      </c>
      <c r="N9" s="115" t="str">
        <f t="shared" si="9"/>
        <v xml:space="preserve"> </v>
      </c>
      <c r="O9" s="115" t="str">
        <f t="shared" si="9"/>
        <v xml:space="preserve"> </v>
      </c>
      <c r="P9" s="115" t="str">
        <f t="shared" si="9"/>
        <v xml:space="preserve"> </v>
      </c>
      <c r="Q9" s="115" t="str">
        <f t="shared" si="9"/>
        <v xml:space="preserve"> </v>
      </c>
      <c r="R9" s="115" t="str">
        <f t="shared" si="9"/>
        <v xml:space="preserve"> </v>
      </c>
      <c r="S9" s="115" t="str">
        <f t="shared" si="9"/>
        <v>X</v>
      </c>
      <c r="T9" s="115" t="str">
        <f t="shared" si="9"/>
        <v xml:space="preserve"> </v>
      </c>
      <c r="U9" s="115" t="str">
        <f t="shared" si="9"/>
        <v xml:space="preserve"> </v>
      </c>
      <c r="V9" s="115" t="str">
        <f t="shared" si="9"/>
        <v xml:space="preserve"> </v>
      </c>
      <c r="W9" s="115" t="str">
        <f t="shared" si="9"/>
        <v xml:space="preserve"> </v>
      </c>
      <c r="X9" s="115" t="str">
        <f t="shared" si="9"/>
        <v xml:space="preserve"> </v>
      </c>
      <c r="Y9" s="115" t="str">
        <f t="shared" si="9"/>
        <v xml:space="preserve"> </v>
      </c>
      <c r="Z9" s="115" t="str">
        <f t="shared" si="9"/>
        <v xml:space="preserve"> </v>
      </c>
      <c r="AA9" s="115" t="str">
        <f t="shared" si="9"/>
        <v xml:space="preserve"> </v>
      </c>
      <c r="AB9" s="115" t="str">
        <f t="shared" si="9"/>
        <v xml:space="preserve"> </v>
      </c>
      <c r="AC9" s="467">
        <f>'3_Comp e Produtos'!E9</f>
        <v>216000</v>
      </c>
      <c r="AD9" s="119">
        <f t="shared" si="10"/>
        <v>0</v>
      </c>
      <c r="AE9" s="119">
        <f t="shared" si="10"/>
        <v>0</v>
      </c>
      <c r="AF9" s="119">
        <f t="shared" si="10"/>
        <v>0</v>
      </c>
      <c r="AG9" s="119">
        <f t="shared" si="10"/>
        <v>0</v>
      </c>
      <c r="AH9" s="120">
        <f t="shared" si="11"/>
        <v>0</v>
      </c>
      <c r="AI9" s="119">
        <f t="shared" si="31"/>
        <v>0</v>
      </c>
      <c r="AJ9" s="119">
        <f t="shared" si="12"/>
        <v>0</v>
      </c>
      <c r="AK9" s="119">
        <f t="shared" si="12"/>
        <v>0</v>
      </c>
      <c r="AL9" s="119">
        <f t="shared" si="12"/>
        <v>0</v>
      </c>
      <c r="AM9" s="120">
        <f t="shared" si="13"/>
        <v>0</v>
      </c>
      <c r="AN9" s="119">
        <f t="shared" si="14"/>
        <v>0</v>
      </c>
      <c r="AO9" s="119">
        <f t="shared" si="15"/>
        <v>0</v>
      </c>
      <c r="AP9" s="119">
        <f t="shared" si="16"/>
        <v>0</v>
      </c>
      <c r="AQ9" s="119">
        <f t="shared" si="17"/>
        <v>0</v>
      </c>
      <c r="AR9" s="120">
        <f t="shared" si="18"/>
        <v>0</v>
      </c>
      <c r="AS9" s="119">
        <f t="shared" si="19"/>
        <v>0</v>
      </c>
      <c r="AT9" s="119">
        <f t="shared" si="20"/>
        <v>0</v>
      </c>
      <c r="AU9" s="119">
        <f t="shared" si="21"/>
        <v>216000</v>
      </c>
      <c r="AV9" s="119">
        <f t="shared" si="22"/>
        <v>0</v>
      </c>
      <c r="AW9" s="120">
        <f t="shared" si="23"/>
        <v>216000</v>
      </c>
      <c r="AX9" s="119">
        <f t="shared" si="24"/>
        <v>0</v>
      </c>
      <c r="AY9" s="119">
        <f t="shared" si="25"/>
        <v>0</v>
      </c>
      <c r="AZ9" s="119">
        <f t="shared" si="26"/>
        <v>0</v>
      </c>
      <c r="BA9" s="119">
        <f t="shared" si="27"/>
        <v>0</v>
      </c>
      <c r="BB9" s="120">
        <f t="shared" si="28"/>
        <v>0</v>
      </c>
      <c r="BC9" s="119">
        <f t="shared" si="32"/>
        <v>0</v>
      </c>
      <c r="BD9" s="119">
        <f t="shared" si="29"/>
        <v>0</v>
      </c>
      <c r="BE9" s="119">
        <f t="shared" si="29"/>
        <v>0</v>
      </c>
      <c r="BF9" s="119">
        <f t="shared" si="29"/>
        <v>0</v>
      </c>
      <c r="BG9" s="120">
        <f t="shared" si="30"/>
        <v>0</v>
      </c>
    </row>
    <row r="10" spans="1:59" s="12" customFormat="1" ht="16.149999999999999" customHeight="1">
      <c r="A10" s="143" t="str">
        <f>IF('3_Comp e Produtos'!B10="Sim",'3_Comp e Produtos'!A10,"NÃO SELECIONADO")</f>
        <v>1.4. Sistema de indicadores, metas e avaliação da gestão por resultados</v>
      </c>
      <c r="B10" s="349">
        <v>41275</v>
      </c>
      <c r="C10" s="365">
        <v>3</v>
      </c>
      <c r="D10" s="270">
        <f t="shared" si="8"/>
        <v>41362</v>
      </c>
      <c r="E10" s="115" t="str">
        <f t="shared" si="9"/>
        <v xml:space="preserve"> </v>
      </c>
      <c r="F10" s="115" t="str">
        <f t="shared" si="9"/>
        <v xml:space="preserve"> </v>
      </c>
      <c r="G10" s="115" t="str">
        <f t="shared" si="9"/>
        <v xml:space="preserve"> </v>
      </c>
      <c r="H10" s="115" t="str">
        <f t="shared" si="9"/>
        <v xml:space="preserve"> </v>
      </c>
      <c r="I10" s="115" t="str">
        <f t="shared" si="9"/>
        <v xml:space="preserve"> </v>
      </c>
      <c r="J10" s="115" t="str">
        <f t="shared" si="9"/>
        <v xml:space="preserve"> </v>
      </c>
      <c r="K10" s="115" t="str">
        <f t="shared" si="9"/>
        <v xml:space="preserve"> </v>
      </c>
      <c r="L10" s="115" t="str">
        <f t="shared" si="9"/>
        <v xml:space="preserve"> </v>
      </c>
      <c r="M10" s="115" t="str">
        <f t="shared" si="9"/>
        <v>X</v>
      </c>
      <c r="N10" s="115" t="str">
        <f t="shared" si="9"/>
        <v xml:space="preserve"> </v>
      </c>
      <c r="O10" s="115" t="str">
        <f t="shared" si="9"/>
        <v xml:space="preserve"> </v>
      </c>
      <c r="P10" s="115" t="str">
        <f t="shared" si="9"/>
        <v xml:space="preserve"> </v>
      </c>
      <c r="Q10" s="115" t="str">
        <f t="shared" si="9"/>
        <v xml:space="preserve"> </v>
      </c>
      <c r="R10" s="115" t="str">
        <f t="shared" si="9"/>
        <v xml:space="preserve"> </v>
      </c>
      <c r="S10" s="115" t="str">
        <f t="shared" si="9"/>
        <v xml:space="preserve"> </v>
      </c>
      <c r="T10" s="115" t="str">
        <f t="shared" si="9"/>
        <v xml:space="preserve"> </v>
      </c>
      <c r="U10" s="115" t="str">
        <f t="shared" si="9"/>
        <v xml:space="preserve"> </v>
      </c>
      <c r="V10" s="115" t="str">
        <f t="shared" si="9"/>
        <v xml:space="preserve"> </v>
      </c>
      <c r="W10" s="115" t="str">
        <f t="shared" si="9"/>
        <v xml:space="preserve"> </v>
      </c>
      <c r="X10" s="115" t="str">
        <f t="shared" si="9"/>
        <v xml:space="preserve"> </v>
      </c>
      <c r="Y10" s="115" t="str">
        <f t="shared" si="9"/>
        <v xml:space="preserve"> </v>
      </c>
      <c r="Z10" s="115" t="str">
        <f t="shared" si="9"/>
        <v xml:space="preserve"> </v>
      </c>
      <c r="AA10" s="115" t="str">
        <f t="shared" si="9"/>
        <v xml:space="preserve"> </v>
      </c>
      <c r="AB10" s="115" t="str">
        <f t="shared" si="9"/>
        <v xml:space="preserve"> </v>
      </c>
      <c r="AC10" s="467">
        <f>'3_Comp e Produtos'!E10</f>
        <v>256500</v>
      </c>
      <c r="AD10" s="119">
        <f t="shared" si="10"/>
        <v>0</v>
      </c>
      <c r="AE10" s="119">
        <f t="shared" si="10"/>
        <v>0</v>
      </c>
      <c r="AF10" s="119">
        <f t="shared" si="10"/>
        <v>0</v>
      </c>
      <c r="AG10" s="119">
        <f t="shared" si="10"/>
        <v>0</v>
      </c>
      <c r="AH10" s="120">
        <f t="shared" si="11"/>
        <v>0</v>
      </c>
      <c r="AI10" s="119">
        <f t="shared" si="31"/>
        <v>0</v>
      </c>
      <c r="AJ10" s="119">
        <f t="shared" si="12"/>
        <v>0</v>
      </c>
      <c r="AK10" s="119">
        <f t="shared" si="12"/>
        <v>0</v>
      </c>
      <c r="AL10" s="119">
        <f t="shared" si="12"/>
        <v>0</v>
      </c>
      <c r="AM10" s="120">
        <f t="shared" si="13"/>
        <v>0</v>
      </c>
      <c r="AN10" s="119">
        <f t="shared" si="14"/>
        <v>256500</v>
      </c>
      <c r="AO10" s="119">
        <f t="shared" si="15"/>
        <v>0</v>
      </c>
      <c r="AP10" s="119">
        <f t="shared" si="16"/>
        <v>0</v>
      </c>
      <c r="AQ10" s="119">
        <f t="shared" si="17"/>
        <v>0</v>
      </c>
      <c r="AR10" s="120">
        <f t="shared" si="18"/>
        <v>256500</v>
      </c>
      <c r="AS10" s="119">
        <f t="shared" si="19"/>
        <v>0</v>
      </c>
      <c r="AT10" s="119">
        <f t="shared" si="20"/>
        <v>0</v>
      </c>
      <c r="AU10" s="119">
        <f t="shared" si="21"/>
        <v>0</v>
      </c>
      <c r="AV10" s="119">
        <f t="shared" si="22"/>
        <v>0</v>
      </c>
      <c r="AW10" s="120">
        <f t="shared" si="23"/>
        <v>0</v>
      </c>
      <c r="AX10" s="119">
        <f t="shared" si="24"/>
        <v>0</v>
      </c>
      <c r="AY10" s="119">
        <f t="shared" si="25"/>
        <v>0</v>
      </c>
      <c r="AZ10" s="119">
        <f t="shared" si="26"/>
        <v>0</v>
      </c>
      <c r="BA10" s="119">
        <f t="shared" si="27"/>
        <v>0</v>
      </c>
      <c r="BB10" s="120">
        <f t="shared" si="28"/>
        <v>0</v>
      </c>
      <c r="BC10" s="119">
        <f t="shared" si="32"/>
        <v>0</v>
      </c>
      <c r="BD10" s="119">
        <f t="shared" si="29"/>
        <v>0</v>
      </c>
      <c r="BE10" s="119">
        <f t="shared" si="29"/>
        <v>0</v>
      </c>
      <c r="BF10" s="119">
        <f t="shared" si="29"/>
        <v>0</v>
      </c>
      <c r="BG10" s="120">
        <f t="shared" si="30"/>
        <v>0</v>
      </c>
    </row>
    <row r="11" spans="1:59" s="12" customFormat="1" ht="25.5">
      <c r="A11" s="143" t="str">
        <f>IF('3_Comp e Produtos'!B11="Sim",'3_Comp e Produtos'!A11,"NÃO SELECIONADO")</f>
        <v>1.5. Ferramenta que permita verificar e monitorar a consistência entre os alinhamentos estratégicos e os resultados operacionais</v>
      </c>
      <c r="B11" s="349">
        <v>41640</v>
      </c>
      <c r="C11" s="365">
        <v>12</v>
      </c>
      <c r="D11" s="270">
        <f t="shared" si="8"/>
        <v>41988</v>
      </c>
      <c r="E11" s="115" t="str">
        <f t="shared" si="9"/>
        <v xml:space="preserve"> </v>
      </c>
      <c r="F11" s="115" t="str">
        <f t="shared" si="9"/>
        <v xml:space="preserve"> </v>
      </c>
      <c r="G11" s="115" t="str">
        <f t="shared" si="9"/>
        <v xml:space="preserve"> </v>
      </c>
      <c r="H11" s="115" t="str">
        <f t="shared" si="9"/>
        <v xml:space="preserve"> </v>
      </c>
      <c r="I11" s="115" t="str">
        <f t="shared" si="9"/>
        <v xml:space="preserve"> </v>
      </c>
      <c r="J11" s="115" t="str">
        <f t="shared" si="9"/>
        <v xml:space="preserve"> </v>
      </c>
      <c r="K11" s="115" t="str">
        <f t="shared" si="9"/>
        <v xml:space="preserve"> </v>
      </c>
      <c r="L11" s="115" t="str">
        <f t="shared" si="9"/>
        <v xml:space="preserve"> </v>
      </c>
      <c r="M11" s="115" t="str">
        <f t="shared" si="9"/>
        <v xml:space="preserve"> </v>
      </c>
      <c r="N11" s="115" t="str">
        <f t="shared" si="9"/>
        <v xml:space="preserve"> </v>
      </c>
      <c r="O11" s="115" t="str">
        <f t="shared" si="9"/>
        <v xml:space="preserve"> </v>
      </c>
      <c r="P11" s="115" t="str">
        <f t="shared" si="9"/>
        <v xml:space="preserve"> </v>
      </c>
      <c r="Q11" s="115" t="str">
        <f t="shared" si="9"/>
        <v>X</v>
      </c>
      <c r="R11" s="115" t="str">
        <f t="shared" si="9"/>
        <v>X</v>
      </c>
      <c r="S11" s="115" t="str">
        <f t="shared" si="9"/>
        <v>X</v>
      </c>
      <c r="T11" s="115" t="str">
        <f t="shared" si="9"/>
        <v>X</v>
      </c>
      <c r="U11" s="115" t="str">
        <f t="shared" si="9"/>
        <v xml:space="preserve"> </v>
      </c>
      <c r="V11" s="115" t="str">
        <f t="shared" si="9"/>
        <v xml:space="preserve"> </v>
      </c>
      <c r="W11" s="115" t="str">
        <f t="shared" si="9"/>
        <v xml:space="preserve"> </v>
      </c>
      <c r="X11" s="115" t="str">
        <f t="shared" si="9"/>
        <v xml:space="preserve"> </v>
      </c>
      <c r="Y11" s="115" t="str">
        <f t="shared" si="9"/>
        <v xml:space="preserve"> </v>
      </c>
      <c r="Z11" s="115" t="str">
        <f t="shared" si="9"/>
        <v xml:space="preserve"> </v>
      </c>
      <c r="AA11" s="115" t="str">
        <f t="shared" si="9"/>
        <v xml:space="preserve"> </v>
      </c>
      <c r="AB11" s="115" t="str">
        <f t="shared" si="9"/>
        <v xml:space="preserve"> </v>
      </c>
      <c r="AC11" s="467">
        <f>'3_Comp e Produtos'!E11</f>
        <v>605000</v>
      </c>
      <c r="AD11" s="119">
        <f t="shared" si="10"/>
        <v>0</v>
      </c>
      <c r="AE11" s="119">
        <f t="shared" si="10"/>
        <v>0</v>
      </c>
      <c r="AF11" s="119">
        <f t="shared" si="10"/>
        <v>0</v>
      </c>
      <c r="AG11" s="119">
        <f t="shared" si="10"/>
        <v>0</v>
      </c>
      <c r="AH11" s="120">
        <f t="shared" si="11"/>
        <v>0</v>
      </c>
      <c r="AI11" s="119">
        <f t="shared" si="31"/>
        <v>0</v>
      </c>
      <c r="AJ11" s="119">
        <f t="shared" si="12"/>
        <v>0</v>
      </c>
      <c r="AK11" s="119">
        <f t="shared" si="12"/>
        <v>0</v>
      </c>
      <c r="AL11" s="119">
        <f t="shared" si="12"/>
        <v>0</v>
      </c>
      <c r="AM11" s="120">
        <f t="shared" si="13"/>
        <v>0</v>
      </c>
      <c r="AN11" s="119">
        <f t="shared" si="14"/>
        <v>0</v>
      </c>
      <c r="AO11" s="119">
        <f t="shared" si="15"/>
        <v>0</v>
      </c>
      <c r="AP11" s="119">
        <f t="shared" si="16"/>
        <v>0</v>
      </c>
      <c r="AQ11" s="119">
        <f t="shared" si="17"/>
        <v>0</v>
      </c>
      <c r="AR11" s="120">
        <f t="shared" si="18"/>
        <v>0</v>
      </c>
      <c r="AS11" s="119">
        <f t="shared" si="19"/>
        <v>151250</v>
      </c>
      <c r="AT11" s="119">
        <f t="shared" si="20"/>
        <v>151250</v>
      </c>
      <c r="AU11" s="119">
        <f t="shared" si="21"/>
        <v>151250</v>
      </c>
      <c r="AV11" s="119">
        <f t="shared" si="22"/>
        <v>151250</v>
      </c>
      <c r="AW11" s="120">
        <f t="shared" si="23"/>
        <v>605000</v>
      </c>
      <c r="AX11" s="119">
        <f t="shared" si="24"/>
        <v>0</v>
      </c>
      <c r="AY11" s="119">
        <f t="shared" si="25"/>
        <v>0</v>
      </c>
      <c r="AZ11" s="119">
        <f t="shared" si="26"/>
        <v>0</v>
      </c>
      <c r="BA11" s="119">
        <f t="shared" si="27"/>
        <v>0</v>
      </c>
      <c r="BB11" s="120">
        <f t="shared" si="28"/>
        <v>0</v>
      </c>
      <c r="BC11" s="119">
        <f t="shared" si="32"/>
        <v>0</v>
      </c>
      <c r="BD11" s="119">
        <f t="shared" si="29"/>
        <v>0</v>
      </c>
      <c r="BE11" s="119">
        <f t="shared" si="29"/>
        <v>0</v>
      </c>
      <c r="BF11" s="119">
        <f t="shared" si="29"/>
        <v>0</v>
      </c>
      <c r="BG11" s="120">
        <f t="shared" si="30"/>
        <v>0</v>
      </c>
    </row>
    <row r="12" spans="1:59" s="12" customFormat="1" ht="18.600000000000001" customHeight="1">
      <c r="A12" s="143" t="str">
        <f>IF('3_Comp e Produtos'!B12="Sim",'3_Comp e Produtos'!A12,"NÃO SELECIONADO")</f>
        <v>1.6. Criação de uma unidade de gestão do conhecimento</v>
      </c>
      <c r="B12" s="114">
        <v>41091</v>
      </c>
      <c r="C12" s="365">
        <v>3</v>
      </c>
      <c r="D12" s="270">
        <f t="shared" si="8"/>
        <v>41178</v>
      </c>
      <c r="E12" s="115" t="str">
        <f t="shared" si="9"/>
        <v xml:space="preserve"> </v>
      </c>
      <c r="F12" s="115" t="str">
        <f t="shared" si="9"/>
        <v xml:space="preserve"> </v>
      </c>
      <c r="G12" s="115" t="str">
        <f t="shared" si="9"/>
        <v xml:space="preserve"> </v>
      </c>
      <c r="H12" s="115" t="str">
        <f t="shared" si="9"/>
        <v xml:space="preserve"> </v>
      </c>
      <c r="I12" s="115" t="str">
        <f t="shared" si="9"/>
        <v xml:space="preserve"> </v>
      </c>
      <c r="J12" s="115" t="str">
        <f t="shared" si="9"/>
        <v xml:space="preserve"> </v>
      </c>
      <c r="K12" s="115" t="str">
        <f t="shared" si="9"/>
        <v>X</v>
      </c>
      <c r="L12" s="115" t="str">
        <f t="shared" si="9"/>
        <v xml:space="preserve"> </v>
      </c>
      <c r="M12" s="115" t="str">
        <f t="shared" si="9"/>
        <v xml:space="preserve"> </v>
      </c>
      <c r="N12" s="115" t="str">
        <f t="shared" si="9"/>
        <v xml:space="preserve"> </v>
      </c>
      <c r="O12" s="115" t="str">
        <f t="shared" si="9"/>
        <v xml:space="preserve"> </v>
      </c>
      <c r="P12" s="115" t="str">
        <f t="shared" si="9"/>
        <v xml:space="preserve"> </v>
      </c>
      <c r="Q12" s="115" t="str">
        <f t="shared" si="9"/>
        <v xml:space="preserve"> </v>
      </c>
      <c r="R12" s="115" t="str">
        <f t="shared" si="9"/>
        <v xml:space="preserve"> </v>
      </c>
      <c r="S12" s="115" t="str">
        <f t="shared" si="9"/>
        <v xml:space="preserve"> </v>
      </c>
      <c r="T12" s="115" t="str">
        <f t="shared" si="9"/>
        <v xml:space="preserve"> </v>
      </c>
      <c r="U12" s="115" t="str">
        <f t="shared" si="9"/>
        <v xml:space="preserve"> </v>
      </c>
      <c r="V12" s="115" t="str">
        <f t="shared" si="9"/>
        <v xml:space="preserve"> </v>
      </c>
      <c r="W12" s="115" t="str">
        <f t="shared" si="9"/>
        <v xml:space="preserve"> </v>
      </c>
      <c r="X12" s="115" t="str">
        <f t="shared" si="9"/>
        <v xml:space="preserve"> </v>
      </c>
      <c r="Y12" s="115" t="str">
        <f t="shared" si="9"/>
        <v xml:space="preserve"> </v>
      </c>
      <c r="Z12" s="115" t="str">
        <f t="shared" si="9"/>
        <v xml:space="preserve"> </v>
      </c>
      <c r="AA12" s="115" t="str">
        <f t="shared" si="9"/>
        <v xml:space="preserve"> </v>
      </c>
      <c r="AB12" s="115" t="str">
        <f t="shared" si="9"/>
        <v xml:space="preserve"> </v>
      </c>
      <c r="AC12" s="467">
        <f>'3_Comp e Produtos'!E12</f>
        <v>39250</v>
      </c>
      <c r="AD12" s="119">
        <f t="shared" si="10"/>
        <v>0</v>
      </c>
      <c r="AE12" s="119">
        <f t="shared" si="10"/>
        <v>0</v>
      </c>
      <c r="AF12" s="119">
        <f t="shared" si="10"/>
        <v>0</v>
      </c>
      <c r="AG12" s="119">
        <f t="shared" si="10"/>
        <v>0</v>
      </c>
      <c r="AH12" s="120">
        <f t="shared" si="11"/>
        <v>0</v>
      </c>
      <c r="AI12" s="119">
        <f t="shared" si="31"/>
        <v>0</v>
      </c>
      <c r="AJ12" s="119">
        <f t="shared" si="12"/>
        <v>0</v>
      </c>
      <c r="AK12" s="119">
        <f t="shared" si="12"/>
        <v>39250</v>
      </c>
      <c r="AL12" s="119">
        <f t="shared" si="12"/>
        <v>0</v>
      </c>
      <c r="AM12" s="120">
        <f t="shared" si="13"/>
        <v>39250</v>
      </c>
      <c r="AN12" s="119">
        <f t="shared" si="14"/>
        <v>0</v>
      </c>
      <c r="AO12" s="119">
        <f t="shared" si="15"/>
        <v>0</v>
      </c>
      <c r="AP12" s="119">
        <f t="shared" si="16"/>
        <v>0</v>
      </c>
      <c r="AQ12" s="119">
        <f t="shared" si="17"/>
        <v>0</v>
      </c>
      <c r="AR12" s="120">
        <f t="shared" si="18"/>
        <v>0</v>
      </c>
      <c r="AS12" s="119">
        <f t="shared" si="19"/>
        <v>0</v>
      </c>
      <c r="AT12" s="119">
        <f t="shared" si="20"/>
        <v>0</v>
      </c>
      <c r="AU12" s="119">
        <f t="shared" si="21"/>
        <v>0</v>
      </c>
      <c r="AV12" s="119">
        <f t="shared" si="22"/>
        <v>0</v>
      </c>
      <c r="AW12" s="120">
        <f t="shared" si="23"/>
        <v>0</v>
      </c>
      <c r="AX12" s="119">
        <f t="shared" si="24"/>
        <v>0</v>
      </c>
      <c r="AY12" s="119">
        <f t="shared" si="25"/>
        <v>0</v>
      </c>
      <c r="AZ12" s="119">
        <f t="shared" si="26"/>
        <v>0</v>
      </c>
      <c r="BA12" s="119">
        <f t="shared" si="27"/>
        <v>0</v>
      </c>
      <c r="BB12" s="120">
        <f t="shared" si="28"/>
        <v>0</v>
      </c>
      <c r="BC12" s="119">
        <f t="shared" si="32"/>
        <v>0</v>
      </c>
      <c r="BD12" s="119">
        <f t="shared" si="29"/>
        <v>0</v>
      </c>
      <c r="BE12" s="119">
        <f t="shared" si="29"/>
        <v>0</v>
      </c>
      <c r="BF12" s="119">
        <f t="shared" si="29"/>
        <v>0</v>
      </c>
      <c r="BG12" s="120">
        <f t="shared" si="30"/>
        <v>0</v>
      </c>
    </row>
    <row r="13" spans="1:59" s="12" customFormat="1" ht="25.5">
      <c r="A13" s="143" t="str">
        <f>IF('3_Comp e Produtos'!B13="Sim",'3_Comp e Produtos'!A13,"NÃO SELECIONADO")</f>
        <v>1.7. Instalar uma ferramenta de BI incluindo recursos para Text Mining e Data Mining</v>
      </c>
      <c r="B13" s="114">
        <v>41275</v>
      </c>
      <c r="C13" s="365">
        <v>24</v>
      </c>
      <c r="D13" s="270">
        <f t="shared" si="8"/>
        <v>41995</v>
      </c>
      <c r="E13" s="115" t="str">
        <f t="shared" si="9"/>
        <v xml:space="preserve"> </v>
      </c>
      <c r="F13" s="115" t="str">
        <f t="shared" si="9"/>
        <v xml:space="preserve"> </v>
      </c>
      <c r="G13" s="115" t="str">
        <f t="shared" si="9"/>
        <v xml:space="preserve"> </v>
      </c>
      <c r="H13" s="115" t="str">
        <f t="shared" si="9"/>
        <v xml:space="preserve"> </v>
      </c>
      <c r="I13" s="115" t="str">
        <f t="shared" si="9"/>
        <v xml:space="preserve"> </v>
      </c>
      <c r="J13" s="115" t="str">
        <f t="shared" si="9"/>
        <v xml:space="preserve"> </v>
      </c>
      <c r="K13" s="115" t="str">
        <f t="shared" si="9"/>
        <v xml:space="preserve"> </v>
      </c>
      <c r="L13" s="115" t="str">
        <f t="shared" si="9"/>
        <v xml:space="preserve"> </v>
      </c>
      <c r="M13" s="115" t="str">
        <f t="shared" si="9"/>
        <v>X</v>
      </c>
      <c r="N13" s="115" t="str">
        <f t="shared" si="9"/>
        <v>X</v>
      </c>
      <c r="O13" s="115" t="str">
        <f t="shared" si="9"/>
        <v>X</v>
      </c>
      <c r="P13" s="115" t="str">
        <f t="shared" si="9"/>
        <v>X</v>
      </c>
      <c r="Q13" s="115" t="str">
        <f t="shared" si="9"/>
        <v>X</v>
      </c>
      <c r="R13" s="115" t="str">
        <f t="shared" si="9"/>
        <v>X</v>
      </c>
      <c r="S13" s="115" t="str">
        <f t="shared" si="9"/>
        <v>X</v>
      </c>
      <c r="T13" s="115" t="str">
        <f t="shared" si="9"/>
        <v>X</v>
      </c>
      <c r="U13" s="115" t="str">
        <f t="shared" si="9"/>
        <v xml:space="preserve"> </v>
      </c>
      <c r="V13" s="115" t="str">
        <f t="shared" si="9"/>
        <v xml:space="preserve"> </v>
      </c>
      <c r="W13" s="115" t="str">
        <f t="shared" si="9"/>
        <v xml:space="preserve"> </v>
      </c>
      <c r="X13" s="115" t="str">
        <f t="shared" si="9"/>
        <v xml:space="preserve"> </v>
      </c>
      <c r="Y13" s="115" t="str">
        <f t="shared" si="9"/>
        <v xml:space="preserve"> </v>
      </c>
      <c r="Z13" s="115" t="str">
        <f t="shared" si="9"/>
        <v xml:space="preserve"> </v>
      </c>
      <c r="AA13" s="115" t="str">
        <f t="shared" si="9"/>
        <v xml:space="preserve"> </v>
      </c>
      <c r="AB13" s="115" t="str">
        <f t="shared" si="9"/>
        <v xml:space="preserve"> </v>
      </c>
      <c r="AC13" s="467">
        <f>'3_Comp e Produtos'!E13</f>
        <v>605000</v>
      </c>
      <c r="AD13" s="119">
        <f t="shared" si="10"/>
        <v>0</v>
      </c>
      <c r="AE13" s="119">
        <f t="shared" si="10"/>
        <v>0</v>
      </c>
      <c r="AF13" s="119">
        <f t="shared" si="10"/>
        <v>0</v>
      </c>
      <c r="AG13" s="119">
        <f t="shared" si="10"/>
        <v>0</v>
      </c>
      <c r="AH13" s="120">
        <f t="shared" si="11"/>
        <v>0</v>
      </c>
      <c r="AI13" s="119">
        <f t="shared" si="31"/>
        <v>0</v>
      </c>
      <c r="AJ13" s="119">
        <f t="shared" si="12"/>
        <v>0</v>
      </c>
      <c r="AK13" s="119">
        <f t="shared" si="12"/>
        <v>0</v>
      </c>
      <c r="AL13" s="119">
        <f t="shared" si="12"/>
        <v>0</v>
      </c>
      <c r="AM13" s="120">
        <f t="shared" si="13"/>
        <v>0</v>
      </c>
      <c r="AN13" s="119">
        <f t="shared" si="14"/>
        <v>75625</v>
      </c>
      <c r="AO13" s="119">
        <f t="shared" si="15"/>
        <v>75625</v>
      </c>
      <c r="AP13" s="119">
        <f t="shared" si="16"/>
        <v>75625</v>
      </c>
      <c r="AQ13" s="119">
        <f t="shared" si="17"/>
        <v>75625</v>
      </c>
      <c r="AR13" s="120">
        <f t="shared" si="18"/>
        <v>302500</v>
      </c>
      <c r="AS13" s="119">
        <f t="shared" si="19"/>
        <v>75625</v>
      </c>
      <c r="AT13" s="119">
        <f t="shared" si="20"/>
        <v>75625</v>
      </c>
      <c r="AU13" s="119">
        <f t="shared" si="21"/>
        <v>75625</v>
      </c>
      <c r="AV13" s="119">
        <f t="shared" si="22"/>
        <v>75625</v>
      </c>
      <c r="AW13" s="120">
        <f t="shared" si="23"/>
        <v>302500</v>
      </c>
      <c r="AX13" s="119">
        <f t="shared" si="24"/>
        <v>0</v>
      </c>
      <c r="AY13" s="119">
        <f t="shared" si="25"/>
        <v>0</v>
      </c>
      <c r="AZ13" s="119">
        <f t="shared" si="26"/>
        <v>0</v>
      </c>
      <c r="BA13" s="119">
        <f t="shared" si="27"/>
        <v>0</v>
      </c>
      <c r="BB13" s="120">
        <f t="shared" si="28"/>
        <v>0</v>
      </c>
      <c r="BC13" s="119">
        <f t="shared" si="32"/>
        <v>0</v>
      </c>
      <c r="BD13" s="119">
        <f t="shared" si="29"/>
        <v>0</v>
      </c>
      <c r="BE13" s="119">
        <f t="shared" si="29"/>
        <v>0</v>
      </c>
      <c r="BF13" s="119">
        <f t="shared" si="29"/>
        <v>0</v>
      </c>
      <c r="BG13" s="120">
        <f t="shared" si="30"/>
        <v>0</v>
      </c>
    </row>
    <row r="14" spans="1:59" s="12" customFormat="1" ht="20.45" customHeight="1">
      <c r="A14" s="143" t="str">
        <f>IF('3_Comp e Produtos'!B14="Sim",'3_Comp e Produtos'!A14,"NÃO SELECIONADO")</f>
        <v>1.8. Criação do Escritório de Processos</v>
      </c>
      <c r="B14" s="114">
        <v>40909</v>
      </c>
      <c r="C14" s="365">
        <v>3</v>
      </c>
      <c r="D14" s="270">
        <f t="shared" si="8"/>
        <v>40996</v>
      </c>
      <c r="E14" s="115" t="str">
        <f t="shared" si="9"/>
        <v xml:space="preserve"> </v>
      </c>
      <c r="F14" s="115" t="str">
        <f t="shared" si="9"/>
        <v xml:space="preserve"> </v>
      </c>
      <c r="G14" s="115" t="str">
        <f t="shared" si="9"/>
        <v xml:space="preserve"> </v>
      </c>
      <c r="H14" s="115" t="str">
        <f t="shared" si="9"/>
        <v xml:space="preserve"> </v>
      </c>
      <c r="I14" s="115" t="str">
        <f t="shared" si="9"/>
        <v>X</v>
      </c>
      <c r="J14" s="115" t="str">
        <f t="shared" si="9"/>
        <v xml:space="preserve"> </v>
      </c>
      <c r="K14" s="115" t="str">
        <f t="shared" si="9"/>
        <v xml:space="preserve"> </v>
      </c>
      <c r="L14" s="115" t="str">
        <f t="shared" si="9"/>
        <v xml:space="preserve"> </v>
      </c>
      <c r="M14" s="115" t="str">
        <f t="shared" si="9"/>
        <v xml:space="preserve"> </v>
      </c>
      <c r="N14" s="115" t="str">
        <f t="shared" si="9"/>
        <v xml:space="preserve"> </v>
      </c>
      <c r="O14" s="115" t="str">
        <f t="shared" si="9"/>
        <v xml:space="preserve"> </v>
      </c>
      <c r="P14" s="115" t="str">
        <f t="shared" si="9"/>
        <v xml:space="preserve"> </v>
      </c>
      <c r="Q14" s="115" t="str">
        <f t="shared" si="9"/>
        <v xml:space="preserve"> </v>
      </c>
      <c r="R14" s="115" t="str">
        <f t="shared" si="9"/>
        <v xml:space="preserve"> </v>
      </c>
      <c r="S14" s="115" t="str">
        <f t="shared" si="9"/>
        <v xml:space="preserve"> </v>
      </c>
      <c r="T14" s="115" t="str">
        <f t="shared" si="9"/>
        <v xml:space="preserve"> </v>
      </c>
      <c r="U14" s="115" t="str">
        <f t="shared" si="9"/>
        <v xml:space="preserve"> </v>
      </c>
      <c r="V14" s="115" t="str">
        <f t="shared" si="9"/>
        <v xml:space="preserve"> </v>
      </c>
      <c r="W14" s="115" t="str">
        <f t="shared" si="9"/>
        <v xml:space="preserve"> </v>
      </c>
      <c r="X14" s="115" t="str">
        <f t="shared" si="9"/>
        <v xml:space="preserve"> </v>
      </c>
      <c r="Y14" s="115" t="str">
        <f t="shared" si="9"/>
        <v xml:space="preserve"> </v>
      </c>
      <c r="Z14" s="115" t="str">
        <f t="shared" si="9"/>
        <v xml:space="preserve"> </v>
      </c>
      <c r="AA14" s="115" t="str">
        <f t="shared" si="9"/>
        <v xml:space="preserve"> </v>
      </c>
      <c r="AB14" s="115" t="str">
        <f t="shared" si="9"/>
        <v xml:space="preserve"> </v>
      </c>
      <c r="AC14" s="467">
        <f>'3_Comp e Produtos'!E14</f>
        <v>36000</v>
      </c>
      <c r="AD14" s="119">
        <f t="shared" si="10"/>
        <v>0</v>
      </c>
      <c r="AE14" s="119">
        <f t="shared" si="10"/>
        <v>0</v>
      </c>
      <c r="AF14" s="119">
        <f t="shared" si="10"/>
        <v>0</v>
      </c>
      <c r="AG14" s="119">
        <f t="shared" si="10"/>
        <v>0</v>
      </c>
      <c r="AH14" s="120">
        <f t="shared" si="11"/>
        <v>0</v>
      </c>
      <c r="AI14" s="119">
        <f t="shared" si="31"/>
        <v>36000</v>
      </c>
      <c r="AJ14" s="119">
        <f t="shared" si="12"/>
        <v>0</v>
      </c>
      <c r="AK14" s="119">
        <f t="shared" si="12"/>
        <v>0</v>
      </c>
      <c r="AL14" s="119">
        <f t="shared" si="12"/>
        <v>0</v>
      </c>
      <c r="AM14" s="120">
        <f t="shared" si="13"/>
        <v>36000</v>
      </c>
      <c r="AN14" s="119">
        <f t="shared" si="14"/>
        <v>0</v>
      </c>
      <c r="AO14" s="119">
        <f t="shared" si="15"/>
        <v>0</v>
      </c>
      <c r="AP14" s="119">
        <f t="shared" si="16"/>
        <v>0</v>
      </c>
      <c r="AQ14" s="119">
        <f t="shared" si="17"/>
        <v>0</v>
      </c>
      <c r="AR14" s="120">
        <f t="shared" si="18"/>
        <v>0</v>
      </c>
      <c r="AS14" s="119">
        <f t="shared" si="19"/>
        <v>0</v>
      </c>
      <c r="AT14" s="119">
        <f t="shared" si="20"/>
        <v>0</v>
      </c>
      <c r="AU14" s="119">
        <f t="shared" si="21"/>
        <v>0</v>
      </c>
      <c r="AV14" s="119">
        <f t="shared" si="22"/>
        <v>0</v>
      </c>
      <c r="AW14" s="120">
        <f t="shared" si="23"/>
        <v>0</v>
      </c>
      <c r="AX14" s="119">
        <f t="shared" si="24"/>
        <v>0</v>
      </c>
      <c r="AY14" s="119">
        <f t="shared" si="25"/>
        <v>0</v>
      </c>
      <c r="AZ14" s="119">
        <f t="shared" si="26"/>
        <v>0</v>
      </c>
      <c r="BA14" s="119">
        <f t="shared" si="27"/>
        <v>0</v>
      </c>
      <c r="BB14" s="120">
        <f t="shared" si="28"/>
        <v>0</v>
      </c>
      <c r="BC14" s="119">
        <f t="shared" si="32"/>
        <v>0</v>
      </c>
      <c r="BD14" s="119">
        <f t="shared" si="29"/>
        <v>0</v>
      </c>
      <c r="BE14" s="119">
        <f t="shared" si="29"/>
        <v>0</v>
      </c>
      <c r="BF14" s="119">
        <f t="shared" si="29"/>
        <v>0</v>
      </c>
      <c r="BG14" s="120">
        <f t="shared" si="30"/>
        <v>0</v>
      </c>
    </row>
    <row r="15" spans="1:59" s="12" customFormat="1" ht="25.5">
      <c r="A15" s="143" t="str">
        <f>IF('3_Comp e Produtos'!B15="Sim",'3_Comp e Produtos'!A15,"NÃO SELECIONADO")</f>
        <v>1.9. Modelo dinâmico de gerência, controle, otimização, integração e sustentabilidade dos processos operacionais e de gestão</v>
      </c>
      <c r="B15" s="114">
        <v>40909</v>
      </c>
      <c r="C15" s="365">
        <v>3</v>
      </c>
      <c r="D15" s="270">
        <f t="shared" si="8"/>
        <v>40996</v>
      </c>
      <c r="E15" s="115" t="str">
        <f t="shared" si="9"/>
        <v xml:space="preserve"> </v>
      </c>
      <c r="F15" s="115" t="str">
        <f t="shared" si="9"/>
        <v xml:space="preserve"> </v>
      </c>
      <c r="G15" s="115" t="str">
        <f t="shared" si="9"/>
        <v xml:space="preserve"> </v>
      </c>
      <c r="H15" s="115" t="str">
        <f t="shared" si="9"/>
        <v xml:space="preserve"> </v>
      </c>
      <c r="I15" s="115" t="str">
        <f t="shared" si="9"/>
        <v>X</v>
      </c>
      <c r="J15" s="115" t="str">
        <f t="shared" si="9"/>
        <v xml:space="preserve"> </v>
      </c>
      <c r="K15" s="115" t="str">
        <f t="shared" si="9"/>
        <v xml:space="preserve"> </v>
      </c>
      <c r="L15" s="115" t="str">
        <f t="shared" si="9"/>
        <v xml:space="preserve"> </v>
      </c>
      <c r="M15" s="115" t="str">
        <f t="shared" si="9"/>
        <v xml:space="preserve"> </v>
      </c>
      <c r="N15" s="115" t="str">
        <f t="shared" si="9"/>
        <v xml:space="preserve"> </v>
      </c>
      <c r="O15" s="115" t="str">
        <f t="shared" si="9"/>
        <v xml:space="preserve"> </v>
      </c>
      <c r="P15" s="115" t="str">
        <f t="shared" si="9"/>
        <v xml:space="preserve"> </v>
      </c>
      <c r="Q15" s="115" t="str">
        <f t="shared" si="9"/>
        <v xml:space="preserve"> </v>
      </c>
      <c r="R15" s="115" t="str">
        <f t="shared" si="9"/>
        <v xml:space="preserve"> </v>
      </c>
      <c r="S15" s="115" t="str">
        <f t="shared" si="9"/>
        <v xml:space="preserve"> </v>
      </c>
      <c r="T15" s="115" t="str">
        <f t="shared" si="9"/>
        <v xml:space="preserve"> </v>
      </c>
      <c r="U15" s="115" t="str">
        <f t="shared" si="9"/>
        <v xml:space="preserve"> </v>
      </c>
      <c r="V15" s="115" t="str">
        <f t="shared" si="9"/>
        <v xml:space="preserve"> </v>
      </c>
      <c r="W15" s="115" t="str">
        <f t="shared" si="9"/>
        <v xml:space="preserve"> </v>
      </c>
      <c r="X15" s="115" t="str">
        <f t="shared" si="9"/>
        <v xml:space="preserve"> </v>
      </c>
      <c r="Y15" s="115" t="str">
        <f t="shared" si="9"/>
        <v xml:space="preserve"> </v>
      </c>
      <c r="Z15" s="115" t="str">
        <f t="shared" si="9"/>
        <v xml:space="preserve"> </v>
      </c>
      <c r="AA15" s="115" t="str">
        <f t="shared" si="9"/>
        <v xml:space="preserve"> </v>
      </c>
      <c r="AB15" s="115" t="str">
        <f t="shared" si="9"/>
        <v xml:space="preserve"> </v>
      </c>
      <c r="AC15" s="467">
        <f>'3_Comp e Produtos'!E15</f>
        <v>836000</v>
      </c>
      <c r="AD15" s="119">
        <f t="shared" si="10"/>
        <v>0</v>
      </c>
      <c r="AE15" s="119">
        <f t="shared" si="10"/>
        <v>0</v>
      </c>
      <c r="AF15" s="119">
        <f t="shared" si="10"/>
        <v>0</v>
      </c>
      <c r="AG15" s="119">
        <f t="shared" si="10"/>
        <v>0</v>
      </c>
      <c r="AH15" s="120">
        <f t="shared" si="11"/>
        <v>0</v>
      </c>
      <c r="AI15" s="119">
        <f t="shared" si="31"/>
        <v>836000</v>
      </c>
      <c r="AJ15" s="119">
        <f t="shared" si="12"/>
        <v>0</v>
      </c>
      <c r="AK15" s="119">
        <f t="shared" si="12"/>
        <v>0</v>
      </c>
      <c r="AL15" s="119">
        <f t="shared" si="12"/>
        <v>0</v>
      </c>
      <c r="AM15" s="120">
        <f t="shared" si="13"/>
        <v>836000</v>
      </c>
      <c r="AN15" s="119">
        <f t="shared" si="14"/>
        <v>0</v>
      </c>
      <c r="AO15" s="119">
        <f t="shared" si="15"/>
        <v>0</v>
      </c>
      <c r="AP15" s="119">
        <f t="shared" si="16"/>
        <v>0</v>
      </c>
      <c r="AQ15" s="119">
        <f t="shared" si="17"/>
        <v>0</v>
      </c>
      <c r="AR15" s="120">
        <f t="shared" si="18"/>
        <v>0</v>
      </c>
      <c r="AS15" s="119">
        <f t="shared" si="19"/>
        <v>0</v>
      </c>
      <c r="AT15" s="119">
        <f t="shared" si="20"/>
        <v>0</v>
      </c>
      <c r="AU15" s="119">
        <f t="shared" si="21"/>
        <v>0</v>
      </c>
      <c r="AV15" s="119">
        <f t="shared" si="22"/>
        <v>0</v>
      </c>
      <c r="AW15" s="120">
        <f t="shared" si="23"/>
        <v>0</v>
      </c>
      <c r="AX15" s="119">
        <f t="shared" si="24"/>
        <v>0</v>
      </c>
      <c r="AY15" s="119">
        <f t="shared" si="25"/>
        <v>0</v>
      </c>
      <c r="AZ15" s="119">
        <f t="shared" si="26"/>
        <v>0</v>
      </c>
      <c r="BA15" s="119">
        <f t="shared" si="27"/>
        <v>0</v>
      </c>
      <c r="BB15" s="120">
        <f t="shared" si="28"/>
        <v>0</v>
      </c>
      <c r="BC15" s="119">
        <f t="shared" si="32"/>
        <v>0</v>
      </c>
      <c r="BD15" s="119">
        <f t="shared" si="29"/>
        <v>0</v>
      </c>
      <c r="BE15" s="119">
        <f t="shared" si="29"/>
        <v>0</v>
      </c>
      <c r="BF15" s="119">
        <f t="shared" si="29"/>
        <v>0</v>
      </c>
      <c r="BG15" s="120">
        <f t="shared" si="30"/>
        <v>0</v>
      </c>
    </row>
    <row r="16" spans="1:59" s="12" customFormat="1" ht="25.5">
      <c r="A16" s="143" t="str">
        <f>IF('3_Comp e Produtos'!B16="Sim",'3_Comp e Produtos'!A16,"NÃO SELECIONADO")</f>
        <v>1.10. Unidade responsável pela definição e monitoramento dos projetos institucionais (Escitório de Gestão de Projetos)</v>
      </c>
      <c r="B16" s="114">
        <v>40909</v>
      </c>
      <c r="C16" s="365">
        <v>3</v>
      </c>
      <c r="D16" s="270">
        <f t="shared" si="8"/>
        <v>40996</v>
      </c>
      <c r="E16" s="115" t="str">
        <f t="shared" si="9"/>
        <v xml:space="preserve"> </v>
      </c>
      <c r="F16" s="115" t="str">
        <f t="shared" si="9"/>
        <v xml:space="preserve"> </v>
      </c>
      <c r="G16" s="115" t="str">
        <f t="shared" si="9"/>
        <v xml:space="preserve"> </v>
      </c>
      <c r="H16" s="115" t="str">
        <f t="shared" si="9"/>
        <v xml:space="preserve"> </v>
      </c>
      <c r="I16" s="115" t="str">
        <f t="shared" ref="I16:AB19" si="33">IF(AND($C16&lt;&gt;0,$A16&lt;&gt;"NÃO SELECIONADO"),IF(I$5&gt;=$B16,IF(I$5&lt;=$D16,"X"," ")," "),"")</f>
        <v>X</v>
      </c>
      <c r="J16" s="115" t="str">
        <f t="shared" si="33"/>
        <v xml:space="preserve"> </v>
      </c>
      <c r="K16" s="115" t="str">
        <f t="shared" si="33"/>
        <v xml:space="preserve"> </v>
      </c>
      <c r="L16" s="115" t="str">
        <f t="shared" si="33"/>
        <v xml:space="preserve"> </v>
      </c>
      <c r="M16" s="115" t="str">
        <f t="shared" si="33"/>
        <v xml:space="preserve"> </v>
      </c>
      <c r="N16" s="115" t="str">
        <f t="shared" si="33"/>
        <v xml:space="preserve"> </v>
      </c>
      <c r="O16" s="115" t="str">
        <f t="shared" si="33"/>
        <v xml:space="preserve"> </v>
      </c>
      <c r="P16" s="115" t="str">
        <f t="shared" si="33"/>
        <v xml:space="preserve"> </v>
      </c>
      <c r="Q16" s="115" t="str">
        <f t="shared" si="33"/>
        <v xml:space="preserve"> </v>
      </c>
      <c r="R16" s="115" t="str">
        <f t="shared" si="33"/>
        <v xml:space="preserve"> </v>
      </c>
      <c r="S16" s="115" t="str">
        <f t="shared" si="33"/>
        <v xml:space="preserve"> </v>
      </c>
      <c r="T16" s="115" t="str">
        <f t="shared" si="33"/>
        <v xml:space="preserve"> </v>
      </c>
      <c r="U16" s="115" t="str">
        <f t="shared" si="33"/>
        <v xml:space="preserve"> </v>
      </c>
      <c r="V16" s="115" t="str">
        <f t="shared" si="33"/>
        <v xml:space="preserve"> </v>
      </c>
      <c r="W16" s="115" t="str">
        <f t="shared" si="33"/>
        <v xml:space="preserve"> </v>
      </c>
      <c r="X16" s="115" t="str">
        <f t="shared" si="33"/>
        <v xml:space="preserve"> </v>
      </c>
      <c r="Y16" s="115" t="str">
        <f t="shared" si="33"/>
        <v xml:space="preserve"> </v>
      </c>
      <c r="Z16" s="115" t="str">
        <f t="shared" si="33"/>
        <v xml:space="preserve"> </v>
      </c>
      <c r="AA16" s="115" t="str">
        <f t="shared" si="33"/>
        <v xml:space="preserve"> </v>
      </c>
      <c r="AB16" s="115" t="str">
        <f t="shared" si="33"/>
        <v xml:space="preserve"> </v>
      </c>
      <c r="AC16" s="467">
        <f>'3_Comp e Produtos'!E16</f>
        <v>528000</v>
      </c>
      <c r="AD16" s="119">
        <f t="shared" si="10"/>
        <v>0</v>
      </c>
      <c r="AE16" s="119">
        <f t="shared" si="10"/>
        <v>0</v>
      </c>
      <c r="AF16" s="119">
        <f t="shared" si="10"/>
        <v>0</v>
      </c>
      <c r="AG16" s="119">
        <f t="shared" si="10"/>
        <v>0</v>
      </c>
      <c r="AH16" s="120">
        <f t="shared" si="11"/>
        <v>0</v>
      </c>
      <c r="AI16" s="119">
        <f t="shared" si="31"/>
        <v>528000</v>
      </c>
      <c r="AJ16" s="119">
        <f t="shared" si="12"/>
        <v>0</v>
      </c>
      <c r="AK16" s="119">
        <f t="shared" si="12"/>
        <v>0</v>
      </c>
      <c r="AL16" s="119">
        <f t="shared" si="12"/>
        <v>0</v>
      </c>
      <c r="AM16" s="120">
        <f t="shared" si="13"/>
        <v>528000</v>
      </c>
      <c r="AN16" s="119">
        <f t="shared" si="14"/>
        <v>0</v>
      </c>
      <c r="AO16" s="119">
        <f t="shared" si="15"/>
        <v>0</v>
      </c>
      <c r="AP16" s="119">
        <f t="shared" si="16"/>
        <v>0</v>
      </c>
      <c r="AQ16" s="119">
        <f t="shared" si="17"/>
        <v>0</v>
      </c>
      <c r="AR16" s="120">
        <f t="shared" si="18"/>
        <v>0</v>
      </c>
      <c r="AS16" s="119">
        <f t="shared" si="19"/>
        <v>0</v>
      </c>
      <c r="AT16" s="119">
        <f t="shared" si="20"/>
        <v>0</v>
      </c>
      <c r="AU16" s="119">
        <f t="shared" si="21"/>
        <v>0</v>
      </c>
      <c r="AV16" s="119">
        <f t="shared" si="22"/>
        <v>0</v>
      </c>
      <c r="AW16" s="120">
        <f t="shared" si="23"/>
        <v>0</v>
      </c>
      <c r="AX16" s="119">
        <f t="shared" si="24"/>
        <v>0</v>
      </c>
      <c r="AY16" s="119">
        <f t="shared" si="25"/>
        <v>0</v>
      </c>
      <c r="AZ16" s="119">
        <f t="shared" si="26"/>
        <v>0</v>
      </c>
      <c r="BA16" s="119">
        <f t="shared" si="27"/>
        <v>0</v>
      </c>
      <c r="BB16" s="120">
        <f t="shared" si="28"/>
        <v>0</v>
      </c>
      <c r="BC16" s="119">
        <f t="shared" si="32"/>
        <v>0</v>
      </c>
      <c r="BD16" s="119">
        <f t="shared" si="29"/>
        <v>0</v>
      </c>
      <c r="BE16" s="119">
        <f t="shared" si="29"/>
        <v>0</v>
      </c>
      <c r="BF16" s="119">
        <f t="shared" si="29"/>
        <v>0</v>
      </c>
      <c r="BG16" s="120">
        <f t="shared" si="30"/>
        <v>0</v>
      </c>
    </row>
    <row r="17" spans="1:61" s="12" customFormat="1" ht="35.25" customHeight="1">
      <c r="A17" s="143" t="str">
        <f>'3_Comp e Produtos'!A17</f>
        <v>1.11. Política de comunicação das mudanças aos cidadãos, sobre as ações previstas no Projeto, desenhada e implementada</v>
      </c>
      <c r="B17" s="114">
        <v>41000</v>
      </c>
      <c r="C17" s="365">
        <v>54</v>
      </c>
      <c r="D17" s="270">
        <f t="shared" si="8"/>
        <v>42620</v>
      </c>
      <c r="E17" s="115" t="str">
        <f t="shared" si="9"/>
        <v xml:space="preserve"> </v>
      </c>
      <c r="F17" s="115" t="str">
        <f t="shared" si="9"/>
        <v xml:space="preserve"> </v>
      </c>
      <c r="G17" s="115" t="str">
        <f t="shared" si="9"/>
        <v xml:space="preserve"> </v>
      </c>
      <c r="H17" s="115" t="str">
        <f t="shared" si="9"/>
        <v xml:space="preserve"> </v>
      </c>
      <c r="I17" s="115" t="str">
        <f t="shared" si="33"/>
        <v xml:space="preserve"> </v>
      </c>
      <c r="J17" s="115" t="str">
        <f t="shared" si="33"/>
        <v>X</v>
      </c>
      <c r="K17" s="115" t="str">
        <f t="shared" si="33"/>
        <v>X</v>
      </c>
      <c r="L17" s="115" t="str">
        <f t="shared" si="33"/>
        <v>X</v>
      </c>
      <c r="M17" s="115" t="str">
        <f t="shared" si="33"/>
        <v>X</v>
      </c>
      <c r="N17" s="115" t="str">
        <f t="shared" si="33"/>
        <v>X</v>
      </c>
      <c r="O17" s="115" t="str">
        <f t="shared" si="33"/>
        <v>X</v>
      </c>
      <c r="P17" s="115" t="str">
        <f t="shared" si="33"/>
        <v>X</v>
      </c>
      <c r="Q17" s="115" t="str">
        <f t="shared" si="33"/>
        <v>X</v>
      </c>
      <c r="R17" s="115" t="str">
        <f t="shared" si="33"/>
        <v>X</v>
      </c>
      <c r="S17" s="115" t="str">
        <f t="shared" si="33"/>
        <v>X</v>
      </c>
      <c r="T17" s="115" t="str">
        <f t="shared" si="33"/>
        <v>X</v>
      </c>
      <c r="U17" s="115" t="str">
        <f t="shared" si="33"/>
        <v>X</v>
      </c>
      <c r="V17" s="115" t="str">
        <f t="shared" si="33"/>
        <v>X</v>
      </c>
      <c r="W17" s="115" t="str">
        <f t="shared" si="33"/>
        <v>X</v>
      </c>
      <c r="X17" s="115" t="str">
        <f t="shared" si="33"/>
        <v>X</v>
      </c>
      <c r="Y17" s="115" t="str">
        <f t="shared" si="33"/>
        <v>X</v>
      </c>
      <c r="Z17" s="115" t="str">
        <f t="shared" si="33"/>
        <v>X</v>
      </c>
      <c r="AA17" s="115" t="str">
        <f t="shared" si="33"/>
        <v>X</v>
      </c>
      <c r="AB17" s="115" t="str">
        <f t="shared" si="33"/>
        <v xml:space="preserve"> </v>
      </c>
      <c r="AC17" s="467">
        <f>'3_Comp e Produtos'!E17</f>
        <v>1467500</v>
      </c>
      <c r="AD17" s="119">
        <f t="shared" si="10"/>
        <v>0</v>
      </c>
      <c r="AE17" s="119">
        <f t="shared" si="10"/>
        <v>0</v>
      </c>
      <c r="AF17" s="119">
        <f t="shared" si="10"/>
        <v>0</v>
      </c>
      <c r="AG17" s="119">
        <f t="shared" si="10"/>
        <v>0</v>
      </c>
      <c r="AH17" s="120">
        <f t="shared" si="11"/>
        <v>0</v>
      </c>
      <c r="AI17" s="119">
        <f t="shared" si="31"/>
        <v>0</v>
      </c>
      <c r="AJ17" s="119">
        <f t="shared" si="12"/>
        <v>81527.78</v>
      </c>
      <c r="AK17" s="119">
        <f t="shared" si="12"/>
        <v>81527.78</v>
      </c>
      <c r="AL17" s="119">
        <f t="shared" si="12"/>
        <v>81527.78</v>
      </c>
      <c r="AM17" s="120">
        <f t="shared" si="13"/>
        <v>244583.34</v>
      </c>
      <c r="AN17" s="119">
        <f t="shared" si="14"/>
        <v>81527.78</v>
      </c>
      <c r="AO17" s="119">
        <f t="shared" si="15"/>
        <v>81527.78</v>
      </c>
      <c r="AP17" s="119">
        <f t="shared" si="16"/>
        <v>81527.78</v>
      </c>
      <c r="AQ17" s="119">
        <f t="shared" si="17"/>
        <v>81527.78</v>
      </c>
      <c r="AR17" s="120">
        <f t="shared" si="18"/>
        <v>326111.12</v>
      </c>
      <c r="AS17" s="119">
        <f t="shared" si="19"/>
        <v>81527.78</v>
      </c>
      <c r="AT17" s="119">
        <f t="shared" si="20"/>
        <v>81527.78</v>
      </c>
      <c r="AU17" s="119">
        <f t="shared" si="21"/>
        <v>81527.78</v>
      </c>
      <c r="AV17" s="119">
        <f t="shared" si="22"/>
        <v>81527.78</v>
      </c>
      <c r="AW17" s="601">
        <f t="shared" si="23"/>
        <v>326111.12</v>
      </c>
      <c r="AX17" s="119">
        <f t="shared" si="24"/>
        <v>81527.78</v>
      </c>
      <c r="AY17" s="119">
        <f t="shared" si="25"/>
        <v>81527.78</v>
      </c>
      <c r="AZ17" s="119">
        <f t="shared" si="26"/>
        <v>81527.78</v>
      </c>
      <c r="BA17" s="119">
        <f t="shared" si="27"/>
        <v>81527.78</v>
      </c>
      <c r="BB17" s="120">
        <f t="shared" si="28"/>
        <v>326111.12</v>
      </c>
      <c r="BC17" s="119">
        <f t="shared" si="32"/>
        <v>81527.78</v>
      </c>
      <c r="BD17" s="119">
        <f t="shared" si="29"/>
        <v>81527.78</v>
      </c>
      <c r="BE17" s="119">
        <f t="shared" si="29"/>
        <v>81527.78</v>
      </c>
      <c r="BF17" s="119">
        <f t="shared" si="29"/>
        <v>0</v>
      </c>
      <c r="BG17" s="120">
        <f t="shared" si="30"/>
        <v>244583.34</v>
      </c>
    </row>
    <row r="18" spans="1:61" s="12" customFormat="1" ht="22.5" customHeight="1">
      <c r="A18" s="143" t="str">
        <f>'3_Comp e Produtos'!A18</f>
        <v>1.12. Plano de comunicação interna de mudanças desenhado e implementado</v>
      </c>
      <c r="B18" s="114">
        <v>41000</v>
      </c>
      <c r="C18" s="365">
        <v>54</v>
      </c>
      <c r="D18" s="270">
        <f t="shared" si="8"/>
        <v>42620</v>
      </c>
      <c r="E18" s="115" t="str">
        <f t="shared" si="9"/>
        <v xml:space="preserve"> </v>
      </c>
      <c r="F18" s="115" t="str">
        <f t="shared" si="9"/>
        <v xml:space="preserve"> </v>
      </c>
      <c r="G18" s="115" t="str">
        <f t="shared" si="9"/>
        <v xml:space="preserve"> </v>
      </c>
      <c r="H18" s="115" t="str">
        <f t="shared" si="9"/>
        <v xml:space="preserve"> </v>
      </c>
      <c r="I18" s="115" t="str">
        <f t="shared" si="33"/>
        <v xml:space="preserve"> </v>
      </c>
      <c r="J18" s="115" t="str">
        <f t="shared" si="33"/>
        <v>X</v>
      </c>
      <c r="K18" s="115" t="str">
        <f t="shared" si="33"/>
        <v>X</v>
      </c>
      <c r="L18" s="115" t="str">
        <f t="shared" si="33"/>
        <v>X</v>
      </c>
      <c r="M18" s="115" t="str">
        <f t="shared" si="33"/>
        <v>X</v>
      </c>
      <c r="N18" s="115" t="str">
        <f t="shared" si="33"/>
        <v>X</v>
      </c>
      <c r="O18" s="115" t="str">
        <f t="shared" si="33"/>
        <v>X</v>
      </c>
      <c r="P18" s="115" t="str">
        <f t="shared" si="33"/>
        <v>X</v>
      </c>
      <c r="Q18" s="115" t="str">
        <f t="shared" si="33"/>
        <v>X</v>
      </c>
      <c r="R18" s="115" t="str">
        <f t="shared" si="33"/>
        <v>X</v>
      </c>
      <c r="S18" s="115" t="str">
        <f t="shared" si="33"/>
        <v>X</v>
      </c>
      <c r="T18" s="115" t="str">
        <f t="shared" si="33"/>
        <v>X</v>
      </c>
      <c r="U18" s="115" t="str">
        <f t="shared" si="33"/>
        <v>X</v>
      </c>
      <c r="V18" s="115" t="str">
        <f t="shared" si="33"/>
        <v>X</v>
      </c>
      <c r="W18" s="115" t="str">
        <f t="shared" si="33"/>
        <v>X</v>
      </c>
      <c r="X18" s="115" t="str">
        <f t="shared" si="33"/>
        <v>X</v>
      </c>
      <c r="Y18" s="115" t="str">
        <f t="shared" si="33"/>
        <v>X</v>
      </c>
      <c r="Z18" s="115" t="str">
        <f t="shared" si="33"/>
        <v>X</v>
      </c>
      <c r="AA18" s="115" t="str">
        <f t="shared" si="33"/>
        <v>X</v>
      </c>
      <c r="AB18" s="115" t="str">
        <f t="shared" si="33"/>
        <v xml:space="preserve"> </v>
      </c>
      <c r="AC18" s="467">
        <f>'3_Comp e Produtos'!E18</f>
        <v>992500</v>
      </c>
      <c r="AD18" s="119">
        <f t="shared" si="10"/>
        <v>0</v>
      </c>
      <c r="AE18" s="119">
        <f t="shared" si="10"/>
        <v>0</v>
      </c>
      <c r="AF18" s="119">
        <f t="shared" si="10"/>
        <v>0</v>
      </c>
      <c r="AG18" s="119">
        <f t="shared" si="10"/>
        <v>0</v>
      </c>
      <c r="AH18" s="120">
        <f t="shared" si="11"/>
        <v>0</v>
      </c>
      <c r="AI18" s="119">
        <f t="shared" si="31"/>
        <v>0</v>
      </c>
      <c r="AJ18" s="119">
        <f t="shared" si="12"/>
        <v>55138.89</v>
      </c>
      <c r="AK18" s="119">
        <f t="shared" si="12"/>
        <v>55138.89</v>
      </c>
      <c r="AL18" s="119">
        <f t="shared" si="12"/>
        <v>55138.89</v>
      </c>
      <c r="AM18" s="120">
        <f t="shared" si="13"/>
        <v>165416.67000000001</v>
      </c>
      <c r="AN18" s="119">
        <f t="shared" si="14"/>
        <v>55138.89</v>
      </c>
      <c r="AO18" s="119">
        <f t="shared" si="15"/>
        <v>55138.89</v>
      </c>
      <c r="AP18" s="119">
        <f t="shared" si="16"/>
        <v>55138.89</v>
      </c>
      <c r="AQ18" s="119">
        <f t="shared" si="17"/>
        <v>55138.89</v>
      </c>
      <c r="AR18" s="120">
        <f t="shared" si="18"/>
        <v>220555.56</v>
      </c>
      <c r="AS18" s="119">
        <f t="shared" si="19"/>
        <v>55138.89</v>
      </c>
      <c r="AT18" s="119">
        <f t="shared" si="20"/>
        <v>55138.89</v>
      </c>
      <c r="AU18" s="119">
        <f t="shared" si="21"/>
        <v>55138.89</v>
      </c>
      <c r="AV18" s="119">
        <f t="shared" si="22"/>
        <v>55138.89</v>
      </c>
      <c r="AW18" s="601">
        <f t="shared" si="23"/>
        <v>220555.56</v>
      </c>
      <c r="AX18" s="119">
        <f t="shared" si="24"/>
        <v>55138.89</v>
      </c>
      <c r="AY18" s="119">
        <f t="shared" si="25"/>
        <v>55138.89</v>
      </c>
      <c r="AZ18" s="119">
        <f t="shared" si="26"/>
        <v>55138.89</v>
      </c>
      <c r="BA18" s="119">
        <f t="shared" si="27"/>
        <v>55138.89</v>
      </c>
      <c r="BB18" s="120">
        <f t="shared" si="28"/>
        <v>220555.56</v>
      </c>
      <c r="BC18" s="119">
        <f t="shared" si="32"/>
        <v>55138.89</v>
      </c>
      <c r="BD18" s="119">
        <f t="shared" si="29"/>
        <v>55138.89</v>
      </c>
      <c r="BE18" s="119">
        <f t="shared" si="29"/>
        <v>55138.89</v>
      </c>
      <c r="BF18" s="119">
        <f t="shared" si="29"/>
        <v>0</v>
      </c>
      <c r="BG18" s="120">
        <f t="shared" si="30"/>
        <v>165416.67000000001</v>
      </c>
    </row>
    <row r="19" spans="1:61" s="12" customFormat="1" ht="21" customHeight="1">
      <c r="A19" s="143" t="str">
        <f>'3_Comp e Produtos'!A19</f>
        <v>1.13. Plano de Gestão da Mudança desenhado e implementado</v>
      </c>
      <c r="B19" s="114">
        <v>40909</v>
      </c>
      <c r="C19" s="365">
        <v>6</v>
      </c>
      <c r="D19" s="270">
        <f t="shared" si="8"/>
        <v>41083</v>
      </c>
      <c r="E19" s="115" t="str">
        <f t="shared" si="9"/>
        <v xml:space="preserve"> </v>
      </c>
      <c r="F19" s="115" t="str">
        <f t="shared" si="9"/>
        <v xml:space="preserve"> </v>
      </c>
      <c r="G19" s="115" t="str">
        <f t="shared" si="9"/>
        <v xml:space="preserve"> </v>
      </c>
      <c r="H19" s="115" t="str">
        <f t="shared" si="9"/>
        <v xml:space="preserve"> </v>
      </c>
      <c r="I19" s="115" t="str">
        <f t="shared" si="33"/>
        <v>X</v>
      </c>
      <c r="J19" s="115" t="str">
        <f t="shared" si="33"/>
        <v>X</v>
      </c>
      <c r="K19" s="115" t="str">
        <f t="shared" si="33"/>
        <v xml:space="preserve"> </v>
      </c>
      <c r="L19" s="115" t="str">
        <f t="shared" si="33"/>
        <v xml:space="preserve"> </v>
      </c>
      <c r="M19" s="115" t="str">
        <f t="shared" si="33"/>
        <v xml:space="preserve"> </v>
      </c>
      <c r="N19" s="115" t="str">
        <f t="shared" si="33"/>
        <v xml:space="preserve"> </v>
      </c>
      <c r="O19" s="115" t="str">
        <f t="shared" si="33"/>
        <v xml:space="preserve"> </v>
      </c>
      <c r="P19" s="115" t="str">
        <f t="shared" si="33"/>
        <v xml:space="preserve"> </v>
      </c>
      <c r="Q19" s="115" t="str">
        <f t="shared" si="33"/>
        <v xml:space="preserve"> </v>
      </c>
      <c r="R19" s="115" t="str">
        <f t="shared" si="33"/>
        <v xml:space="preserve"> </v>
      </c>
      <c r="S19" s="115" t="str">
        <f t="shared" si="33"/>
        <v xml:space="preserve"> </v>
      </c>
      <c r="T19" s="115" t="str">
        <f t="shared" si="33"/>
        <v xml:space="preserve"> </v>
      </c>
      <c r="U19" s="115" t="str">
        <f t="shared" si="33"/>
        <v xml:space="preserve"> </v>
      </c>
      <c r="V19" s="115" t="str">
        <f t="shared" si="33"/>
        <v xml:space="preserve"> </v>
      </c>
      <c r="W19" s="115" t="str">
        <f t="shared" si="33"/>
        <v xml:space="preserve"> </v>
      </c>
      <c r="X19" s="115" t="str">
        <f t="shared" si="33"/>
        <v xml:space="preserve"> </v>
      </c>
      <c r="Y19" s="115" t="str">
        <f t="shared" si="33"/>
        <v xml:space="preserve"> </v>
      </c>
      <c r="Z19" s="115" t="str">
        <f t="shared" si="33"/>
        <v xml:space="preserve"> </v>
      </c>
      <c r="AA19" s="115" t="str">
        <f t="shared" si="33"/>
        <v xml:space="preserve"> </v>
      </c>
      <c r="AB19" s="115" t="str">
        <f t="shared" si="33"/>
        <v xml:space="preserve"> </v>
      </c>
      <c r="AC19" s="467">
        <f>'3_Comp e Produtos'!E19</f>
        <v>192000</v>
      </c>
      <c r="AD19" s="119">
        <f t="shared" si="10"/>
        <v>0</v>
      </c>
      <c r="AE19" s="119">
        <f t="shared" si="10"/>
        <v>0</v>
      </c>
      <c r="AF19" s="119">
        <f t="shared" si="10"/>
        <v>0</v>
      </c>
      <c r="AG19" s="119">
        <f t="shared" si="10"/>
        <v>0</v>
      </c>
      <c r="AH19" s="120">
        <f t="shared" si="11"/>
        <v>0</v>
      </c>
      <c r="AI19" s="119">
        <f t="shared" si="31"/>
        <v>96000</v>
      </c>
      <c r="AJ19" s="119">
        <f t="shared" si="12"/>
        <v>96000</v>
      </c>
      <c r="AK19" s="119">
        <f t="shared" si="12"/>
        <v>0</v>
      </c>
      <c r="AL19" s="119">
        <f t="shared" si="12"/>
        <v>0</v>
      </c>
      <c r="AM19" s="120">
        <f t="shared" si="13"/>
        <v>192000</v>
      </c>
      <c r="AN19" s="119">
        <f t="shared" si="14"/>
        <v>0</v>
      </c>
      <c r="AO19" s="119">
        <f t="shared" si="15"/>
        <v>0</v>
      </c>
      <c r="AP19" s="119">
        <f t="shared" si="16"/>
        <v>0</v>
      </c>
      <c r="AQ19" s="119">
        <f t="shared" si="17"/>
        <v>0</v>
      </c>
      <c r="AR19" s="120">
        <f t="shared" si="18"/>
        <v>0</v>
      </c>
      <c r="AS19" s="119">
        <f t="shared" si="19"/>
        <v>0</v>
      </c>
      <c r="AT19" s="119">
        <f t="shared" si="20"/>
        <v>0</v>
      </c>
      <c r="AU19" s="119">
        <f t="shared" si="21"/>
        <v>0</v>
      </c>
      <c r="AV19" s="119">
        <f t="shared" si="22"/>
        <v>0</v>
      </c>
      <c r="AW19" s="601">
        <f t="shared" si="23"/>
        <v>0</v>
      </c>
      <c r="AX19" s="119">
        <f t="shared" si="24"/>
        <v>0</v>
      </c>
      <c r="AY19" s="119">
        <f t="shared" si="25"/>
        <v>0</v>
      </c>
      <c r="AZ19" s="119">
        <f t="shared" si="26"/>
        <v>0</v>
      </c>
      <c r="BA19" s="119">
        <f t="shared" si="27"/>
        <v>0</v>
      </c>
      <c r="BB19" s="120">
        <f t="shared" si="28"/>
        <v>0</v>
      </c>
      <c r="BC19" s="119">
        <f t="shared" si="32"/>
        <v>0</v>
      </c>
      <c r="BD19" s="119">
        <f t="shared" si="29"/>
        <v>0</v>
      </c>
      <c r="BE19" s="119">
        <f t="shared" si="29"/>
        <v>0</v>
      </c>
      <c r="BF19" s="119">
        <f t="shared" si="29"/>
        <v>0</v>
      </c>
      <c r="BG19" s="120">
        <f t="shared" si="30"/>
        <v>0</v>
      </c>
    </row>
    <row r="20" spans="1:61" s="12" customFormat="1" ht="31.5" customHeight="1">
      <c r="A20" s="451" t="str">
        <f>'3_Comp e Produtos'!A20</f>
        <v>COMPONENTE 2: APRIMORAMENTO DA GESTÃO JURÍDICA DA AGU</v>
      </c>
      <c r="B20" s="445">
        <f>MIN(B21:B32)</f>
        <v>41000</v>
      </c>
      <c r="C20" s="446">
        <f>IF(INT((D20-B20)/30)+1&gt;21,INT((D20-B20)/30),INT((D20-B20)/30)+1)</f>
        <v>54</v>
      </c>
      <c r="D20" s="445">
        <f>MAX(D21:D32)</f>
        <v>42621</v>
      </c>
      <c r="E20" s="447" t="str">
        <f t="shared" ref="E20:AB20" si="34">IF(COUNTIF(E21:E32,"X")&lt;&gt;0,"X","")</f>
        <v/>
      </c>
      <c r="F20" s="447" t="str">
        <f t="shared" si="34"/>
        <v/>
      </c>
      <c r="G20" s="447" t="str">
        <f t="shared" si="34"/>
        <v/>
      </c>
      <c r="H20" s="447" t="str">
        <f t="shared" si="34"/>
        <v/>
      </c>
      <c r="I20" s="447" t="str">
        <f t="shared" si="34"/>
        <v/>
      </c>
      <c r="J20" s="447" t="str">
        <f t="shared" si="34"/>
        <v>X</v>
      </c>
      <c r="K20" s="447" t="str">
        <f t="shared" si="34"/>
        <v>X</v>
      </c>
      <c r="L20" s="447" t="str">
        <f t="shared" si="34"/>
        <v>X</v>
      </c>
      <c r="M20" s="447" t="str">
        <f t="shared" si="34"/>
        <v>X</v>
      </c>
      <c r="N20" s="447" t="str">
        <f t="shared" si="34"/>
        <v>X</v>
      </c>
      <c r="O20" s="447" t="str">
        <f t="shared" si="34"/>
        <v>X</v>
      </c>
      <c r="P20" s="447" t="str">
        <f t="shared" si="34"/>
        <v>X</v>
      </c>
      <c r="Q20" s="447" t="str">
        <f t="shared" si="34"/>
        <v>X</v>
      </c>
      <c r="R20" s="447" t="str">
        <f t="shared" si="34"/>
        <v>X</v>
      </c>
      <c r="S20" s="447" t="str">
        <f t="shared" si="34"/>
        <v>X</v>
      </c>
      <c r="T20" s="447" t="str">
        <f t="shared" si="34"/>
        <v>X</v>
      </c>
      <c r="U20" s="447" t="str">
        <f t="shared" si="34"/>
        <v>X</v>
      </c>
      <c r="V20" s="447" t="str">
        <f t="shared" si="34"/>
        <v>X</v>
      </c>
      <c r="W20" s="447" t="str">
        <f t="shared" si="34"/>
        <v>X</v>
      </c>
      <c r="X20" s="447" t="str">
        <f t="shared" si="34"/>
        <v>X</v>
      </c>
      <c r="Y20" s="447" t="str">
        <f t="shared" si="34"/>
        <v>X</v>
      </c>
      <c r="Z20" s="447" t="str">
        <f t="shared" si="34"/>
        <v>X</v>
      </c>
      <c r="AA20" s="447" t="str">
        <f t="shared" si="34"/>
        <v>X</v>
      </c>
      <c r="AB20" s="447" t="str">
        <f t="shared" si="34"/>
        <v/>
      </c>
      <c r="AC20" s="466">
        <f>SUM(AC21:AC32)</f>
        <v>62479250</v>
      </c>
      <c r="AD20" s="466">
        <f t="shared" ref="AD20:BG20" si="35">SUM(AD21:AD32)</f>
        <v>0</v>
      </c>
      <c r="AE20" s="466">
        <f t="shared" si="35"/>
        <v>0</v>
      </c>
      <c r="AF20" s="466">
        <f t="shared" si="35"/>
        <v>0</v>
      </c>
      <c r="AG20" s="466">
        <f t="shared" si="35"/>
        <v>0</v>
      </c>
      <c r="AH20" s="466">
        <f t="shared" si="35"/>
        <v>0</v>
      </c>
      <c r="AI20" s="466">
        <f t="shared" si="35"/>
        <v>0</v>
      </c>
      <c r="AJ20" s="466">
        <f t="shared" si="35"/>
        <v>3708093.95</v>
      </c>
      <c r="AK20" s="466">
        <f t="shared" si="35"/>
        <v>3788446.89</v>
      </c>
      <c r="AL20" s="466">
        <f t="shared" si="35"/>
        <v>3904446.89</v>
      </c>
      <c r="AM20" s="466">
        <f t="shared" si="35"/>
        <v>11400987.73</v>
      </c>
      <c r="AN20" s="466">
        <f t="shared" si="35"/>
        <v>4012446.89</v>
      </c>
      <c r="AO20" s="466">
        <f t="shared" si="35"/>
        <v>3662446.89</v>
      </c>
      <c r="AP20" s="466">
        <f t="shared" si="35"/>
        <v>3554446.89</v>
      </c>
      <c r="AQ20" s="466">
        <f t="shared" si="35"/>
        <v>3554446.89</v>
      </c>
      <c r="AR20" s="466">
        <f t="shared" si="35"/>
        <v>14783787.560000001</v>
      </c>
      <c r="AS20" s="466">
        <f t="shared" si="35"/>
        <v>3554446.89</v>
      </c>
      <c r="AT20" s="466">
        <f t="shared" si="35"/>
        <v>3554446.89</v>
      </c>
      <c r="AU20" s="466">
        <f t="shared" si="35"/>
        <v>3554446.89</v>
      </c>
      <c r="AV20" s="466">
        <f t="shared" si="35"/>
        <v>3554446.89</v>
      </c>
      <c r="AW20" s="466">
        <f t="shared" si="35"/>
        <v>14217787.560000001</v>
      </c>
      <c r="AX20" s="466">
        <f t="shared" si="35"/>
        <v>3554446.89</v>
      </c>
      <c r="AY20" s="466">
        <f t="shared" si="35"/>
        <v>3554446.89</v>
      </c>
      <c r="AZ20" s="466">
        <f t="shared" si="35"/>
        <v>3554446.89</v>
      </c>
      <c r="BA20" s="466">
        <f t="shared" si="35"/>
        <v>3554446.89</v>
      </c>
      <c r="BB20" s="466">
        <f t="shared" si="35"/>
        <v>14217787.560000001</v>
      </c>
      <c r="BC20" s="466">
        <f t="shared" si="35"/>
        <v>3554446.89</v>
      </c>
      <c r="BD20" s="466">
        <f t="shared" si="35"/>
        <v>3554446.89</v>
      </c>
      <c r="BE20" s="466">
        <f t="shared" si="35"/>
        <v>750005.71</v>
      </c>
      <c r="BF20" s="466">
        <f t="shared" si="35"/>
        <v>0</v>
      </c>
      <c r="BG20" s="466">
        <f t="shared" si="35"/>
        <v>7858899.4900000002</v>
      </c>
    </row>
    <row r="21" spans="1:61" s="12" customFormat="1" ht="33" customHeight="1">
      <c r="A21" s="143" t="str">
        <f>'3_Comp e Produtos'!A21</f>
        <v>2.1. Fluxos de trabalho Contenciosos da Administração Direta modelados e implantados</v>
      </c>
      <c r="B21" s="349">
        <v>41000</v>
      </c>
      <c r="C21" s="365">
        <v>54</v>
      </c>
      <c r="D21" s="270">
        <f t="shared" si="8"/>
        <v>42620</v>
      </c>
      <c r="E21" s="115" t="str">
        <f t="shared" ref="E21:E30" si="36">IF(AND($C21&lt;&gt;0,$A21&lt;&gt;"NÃO SELECIONADO"),IF(E$5&gt;=$B21,IF(E$5&lt;=$D21,"X"," ")," "),"")</f>
        <v xml:space="preserve"> </v>
      </c>
      <c r="F21" s="115" t="str">
        <f t="shared" ref="F21:U21" si="37">IF(AND($C21&lt;&gt;0,$A21&lt;&gt;"NÃO SELECIONADO"),IF(F$5&gt;=$B21,IF(F$5&lt;=$D21,"X"," ")," "),"")</f>
        <v xml:space="preserve"> </v>
      </c>
      <c r="G21" s="115" t="str">
        <f t="shared" si="37"/>
        <v xml:space="preserve"> </v>
      </c>
      <c r="H21" s="115" t="str">
        <f t="shared" si="37"/>
        <v xml:space="preserve"> </v>
      </c>
      <c r="I21" s="115" t="str">
        <f t="shared" si="37"/>
        <v xml:space="preserve"> </v>
      </c>
      <c r="J21" s="115" t="str">
        <f t="shared" si="37"/>
        <v>X</v>
      </c>
      <c r="K21" s="115" t="str">
        <f t="shared" si="37"/>
        <v>X</v>
      </c>
      <c r="L21" s="115" t="str">
        <f t="shared" si="37"/>
        <v>X</v>
      </c>
      <c r="M21" s="115" t="str">
        <f t="shared" si="37"/>
        <v>X</v>
      </c>
      <c r="N21" s="115" t="str">
        <f t="shared" si="37"/>
        <v>X</v>
      </c>
      <c r="O21" s="115" t="str">
        <f t="shared" si="37"/>
        <v>X</v>
      </c>
      <c r="P21" s="115" t="str">
        <f t="shared" si="37"/>
        <v>X</v>
      </c>
      <c r="Q21" s="115" t="str">
        <f t="shared" si="37"/>
        <v>X</v>
      </c>
      <c r="R21" s="115" t="str">
        <f t="shared" si="37"/>
        <v>X</v>
      </c>
      <c r="S21" s="115" t="str">
        <f t="shared" si="37"/>
        <v>X</v>
      </c>
      <c r="T21" s="115" t="str">
        <f t="shared" si="37"/>
        <v>X</v>
      </c>
      <c r="U21" s="115" t="str">
        <f t="shared" si="37"/>
        <v>X</v>
      </c>
      <c r="V21" s="115" t="str">
        <f t="shared" ref="I21:Z26" si="38">IF(AND($C21&lt;&gt;0,$A21&lt;&gt;"NÃO SELECIONADO"),IF(V$5&gt;=$B21,IF(V$5&lt;=$D21,"X"," ")," "),"")</f>
        <v>X</v>
      </c>
      <c r="W21" s="115" t="str">
        <f t="shared" si="38"/>
        <v>X</v>
      </c>
      <c r="X21" s="115" t="str">
        <f t="shared" si="38"/>
        <v>X</v>
      </c>
      <c r="Y21" s="115" t="str">
        <f t="shared" ref="Y21" si="39">IF(AND($C21&lt;&gt;0,$A21&lt;&gt;"NÃO SELECIONADO"),IF(Y$5&gt;=$B21,IF(Y$5&lt;=$D21,"X"," ")," "),"")</f>
        <v>X</v>
      </c>
      <c r="Z21" s="115" t="str">
        <f t="shared" si="38"/>
        <v>X</v>
      </c>
      <c r="AA21" s="115" t="str">
        <f t="shared" ref="Y21:AB30" si="40">IF(AND($C21&lt;&gt;0,$A21&lt;&gt;"NÃO SELECIONADO"),IF(AA$5&gt;=$B21,IF(AA$5&lt;=$D21,"X"," ")," "),"")</f>
        <v>X</v>
      </c>
      <c r="AB21" s="115" t="str">
        <f t="shared" si="40"/>
        <v xml:space="preserve"> </v>
      </c>
      <c r="AC21" s="467">
        <f>'3_Comp e Produtos'!E21</f>
        <v>3316500</v>
      </c>
      <c r="AD21" s="119">
        <f t="shared" ref="AD21:AG42" si="41">IF(E21="X",$AC21/$C21*3,0)</f>
        <v>0</v>
      </c>
      <c r="AE21" s="119">
        <f t="shared" si="41"/>
        <v>0</v>
      </c>
      <c r="AF21" s="119">
        <f t="shared" si="41"/>
        <v>0</v>
      </c>
      <c r="AG21" s="119">
        <f t="shared" si="41"/>
        <v>0</v>
      </c>
      <c r="AH21" s="120">
        <f t="shared" si="11"/>
        <v>0</v>
      </c>
      <c r="AI21" s="119">
        <f t="shared" ref="AI21:AI39" si="42">IF(I21="X",$AC21/$C21*3,0)</f>
        <v>0</v>
      </c>
      <c r="AJ21" s="119">
        <f t="shared" ref="AJ21:AJ32" si="43">IF(J21="X",$AC21/$C21*3,0)</f>
        <v>184250</v>
      </c>
      <c r="AK21" s="119">
        <f t="shared" ref="AK21:AK32" si="44">IF(K21="X",$AC21/$C21*3,0)</f>
        <v>184250</v>
      </c>
      <c r="AL21" s="119">
        <f t="shared" ref="AL21:AL32" si="45">IF(L21="X",$AC21/$C21*3,0)</f>
        <v>184250</v>
      </c>
      <c r="AM21" s="120">
        <f t="shared" si="13"/>
        <v>552750</v>
      </c>
      <c r="AN21" s="119">
        <f t="shared" si="14"/>
        <v>184250</v>
      </c>
      <c r="AO21" s="119">
        <f t="shared" ref="AO21:AO32" si="46">IF(N21="X",$AC21/$C21*3,0)</f>
        <v>184250</v>
      </c>
      <c r="AP21" s="119">
        <f t="shared" ref="AP21:AP32" si="47">IF(O21="X",$AC21/$C21*3,0)</f>
        <v>184250</v>
      </c>
      <c r="AQ21" s="119">
        <f t="shared" ref="AQ21:AQ32" si="48">IF(P21="X",$AC21/$C21*3,0)</f>
        <v>184250</v>
      </c>
      <c r="AR21" s="120">
        <f t="shared" ref="AR21:AR32" si="49">SUM(AN21:AQ21)</f>
        <v>737000</v>
      </c>
      <c r="AS21" s="119">
        <f t="shared" si="19"/>
        <v>184250</v>
      </c>
      <c r="AT21" s="119">
        <f t="shared" ref="AT21:AT32" si="50">IF(R21="X",$AC21/$C21*3,0)</f>
        <v>184250</v>
      </c>
      <c r="AU21" s="119">
        <f t="shared" ref="AU21:AU32" si="51">IF(S21="X",$AC21/$C21*3,0)</f>
        <v>184250</v>
      </c>
      <c r="AV21" s="119">
        <f t="shared" ref="AV21:AV32" si="52">IF(T21="X",$AC21/$C21*3,0)</f>
        <v>184250</v>
      </c>
      <c r="AW21" s="120">
        <f t="shared" ref="AW21:AW32" si="53">SUM(AS21:AV21)</f>
        <v>737000</v>
      </c>
      <c r="AX21" s="119">
        <f t="shared" si="24"/>
        <v>184250</v>
      </c>
      <c r="AY21" s="119">
        <f t="shared" ref="AY21:AY32" si="54">IF(V21="X",$AC21/$C21*3,0)</f>
        <v>184250</v>
      </c>
      <c r="AZ21" s="119">
        <f t="shared" ref="AZ21:AZ32" si="55">IF(W21="X",$AC21/$C21*3,0)</f>
        <v>184250</v>
      </c>
      <c r="BA21" s="119">
        <f t="shared" ref="BA21:BA32" si="56">IF(X21="X",$AC21/$C21*3,0)</f>
        <v>184250</v>
      </c>
      <c r="BB21" s="120">
        <f t="shared" ref="BB21:BB32" si="57">SUM(AX21:BA21)</f>
        <v>737000</v>
      </c>
      <c r="BC21" s="119">
        <f t="shared" ref="BC21:BC32" si="58">IF(Y21="X",$AC21/$C21*3,0)</f>
        <v>184250</v>
      </c>
      <c r="BD21" s="119">
        <f t="shared" ref="BD21:BD32" si="59">IF(Z21="X",$AC21/$C21*3,0)</f>
        <v>184250</v>
      </c>
      <c r="BE21" s="119">
        <f t="shared" ref="BE21:BE32" si="60">IF(AA21="X",$AC21/$C21*3,0)</f>
        <v>184250</v>
      </c>
      <c r="BF21" s="119">
        <f t="shared" ref="BF21:BF32" si="61">IF(AB21="X",$AC21/$C21*3,0)</f>
        <v>0</v>
      </c>
      <c r="BG21" s="120">
        <f t="shared" ref="BG21:BG32" si="62">SUM(BC21:BF21)</f>
        <v>552750</v>
      </c>
      <c r="BH21" s="602"/>
      <c r="BI21" s="602"/>
    </row>
    <row r="22" spans="1:61" s="12" customFormat="1" ht="30" customHeight="1">
      <c r="A22" s="143" t="str">
        <f>IF('3_Comp e Produtos'!B22="Sim",'3_Comp e Produtos'!A22,"NÃO SELECIONADO")</f>
        <v>2.2. Fluxos de trabalho de Consultoria e Assessoramento Jurídicos na Administração Direta modelados e implantados</v>
      </c>
      <c r="B22" s="349">
        <v>41000</v>
      </c>
      <c r="C22" s="365">
        <v>54</v>
      </c>
      <c r="D22" s="270">
        <f t="shared" si="8"/>
        <v>42620</v>
      </c>
      <c r="E22" s="115" t="str">
        <f t="shared" si="36"/>
        <v xml:space="preserve"> </v>
      </c>
      <c r="F22" s="115" t="str">
        <f t="shared" ref="F22:U34" si="63">IF(AND($C22&lt;&gt;0,$A22&lt;&gt;"NÃO SELECIONADO"),IF(F$5&gt;=$B22,IF(F$5&lt;=$D22,"X"," ")," "),"")</f>
        <v xml:space="preserve"> </v>
      </c>
      <c r="G22" s="115" t="str">
        <f t="shared" si="63"/>
        <v xml:space="preserve"> </v>
      </c>
      <c r="H22" s="115" t="str">
        <f t="shared" si="63"/>
        <v xml:space="preserve"> </v>
      </c>
      <c r="I22" s="115" t="str">
        <f t="shared" si="38"/>
        <v xml:space="preserve"> </v>
      </c>
      <c r="J22" s="115" t="str">
        <f t="shared" si="38"/>
        <v>X</v>
      </c>
      <c r="K22" s="115" t="str">
        <f t="shared" si="38"/>
        <v>X</v>
      </c>
      <c r="L22" s="115" t="str">
        <f t="shared" si="38"/>
        <v>X</v>
      </c>
      <c r="M22" s="115" t="str">
        <f t="shared" si="38"/>
        <v>X</v>
      </c>
      <c r="N22" s="115" t="str">
        <f t="shared" si="38"/>
        <v>X</v>
      </c>
      <c r="O22" s="115" t="str">
        <f t="shared" si="38"/>
        <v>X</v>
      </c>
      <c r="P22" s="115" t="str">
        <f t="shared" si="38"/>
        <v>X</v>
      </c>
      <c r="Q22" s="115" t="str">
        <f t="shared" si="38"/>
        <v>X</v>
      </c>
      <c r="R22" s="115" t="str">
        <f t="shared" si="38"/>
        <v>X</v>
      </c>
      <c r="S22" s="115" t="str">
        <f t="shared" si="38"/>
        <v>X</v>
      </c>
      <c r="T22" s="115" t="str">
        <f t="shared" si="38"/>
        <v>X</v>
      </c>
      <c r="U22" s="115" t="str">
        <f t="shared" si="38"/>
        <v>X</v>
      </c>
      <c r="V22" s="115" t="str">
        <f t="shared" si="38"/>
        <v>X</v>
      </c>
      <c r="W22" s="115" t="str">
        <f t="shared" si="38"/>
        <v>X</v>
      </c>
      <c r="X22" s="115" t="str">
        <f t="shared" si="38"/>
        <v>X</v>
      </c>
      <c r="Y22" s="115" t="str">
        <f t="shared" si="40"/>
        <v>X</v>
      </c>
      <c r="Z22" s="115" t="str">
        <f t="shared" si="40"/>
        <v>X</v>
      </c>
      <c r="AA22" s="115" t="str">
        <f t="shared" si="40"/>
        <v>X</v>
      </c>
      <c r="AB22" s="115" t="str">
        <f t="shared" si="40"/>
        <v xml:space="preserve"> </v>
      </c>
      <c r="AC22" s="467">
        <f>'3_Comp e Produtos'!E22</f>
        <v>3021750</v>
      </c>
      <c r="AD22" s="119">
        <f t="shared" si="41"/>
        <v>0</v>
      </c>
      <c r="AE22" s="119">
        <f t="shared" si="41"/>
        <v>0</v>
      </c>
      <c r="AF22" s="119">
        <f t="shared" si="41"/>
        <v>0</v>
      </c>
      <c r="AG22" s="119">
        <f t="shared" si="41"/>
        <v>0</v>
      </c>
      <c r="AH22" s="120">
        <f t="shared" si="11"/>
        <v>0</v>
      </c>
      <c r="AI22" s="119">
        <f t="shared" si="42"/>
        <v>0</v>
      </c>
      <c r="AJ22" s="119">
        <f t="shared" si="43"/>
        <v>167875</v>
      </c>
      <c r="AK22" s="119">
        <f t="shared" si="44"/>
        <v>167875</v>
      </c>
      <c r="AL22" s="119">
        <f t="shared" si="45"/>
        <v>167875</v>
      </c>
      <c r="AM22" s="120">
        <f t="shared" si="13"/>
        <v>503625</v>
      </c>
      <c r="AN22" s="119">
        <f t="shared" si="14"/>
        <v>167875</v>
      </c>
      <c r="AO22" s="119">
        <f t="shared" si="46"/>
        <v>167875</v>
      </c>
      <c r="AP22" s="119">
        <f t="shared" si="47"/>
        <v>167875</v>
      </c>
      <c r="AQ22" s="119">
        <f t="shared" si="48"/>
        <v>167875</v>
      </c>
      <c r="AR22" s="120">
        <f t="shared" si="49"/>
        <v>671500</v>
      </c>
      <c r="AS22" s="119">
        <f t="shared" si="19"/>
        <v>167875</v>
      </c>
      <c r="AT22" s="119">
        <f t="shared" si="50"/>
        <v>167875</v>
      </c>
      <c r="AU22" s="119">
        <f t="shared" si="51"/>
        <v>167875</v>
      </c>
      <c r="AV22" s="119">
        <f t="shared" si="52"/>
        <v>167875</v>
      </c>
      <c r="AW22" s="120">
        <f t="shared" si="53"/>
        <v>671500</v>
      </c>
      <c r="AX22" s="119">
        <f t="shared" si="24"/>
        <v>167875</v>
      </c>
      <c r="AY22" s="119">
        <f t="shared" si="54"/>
        <v>167875</v>
      </c>
      <c r="AZ22" s="119">
        <f t="shared" si="55"/>
        <v>167875</v>
      </c>
      <c r="BA22" s="119">
        <f t="shared" si="56"/>
        <v>167875</v>
      </c>
      <c r="BB22" s="120">
        <f t="shared" si="57"/>
        <v>671500</v>
      </c>
      <c r="BC22" s="119">
        <f t="shared" si="58"/>
        <v>167875</v>
      </c>
      <c r="BD22" s="119">
        <f t="shared" si="59"/>
        <v>167875</v>
      </c>
      <c r="BE22" s="119">
        <f t="shared" si="60"/>
        <v>167875</v>
      </c>
      <c r="BF22" s="119">
        <f t="shared" si="61"/>
        <v>0</v>
      </c>
      <c r="BG22" s="120">
        <f t="shared" si="62"/>
        <v>503625</v>
      </c>
      <c r="BH22" s="602"/>
      <c r="BI22" s="602"/>
    </row>
    <row r="23" spans="1:61" s="12" customFormat="1" ht="25.5">
      <c r="A23" s="143" t="str">
        <f>IF('3_Comp e Produtos'!B24="Sim",'3_Comp e Produtos'!A24,"NÃO SELECIONADO")</f>
        <v>2.3. Plano de estratégias de prevenção abrangente a todos os órgãos da Administração Direta</v>
      </c>
      <c r="B23" s="114">
        <v>41091</v>
      </c>
      <c r="C23" s="365">
        <v>51</v>
      </c>
      <c r="D23" s="270">
        <f t="shared" si="8"/>
        <v>42621</v>
      </c>
      <c r="E23" s="115" t="str">
        <f t="shared" si="36"/>
        <v xml:space="preserve"> </v>
      </c>
      <c r="F23" s="115" t="str">
        <f t="shared" si="63"/>
        <v xml:space="preserve"> </v>
      </c>
      <c r="G23" s="115" t="str">
        <f t="shared" si="63"/>
        <v xml:space="preserve"> </v>
      </c>
      <c r="H23" s="115" t="str">
        <f t="shared" si="63"/>
        <v xml:space="preserve"> </v>
      </c>
      <c r="I23" s="115" t="str">
        <f t="shared" si="38"/>
        <v xml:space="preserve"> </v>
      </c>
      <c r="J23" s="115" t="str">
        <f t="shared" si="38"/>
        <v xml:space="preserve"> </v>
      </c>
      <c r="K23" s="115" t="str">
        <f t="shared" si="38"/>
        <v>X</v>
      </c>
      <c r="L23" s="115" t="str">
        <f t="shared" si="38"/>
        <v>X</v>
      </c>
      <c r="M23" s="115" t="str">
        <f t="shared" si="38"/>
        <v>X</v>
      </c>
      <c r="N23" s="115" t="str">
        <f t="shared" si="38"/>
        <v>X</v>
      </c>
      <c r="O23" s="115" t="str">
        <f t="shared" si="38"/>
        <v>X</v>
      </c>
      <c r="P23" s="115" t="str">
        <f t="shared" si="38"/>
        <v>X</v>
      </c>
      <c r="Q23" s="115" t="str">
        <f t="shared" si="38"/>
        <v>X</v>
      </c>
      <c r="R23" s="115" t="str">
        <f t="shared" si="38"/>
        <v>X</v>
      </c>
      <c r="S23" s="115" t="str">
        <f t="shared" si="38"/>
        <v>X</v>
      </c>
      <c r="T23" s="115" t="str">
        <f t="shared" si="38"/>
        <v>X</v>
      </c>
      <c r="U23" s="115" t="str">
        <f t="shared" si="38"/>
        <v>X</v>
      </c>
      <c r="V23" s="115" t="str">
        <f t="shared" si="38"/>
        <v>X</v>
      </c>
      <c r="W23" s="115" t="str">
        <f t="shared" si="38"/>
        <v>X</v>
      </c>
      <c r="X23" s="115" t="str">
        <f t="shared" si="38"/>
        <v>X</v>
      </c>
      <c r="Y23" s="115" t="str">
        <f t="shared" si="40"/>
        <v>X</v>
      </c>
      <c r="Z23" s="115" t="str">
        <f t="shared" si="40"/>
        <v>X</v>
      </c>
      <c r="AA23" s="115" t="str">
        <f t="shared" si="40"/>
        <v>X</v>
      </c>
      <c r="AB23" s="115" t="str">
        <f t="shared" si="40"/>
        <v xml:space="preserve"> </v>
      </c>
      <c r="AC23" s="467">
        <f>'3_Comp e Produtos'!E24</f>
        <v>538000</v>
      </c>
      <c r="AD23" s="119">
        <f t="shared" si="41"/>
        <v>0</v>
      </c>
      <c r="AE23" s="119">
        <f t="shared" si="41"/>
        <v>0</v>
      </c>
      <c r="AF23" s="119">
        <f t="shared" si="41"/>
        <v>0</v>
      </c>
      <c r="AG23" s="119">
        <f t="shared" si="41"/>
        <v>0</v>
      </c>
      <c r="AH23" s="120">
        <f t="shared" si="11"/>
        <v>0</v>
      </c>
      <c r="AI23" s="119">
        <f t="shared" si="42"/>
        <v>0</v>
      </c>
      <c r="AJ23" s="119">
        <f t="shared" si="43"/>
        <v>0</v>
      </c>
      <c r="AK23" s="119">
        <f t="shared" si="44"/>
        <v>31647.06</v>
      </c>
      <c r="AL23" s="119">
        <f t="shared" si="45"/>
        <v>31647.06</v>
      </c>
      <c r="AM23" s="120">
        <f t="shared" si="13"/>
        <v>63294.12</v>
      </c>
      <c r="AN23" s="119">
        <f t="shared" si="14"/>
        <v>31647.06</v>
      </c>
      <c r="AO23" s="119">
        <f t="shared" si="46"/>
        <v>31647.06</v>
      </c>
      <c r="AP23" s="119">
        <f t="shared" si="47"/>
        <v>31647.06</v>
      </c>
      <c r="AQ23" s="119">
        <f t="shared" si="48"/>
        <v>31647.06</v>
      </c>
      <c r="AR23" s="120">
        <f t="shared" si="49"/>
        <v>126588.24</v>
      </c>
      <c r="AS23" s="119">
        <f t="shared" si="19"/>
        <v>31647.06</v>
      </c>
      <c r="AT23" s="119">
        <f t="shared" si="50"/>
        <v>31647.06</v>
      </c>
      <c r="AU23" s="119">
        <f t="shared" si="51"/>
        <v>31647.06</v>
      </c>
      <c r="AV23" s="119">
        <f t="shared" si="52"/>
        <v>31647.06</v>
      </c>
      <c r="AW23" s="120">
        <f t="shared" si="53"/>
        <v>126588.24</v>
      </c>
      <c r="AX23" s="119">
        <f t="shared" si="24"/>
        <v>31647.06</v>
      </c>
      <c r="AY23" s="119">
        <f t="shared" si="54"/>
        <v>31647.06</v>
      </c>
      <c r="AZ23" s="119">
        <f t="shared" si="55"/>
        <v>31647.06</v>
      </c>
      <c r="BA23" s="119">
        <f t="shared" si="56"/>
        <v>31647.06</v>
      </c>
      <c r="BB23" s="120">
        <f t="shared" si="57"/>
        <v>126588.24</v>
      </c>
      <c r="BC23" s="119">
        <f t="shared" si="58"/>
        <v>31647.06</v>
      </c>
      <c r="BD23" s="119">
        <f t="shared" si="59"/>
        <v>31647.06</v>
      </c>
      <c r="BE23" s="119">
        <f t="shared" si="60"/>
        <v>31647.06</v>
      </c>
      <c r="BF23" s="119">
        <f t="shared" si="61"/>
        <v>0</v>
      </c>
      <c r="BG23" s="120">
        <f t="shared" si="62"/>
        <v>94941.18</v>
      </c>
      <c r="BH23" s="602"/>
      <c r="BI23" s="602"/>
    </row>
    <row r="24" spans="1:61" s="12" customFormat="1" ht="25.5">
      <c r="A24" s="143" t="str">
        <f>IF('3_Comp e Produtos'!B25="Sim",'3_Comp e Produtos'!A25,"NÃO SELECIONADO")</f>
        <v>2.4. Fluxos de trabalho Contenciosos, de Consultoria e Assessoramento Jurídicos na Administração Indireta modelados e implantados</v>
      </c>
      <c r="B24" s="114">
        <v>41000</v>
      </c>
      <c r="C24" s="365">
        <v>54</v>
      </c>
      <c r="D24" s="270">
        <f t="shared" si="8"/>
        <v>42620</v>
      </c>
      <c r="E24" s="115" t="str">
        <f t="shared" si="36"/>
        <v xml:space="preserve"> </v>
      </c>
      <c r="F24" s="115" t="str">
        <f t="shared" si="63"/>
        <v xml:space="preserve"> </v>
      </c>
      <c r="G24" s="115" t="str">
        <f t="shared" si="63"/>
        <v xml:space="preserve"> </v>
      </c>
      <c r="H24" s="115" t="str">
        <f t="shared" si="63"/>
        <v xml:space="preserve"> </v>
      </c>
      <c r="I24" s="115" t="str">
        <f t="shared" si="38"/>
        <v xml:space="preserve"> </v>
      </c>
      <c r="J24" s="115" t="str">
        <f t="shared" si="38"/>
        <v>X</v>
      </c>
      <c r="K24" s="115" t="str">
        <f t="shared" si="38"/>
        <v>X</v>
      </c>
      <c r="L24" s="115" t="str">
        <f t="shared" si="38"/>
        <v>X</v>
      </c>
      <c r="M24" s="115" t="str">
        <f t="shared" si="38"/>
        <v>X</v>
      </c>
      <c r="N24" s="115" t="str">
        <f t="shared" si="38"/>
        <v>X</v>
      </c>
      <c r="O24" s="115" t="str">
        <f t="shared" si="38"/>
        <v>X</v>
      </c>
      <c r="P24" s="115" t="str">
        <f t="shared" si="38"/>
        <v>X</v>
      </c>
      <c r="Q24" s="115" t="str">
        <f t="shared" si="38"/>
        <v>X</v>
      </c>
      <c r="R24" s="115" t="str">
        <f t="shared" si="38"/>
        <v>X</v>
      </c>
      <c r="S24" s="115" t="str">
        <f t="shared" si="38"/>
        <v>X</v>
      </c>
      <c r="T24" s="115" t="str">
        <f t="shared" si="38"/>
        <v>X</v>
      </c>
      <c r="U24" s="115" t="str">
        <f t="shared" si="38"/>
        <v>X</v>
      </c>
      <c r="V24" s="115" t="str">
        <f t="shared" si="38"/>
        <v>X</v>
      </c>
      <c r="W24" s="115" t="str">
        <f t="shared" si="38"/>
        <v>X</v>
      </c>
      <c r="X24" s="115" t="str">
        <f t="shared" si="38"/>
        <v>X</v>
      </c>
      <c r="Y24" s="115" t="str">
        <f t="shared" si="40"/>
        <v>X</v>
      </c>
      <c r="Z24" s="115" t="str">
        <f t="shared" si="40"/>
        <v>X</v>
      </c>
      <c r="AA24" s="115" t="str">
        <f t="shared" si="40"/>
        <v>X</v>
      </c>
      <c r="AB24" s="115" t="str">
        <f t="shared" si="40"/>
        <v xml:space="preserve"> </v>
      </c>
      <c r="AC24" s="467">
        <f>'3_Comp e Produtos'!E25</f>
        <v>3474000</v>
      </c>
      <c r="AD24" s="119">
        <f t="shared" si="41"/>
        <v>0</v>
      </c>
      <c r="AE24" s="119">
        <f t="shared" si="41"/>
        <v>0</v>
      </c>
      <c r="AF24" s="119">
        <f t="shared" si="41"/>
        <v>0</v>
      </c>
      <c r="AG24" s="119">
        <f t="shared" si="41"/>
        <v>0</v>
      </c>
      <c r="AH24" s="120">
        <f t="shared" si="11"/>
        <v>0</v>
      </c>
      <c r="AI24" s="119">
        <f t="shared" si="42"/>
        <v>0</v>
      </c>
      <c r="AJ24" s="119">
        <f t="shared" si="43"/>
        <v>193000</v>
      </c>
      <c r="AK24" s="119">
        <f t="shared" si="44"/>
        <v>193000</v>
      </c>
      <c r="AL24" s="119">
        <f t="shared" si="45"/>
        <v>193000</v>
      </c>
      <c r="AM24" s="120">
        <f t="shared" si="13"/>
        <v>579000</v>
      </c>
      <c r="AN24" s="119">
        <f t="shared" si="14"/>
        <v>193000</v>
      </c>
      <c r="AO24" s="119">
        <f t="shared" si="46"/>
        <v>193000</v>
      </c>
      <c r="AP24" s="119">
        <f t="shared" si="47"/>
        <v>193000</v>
      </c>
      <c r="AQ24" s="119">
        <f t="shared" si="48"/>
        <v>193000</v>
      </c>
      <c r="AR24" s="120">
        <f t="shared" si="49"/>
        <v>772000</v>
      </c>
      <c r="AS24" s="119">
        <f t="shared" si="19"/>
        <v>193000</v>
      </c>
      <c r="AT24" s="119">
        <f t="shared" si="50"/>
        <v>193000</v>
      </c>
      <c r="AU24" s="119">
        <f t="shared" si="51"/>
        <v>193000</v>
      </c>
      <c r="AV24" s="119">
        <f t="shared" si="52"/>
        <v>193000</v>
      </c>
      <c r="AW24" s="120">
        <f t="shared" si="53"/>
        <v>772000</v>
      </c>
      <c r="AX24" s="119">
        <f t="shared" si="24"/>
        <v>193000</v>
      </c>
      <c r="AY24" s="119">
        <f t="shared" si="54"/>
        <v>193000</v>
      </c>
      <c r="AZ24" s="119">
        <f t="shared" si="55"/>
        <v>193000</v>
      </c>
      <c r="BA24" s="119">
        <f t="shared" si="56"/>
        <v>193000</v>
      </c>
      <c r="BB24" s="120">
        <f t="shared" si="57"/>
        <v>772000</v>
      </c>
      <c r="BC24" s="119">
        <f t="shared" si="58"/>
        <v>193000</v>
      </c>
      <c r="BD24" s="119">
        <f t="shared" si="59"/>
        <v>193000</v>
      </c>
      <c r="BE24" s="119">
        <f t="shared" si="60"/>
        <v>193000</v>
      </c>
      <c r="BF24" s="119">
        <f t="shared" si="61"/>
        <v>0</v>
      </c>
      <c r="BG24" s="120">
        <f t="shared" si="62"/>
        <v>579000</v>
      </c>
      <c r="BH24" s="602"/>
      <c r="BI24" s="602"/>
    </row>
    <row r="25" spans="1:61" s="12" customFormat="1" ht="25.5">
      <c r="A25" s="143" t="str">
        <f>IF('3_Comp e Produtos'!B30="Sim",'3_Comp e Produtos'!A30,"NÃO SELECIONADO")</f>
        <v>2.5. Plano de estratégias de prevenção abrangente a todos os órgãos da Administração Indireta</v>
      </c>
      <c r="B25" s="114">
        <v>41091</v>
      </c>
      <c r="C25" s="365">
        <v>51</v>
      </c>
      <c r="D25" s="270">
        <f t="shared" si="8"/>
        <v>42621</v>
      </c>
      <c r="E25" s="115" t="str">
        <f t="shared" si="36"/>
        <v xml:space="preserve"> </v>
      </c>
      <c r="F25" s="115" t="str">
        <f t="shared" si="63"/>
        <v xml:space="preserve"> </v>
      </c>
      <c r="G25" s="115" t="str">
        <f t="shared" si="63"/>
        <v xml:space="preserve"> </v>
      </c>
      <c r="H25" s="115" t="str">
        <f t="shared" si="63"/>
        <v xml:space="preserve"> </v>
      </c>
      <c r="I25" s="115" t="str">
        <f t="shared" si="63"/>
        <v xml:space="preserve"> </v>
      </c>
      <c r="J25" s="115" t="str">
        <f t="shared" si="63"/>
        <v xml:space="preserve"> </v>
      </c>
      <c r="K25" s="115" t="str">
        <f t="shared" si="63"/>
        <v>X</v>
      </c>
      <c r="L25" s="115" t="str">
        <f t="shared" si="63"/>
        <v>X</v>
      </c>
      <c r="M25" s="115" t="str">
        <f t="shared" si="63"/>
        <v>X</v>
      </c>
      <c r="N25" s="115" t="str">
        <f t="shared" si="63"/>
        <v>X</v>
      </c>
      <c r="O25" s="115" t="str">
        <f t="shared" si="63"/>
        <v>X</v>
      </c>
      <c r="P25" s="115" t="str">
        <f t="shared" si="63"/>
        <v>X</v>
      </c>
      <c r="Q25" s="115" t="str">
        <f t="shared" si="63"/>
        <v>X</v>
      </c>
      <c r="R25" s="115" t="str">
        <f t="shared" si="63"/>
        <v>X</v>
      </c>
      <c r="S25" s="115" t="str">
        <f t="shared" si="63"/>
        <v>X</v>
      </c>
      <c r="T25" s="115" t="str">
        <f t="shared" si="63"/>
        <v>X</v>
      </c>
      <c r="U25" s="115" t="str">
        <f t="shared" si="63"/>
        <v>X</v>
      </c>
      <c r="V25" s="115" t="str">
        <f t="shared" si="38"/>
        <v>X</v>
      </c>
      <c r="W25" s="115" t="str">
        <f t="shared" si="38"/>
        <v>X</v>
      </c>
      <c r="X25" s="115" t="str">
        <f t="shared" si="38"/>
        <v>X</v>
      </c>
      <c r="Y25" s="115" t="str">
        <f t="shared" si="38"/>
        <v>X</v>
      </c>
      <c r="Z25" s="115" t="str">
        <f t="shared" si="38"/>
        <v>X</v>
      </c>
      <c r="AA25" s="115" t="str">
        <f t="shared" si="40"/>
        <v>X</v>
      </c>
      <c r="AB25" s="115" t="str">
        <f t="shared" si="40"/>
        <v xml:space="preserve"> </v>
      </c>
      <c r="AC25" s="467">
        <f>'3_Comp e Produtos'!E30</f>
        <v>828000</v>
      </c>
      <c r="AD25" s="119">
        <f t="shared" si="41"/>
        <v>0</v>
      </c>
      <c r="AE25" s="119">
        <f t="shared" si="41"/>
        <v>0</v>
      </c>
      <c r="AF25" s="119">
        <f t="shared" si="41"/>
        <v>0</v>
      </c>
      <c r="AG25" s="119">
        <f t="shared" si="41"/>
        <v>0</v>
      </c>
      <c r="AH25" s="120">
        <f t="shared" si="11"/>
        <v>0</v>
      </c>
      <c r="AI25" s="119">
        <f t="shared" si="42"/>
        <v>0</v>
      </c>
      <c r="AJ25" s="119">
        <f t="shared" si="43"/>
        <v>0</v>
      </c>
      <c r="AK25" s="119">
        <f t="shared" si="44"/>
        <v>48705.88</v>
      </c>
      <c r="AL25" s="119">
        <f t="shared" si="45"/>
        <v>48705.88</v>
      </c>
      <c r="AM25" s="120">
        <f t="shared" si="13"/>
        <v>97411.76</v>
      </c>
      <c r="AN25" s="119">
        <f t="shared" si="14"/>
        <v>48705.88</v>
      </c>
      <c r="AO25" s="119">
        <f t="shared" si="46"/>
        <v>48705.88</v>
      </c>
      <c r="AP25" s="119">
        <f t="shared" si="47"/>
        <v>48705.88</v>
      </c>
      <c r="AQ25" s="119">
        <f t="shared" si="48"/>
        <v>48705.88</v>
      </c>
      <c r="AR25" s="120">
        <f t="shared" si="49"/>
        <v>194823.52</v>
      </c>
      <c r="AS25" s="119">
        <f t="shared" si="19"/>
        <v>48705.88</v>
      </c>
      <c r="AT25" s="119">
        <f t="shared" si="50"/>
        <v>48705.88</v>
      </c>
      <c r="AU25" s="119">
        <f t="shared" si="51"/>
        <v>48705.88</v>
      </c>
      <c r="AV25" s="119">
        <f t="shared" si="52"/>
        <v>48705.88</v>
      </c>
      <c r="AW25" s="120">
        <f t="shared" si="53"/>
        <v>194823.52</v>
      </c>
      <c r="AX25" s="119">
        <f t="shared" si="24"/>
        <v>48705.88</v>
      </c>
      <c r="AY25" s="119">
        <f t="shared" si="54"/>
        <v>48705.88</v>
      </c>
      <c r="AZ25" s="119">
        <f t="shared" si="55"/>
        <v>48705.88</v>
      </c>
      <c r="BA25" s="119">
        <f t="shared" si="56"/>
        <v>48705.88</v>
      </c>
      <c r="BB25" s="120">
        <f t="shared" si="57"/>
        <v>194823.52</v>
      </c>
      <c r="BC25" s="119">
        <f t="shared" si="58"/>
        <v>48705.88</v>
      </c>
      <c r="BD25" s="119">
        <f t="shared" si="59"/>
        <v>48705.88</v>
      </c>
      <c r="BE25" s="119">
        <f t="shared" si="60"/>
        <v>48705.88</v>
      </c>
      <c r="BF25" s="119">
        <f t="shared" si="61"/>
        <v>0</v>
      </c>
      <c r="BG25" s="120">
        <f t="shared" si="62"/>
        <v>146117.64000000001</v>
      </c>
      <c r="BH25" s="602"/>
      <c r="BI25" s="602"/>
    </row>
    <row r="26" spans="1:61" s="12" customFormat="1" ht="25.5">
      <c r="A26" s="143" t="str">
        <f>IF('3_Comp e Produtos'!B31="Sim",'3_Comp e Produtos'!A31,"NÃO SELECIONADO")</f>
        <v>2.6. Métodos Alternativos de Resolução de Conflitos (MARC) definidos e implementados</v>
      </c>
      <c r="B26" s="114">
        <v>41000</v>
      </c>
      <c r="C26" s="365">
        <v>54</v>
      </c>
      <c r="D26" s="270">
        <f t="shared" si="8"/>
        <v>42620</v>
      </c>
      <c r="E26" s="115" t="str">
        <f t="shared" si="36"/>
        <v xml:space="preserve"> </v>
      </c>
      <c r="F26" s="115" t="str">
        <f t="shared" si="63"/>
        <v xml:space="preserve"> </v>
      </c>
      <c r="G26" s="115" t="str">
        <f t="shared" si="63"/>
        <v xml:space="preserve"> </v>
      </c>
      <c r="H26" s="115" t="str">
        <f t="shared" si="63"/>
        <v xml:space="preserve"> </v>
      </c>
      <c r="I26" s="115" t="str">
        <f t="shared" si="63"/>
        <v xml:space="preserve"> </v>
      </c>
      <c r="J26" s="115" t="str">
        <f t="shared" si="63"/>
        <v>X</v>
      </c>
      <c r="K26" s="115" t="str">
        <f t="shared" si="63"/>
        <v>X</v>
      </c>
      <c r="L26" s="115" t="str">
        <f t="shared" si="63"/>
        <v>X</v>
      </c>
      <c r="M26" s="115" t="str">
        <f t="shared" si="63"/>
        <v>X</v>
      </c>
      <c r="N26" s="115" t="str">
        <f t="shared" si="63"/>
        <v>X</v>
      </c>
      <c r="O26" s="115" t="str">
        <f t="shared" si="63"/>
        <v>X</v>
      </c>
      <c r="P26" s="115" t="str">
        <f t="shared" si="63"/>
        <v>X</v>
      </c>
      <c r="Q26" s="115" t="str">
        <f t="shared" si="63"/>
        <v>X</v>
      </c>
      <c r="R26" s="115" t="str">
        <f t="shared" si="63"/>
        <v>X</v>
      </c>
      <c r="S26" s="115" t="str">
        <f t="shared" si="63"/>
        <v>X</v>
      </c>
      <c r="T26" s="115" t="str">
        <f t="shared" si="63"/>
        <v>X</v>
      </c>
      <c r="U26" s="115" t="str">
        <f t="shared" si="63"/>
        <v>X</v>
      </c>
      <c r="V26" s="115" t="str">
        <f t="shared" si="38"/>
        <v>X</v>
      </c>
      <c r="W26" s="115" t="str">
        <f t="shared" si="38"/>
        <v>X</v>
      </c>
      <c r="X26" s="115" t="str">
        <f t="shared" si="38"/>
        <v>X</v>
      </c>
      <c r="Y26" s="115" t="str">
        <f t="shared" si="38"/>
        <v>X</v>
      </c>
      <c r="Z26" s="115" t="str">
        <f t="shared" si="38"/>
        <v>X</v>
      </c>
      <c r="AA26" s="115" t="str">
        <f t="shared" si="40"/>
        <v>X</v>
      </c>
      <c r="AB26" s="115" t="str">
        <f t="shared" si="40"/>
        <v xml:space="preserve"> </v>
      </c>
      <c r="AC26" s="467">
        <f>'3_Comp e Produtos'!E31</f>
        <v>730500</v>
      </c>
      <c r="AD26" s="119">
        <f t="shared" si="41"/>
        <v>0</v>
      </c>
      <c r="AE26" s="119">
        <f t="shared" si="41"/>
        <v>0</v>
      </c>
      <c r="AF26" s="119">
        <f t="shared" si="41"/>
        <v>0</v>
      </c>
      <c r="AG26" s="119">
        <f t="shared" si="41"/>
        <v>0</v>
      </c>
      <c r="AH26" s="120">
        <f t="shared" si="11"/>
        <v>0</v>
      </c>
      <c r="AI26" s="119">
        <f t="shared" si="42"/>
        <v>0</v>
      </c>
      <c r="AJ26" s="119">
        <f t="shared" si="43"/>
        <v>40583.33</v>
      </c>
      <c r="AK26" s="119">
        <f t="shared" si="44"/>
        <v>40583.33</v>
      </c>
      <c r="AL26" s="119">
        <f t="shared" si="45"/>
        <v>40583.33</v>
      </c>
      <c r="AM26" s="120">
        <f t="shared" si="13"/>
        <v>121749.99</v>
      </c>
      <c r="AN26" s="119">
        <f t="shared" si="14"/>
        <v>40583.33</v>
      </c>
      <c r="AO26" s="119">
        <f t="shared" si="46"/>
        <v>40583.33</v>
      </c>
      <c r="AP26" s="119">
        <f t="shared" si="47"/>
        <v>40583.33</v>
      </c>
      <c r="AQ26" s="119">
        <f t="shared" si="48"/>
        <v>40583.33</v>
      </c>
      <c r="AR26" s="120">
        <f t="shared" si="49"/>
        <v>162333.32</v>
      </c>
      <c r="AS26" s="119">
        <f t="shared" si="19"/>
        <v>40583.33</v>
      </c>
      <c r="AT26" s="119">
        <f t="shared" si="50"/>
        <v>40583.33</v>
      </c>
      <c r="AU26" s="119">
        <f t="shared" si="51"/>
        <v>40583.33</v>
      </c>
      <c r="AV26" s="119">
        <f t="shared" si="52"/>
        <v>40583.33</v>
      </c>
      <c r="AW26" s="120">
        <f t="shared" si="53"/>
        <v>162333.32</v>
      </c>
      <c r="AX26" s="119">
        <f t="shared" si="24"/>
        <v>40583.33</v>
      </c>
      <c r="AY26" s="119">
        <f t="shared" si="54"/>
        <v>40583.33</v>
      </c>
      <c r="AZ26" s="119">
        <f t="shared" si="55"/>
        <v>40583.33</v>
      </c>
      <c r="BA26" s="119">
        <f t="shared" si="56"/>
        <v>40583.33</v>
      </c>
      <c r="BB26" s="120">
        <f t="shared" si="57"/>
        <v>162333.32</v>
      </c>
      <c r="BC26" s="119">
        <f t="shared" si="58"/>
        <v>40583.33</v>
      </c>
      <c r="BD26" s="119">
        <f t="shared" si="59"/>
        <v>40583.33</v>
      </c>
      <c r="BE26" s="119">
        <f t="shared" si="60"/>
        <v>40583.33</v>
      </c>
      <c r="BF26" s="119">
        <f t="shared" si="61"/>
        <v>0</v>
      </c>
      <c r="BG26" s="120">
        <f t="shared" si="62"/>
        <v>121749.99</v>
      </c>
      <c r="BH26" s="602"/>
      <c r="BI26" s="602"/>
    </row>
    <row r="27" spans="1:61" s="12" customFormat="1" ht="25.5">
      <c r="A27" s="143" t="str">
        <f>IF('3_Comp e Produtos'!B35="Sim",'3_Comp e Produtos'!A35,"NÃO SELECIONADO")</f>
        <v>2.7. Capacitação contínua de pessoal especializado em gerenciamento e recuperação de créditos</v>
      </c>
      <c r="B27" s="114">
        <v>41000</v>
      </c>
      <c r="C27" s="365">
        <v>54</v>
      </c>
      <c r="D27" s="270">
        <f t="shared" si="8"/>
        <v>42620</v>
      </c>
      <c r="E27" s="115" t="str">
        <f t="shared" si="36"/>
        <v xml:space="preserve"> </v>
      </c>
      <c r="F27" s="115" t="str">
        <f t="shared" si="63"/>
        <v xml:space="preserve"> </v>
      </c>
      <c r="G27" s="115" t="str">
        <f t="shared" si="63"/>
        <v xml:space="preserve"> </v>
      </c>
      <c r="H27" s="115" t="str">
        <f t="shared" ref="H27:Z32" si="64">IF(AND($C27&lt;&gt;0,$A27&lt;&gt;"NÃO SELECIONADO"),IF(H$5&gt;=$B27,IF(H$5&lt;=$D27,"X"," ")," "),"")</f>
        <v xml:space="preserve"> </v>
      </c>
      <c r="I27" s="115" t="str">
        <f t="shared" si="64"/>
        <v xml:space="preserve"> </v>
      </c>
      <c r="J27" s="115" t="str">
        <f t="shared" si="64"/>
        <v>X</v>
      </c>
      <c r="K27" s="115" t="str">
        <f t="shared" si="64"/>
        <v>X</v>
      </c>
      <c r="L27" s="115" t="str">
        <f t="shared" si="64"/>
        <v>X</v>
      </c>
      <c r="M27" s="115" t="str">
        <f t="shared" si="64"/>
        <v>X</v>
      </c>
      <c r="N27" s="115" t="str">
        <f t="shared" si="64"/>
        <v>X</v>
      </c>
      <c r="O27" s="115" t="str">
        <f t="shared" si="64"/>
        <v>X</v>
      </c>
      <c r="P27" s="115" t="str">
        <f t="shared" si="64"/>
        <v>X</v>
      </c>
      <c r="Q27" s="115" t="str">
        <f t="shared" si="64"/>
        <v>X</v>
      </c>
      <c r="R27" s="115" t="str">
        <f t="shared" si="64"/>
        <v>X</v>
      </c>
      <c r="S27" s="115" t="str">
        <f t="shared" si="64"/>
        <v>X</v>
      </c>
      <c r="T27" s="115" t="str">
        <f t="shared" si="64"/>
        <v>X</v>
      </c>
      <c r="U27" s="115" t="str">
        <f t="shared" si="64"/>
        <v>X</v>
      </c>
      <c r="V27" s="115" t="str">
        <f t="shared" si="64"/>
        <v>X</v>
      </c>
      <c r="W27" s="115" t="str">
        <f t="shared" si="64"/>
        <v>X</v>
      </c>
      <c r="X27" s="115" t="str">
        <f t="shared" si="64"/>
        <v>X</v>
      </c>
      <c r="Y27" s="115" t="str">
        <f t="shared" si="64"/>
        <v>X</v>
      </c>
      <c r="Z27" s="115" t="str">
        <f t="shared" si="64"/>
        <v>X</v>
      </c>
      <c r="AA27" s="115" t="str">
        <f t="shared" si="40"/>
        <v>X</v>
      </c>
      <c r="AB27" s="115" t="str">
        <f t="shared" si="40"/>
        <v xml:space="preserve"> </v>
      </c>
      <c r="AC27" s="467">
        <f>'3_Comp e Produtos'!E35</f>
        <v>1511000</v>
      </c>
      <c r="AD27" s="119">
        <f t="shared" si="41"/>
        <v>0</v>
      </c>
      <c r="AE27" s="119">
        <f t="shared" si="41"/>
        <v>0</v>
      </c>
      <c r="AF27" s="119">
        <f t="shared" si="41"/>
        <v>0</v>
      </c>
      <c r="AG27" s="119">
        <f t="shared" si="41"/>
        <v>0</v>
      </c>
      <c r="AH27" s="120">
        <f t="shared" si="11"/>
        <v>0</v>
      </c>
      <c r="AI27" s="119">
        <f t="shared" si="42"/>
        <v>0</v>
      </c>
      <c r="AJ27" s="119">
        <f t="shared" si="43"/>
        <v>83944.44</v>
      </c>
      <c r="AK27" s="119">
        <f t="shared" si="44"/>
        <v>83944.44</v>
      </c>
      <c r="AL27" s="119">
        <f t="shared" si="45"/>
        <v>83944.44</v>
      </c>
      <c r="AM27" s="120">
        <f t="shared" si="13"/>
        <v>251833.32</v>
      </c>
      <c r="AN27" s="119">
        <f t="shared" si="14"/>
        <v>83944.44</v>
      </c>
      <c r="AO27" s="119">
        <f t="shared" si="46"/>
        <v>83944.44</v>
      </c>
      <c r="AP27" s="119">
        <f t="shared" si="47"/>
        <v>83944.44</v>
      </c>
      <c r="AQ27" s="119">
        <f t="shared" si="48"/>
        <v>83944.44</v>
      </c>
      <c r="AR27" s="120">
        <f t="shared" si="49"/>
        <v>335777.76</v>
      </c>
      <c r="AS27" s="119">
        <f t="shared" si="19"/>
        <v>83944.44</v>
      </c>
      <c r="AT27" s="119">
        <f t="shared" si="50"/>
        <v>83944.44</v>
      </c>
      <c r="AU27" s="119">
        <f t="shared" si="51"/>
        <v>83944.44</v>
      </c>
      <c r="AV27" s="119">
        <f t="shared" si="52"/>
        <v>83944.44</v>
      </c>
      <c r="AW27" s="120">
        <f t="shared" si="53"/>
        <v>335777.76</v>
      </c>
      <c r="AX27" s="119">
        <f t="shared" si="24"/>
        <v>83944.44</v>
      </c>
      <c r="AY27" s="119">
        <f t="shared" si="54"/>
        <v>83944.44</v>
      </c>
      <c r="AZ27" s="119">
        <f t="shared" si="55"/>
        <v>83944.44</v>
      </c>
      <c r="BA27" s="119">
        <f t="shared" si="56"/>
        <v>83944.44</v>
      </c>
      <c r="BB27" s="120">
        <f t="shared" si="57"/>
        <v>335777.76</v>
      </c>
      <c r="BC27" s="119">
        <f t="shared" si="58"/>
        <v>83944.44</v>
      </c>
      <c r="BD27" s="119">
        <f t="shared" si="59"/>
        <v>83944.44</v>
      </c>
      <c r="BE27" s="119">
        <f t="shared" si="60"/>
        <v>83944.44</v>
      </c>
      <c r="BF27" s="119">
        <f t="shared" si="61"/>
        <v>0</v>
      </c>
      <c r="BG27" s="120">
        <f t="shared" si="62"/>
        <v>251833.32</v>
      </c>
      <c r="BH27" s="602"/>
      <c r="BI27" s="602"/>
    </row>
    <row r="28" spans="1:61" s="12" customFormat="1" ht="25.5">
      <c r="A28" s="143" t="str">
        <f>IF('3_Comp e Produtos'!B36="Sim",'3_Comp e Produtos'!A36,"NÃO SELECIONADO")</f>
        <v xml:space="preserve">2.8. Plano de ação para aprimoramento da integração interinstitucional entre os órgãos responsáveis pela dívida ativa </v>
      </c>
      <c r="B28" s="114">
        <v>41000</v>
      </c>
      <c r="C28" s="365">
        <v>6</v>
      </c>
      <c r="D28" s="270">
        <f t="shared" si="8"/>
        <v>41174</v>
      </c>
      <c r="E28" s="115" t="str">
        <f t="shared" si="36"/>
        <v xml:space="preserve"> </v>
      </c>
      <c r="F28" s="115" t="str">
        <f t="shared" si="63"/>
        <v xml:space="preserve"> </v>
      </c>
      <c r="G28" s="115" t="str">
        <f t="shared" si="63"/>
        <v xml:space="preserve"> </v>
      </c>
      <c r="H28" s="115" t="str">
        <f t="shared" si="64"/>
        <v xml:space="preserve"> </v>
      </c>
      <c r="I28" s="115" t="str">
        <f t="shared" si="64"/>
        <v xml:space="preserve"> </v>
      </c>
      <c r="J28" s="115" t="str">
        <f t="shared" si="64"/>
        <v>X</v>
      </c>
      <c r="K28" s="115" t="str">
        <f t="shared" si="64"/>
        <v>X</v>
      </c>
      <c r="L28" s="115" t="str">
        <f t="shared" si="64"/>
        <v xml:space="preserve"> </v>
      </c>
      <c r="M28" s="115" t="str">
        <f t="shared" si="64"/>
        <v xml:space="preserve"> </v>
      </c>
      <c r="N28" s="115" t="str">
        <f t="shared" si="64"/>
        <v xml:space="preserve"> </v>
      </c>
      <c r="O28" s="115" t="str">
        <f t="shared" si="64"/>
        <v xml:space="preserve"> </v>
      </c>
      <c r="P28" s="115" t="str">
        <f t="shared" si="64"/>
        <v xml:space="preserve"> </v>
      </c>
      <c r="Q28" s="115" t="str">
        <f t="shared" si="64"/>
        <v xml:space="preserve"> </v>
      </c>
      <c r="R28" s="115" t="str">
        <f t="shared" si="64"/>
        <v xml:space="preserve"> </v>
      </c>
      <c r="S28" s="115" t="str">
        <f t="shared" si="64"/>
        <v xml:space="preserve"> </v>
      </c>
      <c r="T28" s="115" t="str">
        <f t="shared" si="64"/>
        <v xml:space="preserve"> </v>
      </c>
      <c r="U28" s="115" t="str">
        <f t="shared" si="64"/>
        <v xml:space="preserve"> </v>
      </c>
      <c r="V28" s="115" t="str">
        <f t="shared" si="64"/>
        <v xml:space="preserve"> </v>
      </c>
      <c r="W28" s="115" t="str">
        <f t="shared" si="64"/>
        <v xml:space="preserve"> </v>
      </c>
      <c r="X28" s="115" t="str">
        <f t="shared" si="64"/>
        <v xml:space="preserve"> </v>
      </c>
      <c r="Y28" s="115" t="str">
        <f t="shared" si="64"/>
        <v xml:space="preserve"> </v>
      </c>
      <c r="Z28" s="115" t="str">
        <f t="shared" si="64"/>
        <v xml:space="preserve"> </v>
      </c>
      <c r="AA28" s="115" t="str">
        <f t="shared" si="40"/>
        <v xml:space="preserve"> </v>
      </c>
      <c r="AB28" s="115" t="str">
        <f t="shared" si="40"/>
        <v xml:space="preserve"> </v>
      </c>
      <c r="AC28" s="467">
        <f>'3_Comp e Produtos'!E36</f>
        <v>468000</v>
      </c>
      <c r="AD28" s="119">
        <f t="shared" si="41"/>
        <v>0</v>
      </c>
      <c r="AE28" s="119">
        <f t="shared" si="41"/>
        <v>0</v>
      </c>
      <c r="AF28" s="119">
        <f t="shared" si="41"/>
        <v>0</v>
      </c>
      <c r="AG28" s="119">
        <f t="shared" si="41"/>
        <v>0</v>
      </c>
      <c r="AH28" s="120">
        <f t="shared" si="11"/>
        <v>0</v>
      </c>
      <c r="AI28" s="119">
        <f t="shared" si="42"/>
        <v>0</v>
      </c>
      <c r="AJ28" s="119">
        <f t="shared" si="43"/>
        <v>234000</v>
      </c>
      <c r="AK28" s="119">
        <f t="shared" si="44"/>
        <v>234000</v>
      </c>
      <c r="AL28" s="119">
        <f t="shared" si="45"/>
        <v>0</v>
      </c>
      <c r="AM28" s="120">
        <f t="shared" si="13"/>
        <v>468000</v>
      </c>
      <c r="AN28" s="119">
        <f t="shared" si="14"/>
        <v>0</v>
      </c>
      <c r="AO28" s="119">
        <f t="shared" si="46"/>
        <v>0</v>
      </c>
      <c r="AP28" s="119">
        <f t="shared" si="47"/>
        <v>0</v>
      </c>
      <c r="AQ28" s="119">
        <f t="shared" si="48"/>
        <v>0</v>
      </c>
      <c r="AR28" s="120">
        <f t="shared" si="49"/>
        <v>0</v>
      </c>
      <c r="AS28" s="119">
        <f t="shared" si="19"/>
        <v>0</v>
      </c>
      <c r="AT28" s="119">
        <f t="shared" si="50"/>
        <v>0</v>
      </c>
      <c r="AU28" s="119">
        <f t="shared" si="51"/>
        <v>0</v>
      </c>
      <c r="AV28" s="119">
        <f t="shared" si="52"/>
        <v>0</v>
      </c>
      <c r="AW28" s="120">
        <f t="shared" si="53"/>
        <v>0</v>
      </c>
      <c r="AX28" s="119">
        <f t="shared" si="24"/>
        <v>0</v>
      </c>
      <c r="AY28" s="119">
        <f t="shared" si="54"/>
        <v>0</v>
      </c>
      <c r="AZ28" s="119">
        <f t="shared" si="55"/>
        <v>0</v>
      </c>
      <c r="BA28" s="119">
        <f t="shared" si="56"/>
        <v>0</v>
      </c>
      <c r="BB28" s="120">
        <f t="shared" si="57"/>
        <v>0</v>
      </c>
      <c r="BC28" s="119">
        <f t="shared" si="58"/>
        <v>0</v>
      </c>
      <c r="BD28" s="119">
        <f t="shared" si="59"/>
        <v>0</v>
      </c>
      <c r="BE28" s="119">
        <f t="shared" si="60"/>
        <v>0</v>
      </c>
      <c r="BF28" s="119">
        <f t="shared" si="61"/>
        <v>0</v>
      </c>
      <c r="BG28" s="120">
        <f t="shared" si="62"/>
        <v>0</v>
      </c>
      <c r="BH28" s="602"/>
      <c r="BI28" s="602"/>
    </row>
    <row r="29" spans="1:61" s="12" customFormat="1" ht="25.5">
      <c r="A29" s="143" t="str">
        <f>IF('3_Comp e Produtos'!B37="Sim",'3_Comp e Produtos'!A37,"NÃO SELECIONADO")</f>
        <v>2.9. Solução para avaliação de riscos do Estado e inclusões nos sistemas corporativos da AGU</v>
      </c>
      <c r="B29" s="114">
        <v>41183</v>
      </c>
      <c r="C29" s="365">
        <v>6</v>
      </c>
      <c r="D29" s="270">
        <f t="shared" si="8"/>
        <v>41357</v>
      </c>
      <c r="E29" s="115" t="str">
        <f t="shared" si="36"/>
        <v xml:space="preserve"> </v>
      </c>
      <c r="F29" s="115" t="str">
        <f t="shared" si="63"/>
        <v xml:space="preserve"> </v>
      </c>
      <c r="G29" s="115" t="str">
        <f t="shared" si="63"/>
        <v xml:space="preserve"> </v>
      </c>
      <c r="H29" s="115" t="str">
        <f t="shared" si="64"/>
        <v xml:space="preserve"> </v>
      </c>
      <c r="I29" s="115" t="str">
        <f t="shared" si="64"/>
        <v xml:space="preserve"> </v>
      </c>
      <c r="J29" s="115" t="str">
        <f t="shared" si="64"/>
        <v xml:space="preserve"> </v>
      </c>
      <c r="K29" s="115" t="str">
        <f t="shared" si="64"/>
        <v xml:space="preserve"> </v>
      </c>
      <c r="L29" s="115" t="str">
        <f t="shared" si="64"/>
        <v>X</v>
      </c>
      <c r="M29" s="115" t="str">
        <f t="shared" si="64"/>
        <v>X</v>
      </c>
      <c r="N29" s="115" t="str">
        <f t="shared" si="64"/>
        <v xml:space="preserve"> </v>
      </c>
      <c r="O29" s="115" t="str">
        <f t="shared" si="64"/>
        <v xml:space="preserve"> </v>
      </c>
      <c r="P29" s="115" t="str">
        <f t="shared" si="64"/>
        <v xml:space="preserve"> </v>
      </c>
      <c r="Q29" s="115" t="str">
        <f t="shared" si="64"/>
        <v xml:space="preserve"> </v>
      </c>
      <c r="R29" s="115" t="str">
        <f t="shared" si="64"/>
        <v xml:space="preserve"> </v>
      </c>
      <c r="S29" s="115" t="str">
        <f t="shared" si="64"/>
        <v xml:space="preserve"> </v>
      </c>
      <c r="T29" s="115" t="str">
        <f t="shared" si="64"/>
        <v xml:space="preserve"> </v>
      </c>
      <c r="U29" s="115" t="str">
        <f t="shared" si="64"/>
        <v xml:space="preserve"> </v>
      </c>
      <c r="V29" s="115" t="str">
        <f t="shared" si="64"/>
        <v xml:space="preserve"> </v>
      </c>
      <c r="W29" s="115" t="str">
        <f t="shared" si="64"/>
        <v xml:space="preserve"> </v>
      </c>
      <c r="X29" s="115" t="str">
        <f t="shared" si="64"/>
        <v xml:space="preserve"> </v>
      </c>
      <c r="Y29" s="115" t="str">
        <f t="shared" si="64"/>
        <v xml:space="preserve"> </v>
      </c>
      <c r="Z29" s="115" t="str">
        <f t="shared" si="64"/>
        <v xml:space="preserve"> </v>
      </c>
      <c r="AA29" s="115" t="str">
        <f t="shared" si="40"/>
        <v xml:space="preserve"> </v>
      </c>
      <c r="AB29" s="115" t="str">
        <f t="shared" si="40"/>
        <v xml:space="preserve"> </v>
      </c>
      <c r="AC29" s="467">
        <f>'3_Comp e Produtos'!E37</f>
        <v>700000</v>
      </c>
      <c r="AD29" s="119">
        <f t="shared" si="41"/>
        <v>0</v>
      </c>
      <c r="AE29" s="119">
        <f t="shared" si="41"/>
        <v>0</v>
      </c>
      <c r="AF29" s="119">
        <f t="shared" si="41"/>
        <v>0</v>
      </c>
      <c r="AG29" s="119">
        <f t="shared" si="41"/>
        <v>0</v>
      </c>
      <c r="AH29" s="120">
        <f t="shared" si="11"/>
        <v>0</v>
      </c>
      <c r="AI29" s="119">
        <f t="shared" si="42"/>
        <v>0</v>
      </c>
      <c r="AJ29" s="119">
        <f t="shared" si="43"/>
        <v>0</v>
      </c>
      <c r="AK29" s="119">
        <f t="shared" si="44"/>
        <v>0</v>
      </c>
      <c r="AL29" s="119">
        <f t="shared" si="45"/>
        <v>350000</v>
      </c>
      <c r="AM29" s="120">
        <f t="shared" si="13"/>
        <v>350000</v>
      </c>
      <c r="AN29" s="119">
        <f t="shared" si="14"/>
        <v>350000</v>
      </c>
      <c r="AO29" s="119">
        <f t="shared" si="46"/>
        <v>0</v>
      </c>
      <c r="AP29" s="119">
        <f t="shared" si="47"/>
        <v>0</v>
      </c>
      <c r="AQ29" s="119">
        <f t="shared" si="48"/>
        <v>0</v>
      </c>
      <c r="AR29" s="120">
        <f t="shared" si="49"/>
        <v>350000</v>
      </c>
      <c r="AS29" s="119">
        <f t="shared" si="19"/>
        <v>0</v>
      </c>
      <c r="AT29" s="119">
        <f t="shared" si="50"/>
        <v>0</v>
      </c>
      <c r="AU29" s="119">
        <f t="shared" si="51"/>
        <v>0</v>
      </c>
      <c r="AV29" s="119">
        <f t="shared" si="52"/>
        <v>0</v>
      </c>
      <c r="AW29" s="120">
        <f t="shared" si="53"/>
        <v>0</v>
      </c>
      <c r="AX29" s="119">
        <f t="shared" si="24"/>
        <v>0</v>
      </c>
      <c r="AY29" s="119">
        <f t="shared" si="54"/>
        <v>0</v>
      </c>
      <c r="AZ29" s="119">
        <f t="shared" si="55"/>
        <v>0</v>
      </c>
      <c r="BA29" s="119">
        <f t="shared" si="56"/>
        <v>0</v>
      </c>
      <c r="BB29" s="120">
        <f t="shared" si="57"/>
        <v>0</v>
      </c>
      <c r="BC29" s="119">
        <f t="shared" si="58"/>
        <v>0</v>
      </c>
      <c r="BD29" s="119">
        <f t="shared" si="59"/>
        <v>0</v>
      </c>
      <c r="BE29" s="119">
        <f t="shared" si="60"/>
        <v>0</v>
      </c>
      <c r="BF29" s="119">
        <f t="shared" si="61"/>
        <v>0</v>
      </c>
      <c r="BG29" s="120">
        <f t="shared" si="62"/>
        <v>0</v>
      </c>
      <c r="BH29" s="602"/>
      <c r="BI29" s="602"/>
    </row>
    <row r="30" spans="1:61" s="12" customFormat="1" ht="25.5">
      <c r="A30" s="143" t="str">
        <f>IF('3_Comp e Produtos'!B38="Sim",'3_Comp e Produtos'!A38,"NÃO SELECIONADO")</f>
        <v xml:space="preserve">2.10. Solução para identificação e facilitação da eliminação dos pagamentos indevidos nos processos contra o Estado </v>
      </c>
      <c r="B30" s="114">
        <v>41275</v>
      </c>
      <c r="C30" s="365">
        <v>6</v>
      </c>
      <c r="D30" s="270">
        <f t="shared" si="8"/>
        <v>41449</v>
      </c>
      <c r="E30" s="115" t="str">
        <f t="shared" si="36"/>
        <v xml:space="preserve"> </v>
      </c>
      <c r="F30" s="115" t="str">
        <f t="shared" si="63"/>
        <v xml:space="preserve"> </v>
      </c>
      <c r="G30" s="115" t="str">
        <f t="shared" si="63"/>
        <v xml:space="preserve"> </v>
      </c>
      <c r="H30" s="115" t="str">
        <f t="shared" si="64"/>
        <v xml:space="preserve"> </v>
      </c>
      <c r="I30" s="115" t="str">
        <f t="shared" si="64"/>
        <v xml:space="preserve"> </v>
      </c>
      <c r="J30" s="115" t="str">
        <f t="shared" si="64"/>
        <v xml:space="preserve"> </v>
      </c>
      <c r="K30" s="115" t="str">
        <f t="shared" si="64"/>
        <v xml:space="preserve"> </v>
      </c>
      <c r="L30" s="115" t="str">
        <f t="shared" si="64"/>
        <v xml:space="preserve"> </v>
      </c>
      <c r="M30" s="115" t="str">
        <f t="shared" si="64"/>
        <v>X</v>
      </c>
      <c r="N30" s="115" t="str">
        <f t="shared" si="64"/>
        <v>X</v>
      </c>
      <c r="O30" s="115" t="str">
        <f t="shared" si="64"/>
        <v xml:space="preserve"> </v>
      </c>
      <c r="P30" s="115" t="str">
        <f t="shared" si="64"/>
        <v xml:space="preserve"> </v>
      </c>
      <c r="Q30" s="115" t="str">
        <f t="shared" si="64"/>
        <v xml:space="preserve"> </v>
      </c>
      <c r="R30" s="115" t="str">
        <f t="shared" si="64"/>
        <v xml:space="preserve"> </v>
      </c>
      <c r="S30" s="115" t="str">
        <f t="shared" si="64"/>
        <v xml:space="preserve"> </v>
      </c>
      <c r="T30" s="115" t="str">
        <f t="shared" si="64"/>
        <v xml:space="preserve"> </v>
      </c>
      <c r="U30" s="115" t="str">
        <f t="shared" si="64"/>
        <v xml:space="preserve"> </v>
      </c>
      <c r="V30" s="115" t="str">
        <f t="shared" si="64"/>
        <v xml:space="preserve"> </v>
      </c>
      <c r="W30" s="115" t="str">
        <f t="shared" si="64"/>
        <v xml:space="preserve"> </v>
      </c>
      <c r="X30" s="115" t="str">
        <f t="shared" si="64"/>
        <v xml:space="preserve"> </v>
      </c>
      <c r="Y30" s="115" t="str">
        <f t="shared" si="64"/>
        <v xml:space="preserve"> </v>
      </c>
      <c r="Z30" s="115" t="str">
        <f t="shared" si="64"/>
        <v xml:space="preserve"> </v>
      </c>
      <c r="AA30" s="115" t="str">
        <f t="shared" si="40"/>
        <v xml:space="preserve"> </v>
      </c>
      <c r="AB30" s="115" t="str">
        <f t="shared" si="40"/>
        <v xml:space="preserve"> </v>
      </c>
      <c r="AC30" s="467">
        <f>'3_Comp e Produtos'!E38</f>
        <v>216000</v>
      </c>
      <c r="AD30" s="119">
        <f t="shared" si="41"/>
        <v>0</v>
      </c>
      <c r="AE30" s="119">
        <f t="shared" si="41"/>
        <v>0</v>
      </c>
      <c r="AF30" s="119">
        <f t="shared" si="41"/>
        <v>0</v>
      </c>
      <c r="AG30" s="119">
        <f t="shared" si="41"/>
        <v>0</v>
      </c>
      <c r="AH30" s="120">
        <f t="shared" si="11"/>
        <v>0</v>
      </c>
      <c r="AI30" s="119">
        <f t="shared" si="42"/>
        <v>0</v>
      </c>
      <c r="AJ30" s="119">
        <f t="shared" si="43"/>
        <v>0</v>
      </c>
      <c r="AK30" s="119">
        <f t="shared" si="44"/>
        <v>0</v>
      </c>
      <c r="AL30" s="119">
        <f t="shared" si="45"/>
        <v>0</v>
      </c>
      <c r="AM30" s="120">
        <f t="shared" si="13"/>
        <v>0</v>
      </c>
      <c r="AN30" s="119">
        <f t="shared" si="14"/>
        <v>108000</v>
      </c>
      <c r="AO30" s="119">
        <f t="shared" si="46"/>
        <v>108000</v>
      </c>
      <c r="AP30" s="119">
        <f t="shared" si="47"/>
        <v>0</v>
      </c>
      <c r="AQ30" s="119">
        <f t="shared" si="48"/>
        <v>0</v>
      </c>
      <c r="AR30" s="120">
        <f t="shared" si="49"/>
        <v>216000</v>
      </c>
      <c r="AS30" s="119">
        <f t="shared" si="19"/>
        <v>0</v>
      </c>
      <c r="AT30" s="119">
        <f t="shared" si="50"/>
        <v>0</v>
      </c>
      <c r="AU30" s="119">
        <f t="shared" si="51"/>
        <v>0</v>
      </c>
      <c r="AV30" s="119">
        <f t="shared" si="52"/>
        <v>0</v>
      </c>
      <c r="AW30" s="120">
        <f t="shared" si="53"/>
        <v>0</v>
      </c>
      <c r="AX30" s="119">
        <f t="shared" si="24"/>
        <v>0</v>
      </c>
      <c r="AY30" s="119">
        <f t="shared" si="54"/>
        <v>0</v>
      </c>
      <c r="AZ30" s="119">
        <f t="shared" si="55"/>
        <v>0</v>
      </c>
      <c r="BA30" s="119">
        <f t="shared" si="56"/>
        <v>0</v>
      </c>
      <c r="BB30" s="120">
        <f t="shared" si="57"/>
        <v>0</v>
      </c>
      <c r="BC30" s="119">
        <f t="shared" si="58"/>
        <v>0</v>
      </c>
      <c r="BD30" s="119">
        <f t="shared" si="59"/>
        <v>0</v>
      </c>
      <c r="BE30" s="119">
        <f t="shared" si="60"/>
        <v>0</v>
      </c>
      <c r="BF30" s="119">
        <f t="shared" si="61"/>
        <v>0</v>
      </c>
      <c r="BG30" s="120">
        <f t="shared" si="62"/>
        <v>0</v>
      </c>
      <c r="BH30" s="602"/>
      <c r="BI30" s="602"/>
    </row>
    <row r="31" spans="1:61" s="12" customFormat="1" ht="18.600000000000001" customHeight="1">
      <c r="A31" s="143" t="str">
        <f>IF('3_Comp e Produtos'!B39="Sim",'3_Comp e Produtos'!A39,"NÃO SELECIONADO")</f>
        <v>2.11. Sistema Integrado de Gestão Jurídica da AGU desenvolvido e implantado</v>
      </c>
      <c r="B31" s="114">
        <v>41000</v>
      </c>
      <c r="C31" s="365">
        <v>51</v>
      </c>
      <c r="D31" s="270">
        <f t="shared" si="8"/>
        <v>42530</v>
      </c>
      <c r="E31" s="115"/>
      <c r="F31" s="115"/>
      <c r="G31" s="115" t="str">
        <f t="shared" si="63"/>
        <v xml:space="preserve"> </v>
      </c>
      <c r="H31" s="115" t="str">
        <f t="shared" si="64"/>
        <v xml:space="preserve"> </v>
      </c>
      <c r="I31" s="115" t="str">
        <f t="shared" si="64"/>
        <v xml:space="preserve"> </v>
      </c>
      <c r="J31" s="115" t="str">
        <f t="shared" si="64"/>
        <v>X</v>
      </c>
      <c r="K31" s="115" t="str">
        <f t="shared" si="64"/>
        <v>X</v>
      </c>
      <c r="L31" s="115" t="str">
        <f t="shared" si="64"/>
        <v>X</v>
      </c>
      <c r="M31" s="115" t="str">
        <f t="shared" si="64"/>
        <v>X</v>
      </c>
      <c r="N31" s="115" t="str">
        <f t="shared" si="64"/>
        <v>X</v>
      </c>
      <c r="O31" s="115" t="str">
        <f t="shared" si="64"/>
        <v>X</v>
      </c>
      <c r="P31" s="115" t="str">
        <f t="shared" si="64"/>
        <v>X</v>
      </c>
      <c r="Q31" s="115" t="str">
        <f t="shared" si="64"/>
        <v>X</v>
      </c>
      <c r="R31" s="115" t="str">
        <f t="shared" si="64"/>
        <v>X</v>
      </c>
      <c r="S31" s="115" t="str">
        <f t="shared" si="64"/>
        <v>X</v>
      </c>
      <c r="T31" s="115" t="str">
        <f t="shared" si="64"/>
        <v>X</v>
      </c>
      <c r="U31" s="115" t="str">
        <f t="shared" si="64"/>
        <v>X</v>
      </c>
      <c r="V31" s="115" t="str">
        <f t="shared" si="64"/>
        <v>X</v>
      </c>
      <c r="W31" s="115" t="str">
        <f t="shared" si="64"/>
        <v>X</v>
      </c>
      <c r="X31" s="115" t="str">
        <f t="shared" si="64"/>
        <v>X</v>
      </c>
      <c r="Y31" s="115" t="str">
        <f t="shared" si="64"/>
        <v>X</v>
      </c>
      <c r="Z31" s="115" t="str">
        <f t="shared" si="64"/>
        <v>X</v>
      </c>
      <c r="AA31" s="115"/>
      <c r="AB31" s="115"/>
      <c r="AC31" s="467">
        <f>'3_Comp e Produtos'!E39</f>
        <v>44653750</v>
      </c>
      <c r="AD31" s="119">
        <f t="shared" si="41"/>
        <v>0</v>
      </c>
      <c r="AE31" s="119">
        <f t="shared" si="41"/>
        <v>0</v>
      </c>
      <c r="AF31" s="119">
        <f t="shared" si="41"/>
        <v>0</v>
      </c>
      <c r="AG31" s="119">
        <f t="shared" si="41"/>
        <v>0</v>
      </c>
      <c r="AH31" s="120">
        <f t="shared" si="11"/>
        <v>0</v>
      </c>
      <c r="AI31" s="119">
        <f t="shared" si="42"/>
        <v>0</v>
      </c>
      <c r="AJ31" s="119">
        <f t="shared" si="43"/>
        <v>2626691.1800000002</v>
      </c>
      <c r="AK31" s="119">
        <f t="shared" si="44"/>
        <v>2626691.1800000002</v>
      </c>
      <c r="AL31" s="119">
        <f t="shared" si="45"/>
        <v>2626691.1800000002</v>
      </c>
      <c r="AM31" s="120">
        <f t="shared" si="13"/>
        <v>7880073.54</v>
      </c>
      <c r="AN31" s="119">
        <f t="shared" si="14"/>
        <v>2626691.1800000002</v>
      </c>
      <c r="AO31" s="119">
        <f t="shared" si="46"/>
        <v>2626691.1800000002</v>
      </c>
      <c r="AP31" s="119">
        <f t="shared" si="47"/>
        <v>2626691.1800000002</v>
      </c>
      <c r="AQ31" s="119">
        <f t="shared" si="48"/>
        <v>2626691.1800000002</v>
      </c>
      <c r="AR31" s="120">
        <f t="shared" si="49"/>
        <v>10506764.720000001</v>
      </c>
      <c r="AS31" s="119">
        <f t="shared" si="19"/>
        <v>2626691.1800000002</v>
      </c>
      <c r="AT31" s="119">
        <f t="shared" si="50"/>
        <v>2626691.1800000002</v>
      </c>
      <c r="AU31" s="119">
        <f t="shared" si="51"/>
        <v>2626691.1800000002</v>
      </c>
      <c r="AV31" s="119">
        <f t="shared" si="52"/>
        <v>2626691.1800000002</v>
      </c>
      <c r="AW31" s="120">
        <f t="shared" si="53"/>
        <v>10506764.720000001</v>
      </c>
      <c r="AX31" s="119">
        <f t="shared" si="24"/>
        <v>2626691.1800000002</v>
      </c>
      <c r="AY31" s="119">
        <f t="shared" si="54"/>
        <v>2626691.1800000002</v>
      </c>
      <c r="AZ31" s="119">
        <f t="shared" si="55"/>
        <v>2626691.1800000002</v>
      </c>
      <c r="BA31" s="119">
        <f t="shared" si="56"/>
        <v>2626691.1800000002</v>
      </c>
      <c r="BB31" s="120">
        <f t="shared" si="57"/>
        <v>10506764.720000001</v>
      </c>
      <c r="BC31" s="119">
        <f t="shared" si="58"/>
        <v>2626691.1800000002</v>
      </c>
      <c r="BD31" s="119">
        <f t="shared" si="59"/>
        <v>2626691.1800000002</v>
      </c>
      <c r="BE31" s="119">
        <f t="shared" si="60"/>
        <v>0</v>
      </c>
      <c r="BF31" s="119">
        <f t="shared" si="61"/>
        <v>0</v>
      </c>
      <c r="BG31" s="120">
        <f t="shared" si="62"/>
        <v>5253382.3600000003</v>
      </c>
      <c r="BH31" s="602"/>
      <c r="BI31" s="602"/>
    </row>
    <row r="32" spans="1:61" s="12" customFormat="1" ht="25.5">
      <c r="A32" s="143" t="str">
        <f>IF('3_Comp e Produtos'!B42="Sim",'3_Comp e Produtos'!A42,"NÃO SELECIONADO")</f>
        <v>2.12. Redesenho e implementação dos fluxos de trabalho relativos a cálculos e perícias</v>
      </c>
      <c r="B32" s="114">
        <v>41000</v>
      </c>
      <c r="C32" s="365">
        <v>51</v>
      </c>
      <c r="D32" s="270">
        <f t="shared" si="8"/>
        <v>42530</v>
      </c>
      <c r="E32" s="115"/>
      <c r="F32" s="115"/>
      <c r="G32" s="115" t="str">
        <f t="shared" si="63"/>
        <v xml:space="preserve"> </v>
      </c>
      <c r="H32" s="115" t="str">
        <f t="shared" si="64"/>
        <v xml:space="preserve"> </v>
      </c>
      <c r="I32" s="115" t="str">
        <f t="shared" si="64"/>
        <v xml:space="preserve"> </v>
      </c>
      <c r="J32" s="115" t="str">
        <f t="shared" si="64"/>
        <v>X</v>
      </c>
      <c r="K32" s="115" t="str">
        <f t="shared" si="64"/>
        <v>X</v>
      </c>
      <c r="L32" s="115" t="str">
        <f t="shared" si="64"/>
        <v>X</v>
      </c>
      <c r="M32" s="115" t="str">
        <f t="shared" si="64"/>
        <v>X</v>
      </c>
      <c r="N32" s="115" t="str">
        <f t="shared" si="64"/>
        <v>X</v>
      </c>
      <c r="O32" s="115" t="str">
        <f t="shared" si="64"/>
        <v>X</v>
      </c>
      <c r="P32" s="115" t="str">
        <f t="shared" si="64"/>
        <v>X</v>
      </c>
      <c r="Q32" s="115" t="str">
        <f t="shared" si="64"/>
        <v>X</v>
      </c>
      <c r="R32" s="115" t="str">
        <f t="shared" si="64"/>
        <v>X</v>
      </c>
      <c r="S32" s="115" t="str">
        <f t="shared" si="64"/>
        <v>X</v>
      </c>
      <c r="T32" s="115" t="str">
        <f t="shared" si="64"/>
        <v>X</v>
      </c>
      <c r="U32" s="115" t="str">
        <f t="shared" si="64"/>
        <v>X</v>
      </c>
      <c r="V32" s="115" t="str">
        <f t="shared" si="64"/>
        <v>X</v>
      </c>
      <c r="W32" s="115" t="str">
        <f t="shared" si="64"/>
        <v>X</v>
      </c>
      <c r="X32" s="115" t="str">
        <f t="shared" si="64"/>
        <v>X</v>
      </c>
      <c r="Y32" s="115" t="str">
        <f t="shared" si="64"/>
        <v>X</v>
      </c>
      <c r="Z32" s="115" t="str">
        <f t="shared" si="64"/>
        <v>X</v>
      </c>
      <c r="AA32" s="115"/>
      <c r="AB32" s="115"/>
      <c r="AC32" s="467">
        <f>'3_Comp e Produtos'!E42</f>
        <v>3021750</v>
      </c>
      <c r="AD32" s="119">
        <f t="shared" si="41"/>
        <v>0</v>
      </c>
      <c r="AE32" s="119">
        <f t="shared" si="41"/>
        <v>0</v>
      </c>
      <c r="AF32" s="119">
        <f t="shared" si="41"/>
        <v>0</v>
      </c>
      <c r="AG32" s="119">
        <f t="shared" si="41"/>
        <v>0</v>
      </c>
      <c r="AH32" s="120">
        <f t="shared" si="11"/>
        <v>0</v>
      </c>
      <c r="AI32" s="119">
        <f t="shared" si="42"/>
        <v>0</v>
      </c>
      <c r="AJ32" s="119">
        <f t="shared" si="43"/>
        <v>177750</v>
      </c>
      <c r="AK32" s="119">
        <f t="shared" si="44"/>
        <v>177750</v>
      </c>
      <c r="AL32" s="119">
        <f t="shared" si="45"/>
        <v>177750</v>
      </c>
      <c r="AM32" s="120">
        <f t="shared" si="13"/>
        <v>533250</v>
      </c>
      <c r="AN32" s="119">
        <f t="shared" si="14"/>
        <v>177750</v>
      </c>
      <c r="AO32" s="119">
        <f t="shared" si="46"/>
        <v>177750</v>
      </c>
      <c r="AP32" s="119">
        <f t="shared" si="47"/>
        <v>177750</v>
      </c>
      <c r="AQ32" s="119">
        <f t="shared" si="48"/>
        <v>177750</v>
      </c>
      <c r="AR32" s="120">
        <f t="shared" si="49"/>
        <v>711000</v>
      </c>
      <c r="AS32" s="119">
        <f t="shared" si="19"/>
        <v>177750</v>
      </c>
      <c r="AT32" s="119">
        <f t="shared" si="50"/>
        <v>177750</v>
      </c>
      <c r="AU32" s="119">
        <f t="shared" si="51"/>
        <v>177750</v>
      </c>
      <c r="AV32" s="119">
        <f t="shared" si="52"/>
        <v>177750</v>
      </c>
      <c r="AW32" s="120">
        <f t="shared" si="53"/>
        <v>711000</v>
      </c>
      <c r="AX32" s="119">
        <f t="shared" si="24"/>
        <v>177750</v>
      </c>
      <c r="AY32" s="119">
        <f t="shared" si="54"/>
        <v>177750</v>
      </c>
      <c r="AZ32" s="119">
        <f t="shared" si="55"/>
        <v>177750</v>
      </c>
      <c r="BA32" s="119">
        <f t="shared" si="56"/>
        <v>177750</v>
      </c>
      <c r="BB32" s="120">
        <f t="shared" si="57"/>
        <v>711000</v>
      </c>
      <c r="BC32" s="119">
        <f t="shared" si="58"/>
        <v>177750</v>
      </c>
      <c r="BD32" s="119">
        <f t="shared" si="59"/>
        <v>177750</v>
      </c>
      <c r="BE32" s="119">
        <f t="shared" si="60"/>
        <v>0</v>
      </c>
      <c r="BF32" s="119">
        <f t="shared" si="61"/>
        <v>0</v>
      </c>
      <c r="BG32" s="120">
        <f t="shared" si="62"/>
        <v>355500</v>
      </c>
      <c r="BH32" s="602"/>
      <c r="BI32" s="602"/>
    </row>
    <row r="33" spans="1:61" s="12" customFormat="1" ht="25.5">
      <c r="A33" s="451" t="str">
        <f>'3_Comp e Produtos'!A43</f>
        <v>COMPONENTE 3: APRIMORAMENTO DA GESTÃO ADMINISTRATIVA DA AGU</v>
      </c>
      <c r="B33" s="445">
        <f>MIN(B34:B56)</f>
        <v>40909</v>
      </c>
      <c r="C33" s="446">
        <f>IF(INT((D33-B33)/30)+1&gt;21,INT((D33-B33)/30),INT((D33-B33)/30)+1)</f>
        <v>54</v>
      </c>
      <c r="D33" s="445">
        <f>MAX(D34:D39)</f>
        <v>42531</v>
      </c>
      <c r="E33" s="447" t="str">
        <f t="shared" ref="E33:AB33" si="65">IF(COUNTIF(E34:E39,"X")&lt;&gt;0,"X","")</f>
        <v/>
      </c>
      <c r="F33" s="447" t="str">
        <f t="shared" si="65"/>
        <v/>
      </c>
      <c r="G33" s="447" t="str">
        <f t="shared" si="65"/>
        <v/>
      </c>
      <c r="H33" s="447" t="str">
        <f t="shared" si="65"/>
        <v/>
      </c>
      <c r="I33" s="447" t="str">
        <f t="shared" si="65"/>
        <v>X</v>
      </c>
      <c r="J33" s="447" t="str">
        <f t="shared" si="65"/>
        <v>X</v>
      </c>
      <c r="K33" s="447" t="str">
        <f t="shared" si="65"/>
        <v>X</v>
      </c>
      <c r="L33" s="447" t="str">
        <f t="shared" si="65"/>
        <v>X</v>
      </c>
      <c r="M33" s="447" t="str">
        <f t="shared" si="65"/>
        <v>X</v>
      </c>
      <c r="N33" s="447" t="str">
        <f t="shared" si="65"/>
        <v>X</v>
      </c>
      <c r="O33" s="447" t="str">
        <f t="shared" si="65"/>
        <v>X</v>
      </c>
      <c r="P33" s="447" t="str">
        <f t="shared" si="65"/>
        <v>X</v>
      </c>
      <c r="Q33" s="447" t="str">
        <f t="shared" si="65"/>
        <v>X</v>
      </c>
      <c r="R33" s="447" t="str">
        <f t="shared" si="65"/>
        <v>X</v>
      </c>
      <c r="S33" s="447" t="str">
        <f t="shared" si="65"/>
        <v>X</v>
      </c>
      <c r="T33" s="447" t="str">
        <f t="shared" si="65"/>
        <v>X</v>
      </c>
      <c r="U33" s="447" t="str">
        <f t="shared" si="65"/>
        <v>X</v>
      </c>
      <c r="V33" s="447" t="str">
        <f t="shared" si="65"/>
        <v>X</v>
      </c>
      <c r="W33" s="447" t="str">
        <f t="shared" si="65"/>
        <v>X</v>
      </c>
      <c r="X33" s="447" t="str">
        <f t="shared" si="65"/>
        <v>X</v>
      </c>
      <c r="Y33" s="447" t="str">
        <f t="shared" si="65"/>
        <v>X</v>
      </c>
      <c r="Z33" s="447" t="str">
        <f t="shared" si="65"/>
        <v>X</v>
      </c>
      <c r="AA33" s="447" t="str">
        <f t="shared" si="65"/>
        <v/>
      </c>
      <c r="AB33" s="447" t="str">
        <f t="shared" si="65"/>
        <v/>
      </c>
      <c r="AC33" s="466">
        <f>SUM(AC34:AC39)</f>
        <v>5251000</v>
      </c>
      <c r="AD33" s="466">
        <f t="shared" ref="AD33:BG33" si="66">SUM(AD34:AD39)</f>
        <v>0</v>
      </c>
      <c r="AE33" s="466">
        <f t="shared" si="66"/>
        <v>0</v>
      </c>
      <c r="AF33" s="466">
        <f t="shared" si="66"/>
        <v>0</v>
      </c>
      <c r="AG33" s="466">
        <f t="shared" si="66"/>
        <v>0</v>
      </c>
      <c r="AH33" s="466">
        <f t="shared" si="66"/>
        <v>0</v>
      </c>
      <c r="AI33" s="466">
        <f t="shared" si="66"/>
        <v>144000</v>
      </c>
      <c r="AJ33" s="466">
        <f t="shared" si="66"/>
        <v>137180.15</v>
      </c>
      <c r="AK33" s="466">
        <f t="shared" si="66"/>
        <v>222711.4</v>
      </c>
      <c r="AL33" s="466">
        <f t="shared" si="66"/>
        <v>222711.4</v>
      </c>
      <c r="AM33" s="466">
        <f t="shared" si="66"/>
        <v>726602.95</v>
      </c>
      <c r="AN33" s="466">
        <f t="shared" si="66"/>
        <v>222711.4</v>
      </c>
      <c r="AO33" s="466">
        <f t="shared" si="66"/>
        <v>222711.4</v>
      </c>
      <c r="AP33" s="466">
        <f t="shared" si="66"/>
        <v>222711.4</v>
      </c>
      <c r="AQ33" s="466">
        <f t="shared" si="66"/>
        <v>222711.4</v>
      </c>
      <c r="AR33" s="466">
        <f t="shared" si="66"/>
        <v>890845.6</v>
      </c>
      <c r="AS33" s="466">
        <f t="shared" si="66"/>
        <v>462711.4</v>
      </c>
      <c r="AT33" s="466">
        <f t="shared" si="66"/>
        <v>405648.9</v>
      </c>
      <c r="AU33" s="466">
        <f t="shared" si="66"/>
        <v>405648.9</v>
      </c>
      <c r="AV33" s="466">
        <f t="shared" si="66"/>
        <v>405648.9</v>
      </c>
      <c r="AW33" s="466">
        <f t="shared" si="66"/>
        <v>1679658.1</v>
      </c>
      <c r="AX33" s="466">
        <f t="shared" si="66"/>
        <v>405648.9</v>
      </c>
      <c r="AY33" s="466">
        <f t="shared" si="66"/>
        <v>405648.9</v>
      </c>
      <c r="AZ33" s="466">
        <f t="shared" si="66"/>
        <v>405648.9</v>
      </c>
      <c r="BA33" s="466">
        <f t="shared" si="66"/>
        <v>405648.9</v>
      </c>
      <c r="BB33" s="466">
        <f t="shared" si="66"/>
        <v>1622595.6</v>
      </c>
      <c r="BC33" s="466">
        <f t="shared" si="66"/>
        <v>165648.9</v>
      </c>
      <c r="BD33" s="466">
        <f t="shared" si="66"/>
        <v>165648.9</v>
      </c>
      <c r="BE33" s="466">
        <f t="shared" si="66"/>
        <v>0</v>
      </c>
      <c r="BF33" s="466">
        <f t="shared" si="66"/>
        <v>0</v>
      </c>
      <c r="BG33" s="466">
        <f t="shared" si="66"/>
        <v>331297.8</v>
      </c>
    </row>
    <row r="34" spans="1:61" s="12" customFormat="1" ht="17.25" customHeight="1">
      <c r="A34" s="143" t="str">
        <f>IF('3_Comp e Produtos'!B44="Sim",'3_Comp e Produtos'!A44,"NÃO SELECIONADO")</f>
        <v>3.1. Elaboração do plano estratégico de gestão da Secretaria-Geral</v>
      </c>
      <c r="B34" s="114">
        <v>40909</v>
      </c>
      <c r="C34" s="365">
        <v>3</v>
      </c>
      <c r="D34" s="270">
        <f t="shared" si="8"/>
        <v>40996</v>
      </c>
      <c r="E34" s="115"/>
      <c r="F34" s="115"/>
      <c r="G34" s="115" t="str">
        <f t="shared" si="63"/>
        <v xml:space="preserve"> </v>
      </c>
      <c r="H34" s="115" t="str">
        <f t="shared" si="63"/>
        <v xml:space="preserve"> </v>
      </c>
      <c r="I34" s="115" t="str">
        <f t="shared" si="63"/>
        <v>X</v>
      </c>
      <c r="J34" s="115" t="str">
        <f t="shared" si="63"/>
        <v xml:space="preserve"> </v>
      </c>
      <c r="K34" s="115" t="str">
        <f t="shared" si="63"/>
        <v xml:space="preserve"> </v>
      </c>
      <c r="L34" s="115" t="str">
        <f t="shared" si="63"/>
        <v xml:space="preserve"> </v>
      </c>
      <c r="M34" s="115" t="str">
        <f t="shared" si="63"/>
        <v xml:space="preserve"> </v>
      </c>
      <c r="N34" s="115" t="str">
        <f t="shared" si="63"/>
        <v xml:space="preserve"> </v>
      </c>
      <c r="O34" s="115" t="str">
        <f t="shared" si="63"/>
        <v xml:space="preserve"> </v>
      </c>
      <c r="P34" s="115" t="str">
        <f t="shared" si="63"/>
        <v xml:space="preserve"> </v>
      </c>
      <c r="Q34" s="115" t="str">
        <f t="shared" si="63"/>
        <v xml:space="preserve"> </v>
      </c>
      <c r="R34" s="115" t="str">
        <f t="shared" si="63"/>
        <v xml:space="preserve"> </v>
      </c>
      <c r="S34" s="115" t="str">
        <f t="shared" si="63"/>
        <v xml:space="preserve"> </v>
      </c>
      <c r="T34" s="115" t="str">
        <f t="shared" si="63"/>
        <v xml:space="preserve"> </v>
      </c>
      <c r="U34" s="115" t="str">
        <f t="shared" si="63"/>
        <v xml:space="preserve"> </v>
      </c>
      <c r="V34" s="115" t="str">
        <f t="shared" ref="V34:Z34" si="67">IF(AND($C34&lt;&gt;0,$A34&lt;&gt;"NÃO SELECIONADO"),IF(V$5&gt;=$B34,IF(V$5&lt;=$D34,"X"," ")," "),"")</f>
        <v xml:space="preserve"> </v>
      </c>
      <c r="W34" s="115" t="str">
        <f t="shared" si="67"/>
        <v xml:space="preserve"> </v>
      </c>
      <c r="X34" s="115" t="str">
        <f t="shared" si="67"/>
        <v xml:space="preserve"> </v>
      </c>
      <c r="Y34" s="115" t="str">
        <f t="shared" si="67"/>
        <v xml:space="preserve"> </v>
      </c>
      <c r="Z34" s="115" t="str">
        <f t="shared" si="67"/>
        <v xml:space="preserve"> </v>
      </c>
      <c r="AA34" s="115"/>
      <c r="AB34" s="115"/>
      <c r="AC34" s="467">
        <f>IF(A34&lt;&gt;"NÃO SELECIONADO",'6_Componente 3'!A9,0)</f>
        <v>144000</v>
      </c>
      <c r="AD34" s="119">
        <f t="shared" si="41"/>
        <v>0</v>
      </c>
      <c r="AE34" s="119">
        <f t="shared" si="41"/>
        <v>0</v>
      </c>
      <c r="AF34" s="119">
        <f t="shared" si="41"/>
        <v>0</v>
      </c>
      <c r="AG34" s="119">
        <f t="shared" si="41"/>
        <v>0</v>
      </c>
      <c r="AH34" s="120">
        <f t="shared" si="11"/>
        <v>0</v>
      </c>
      <c r="AI34" s="119">
        <f t="shared" si="42"/>
        <v>144000</v>
      </c>
      <c r="AJ34" s="119">
        <f t="shared" ref="AJ34:AJ39" si="68">IF(J34="X",$AC34/$C34*3,0)</f>
        <v>0</v>
      </c>
      <c r="AK34" s="119">
        <f t="shared" ref="AK34:AK39" si="69">IF(K34="X",$AC34/$C34*3,0)</f>
        <v>0</v>
      </c>
      <c r="AL34" s="119">
        <f t="shared" ref="AL34:AL39" si="70">IF(L34="X",$AC34/$C34*3,0)</f>
        <v>0</v>
      </c>
      <c r="AM34" s="120">
        <f t="shared" si="13"/>
        <v>144000</v>
      </c>
      <c r="AN34" s="119">
        <f t="shared" si="14"/>
        <v>0</v>
      </c>
      <c r="AO34" s="119">
        <f t="shared" ref="AO34:AO39" si="71">IF(N34="X",$AC34/$C34*3,0)</f>
        <v>0</v>
      </c>
      <c r="AP34" s="119">
        <f t="shared" ref="AP34:AP39" si="72">IF(O34="X",$AC34/$C34*3,0)</f>
        <v>0</v>
      </c>
      <c r="AQ34" s="119">
        <f t="shared" ref="AQ34:AQ39" si="73">IF(P34="X",$AC34/$C34*3,0)</f>
        <v>0</v>
      </c>
      <c r="AR34" s="120">
        <f t="shared" ref="AR34:AR39" si="74">SUM(AN34:AQ34)</f>
        <v>0</v>
      </c>
      <c r="AS34" s="119">
        <f t="shared" si="19"/>
        <v>0</v>
      </c>
      <c r="AT34" s="119">
        <f t="shared" ref="AT34:AT39" si="75">IF(R34="X",$AC34/$C34*3,0)</f>
        <v>0</v>
      </c>
      <c r="AU34" s="119">
        <f t="shared" ref="AU34:AU39" si="76">IF(S34="X",$AC34/$C34*3,0)</f>
        <v>0</v>
      </c>
      <c r="AV34" s="119">
        <f t="shared" ref="AV34:AV39" si="77">IF(T34="X",$AC34/$C34*3,0)</f>
        <v>0</v>
      </c>
      <c r="AW34" s="120">
        <f t="shared" ref="AW34:AW39" si="78">SUM(AS34:AV34)</f>
        <v>0</v>
      </c>
      <c r="AX34" s="119">
        <f t="shared" si="24"/>
        <v>0</v>
      </c>
      <c r="AY34" s="119">
        <f t="shared" ref="AY34:AY39" si="79">IF(V34="X",$AC34/$C34*3,0)</f>
        <v>0</v>
      </c>
      <c r="AZ34" s="119">
        <f t="shared" ref="AZ34:AZ39" si="80">IF(W34="X",$AC34/$C34*3,0)</f>
        <v>0</v>
      </c>
      <c r="BA34" s="119">
        <f t="shared" ref="BA34:BA39" si="81">IF(X34="X",$AC34/$C34*3,0)</f>
        <v>0</v>
      </c>
      <c r="BB34" s="120">
        <f t="shared" ref="BB34:BB39" si="82">SUM(AX34:BA34)</f>
        <v>0</v>
      </c>
      <c r="BC34" s="119">
        <f t="shared" ref="BC34:BC39" si="83">IF(Y34="X",$AC34/$C34*3,0)</f>
        <v>0</v>
      </c>
      <c r="BD34" s="119">
        <f t="shared" ref="BD34:BD39" si="84">IF(Z34="X",$AC34/$C34*3,0)</f>
        <v>0</v>
      </c>
      <c r="BE34" s="119">
        <f t="shared" ref="BE34:BE39" si="85">IF(AA34="X",$AC34/$C34*3,0)</f>
        <v>0</v>
      </c>
      <c r="BF34" s="119">
        <f t="shared" ref="BF34:BF39" si="86">IF(AB34="X",$AC34/$C34*3,0)</f>
        <v>0</v>
      </c>
      <c r="BG34" s="120">
        <f t="shared" ref="BG34:BG39" si="87">SUM(BC34:BF34)</f>
        <v>0</v>
      </c>
    </row>
    <row r="35" spans="1:61" s="12" customFormat="1">
      <c r="A35" s="718" t="str">
        <f>IF('3_Comp e Produtos'!B45="Sim",'3_Comp e Produtos'!A45,"NÃO SELECIONADO")</f>
        <v xml:space="preserve">3.2. Reestruturação dos fluxos de trabalho dos processos administrativos </v>
      </c>
      <c r="B35" s="719">
        <v>41091</v>
      </c>
      <c r="C35" s="720">
        <v>48</v>
      </c>
      <c r="D35" s="721">
        <f t="shared" si="8"/>
        <v>42531</v>
      </c>
      <c r="E35" s="717"/>
      <c r="F35" s="717"/>
      <c r="G35" s="717" t="str">
        <f t="shared" ref="G35:Z39" si="88">IF(AND($C35&lt;&gt;0,$A35&lt;&gt;"NÃO SELECIONADO"),IF(G$5&gt;=$B35,IF(G$5&lt;=$D35,"X"," ")," "),"")</f>
        <v xml:space="preserve"> </v>
      </c>
      <c r="H35" s="717" t="str">
        <f t="shared" si="88"/>
        <v xml:space="preserve"> </v>
      </c>
      <c r="I35" s="717"/>
      <c r="J35" s="717"/>
      <c r="K35" s="717" t="str">
        <f t="shared" si="88"/>
        <v>X</v>
      </c>
      <c r="L35" s="717" t="str">
        <f t="shared" si="88"/>
        <v>X</v>
      </c>
      <c r="M35" s="717" t="str">
        <f t="shared" si="88"/>
        <v>X</v>
      </c>
      <c r="N35" s="717" t="str">
        <f t="shared" si="88"/>
        <v>X</v>
      </c>
      <c r="O35" s="717" t="str">
        <f t="shared" si="88"/>
        <v>X</v>
      </c>
      <c r="P35" s="717" t="str">
        <f t="shared" si="88"/>
        <v>X</v>
      </c>
      <c r="Q35" s="717" t="str">
        <f t="shared" si="88"/>
        <v>X</v>
      </c>
      <c r="R35" s="717" t="str">
        <f t="shared" si="88"/>
        <v>X</v>
      </c>
      <c r="S35" s="717" t="str">
        <f t="shared" si="88"/>
        <v>X</v>
      </c>
      <c r="T35" s="717" t="str">
        <f t="shared" si="88"/>
        <v>X</v>
      </c>
      <c r="U35" s="717" t="str">
        <f t="shared" si="88"/>
        <v>X</v>
      </c>
      <c r="V35" s="717" t="str">
        <f t="shared" si="88"/>
        <v>X</v>
      </c>
      <c r="W35" s="717" t="str">
        <f t="shared" si="88"/>
        <v>X</v>
      </c>
      <c r="X35" s="717" t="str">
        <f t="shared" si="88"/>
        <v>X</v>
      </c>
      <c r="Y35" s="717" t="str">
        <f t="shared" si="88"/>
        <v>X</v>
      </c>
      <c r="Z35" s="717" t="str">
        <f t="shared" si="88"/>
        <v>X</v>
      </c>
      <c r="AA35" s="717"/>
      <c r="AB35" s="717"/>
      <c r="AC35" s="714">
        <f>IF(A35&lt;&gt;"NÃO SELECIONADO",'6_Componente 3'!A14,0)</f>
        <v>912000</v>
      </c>
      <c r="AD35" s="715">
        <f t="shared" si="41"/>
        <v>0</v>
      </c>
      <c r="AE35" s="715">
        <f t="shared" si="41"/>
        <v>0</v>
      </c>
      <c r="AF35" s="715">
        <f t="shared" si="41"/>
        <v>0</v>
      </c>
      <c r="AG35" s="715">
        <f t="shared" si="41"/>
        <v>0</v>
      </c>
      <c r="AH35" s="716">
        <f t="shared" si="11"/>
        <v>0</v>
      </c>
      <c r="AI35" s="715">
        <f t="shared" si="42"/>
        <v>0</v>
      </c>
      <c r="AJ35" s="715">
        <f t="shared" si="68"/>
        <v>0</v>
      </c>
      <c r="AK35" s="715">
        <f t="shared" si="69"/>
        <v>57000</v>
      </c>
      <c r="AL35" s="715">
        <f t="shared" si="70"/>
        <v>57000</v>
      </c>
      <c r="AM35" s="716">
        <f>SUM(AI35:AL35)</f>
        <v>114000</v>
      </c>
      <c r="AN35" s="715">
        <f t="shared" si="14"/>
        <v>57000</v>
      </c>
      <c r="AO35" s="715">
        <f t="shared" si="71"/>
        <v>57000</v>
      </c>
      <c r="AP35" s="715">
        <f t="shared" si="72"/>
        <v>57000</v>
      </c>
      <c r="AQ35" s="715">
        <f t="shared" si="73"/>
        <v>57000</v>
      </c>
      <c r="AR35" s="716">
        <f t="shared" si="74"/>
        <v>228000</v>
      </c>
      <c r="AS35" s="715">
        <f t="shared" si="19"/>
        <v>57000</v>
      </c>
      <c r="AT35" s="715">
        <f t="shared" si="75"/>
        <v>57000</v>
      </c>
      <c r="AU35" s="715">
        <f t="shared" si="76"/>
        <v>57000</v>
      </c>
      <c r="AV35" s="715">
        <f t="shared" si="77"/>
        <v>57000</v>
      </c>
      <c r="AW35" s="716">
        <f t="shared" si="78"/>
        <v>228000</v>
      </c>
      <c r="AX35" s="715">
        <f t="shared" si="24"/>
        <v>57000</v>
      </c>
      <c r="AY35" s="715">
        <f t="shared" si="79"/>
        <v>57000</v>
      </c>
      <c r="AZ35" s="715">
        <f t="shared" si="80"/>
        <v>57000</v>
      </c>
      <c r="BA35" s="715">
        <f t="shared" si="81"/>
        <v>57000</v>
      </c>
      <c r="BB35" s="716">
        <f t="shared" si="82"/>
        <v>228000</v>
      </c>
      <c r="BC35" s="715">
        <f t="shared" si="83"/>
        <v>57000</v>
      </c>
      <c r="BD35" s="715">
        <f t="shared" si="84"/>
        <v>57000</v>
      </c>
      <c r="BE35" s="715">
        <f t="shared" si="85"/>
        <v>0</v>
      </c>
      <c r="BF35" s="715">
        <f t="shared" si="86"/>
        <v>0</v>
      </c>
      <c r="BG35" s="716">
        <f t="shared" si="87"/>
        <v>114000</v>
      </c>
    </row>
    <row r="36" spans="1:61" s="12" customFormat="1">
      <c r="A36" s="143" t="str">
        <f>IF('3_Comp e Produtos'!B46="Sim",'3_Comp e Produtos'!A46,"NÃO SELECIONADO")</f>
        <v>3.3. Implementação dos centros de custos</v>
      </c>
      <c r="B36" s="114">
        <v>41000</v>
      </c>
      <c r="C36" s="365">
        <v>24</v>
      </c>
      <c r="D36" s="270">
        <f t="shared" si="8"/>
        <v>41720</v>
      </c>
      <c r="E36" s="115"/>
      <c r="F36" s="115"/>
      <c r="G36" s="115" t="str">
        <f t="shared" si="88"/>
        <v xml:space="preserve"> </v>
      </c>
      <c r="H36" s="115" t="str">
        <f t="shared" si="88"/>
        <v xml:space="preserve"> </v>
      </c>
      <c r="I36" s="115" t="str">
        <f t="shared" si="88"/>
        <v xml:space="preserve"> </v>
      </c>
      <c r="J36" s="115" t="str">
        <f t="shared" si="88"/>
        <v>X</v>
      </c>
      <c r="K36" s="115" t="str">
        <f t="shared" si="88"/>
        <v>X</v>
      </c>
      <c r="L36" s="115" t="str">
        <f t="shared" si="88"/>
        <v>X</v>
      </c>
      <c r="M36" s="115" t="str">
        <f t="shared" si="88"/>
        <v>X</v>
      </c>
      <c r="N36" s="115" t="str">
        <f t="shared" si="88"/>
        <v>X</v>
      </c>
      <c r="O36" s="115" t="str">
        <f t="shared" si="88"/>
        <v>X</v>
      </c>
      <c r="P36" s="115" t="str">
        <f t="shared" si="88"/>
        <v>X</v>
      </c>
      <c r="Q36" s="115" t="str">
        <f t="shared" si="88"/>
        <v>X</v>
      </c>
      <c r="R36" s="115" t="str">
        <f t="shared" si="88"/>
        <v xml:space="preserve"> </v>
      </c>
      <c r="S36" s="115" t="str">
        <f t="shared" si="88"/>
        <v xml:space="preserve"> </v>
      </c>
      <c r="T36" s="115" t="str">
        <f t="shared" si="88"/>
        <v xml:space="preserve"> </v>
      </c>
      <c r="U36" s="115" t="str">
        <f t="shared" si="88"/>
        <v xml:space="preserve"> </v>
      </c>
      <c r="V36" s="115" t="str">
        <f t="shared" si="88"/>
        <v xml:space="preserve"> </v>
      </c>
      <c r="W36" s="115" t="str">
        <f t="shared" si="88"/>
        <v xml:space="preserve"> </v>
      </c>
      <c r="X36" s="115" t="str">
        <f t="shared" si="88"/>
        <v xml:space="preserve"> </v>
      </c>
      <c r="Y36" s="115" t="str">
        <f t="shared" si="88"/>
        <v xml:space="preserve"> </v>
      </c>
      <c r="Z36" s="115" t="str">
        <f t="shared" si="88"/>
        <v xml:space="preserve"> </v>
      </c>
      <c r="AA36" s="115"/>
      <c r="AB36" s="115"/>
      <c r="AC36" s="467">
        <f>IF(A36&lt;&gt;"NÃO SELECIONADO",'6_Componente 3'!A19,0)</f>
        <v>456500</v>
      </c>
      <c r="AD36" s="119">
        <f t="shared" si="41"/>
        <v>0</v>
      </c>
      <c r="AE36" s="119">
        <f t="shared" si="41"/>
        <v>0</v>
      </c>
      <c r="AF36" s="119">
        <f t="shared" si="41"/>
        <v>0</v>
      </c>
      <c r="AG36" s="119">
        <f t="shared" si="41"/>
        <v>0</v>
      </c>
      <c r="AH36" s="120">
        <f t="shared" si="11"/>
        <v>0</v>
      </c>
      <c r="AI36" s="119">
        <f t="shared" si="42"/>
        <v>0</v>
      </c>
      <c r="AJ36" s="119">
        <f t="shared" si="68"/>
        <v>57062.5</v>
      </c>
      <c r="AK36" s="119">
        <f t="shared" si="69"/>
        <v>57062.5</v>
      </c>
      <c r="AL36" s="119">
        <f t="shared" si="70"/>
        <v>57062.5</v>
      </c>
      <c r="AM36" s="120">
        <f t="shared" si="13"/>
        <v>171187.5</v>
      </c>
      <c r="AN36" s="119">
        <f t="shared" si="14"/>
        <v>57062.5</v>
      </c>
      <c r="AO36" s="119">
        <f t="shared" si="71"/>
        <v>57062.5</v>
      </c>
      <c r="AP36" s="119">
        <f t="shared" si="72"/>
        <v>57062.5</v>
      </c>
      <c r="AQ36" s="119">
        <f t="shared" si="73"/>
        <v>57062.5</v>
      </c>
      <c r="AR36" s="120">
        <f t="shared" si="74"/>
        <v>228250</v>
      </c>
      <c r="AS36" s="119">
        <f t="shared" si="19"/>
        <v>57062.5</v>
      </c>
      <c r="AT36" s="119">
        <f t="shared" si="75"/>
        <v>0</v>
      </c>
      <c r="AU36" s="119">
        <f t="shared" si="76"/>
        <v>0</v>
      </c>
      <c r="AV36" s="119">
        <f t="shared" si="77"/>
        <v>0</v>
      </c>
      <c r="AW36" s="120">
        <f t="shared" si="78"/>
        <v>57062.5</v>
      </c>
      <c r="AX36" s="119">
        <f t="shared" si="24"/>
        <v>0</v>
      </c>
      <c r="AY36" s="119">
        <f t="shared" si="79"/>
        <v>0</v>
      </c>
      <c r="AZ36" s="119">
        <f t="shared" si="80"/>
        <v>0</v>
      </c>
      <c r="BA36" s="119">
        <f t="shared" si="81"/>
        <v>0</v>
      </c>
      <c r="BB36" s="120">
        <f t="shared" si="82"/>
        <v>0</v>
      </c>
      <c r="BC36" s="119">
        <f t="shared" si="83"/>
        <v>0</v>
      </c>
      <c r="BD36" s="119">
        <f t="shared" si="84"/>
        <v>0</v>
      </c>
      <c r="BE36" s="119">
        <f t="shared" si="85"/>
        <v>0</v>
      </c>
      <c r="BF36" s="119">
        <f t="shared" si="86"/>
        <v>0</v>
      </c>
      <c r="BG36" s="120">
        <f t="shared" si="87"/>
        <v>0</v>
      </c>
    </row>
    <row r="37" spans="1:61" s="12" customFormat="1" ht="28.15" customHeight="1">
      <c r="A37" s="718" t="str">
        <f>IF('3_Comp e Produtos'!B47="Sim",'3_Comp e Produtos'!A47,"NÃO SELECIONADO")</f>
        <v>3.4. Revisão do modelo de gestão logística territorial e avaliação da implementação</v>
      </c>
      <c r="B37" s="719">
        <v>41091</v>
      </c>
      <c r="C37" s="720">
        <v>48</v>
      </c>
      <c r="D37" s="721">
        <f t="shared" si="8"/>
        <v>42531</v>
      </c>
      <c r="E37" s="717"/>
      <c r="F37" s="717"/>
      <c r="G37" s="717" t="str">
        <f t="shared" si="88"/>
        <v xml:space="preserve"> </v>
      </c>
      <c r="H37" s="717" t="str">
        <f t="shared" si="88"/>
        <v xml:space="preserve"> </v>
      </c>
      <c r="I37" s="717" t="str">
        <f t="shared" si="88"/>
        <v xml:space="preserve"> </v>
      </c>
      <c r="J37" s="717" t="str">
        <f t="shared" si="88"/>
        <v xml:space="preserve"> </v>
      </c>
      <c r="K37" s="717" t="str">
        <f t="shared" si="88"/>
        <v>X</v>
      </c>
      <c r="L37" s="717" t="str">
        <f t="shared" si="88"/>
        <v>X</v>
      </c>
      <c r="M37" s="717" t="str">
        <f t="shared" si="88"/>
        <v>X</v>
      </c>
      <c r="N37" s="717" t="str">
        <f t="shared" si="88"/>
        <v>X</v>
      </c>
      <c r="O37" s="717" t="str">
        <f t="shared" si="88"/>
        <v>X</v>
      </c>
      <c r="P37" s="717" t="str">
        <f t="shared" si="88"/>
        <v>X</v>
      </c>
      <c r="Q37" s="717" t="str">
        <f t="shared" si="88"/>
        <v>X</v>
      </c>
      <c r="R37" s="717" t="str">
        <f t="shared" si="88"/>
        <v>X</v>
      </c>
      <c r="S37" s="717" t="str">
        <f t="shared" si="88"/>
        <v>X</v>
      </c>
      <c r="T37" s="717" t="str">
        <f t="shared" si="88"/>
        <v>X</v>
      </c>
      <c r="U37" s="717" t="str">
        <f t="shared" si="88"/>
        <v>X</v>
      </c>
      <c r="V37" s="717" t="str">
        <f t="shared" si="88"/>
        <v>X</v>
      </c>
      <c r="W37" s="717" t="str">
        <f t="shared" si="88"/>
        <v>X</v>
      </c>
      <c r="X37" s="717" t="str">
        <f t="shared" si="88"/>
        <v>X</v>
      </c>
      <c r="Y37" s="717" t="str">
        <f t="shared" si="88"/>
        <v>X</v>
      </c>
      <c r="Z37" s="717" t="str">
        <f t="shared" si="88"/>
        <v>X</v>
      </c>
      <c r="AA37" s="717"/>
      <c r="AB37" s="717"/>
      <c r="AC37" s="714">
        <f>IF(A37&lt;&gt;"NÃO SELECIONADO",'6_Componente 3'!A24,0)</f>
        <v>456500</v>
      </c>
      <c r="AD37" s="715">
        <f t="shared" si="41"/>
        <v>0</v>
      </c>
      <c r="AE37" s="715">
        <f t="shared" si="41"/>
        <v>0</v>
      </c>
      <c r="AF37" s="715">
        <f t="shared" si="41"/>
        <v>0</v>
      </c>
      <c r="AG37" s="715">
        <f t="shared" si="41"/>
        <v>0</v>
      </c>
      <c r="AH37" s="716">
        <f t="shared" si="11"/>
        <v>0</v>
      </c>
      <c r="AI37" s="715">
        <f t="shared" si="42"/>
        <v>0</v>
      </c>
      <c r="AJ37" s="715">
        <f t="shared" si="68"/>
        <v>0</v>
      </c>
      <c r="AK37" s="715">
        <f t="shared" si="69"/>
        <v>28531.25</v>
      </c>
      <c r="AL37" s="715">
        <f t="shared" si="70"/>
        <v>28531.25</v>
      </c>
      <c r="AM37" s="716">
        <f t="shared" si="13"/>
        <v>57062.5</v>
      </c>
      <c r="AN37" s="715">
        <f t="shared" si="14"/>
        <v>28531.25</v>
      </c>
      <c r="AO37" s="715">
        <f t="shared" si="71"/>
        <v>28531.25</v>
      </c>
      <c r="AP37" s="715">
        <f t="shared" si="72"/>
        <v>28531.25</v>
      </c>
      <c r="AQ37" s="715">
        <f t="shared" si="73"/>
        <v>28531.25</v>
      </c>
      <c r="AR37" s="716">
        <f t="shared" si="74"/>
        <v>114125</v>
      </c>
      <c r="AS37" s="715">
        <f t="shared" si="19"/>
        <v>28531.25</v>
      </c>
      <c r="AT37" s="715">
        <f t="shared" si="75"/>
        <v>28531.25</v>
      </c>
      <c r="AU37" s="715">
        <f t="shared" si="76"/>
        <v>28531.25</v>
      </c>
      <c r="AV37" s="715">
        <f t="shared" si="77"/>
        <v>28531.25</v>
      </c>
      <c r="AW37" s="716">
        <f t="shared" si="78"/>
        <v>114125</v>
      </c>
      <c r="AX37" s="715">
        <f t="shared" si="24"/>
        <v>28531.25</v>
      </c>
      <c r="AY37" s="715">
        <f t="shared" si="79"/>
        <v>28531.25</v>
      </c>
      <c r="AZ37" s="715">
        <f t="shared" si="80"/>
        <v>28531.25</v>
      </c>
      <c r="BA37" s="715">
        <f t="shared" si="81"/>
        <v>28531.25</v>
      </c>
      <c r="BB37" s="716">
        <f t="shared" si="82"/>
        <v>114125</v>
      </c>
      <c r="BC37" s="715">
        <f t="shared" si="83"/>
        <v>28531.25</v>
      </c>
      <c r="BD37" s="715">
        <f t="shared" si="84"/>
        <v>28531.25</v>
      </c>
      <c r="BE37" s="715">
        <f t="shared" si="85"/>
        <v>0</v>
      </c>
      <c r="BF37" s="715">
        <f t="shared" si="86"/>
        <v>0</v>
      </c>
      <c r="BG37" s="716">
        <f t="shared" si="87"/>
        <v>57062.5</v>
      </c>
    </row>
    <row r="38" spans="1:61" s="12" customFormat="1" ht="25.5">
      <c r="A38" s="718" t="str">
        <f>IF('3_Comp e Produtos'!B48="Sim",'3_Comp e Produtos'!A48,"NÃO SELECIONADO")</f>
        <v xml:space="preserve">3.5. Implantação de Sistema Integrado de Gestão Administrativa, sincronizado ao SIAFI </v>
      </c>
      <c r="B38" s="719">
        <v>41000</v>
      </c>
      <c r="C38" s="720">
        <v>51</v>
      </c>
      <c r="D38" s="721">
        <f t="shared" si="8"/>
        <v>42530</v>
      </c>
      <c r="E38" s="717"/>
      <c r="F38" s="717"/>
      <c r="G38" s="717" t="str">
        <f t="shared" si="88"/>
        <v xml:space="preserve"> </v>
      </c>
      <c r="H38" s="717" t="str">
        <f t="shared" si="88"/>
        <v xml:space="preserve"> </v>
      </c>
      <c r="I38" s="717" t="str">
        <f t="shared" si="88"/>
        <v xml:space="preserve"> </v>
      </c>
      <c r="J38" s="717" t="str">
        <f t="shared" si="88"/>
        <v>X</v>
      </c>
      <c r="K38" s="717" t="str">
        <f t="shared" si="88"/>
        <v>X</v>
      </c>
      <c r="L38" s="717" t="str">
        <f t="shared" si="88"/>
        <v>X</v>
      </c>
      <c r="M38" s="717" t="str">
        <f t="shared" si="88"/>
        <v>X</v>
      </c>
      <c r="N38" s="717" t="str">
        <f t="shared" si="88"/>
        <v>X</v>
      </c>
      <c r="O38" s="717" t="str">
        <f t="shared" si="88"/>
        <v>X</v>
      </c>
      <c r="P38" s="717" t="str">
        <f t="shared" si="88"/>
        <v>X</v>
      </c>
      <c r="Q38" s="717" t="str">
        <f t="shared" si="88"/>
        <v>X</v>
      </c>
      <c r="R38" s="717" t="str">
        <f t="shared" si="88"/>
        <v>X</v>
      </c>
      <c r="S38" s="717" t="str">
        <f t="shared" si="88"/>
        <v>X</v>
      </c>
      <c r="T38" s="717" t="str">
        <f t="shared" si="88"/>
        <v>X</v>
      </c>
      <c r="U38" s="717" t="str">
        <f t="shared" si="88"/>
        <v>X</v>
      </c>
      <c r="V38" s="717" t="str">
        <f t="shared" si="88"/>
        <v>X</v>
      </c>
      <c r="W38" s="717" t="str">
        <f t="shared" si="88"/>
        <v>X</v>
      </c>
      <c r="X38" s="717" t="str">
        <f t="shared" si="88"/>
        <v>X</v>
      </c>
      <c r="Y38" s="717" t="str">
        <f t="shared" si="88"/>
        <v>X</v>
      </c>
      <c r="Z38" s="717" t="str">
        <f t="shared" si="88"/>
        <v>X</v>
      </c>
      <c r="AA38" s="717"/>
      <c r="AB38" s="717"/>
      <c r="AC38" s="714">
        <f>IF(A38&lt;&gt;"NÃO SELECIONADO",'6_Componente 3'!A31,0)</f>
        <v>1362000</v>
      </c>
      <c r="AD38" s="715">
        <f t="shared" si="41"/>
        <v>0</v>
      </c>
      <c r="AE38" s="715">
        <f t="shared" si="41"/>
        <v>0</v>
      </c>
      <c r="AF38" s="715">
        <f t="shared" si="41"/>
        <v>0</v>
      </c>
      <c r="AG38" s="715">
        <f t="shared" si="41"/>
        <v>0</v>
      </c>
      <c r="AH38" s="716">
        <f t="shared" si="11"/>
        <v>0</v>
      </c>
      <c r="AI38" s="715">
        <f t="shared" si="42"/>
        <v>0</v>
      </c>
      <c r="AJ38" s="715">
        <f t="shared" si="68"/>
        <v>80117.649999999994</v>
      </c>
      <c r="AK38" s="715">
        <f t="shared" si="69"/>
        <v>80117.649999999994</v>
      </c>
      <c r="AL38" s="715">
        <f t="shared" si="70"/>
        <v>80117.649999999994</v>
      </c>
      <c r="AM38" s="716">
        <f t="shared" si="13"/>
        <v>240352.95</v>
      </c>
      <c r="AN38" s="715">
        <f t="shared" si="14"/>
        <v>80117.649999999994</v>
      </c>
      <c r="AO38" s="715">
        <f t="shared" si="71"/>
        <v>80117.649999999994</v>
      </c>
      <c r="AP38" s="715">
        <f t="shared" si="72"/>
        <v>80117.649999999994</v>
      </c>
      <c r="AQ38" s="715">
        <f t="shared" si="73"/>
        <v>80117.649999999994</v>
      </c>
      <c r="AR38" s="716">
        <f t="shared" si="74"/>
        <v>320470.59999999998</v>
      </c>
      <c r="AS38" s="715">
        <f t="shared" si="19"/>
        <v>80117.649999999994</v>
      </c>
      <c r="AT38" s="715">
        <f t="shared" si="75"/>
        <v>80117.649999999994</v>
      </c>
      <c r="AU38" s="715">
        <f t="shared" si="76"/>
        <v>80117.649999999994</v>
      </c>
      <c r="AV38" s="715">
        <f t="shared" si="77"/>
        <v>80117.649999999994</v>
      </c>
      <c r="AW38" s="716">
        <f t="shared" si="78"/>
        <v>320470.59999999998</v>
      </c>
      <c r="AX38" s="715">
        <f t="shared" si="24"/>
        <v>80117.649999999994</v>
      </c>
      <c r="AY38" s="715">
        <f t="shared" si="79"/>
        <v>80117.649999999994</v>
      </c>
      <c r="AZ38" s="715">
        <f t="shared" si="80"/>
        <v>80117.649999999994</v>
      </c>
      <c r="BA38" s="715">
        <f t="shared" si="81"/>
        <v>80117.649999999994</v>
      </c>
      <c r="BB38" s="716">
        <f t="shared" si="82"/>
        <v>320470.59999999998</v>
      </c>
      <c r="BC38" s="715">
        <f t="shared" si="83"/>
        <v>80117.649999999994</v>
      </c>
      <c r="BD38" s="715">
        <f t="shared" si="84"/>
        <v>80117.649999999994</v>
      </c>
      <c r="BE38" s="715">
        <f t="shared" si="85"/>
        <v>0</v>
      </c>
      <c r="BF38" s="715">
        <f t="shared" si="86"/>
        <v>0</v>
      </c>
      <c r="BG38" s="716">
        <f t="shared" si="87"/>
        <v>160235.29999999999</v>
      </c>
    </row>
    <row r="39" spans="1:61" s="12" customFormat="1" ht="29.45" customHeight="1">
      <c r="A39" s="143" t="str">
        <f>IF('3_Comp e Produtos'!B49="Sim",'3_Comp e Produtos'!A49,"NÃO SELECIONADO")</f>
        <v>3.6. Definição conceitual, desenho e implementação do modelo de gestão por competências da AGU</v>
      </c>
      <c r="B39" s="114">
        <v>41640</v>
      </c>
      <c r="C39" s="365">
        <v>24</v>
      </c>
      <c r="D39" s="270">
        <f t="shared" si="8"/>
        <v>42360</v>
      </c>
      <c r="E39" s="115"/>
      <c r="F39" s="115"/>
      <c r="G39" s="115" t="str">
        <f t="shared" si="88"/>
        <v xml:space="preserve"> </v>
      </c>
      <c r="H39" s="115" t="str">
        <f t="shared" si="88"/>
        <v xml:space="preserve"> </v>
      </c>
      <c r="I39" s="115" t="str">
        <f t="shared" si="88"/>
        <v xml:space="preserve"> </v>
      </c>
      <c r="J39" s="115" t="str">
        <f t="shared" si="88"/>
        <v xml:space="preserve"> </v>
      </c>
      <c r="K39" s="115" t="str">
        <f t="shared" si="88"/>
        <v xml:space="preserve"> </v>
      </c>
      <c r="L39" s="115" t="str">
        <f t="shared" si="88"/>
        <v xml:space="preserve"> </v>
      </c>
      <c r="M39" s="115" t="str">
        <f t="shared" si="88"/>
        <v xml:space="preserve"> </v>
      </c>
      <c r="N39" s="115" t="str">
        <f t="shared" si="88"/>
        <v xml:space="preserve"> </v>
      </c>
      <c r="O39" s="115" t="str">
        <f t="shared" si="88"/>
        <v xml:space="preserve"> </v>
      </c>
      <c r="P39" s="115" t="str">
        <f t="shared" si="88"/>
        <v xml:space="preserve"> </v>
      </c>
      <c r="Q39" s="115" t="str">
        <f t="shared" si="88"/>
        <v>X</v>
      </c>
      <c r="R39" s="115" t="str">
        <f t="shared" si="88"/>
        <v>X</v>
      </c>
      <c r="S39" s="115" t="str">
        <f t="shared" si="88"/>
        <v>X</v>
      </c>
      <c r="T39" s="115" t="str">
        <f t="shared" si="88"/>
        <v>X</v>
      </c>
      <c r="U39" s="115" t="str">
        <f t="shared" si="88"/>
        <v>X</v>
      </c>
      <c r="V39" s="115" t="str">
        <f t="shared" si="88"/>
        <v>X</v>
      </c>
      <c r="W39" s="115" t="str">
        <f t="shared" si="88"/>
        <v>X</v>
      </c>
      <c r="X39" s="115" t="str">
        <f t="shared" si="88"/>
        <v>X</v>
      </c>
      <c r="Y39" s="115" t="str">
        <f t="shared" si="88"/>
        <v xml:space="preserve"> </v>
      </c>
      <c r="Z39" s="115" t="str">
        <f t="shared" si="88"/>
        <v xml:space="preserve"> </v>
      </c>
      <c r="AA39" s="115"/>
      <c r="AB39" s="115"/>
      <c r="AC39" s="467">
        <f>IF(A39&lt;&gt;"NÃO SELECIONADO",'6_Componente 3'!A36,0)</f>
        <v>1920000</v>
      </c>
      <c r="AD39" s="119">
        <f t="shared" si="41"/>
        <v>0</v>
      </c>
      <c r="AE39" s="119">
        <f t="shared" si="41"/>
        <v>0</v>
      </c>
      <c r="AF39" s="119">
        <f t="shared" si="41"/>
        <v>0</v>
      </c>
      <c r="AG39" s="119">
        <f t="shared" si="41"/>
        <v>0</v>
      </c>
      <c r="AH39" s="120">
        <f t="shared" si="11"/>
        <v>0</v>
      </c>
      <c r="AI39" s="119">
        <f t="shared" si="42"/>
        <v>0</v>
      </c>
      <c r="AJ39" s="119">
        <f t="shared" si="68"/>
        <v>0</v>
      </c>
      <c r="AK39" s="119">
        <f t="shared" si="69"/>
        <v>0</v>
      </c>
      <c r="AL39" s="119">
        <f t="shared" si="70"/>
        <v>0</v>
      </c>
      <c r="AM39" s="120">
        <f t="shared" si="13"/>
        <v>0</v>
      </c>
      <c r="AN39" s="119">
        <f t="shared" si="14"/>
        <v>0</v>
      </c>
      <c r="AO39" s="119">
        <f t="shared" si="71"/>
        <v>0</v>
      </c>
      <c r="AP39" s="119">
        <f t="shared" si="72"/>
        <v>0</v>
      </c>
      <c r="AQ39" s="119">
        <f t="shared" si="73"/>
        <v>0</v>
      </c>
      <c r="AR39" s="120">
        <f t="shared" si="74"/>
        <v>0</v>
      </c>
      <c r="AS39" s="119">
        <f t="shared" si="19"/>
        <v>240000</v>
      </c>
      <c r="AT39" s="119">
        <f t="shared" si="75"/>
        <v>240000</v>
      </c>
      <c r="AU39" s="119">
        <f t="shared" si="76"/>
        <v>240000</v>
      </c>
      <c r="AV39" s="119">
        <f t="shared" si="77"/>
        <v>240000</v>
      </c>
      <c r="AW39" s="120">
        <f t="shared" si="78"/>
        <v>960000</v>
      </c>
      <c r="AX39" s="119">
        <f t="shared" si="24"/>
        <v>240000</v>
      </c>
      <c r="AY39" s="119">
        <f t="shared" si="79"/>
        <v>240000</v>
      </c>
      <c r="AZ39" s="119">
        <f t="shared" si="80"/>
        <v>240000</v>
      </c>
      <c r="BA39" s="119">
        <f t="shared" si="81"/>
        <v>240000</v>
      </c>
      <c r="BB39" s="120">
        <f t="shared" si="82"/>
        <v>960000</v>
      </c>
      <c r="BC39" s="119">
        <f t="shared" si="83"/>
        <v>0</v>
      </c>
      <c r="BD39" s="119">
        <f t="shared" si="84"/>
        <v>0</v>
      </c>
      <c r="BE39" s="119">
        <f t="shared" si="85"/>
        <v>0</v>
      </c>
      <c r="BF39" s="119">
        <f t="shared" si="86"/>
        <v>0</v>
      </c>
      <c r="BG39" s="120">
        <f t="shared" si="87"/>
        <v>0</v>
      </c>
    </row>
    <row r="40" spans="1:61" s="12" customFormat="1" ht="16.899999999999999" customHeight="1">
      <c r="A40" s="451" t="str">
        <f>'3_Comp e Produtos'!A52</f>
        <v>ADMINISTRAÇÃO</v>
      </c>
      <c r="B40" s="445">
        <f>MIN(B41:B42)</f>
        <v>40909</v>
      </c>
      <c r="C40" s="446">
        <f>IF(INT((D40-B40)/30)+1&gt;21,INT((D40-B40)/30),INT((D40-B40)/30)+1)</f>
        <v>54</v>
      </c>
      <c r="D40" s="445">
        <f>MAX(D41:D42)</f>
        <v>42540</v>
      </c>
      <c r="E40" s="447" t="str">
        <f t="shared" ref="E40:AB40" si="89">IF(COUNTIF(E41:E42,"X")&lt;&gt;0,"X","")</f>
        <v/>
      </c>
      <c r="F40" s="447" t="str">
        <f t="shared" si="89"/>
        <v/>
      </c>
      <c r="G40" s="447" t="str">
        <f t="shared" si="89"/>
        <v/>
      </c>
      <c r="H40" s="447" t="str">
        <f t="shared" si="89"/>
        <v/>
      </c>
      <c r="I40" s="447" t="str">
        <f t="shared" si="89"/>
        <v>X</v>
      </c>
      <c r="J40" s="447" t="str">
        <f t="shared" si="89"/>
        <v>X</v>
      </c>
      <c r="K40" s="447" t="str">
        <f t="shared" si="89"/>
        <v>X</v>
      </c>
      <c r="L40" s="447" t="str">
        <f t="shared" si="89"/>
        <v>X</v>
      </c>
      <c r="M40" s="447" t="str">
        <f t="shared" si="89"/>
        <v>X</v>
      </c>
      <c r="N40" s="447" t="str">
        <f t="shared" si="89"/>
        <v>X</v>
      </c>
      <c r="O40" s="447" t="str">
        <f t="shared" si="89"/>
        <v>X</v>
      </c>
      <c r="P40" s="447" t="str">
        <f t="shared" si="89"/>
        <v>X</v>
      </c>
      <c r="Q40" s="447" t="str">
        <f t="shared" si="89"/>
        <v>X</v>
      </c>
      <c r="R40" s="447" t="str">
        <f t="shared" si="89"/>
        <v>X</v>
      </c>
      <c r="S40" s="447" t="str">
        <f t="shared" si="89"/>
        <v>X</v>
      </c>
      <c r="T40" s="447" t="str">
        <f t="shared" si="89"/>
        <v>X</v>
      </c>
      <c r="U40" s="447" t="str">
        <f t="shared" si="89"/>
        <v>X</v>
      </c>
      <c r="V40" s="447" t="str">
        <f t="shared" si="89"/>
        <v>X</v>
      </c>
      <c r="W40" s="447" t="str">
        <f t="shared" si="89"/>
        <v>X</v>
      </c>
      <c r="X40" s="447" t="str">
        <f t="shared" si="89"/>
        <v>X</v>
      </c>
      <c r="Y40" s="447" t="str">
        <f t="shared" si="89"/>
        <v>X</v>
      </c>
      <c r="Z40" s="447" t="str">
        <f t="shared" si="89"/>
        <v>X</v>
      </c>
      <c r="AA40" s="447" t="str">
        <f t="shared" si="89"/>
        <v/>
      </c>
      <c r="AB40" s="447" t="str">
        <f t="shared" si="89"/>
        <v/>
      </c>
      <c r="AC40" s="468">
        <f>SUM(AC41:AC42)</f>
        <v>1849620</v>
      </c>
      <c r="AD40" s="468">
        <f t="shared" ref="AD40:BG40" si="90">SUM(AD41:AD42)</f>
        <v>0</v>
      </c>
      <c r="AE40" s="468">
        <f t="shared" si="90"/>
        <v>0</v>
      </c>
      <c r="AF40" s="468">
        <f t="shared" si="90"/>
        <v>0</v>
      </c>
      <c r="AG40" s="468">
        <f t="shared" si="90"/>
        <v>0</v>
      </c>
      <c r="AH40" s="468">
        <f t="shared" si="90"/>
        <v>0</v>
      </c>
      <c r="AI40" s="468">
        <f t="shared" si="90"/>
        <v>100330.59</v>
      </c>
      <c r="AJ40" s="468">
        <f t="shared" si="90"/>
        <v>100330.59</v>
      </c>
      <c r="AK40" s="468">
        <f t="shared" si="90"/>
        <v>100330.59</v>
      </c>
      <c r="AL40" s="468">
        <f t="shared" si="90"/>
        <v>100330.59</v>
      </c>
      <c r="AM40" s="468">
        <f t="shared" si="90"/>
        <v>401322.36</v>
      </c>
      <c r="AN40" s="468">
        <f t="shared" si="90"/>
        <v>100330.59</v>
      </c>
      <c r="AO40" s="468">
        <f t="shared" si="90"/>
        <v>100330.59</v>
      </c>
      <c r="AP40" s="468">
        <f t="shared" si="90"/>
        <v>100330.59</v>
      </c>
      <c r="AQ40" s="468">
        <f t="shared" si="90"/>
        <v>100330.59</v>
      </c>
      <c r="AR40" s="468">
        <f t="shared" si="90"/>
        <v>401322.36</v>
      </c>
      <c r="AS40" s="468">
        <f t="shared" si="90"/>
        <v>114730.59</v>
      </c>
      <c r="AT40" s="468">
        <f t="shared" si="90"/>
        <v>114730.59</v>
      </c>
      <c r="AU40" s="468">
        <f t="shared" si="90"/>
        <v>114730.59</v>
      </c>
      <c r="AV40" s="468">
        <f t="shared" si="90"/>
        <v>114730.59</v>
      </c>
      <c r="AW40" s="468">
        <f t="shared" si="90"/>
        <v>458922.36</v>
      </c>
      <c r="AX40" s="468">
        <f t="shared" si="90"/>
        <v>114730.59</v>
      </c>
      <c r="AY40" s="468">
        <f t="shared" si="90"/>
        <v>114730.59</v>
      </c>
      <c r="AZ40" s="468">
        <f t="shared" si="90"/>
        <v>114730.59</v>
      </c>
      <c r="BA40" s="468">
        <f t="shared" si="90"/>
        <v>114730.59</v>
      </c>
      <c r="BB40" s="468">
        <f t="shared" si="90"/>
        <v>458922.36</v>
      </c>
      <c r="BC40" s="468">
        <f t="shared" si="90"/>
        <v>114730.59</v>
      </c>
      <c r="BD40" s="468">
        <f t="shared" si="90"/>
        <v>14400</v>
      </c>
      <c r="BE40" s="468">
        <f t="shared" si="90"/>
        <v>0</v>
      </c>
      <c r="BF40" s="468">
        <f t="shared" si="90"/>
        <v>0</v>
      </c>
      <c r="BG40" s="468">
        <f t="shared" si="90"/>
        <v>129130.59</v>
      </c>
    </row>
    <row r="41" spans="1:61" s="12" customFormat="1" ht="13.5" thickBot="1">
      <c r="A41" s="143" t="str">
        <f>IF('3_Comp e Produtos'!B53="Sim",'3_Comp e Produtos'!A53,"NÃO SELECIONADO")</f>
        <v>A1 - Gestão do Projeto</v>
      </c>
      <c r="B41" s="114">
        <v>40909</v>
      </c>
      <c r="C41" s="365">
        <v>51</v>
      </c>
      <c r="D41" s="270">
        <f t="shared" si="8"/>
        <v>42439</v>
      </c>
      <c r="E41" s="115" t="str">
        <f>IF(AND($C41&lt;&gt;0,$A41&lt;&gt;"NÃO SELECIONADO"),IF(E$5&gt;=$B41,IF(E$5&lt;=$D41,"X"," ")," "),"")</f>
        <v xml:space="preserve"> </v>
      </c>
      <c r="F41" s="115" t="str">
        <f t="shared" ref="F41:U41" si="91">IF(AND($C41&lt;&gt;0,$A41&lt;&gt;"NÃO SELECIONADO"),IF(F$5&gt;=$B41,IF(F$5&lt;=$D41,"X"," ")," "),"")</f>
        <v xml:space="preserve"> </v>
      </c>
      <c r="G41" s="115" t="str">
        <f t="shared" si="91"/>
        <v xml:space="preserve"> </v>
      </c>
      <c r="H41" s="115" t="str">
        <f t="shared" si="91"/>
        <v xml:space="preserve"> </v>
      </c>
      <c r="I41" s="115" t="str">
        <f t="shared" si="91"/>
        <v>X</v>
      </c>
      <c r="J41" s="115" t="str">
        <f t="shared" si="91"/>
        <v>X</v>
      </c>
      <c r="K41" s="115" t="str">
        <f t="shared" si="91"/>
        <v>X</v>
      </c>
      <c r="L41" s="115" t="str">
        <f t="shared" si="91"/>
        <v>X</v>
      </c>
      <c r="M41" s="115" t="str">
        <f t="shared" si="91"/>
        <v>X</v>
      </c>
      <c r="N41" s="115" t="str">
        <f t="shared" si="91"/>
        <v>X</v>
      </c>
      <c r="O41" s="115" t="str">
        <f t="shared" si="91"/>
        <v>X</v>
      </c>
      <c r="P41" s="115" t="str">
        <f t="shared" si="91"/>
        <v>X</v>
      </c>
      <c r="Q41" s="115" t="str">
        <f t="shared" si="91"/>
        <v>X</v>
      </c>
      <c r="R41" s="115" t="str">
        <f t="shared" si="91"/>
        <v>X</v>
      </c>
      <c r="S41" s="115" t="str">
        <f t="shared" si="91"/>
        <v>X</v>
      </c>
      <c r="T41" s="115" t="str">
        <f t="shared" si="91"/>
        <v>X</v>
      </c>
      <c r="U41" s="115" t="str">
        <f t="shared" si="91"/>
        <v>X</v>
      </c>
      <c r="V41" s="115" t="str">
        <f>IF(AND($C41&lt;&gt;0,$A41&lt;&gt;"NÃO SELECIONADO"),IF(V$5&gt;=$B41,IF(V$5&lt;=$D41,"X"," ")," "),"")</f>
        <v>X</v>
      </c>
      <c r="W41" s="115" t="str">
        <f>IF(AND($C41&lt;&gt;0,$A41&lt;&gt;"NÃO SELECIONADO"),IF(W$5&gt;=$B41,IF(W$5&lt;=$D41,"X"," ")," "),"")</f>
        <v>X</v>
      </c>
      <c r="X41" s="115" t="str">
        <f>IF(AND($C41&lt;&gt;0,$A41&lt;&gt;"NÃO SELECIONADO"),IF(X$5&gt;=$B41,IF(X$5&lt;=$D41,"X"," ")," "),"")</f>
        <v>X</v>
      </c>
      <c r="Y41" s="115" t="str">
        <f t="shared" ref="Y41" si="92">IF(AND($C41&lt;&gt;0,$A41&lt;&gt;"NÃO SELECIONADO"),IF(Y$5&gt;=$B41,IF(Y$5&lt;=$D41,"X"," ")," "),"")</f>
        <v>X</v>
      </c>
      <c r="Z41" s="115" t="str">
        <f>IF(AND($C41&lt;&gt;0,$A41&lt;&gt;"NÃO SELECIONADO"),IF(Z$5&gt;=$B41,IF(Z$5&lt;=$D41,"X"," ")," "),"")</f>
        <v xml:space="preserve"> </v>
      </c>
      <c r="AA41" s="115" t="str">
        <f>IF(AND($C41&lt;&gt;0,$A41&lt;&gt;"NÃO SELECIONADO"),IF(AA$5&gt;=$B41,IF(AA$5&lt;=$D41,"X"," ")," "),"")</f>
        <v xml:space="preserve"> </v>
      </c>
      <c r="AB41" s="115" t="str">
        <f>IF(AND($C41&lt;&gt;0,$A41&lt;&gt;"NÃO SELECIONADO"),IF(AB$5&gt;=$B41,IF(AB$5&lt;=$D41,"X"," ")," "),"")</f>
        <v xml:space="preserve"> </v>
      </c>
      <c r="AC41" s="467">
        <f>IF(A41&lt;&gt;"NÃO SELECIONADO",'7_ADM'!A14,0)</f>
        <v>1705620</v>
      </c>
      <c r="AD41" s="119">
        <f t="shared" si="41"/>
        <v>0</v>
      </c>
      <c r="AE41" s="119">
        <f t="shared" si="41"/>
        <v>0</v>
      </c>
      <c r="AF41" s="119">
        <f t="shared" si="41"/>
        <v>0</v>
      </c>
      <c r="AG41" s="119">
        <f t="shared" si="41"/>
        <v>0</v>
      </c>
      <c r="AH41" s="120">
        <f t="shared" si="11"/>
        <v>0</v>
      </c>
      <c r="AI41" s="472">
        <f>IF(I41="X",$AC41/$C41*3,0)</f>
        <v>100330.59</v>
      </c>
      <c r="AJ41" s="472">
        <f t="shared" ref="AJ41" si="93">IF(J41="X",$AC41/$C41*3,0)</f>
        <v>100330.59</v>
      </c>
      <c r="AK41" s="472">
        <f t="shared" ref="AK41" si="94">IF(K41="X",$AC41/$C41*3,0)</f>
        <v>100330.59</v>
      </c>
      <c r="AL41" s="472">
        <f t="shared" ref="AL41" si="95">IF(L41="X",$AC41/$C41*3,0)</f>
        <v>100330.59</v>
      </c>
      <c r="AM41" s="586">
        <f t="shared" ref="AM41" si="96">SUM(AI41:AL41)</f>
        <v>401322.36</v>
      </c>
      <c r="AN41" s="472">
        <f t="shared" ref="AN41" si="97">IF(M41="X",$AC41/$C41*3,0)</f>
        <v>100330.59</v>
      </c>
      <c r="AO41" s="472">
        <f t="shared" ref="AO41" si="98">IF(N41="X",$AC41/$C41*3,0)</f>
        <v>100330.59</v>
      </c>
      <c r="AP41" s="472">
        <f t="shared" ref="AP41" si="99">IF(O41="X",$AC41/$C41*3,0)</f>
        <v>100330.59</v>
      </c>
      <c r="AQ41" s="472">
        <f t="shared" ref="AQ41" si="100">IF(P41="X",$AC41/$C41*3,0)</f>
        <v>100330.59</v>
      </c>
      <c r="AR41" s="586">
        <f t="shared" ref="AR41" si="101">SUM(AN41:AQ41)</f>
        <v>401322.36</v>
      </c>
      <c r="AS41" s="472">
        <f t="shared" ref="AS41" si="102">IF(Q41="X",$AC41/$C41*3,0)</f>
        <v>100330.59</v>
      </c>
      <c r="AT41" s="472">
        <f t="shared" ref="AT41" si="103">IF(R41="X",$AC41/$C41*3,0)</f>
        <v>100330.59</v>
      </c>
      <c r="AU41" s="472">
        <f t="shared" ref="AU41" si="104">IF(S41="X",$AC41/$C41*3,0)</f>
        <v>100330.59</v>
      </c>
      <c r="AV41" s="472">
        <f t="shared" ref="AV41" si="105">IF(T41="X",$AC41/$C41*3,0)</f>
        <v>100330.59</v>
      </c>
      <c r="AW41" s="586">
        <f t="shared" ref="AW41" si="106">SUM(AS41:AV41)</f>
        <v>401322.36</v>
      </c>
      <c r="AX41" s="472">
        <f t="shared" ref="AX41" si="107">IF(U41="X",$AC41/$C41*3,0)</f>
        <v>100330.59</v>
      </c>
      <c r="AY41" s="472">
        <f t="shared" ref="AY41" si="108">IF(V41="X",$AC41/$C41*3,0)</f>
        <v>100330.59</v>
      </c>
      <c r="AZ41" s="472">
        <f t="shared" ref="AZ41" si="109">IF(W41="X",$AC41/$C41*3,0)</f>
        <v>100330.59</v>
      </c>
      <c r="BA41" s="472">
        <f t="shared" ref="BA41" si="110">IF(X41="X",$AC41/$C41*3,0)</f>
        <v>100330.59</v>
      </c>
      <c r="BB41" s="586">
        <f t="shared" ref="BB41" si="111">SUM(AX41:BA41)</f>
        <v>401322.36</v>
      </c>
      <c r="BC41" s="472">
        <f t="shared" ref="BC41" si="112">IF(Y41="X",$AC41/$C41*3,0)</f>
        <v>100330.59</v>
      </c>
      <c r="BD41" s="472">
        <f t="shared" ref="BD41" si="113">IF(Z41="X",$AC41/$C41*3,0)</f>
        <v>0</v>
      </c>
      <c r="BE41" s="472">
        <f t="shared" ref="BE41" si="114">IF(AA41="X",$AC41/$C41*3,0)</f>
        <v>0</v>
      </c>
      <c r="BF41" s="472">
        <f t="shared" ref="BF41" si="115">IF(AB41="X",$AC41/$C41*3,0)</f>
        <v>0</v>
      </c>
      <c r="BG41" s="120">
        <f t="shared" ref="BG41:BG42" si="116">SUM(BC41:BF41)</f>
        <v>100330.59</v>
      </c>
      <c r="BH41" s="602"/>
      <c r="BI41" s="602"/>
    </row>
    <row r="42" spans="1:61" s="12" customFormat="1" ht="13.5" thickBot="1">
      <c r="A42" s="154" t="str">
        <f>IF('3_Comp e Produtos'!B54="Sim",'3_Comp e Produtos'!A54,"NÃO SELECIONADO")</f>
        <v>A2 -Avaliação Independente</v>
      </c>
      <c r="B42" s="583">
        <v>41640</v>
      </c>
      <c r="C42" s="584">
        <v>30</v>
      </c>
      <c r="D42" s="585">
        <f t="shared" si="8"/>
        <v>42540</v>
      </c>
      <c r="E42" s="116" t="str">
        <f>IF(AND($C42&lt;&gt;0,$A42&lt;&gt;"NÃO SELECIONADO"),IF(E$5&gt;=$B42,IF(E$5&lt;=$D42,"X"," ")," "),"")</f>
        <v xml:space="preserve"> </v>
      </c>
      <c r="F42" s="116" t="str">
        <f t="shared" ref="F42:AB42" si="117">IF(AND($C42&lt;&gt;0,$A42&lt;&gt;"NÃO SELECIONADO"),IF(F$5&gt;=$B42,IF(F$5&lt;=$D42,"X"," ")," "),"")</f>
        <v xml:space="preserve"> </v>
      </c>
      <c r="G42" s="116" t="str">
        <f t="shared" si="117"/>
        <v xml:space="preserve"> </v>
      </c>
      <c r="H42" s="116" t="str">
        <f t="shared" si="117"/>
        <v xml:space="preserve"> </v>
      </c>
      <c r="I42" s="116" t="str">
        <f t="shared" si="117"/>
        <v xml:space="preserve"> </v>
      </c>
      <c r="J42" s="116" t="str">
        <f t="shared" si="117"/>
        <v xml:space="preserve"> </v>
      </c>
      <c r="K42" s="116" t="str">
        <f t="shared" si="117"/>
        <v xml:space="preserve"> </v>
      </c>
      <c r="L42" s="116" t="str">
        <f t="shared" si="117"/>
        <v xml:space="preserve"> </v>
      </c>
      <c r="M42" s="116" t="str">
        <f t="shared" si="117"/>
        <v xml:space="preserve"> </v>
      </c>
      <c r="N42" s="116" t="str">
        <f t="shared" si="117"/>
        <v xml:space="preserve"> </v>
      </c>
      <c r="O42" s="116" t="str">
        <f t="shared" si="117"/>
        <v xml:space="preserve"> </v>
      </c>
      <c r="P42" s="116" t="str">
        <f t="shared" si="117"/>
        <v xml:space="preserve"> </v>
      </c>
      <c r="Q42" s="116" t="str">
        <f t="shared" si="117"/>
        <v>X</v>
      </c>
      <c r="R42" s="116" t="str">
        <f t="shared" si="117"/>
        <v>X</v>
      </c>
      <c r="S42" s="116" t="str">
        <f t="shared" si="117"/>
        <v>X</v>
      </c>
      <c r="T42" s="116" t="str">
        <f t="shared" si="117"/>
        <v>X</v>
      </c>
      <c r="U42" s="116" t="str">
        <f t="shared" si="117"/>
        <v>X</v>
      </c>
      <c r="V42" s="116" t="str">
        <f t="shared" si="117"/>
        <v>X</v>
      </c>
      <c r="W42" s="116" t="str">
        <f t="shared" si="117"/>
        <v>X</v>
      </c>
      <c r="X42" s="116" t="str">
        <f t="shared" si="117"/>
        <v>X</v>
      </c>
      <c r="Y42" s="116" t="str">
        <f t="shared" si="117"/>
        <v>X</v>
      </c>
      <c r="Z42" s="116" t="str">
        <f t="shared" si="117"/>
        <v>X</v>
      </c>
      <c r="AA42" s="116" t="str">
        <f t="shared" si="117"/>
        <v xml:space="preserve"> </v>
      </c>
      <c r="AB42" s="116" t="str">
        <f t="shared" si="117"/>
        <v xml:space="preserve"> </v>
      </c>
      <c r="AC42" s="469">
        <f>IF(A42&lt;&gt;"NÃO SELECIONADO",'7_ADM'!A25,0)</f>
        <v>144000</v>
      </c>
      <c r="AD42" s="472">
        <f t="shared" si="41"/>
        <v>0</v>
      </c>
      <c r="AE42" s="472">
        <f t="shared" si="41"/>
        <v>0</v>
      </c>
      <c r="AF42" s="472">
        <f t="shared" si="41"/>
        <v>0</v>
      </c>
      <c r="AG42" s="472">
        <f t="shared" si="41"/>
        <v>0</v>
      </c>
      <c r="AH42" s="586">
        <f t="shared" si="11"/>
        <v>0</v>
      </c>
      <c r="AI42" s="472">
        <f>IF(I42="X",$AC42/$C42*3,0)</f>
        <v>0</v>
      </c>
      <c r="AJ42" s="472">
        <f t="shared" ref="AJ42:AL42" si="118">IF(J42="X",$AC42/$C42*3,0)</f>
        <v>0</v>
      </c>
      <c r="AK42" s="472">
        <f t="shared" si="118"/>
        <v>0</v>
      </c>
      <c r="AL42" s="472">
        <f t="shared" si="118"/>
        <v>0</v>
      </c>
      <c r="AM42" s="586">
        <f t="shared" si="13"/>
        <v>0</v>
      </c>
      <c r="AN42" s="472">
        <f t="shared" si="14"/>
        <v>0</v>
      </c>
      <c r="AO42" s="472">
        <f t="shared" ref="AO42" si="119">IF(N42="X",$AC42/$C42*3,0)</f>
        <v>0</v>
      </c>
      <c r="AP42" s="472">
        <f t="shared" ref="AP42" si="120">IF(O42="X",$AC42/$C42*3,0)</f>
        <v>0</v>
      </c>
      <c r="AQ42" s="472">
        <f t="shared" ref="AQ42" si="121">IF(P42="X",$AC42/$C42*3,0)</f>
        <v>0</v>
      </c>
      <c r="AR42" s="586">
        <f t="shared" ref="AR42" si="122">SUM(AN42:AQ42)</f>
        <v>0</v>
      </c>
      <c r="AS42" s="472">
        <f t="shared" si="19"/>
        <v>14400</v>
      </c>
      <c r="AT42" s="472">
        <f t="shared" ref="AT42" si="123">IF(R42="X",$AC42/$C42*3,0)</f>
        <v>14400</v>
      </c>
      <c r="AU42" s="472">
        <f t="shared" ref="AU42" si="124">IF(S42="X",$AC42/$C42*3,0)</f>
        <v>14400</v>
      </c>
      <c r="AV42" s="472">
        <f t="shared" ref="AV42" si="125">IF(T42="X",$AC42/$C42*3,0)</f>
        <v>14400</v>
      </c>
      <c r="AW42" s="586">
        <f t="shared" ref="AW42" si="126">SUM(AS42:AV42)</f>
        <v>57600</v>
      </c>
      <c r="AX42" s="472">
        <f t="shared" si="24"/>
        <v>14400</v>
      </c>
      <c r="AY42" s="472">
        <f t="shared" ref="AY42" si="127">IF(V42="X",$AC42/$C42*3,0)</f>
        <v>14400</v>
      </c>
      <c r="AZ42" s="472">
        <f t="shared" ref="AZ42" si="128">IF(W42="X",$AC42/$C42*3,0)</f>
        <v>14400</v>
      </c>
      <c r="BA42" s="472">
        <f t="shared" ref="BA42" si="129">IF(X42="X",$AC42/$C42*3,0)</f>
        <v>14400</v>
      </c>
      <c r="BB42" s="586">
        <f t="shared" ref="BB42" si="130">SUM(AX42:BA42)</f>
        <v>57600</v>
      </c>
      <c r="BC42" s="472">
        <f t="shared" ref="BC42" si="131">IF(Y42="X",$AC42/$C42*3,0)</f>
        <v>14400</v>
      </c>
      <c r="BD42" s="472">
        <f t="shared" ref="BD42" si="132">IF(Z42="X",$AC42/$C42*3,0)</f>
        <v>14400</v>
      </c>
      <c r="BE42" s="472">
        <f t="shared" ref="BE42" si="133">IF(AA42="X",$AC42/$C42*3,0)</f>
        <v>0</v>
      </c>
      <c r="BF42" s="472">
        <f t="shared" ref="BF42" si="134">IF(AB42="X",$AC42/$C42*3,0)</f>
        <v>0</v>
      </c>
      <c r="BG42" s="586">
        <f t="shared" si="116"/>
        <v>28800</v>
      </c>
      <c r="BH42" s="602"/>
      <c r="BI42" s="602"/>
    </row>
    <row r="43" spans="1:61" ht="27.75" customHeight="1">
      <c r="AC43" s="96"/>
      <c r="AM43" s="96"/>
      <c r="AR43" s="96"/>
      <c r="AW43" s="96"/>
      <c r="BB43" s="96"/>
      <c r="BG43" s="96"/>
    </row>
    <row r="44" spans="1:61">
      <c r="AC44" s="603"/>
      <c r="AI44" s="723"/>
      <c r="AJ44" s="723"/>
    </row>
    <row r="45" spans="1:61">
      <c r="A45" s="530"/>
      <c r="AC45" s="603"/>
      <c r="AI45" s="723"/>
      <c r="AJ45" s="723"/>
    </row>
    <row r="46" spans="1:61">
      <c r="AC46" s="603"/>
      <c r="AI46" s="723"/>
      <c r="AJ46" s="723"/>
    </row>
    <row r="47" spans="1:61">
      <c r="AC47" s="603"/>
      <c r="AI47" s="723"/>
      <c r="AJ47" s="723"/>
    </row>
    <row r="48" spans="1:61">
      <c r="AC48" s="603"/>
      <c r="AI48" s="723"/>
    </row>
    <row r="49" spans="36:36">
      <c r="AJ49" s="723"/>
    </row>
  </sheetData>
  <mergeCells count="17">
    <mergeCell ref="BC3:BF3"/>
    <mergeCell ref="AS3:AV3"/>
    <mergeCell ref="AX3:BA3"/>
    <mergeCell ref="Q3:T3"/>
    <mergeCell ref="U3:X3"/>
    <mergeCell ref="AD3:AG3"/>
    <mergeCell ref="AI3:AL3"/>
    <mergeCell ref="Y3:AB3"/>
    <mergeCell ref="I3:L3"/>
    <mergeCell ref="M3:P3"/>
    <mergeCell ref="AN3:AQ3"/>
    <mergeCell ref="B2:C2"/>
    <mergeCell ref="A3:A4"/>
    <mergeCell ref="B3:B4"/>
    <mergeCell ref="C3:C4"/>
    <mergeCell ref="D3:D4"/>
    <mergeCell ref="E3:H3"/>
  </mergeCells>
  <phoneticPr fontId="0" type="noConversion"/>
  <conditionalFormatting sqref="AA5">
    <cfRule type="cellIs" dxfId="2" priority="2" stopIfTrue="1" operator="greaterThan">
      <formula>1-8-2016</formula>
    </cfRule>
  </conditionalFormatting>
  <dataValidations count="2">
    <dataValidation type="list" allowBlank="1" showInputMessage="1" showErrorMessage="1" errorTitle="ERRO" error="Utilize múltiplos de 3. Ex.: 3,6,9..." sqref="C41:C42 C34:C39 C21:C32 C7:C19">
      <formula1>"3,6,9,12,15,18,21,24,27,30,33,36,39,42,45,48,51,54,57,60"</formula1>
    </dataValidation>
    <dataValidation type="list" allowBlank="1" showInputMessage="1" showErrorMessage="1" sqref="B41:B42 B21:B32 B34:B39 B7:B19">
      <formula1>$G$5:$Z$5</formula1>
    </dataValidation>
  </dataValidations>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29" max="1048575" man="1"/>
    <brk id="39" max="1048575" man="1"/>
  </colBreaks>
  <ignoredErrors>
    <ignoredError sqref="E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6456F7D86934940A70AA772607A379A" ma:contentTypeVersion="3519" ma:contentTypeDescription="A content type to manage public (operations) IDB documents" ma:contentTypeScope="" ma:versionID="5c3be78c1a4c39d0c477b1bf535953bc">
  <xsd:schema xmlns:xsd="http://www.w3.org/2001/XMLSchema" xmlns:xs="http://www.w3.org/2001/XMLSchema" xmlns:p="http://schemas.microsoft.com/office/2006/metadata/properties" xmlns:ns2="cdc7663a-08f0-4737-9e8c-148ce897a09c" targetNamespace="http://schemas.microsoft.com/office/2006/metadata/properties" ma:root="true" ma:fieldsID="5d3781321cad55452cadae92803181b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36298163</IDBDocs_x0020_Number>
    <TaxCatchAll xmlns="cdc7663a-08f0-4737-9e8c-148ce897a09c">
      <Value>13</Value>
      <Value>30</Value>
      <Value>1</Value>
    </TaxCatchAll>
    <Phase xmlns="cdc7663a-08f0-4737-9e8c-148ce897a09c" xsi:nil="true"/>
    <SISCOR_x0020_Number xmlns="cdc7663a-08f0-4737-9e8c-148ce897a09c" xsi:nil="true"/>
    <Division_x0020_or_x0020_Unit xmlns="cdc7663a-08f0-4737-9e8c-148ce897a09c">IFD/ICS</Division_x0020_or_x0020_Unit>
    <Approval_x0020_Number xmlns="cdc7663a-08f0-4737-9e8c-148ce897a09c" xsi:nil="true"/>
    <Document_x0020_Author xmlns="cdc7663a-08f0-4737-9e8c-148ce897a09c">Cordovez, Carlos</Document_x0020_Author>
    <Fiscal_x0020_Year_x0020_IDB xmlns="cdc7663a-08f0-4737-9e8c-148ce897a09c">2011</Fiscal_x0020_Year_x0020_IDB>
    <Other_x0020_Author xmlns="cdc7663a-08f0-4737-9e8c-148ce897a09c" xsi:nil="true"/>
    <Project_x0020_Number xmlns="cdc7663a-08f0-4737-9e8c-148ce897a09c">BR-L1277</Project_x0020_Number>
    <Package_x0020_Code xmlns="cdc7663a-08f0-4737-9e8c-148ce897a09c" xsi:nil="true"/>
    <Key_x0020_Document xmlns="cdc7663a-08f0-4737-9e8c-148ce897a09c">false</Key_x0020_Document>
    <Migration_x0020_Info xmlns="cdc7663a-08f0-4737-9e8c-148ce897a09c">&lt;div class="ExternalClass1282C33D30AE4277B58F4154B29F779A"&gt;MS EXCELLPLoan Proposal0NPO-BR-L1277-Anl109564215&lt;/div&gt;</Migration_x0020_Info>
    <Operation_x0020_Type xmlns="cdc7663a-08f0-4737-9e8c-148ce897a09c" xsi:nil="true"/>
    <Record_x0020_Number xmlns="cdc7663a-08f0-4737-9e8c-148ce897a09c">R0002799095</Record_x0020_Number>
    <Document_x0020_Language_x0020_IDB xmlns="cdc7663a-08f0-4737-9e8c-148ce897a09c">Spanish</Document_x0020_Language_x0020_IDB>
    <Identifier xmlns="cdc7663a-08f0-4737-9e8c-148ce897a09c"> TECFILE</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Loan Proposal</Disclosure_x0020_Activity>
    <Region xmlns="cdc7663a-08f0-4737-9e8c-148ce897a09c" xsi:nil="true"/>
    <_dlc_DocId xmlns="cdc7663a-08f0-4737-9e8c-148ce897a09c">EZSHARE-1253337450-91</_dlc_DocId>
    <Publication_x0020_Type xmlns="cdc7663a-08f0-4737-9e8c-148ce897a09c" xsi:nil="true"/>
    <Issue_x0020_Date xmlns="cdc7663a-08f0-4737-9e8c-148ce897a09c" xsi:nil="true"/>
    <KP_x0020_Topics xmlns="cdc7663a-08f0-4737-9e8c-148ce897a09c" xsi:nil="true"/>
    <Webtopic xmlns="cdc7663a-08f0-4737-9e8c-148ce897a09c">Government and Public Institutions</Webtopic>
    <Publishing_x0020_House xmlns="cdc7663a-08f0-4737-9e8c-148ce897a09c" xsi:nil="true"/>
    <Disclosed xmlns="cdc7663a-08f0-4737-9e8c-148ce897a09c">true</Disclosed>
    <_dlc_DocIdUrl xmlns="cdc7663a-08f0-4737-9e8c-148ce897a09c">
      <Url>https://idbg.sharepoint.com/teams/EZ-BR-LON/BR-L1277/_layouts/15/DocIdRedir.aspx?ID=EZSHARE-1253337450-91</Url>
      <Description>EZSHARE-1253337450-91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77CF3EBA-7C5B-4C37-A51F-663DD7059A8F}"/>
</file>

<file path=customXml/itemProps2.xml><?xml version="1.0" encoding="utf-8"?>
<ds:datastoreItem xmlns:ds="http://schemas.openxmlformats.org/officeDocument/2006/customXml" ds:itemID="{976B80C4-8E44-4C51-83A2-192337530881}"/>
</file>

<file path=customXml/itemProps3.xml><?xml version="1.0" encoding="utf-8"?>
<ds:datastoreItem xmlns:ds="http://schemas.openxmlformats.org/officeDocument/2006/customXml" ds:itemID="{6E527B5D-394E-47C1-B753-7E7E925F1160}"/>
</file>

<file path=customXml/itemProps4.xml><?xml version="1.0" encoding="utf-8"?>
<ds:datastoreItem xmlns:ds="http://schemas.openxmlformats.org/officeDocument/2006/customXml" ds:itemID="{91751763-0757-40E7-ABD1-15523CC54D76}"/>
</file>

<file path=customXml/itemProps5.xml><?xml version="1.0" encoding="utf-8"?>
<ds:datastoreItem xmlns:ds="http://schemas.openxmlformats.org/officeDocument/2006/customXml" ds:itemID="{A76B5455-A545-42FC-9225-F38F090D200B}"/>
</file>

<file path=customXml/itemProps6.xml><?xml version="1.0" encoding="utf-8"?>
<ds:datastoreItem xmlns:ds="http://schemas.openxmlformats.org/officeDocument/2006/customXml" ds:itemID="{04B192B5-C012-4CAC-829F-308BAF89EF7A}"/>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16</vt:i4>
      </vt:variant>
    </vt:vector>
  </HeadingPairs>
  <TitlesOfParts>
    <vt:vector size="29" baseType="lpstr">
      <vt:lpstr>1_Capa</vt:lpstr>
      <vt:lpstr>2_Índice</vt:lpstr>
      <vt:lpstr>3_Comp e Produtos</vt:lpstr>
      <vt:lpstr>4_Componente 1</vt:lpstr>
      <vt:lpstr>5_Componente 2</vt:lpstr>
      <vt:lpstr>6_Componente 3</vt:lpstr>
      <vt:lpstr>7_ADM</vt:lpstr>
      <vt:lpstr>8_Consolidação Tipo Recurso</vt:lpstr>
      <vt:lpstr>9_Cronograma Físico</vt:lpstr>
      <vt:lpstr>10_Distribuição por Fonte</vt:lpstr>
      <vt:lpstr>11_Orçamento Global</vt:lpstr>
      <vt:lpstr>12_POA 18 meses</vt:lpstr>
      <vt:lpstr>13_PA 18 meses</vt:lpstr>
      <vt:lpstr>'1_Capa'!Print_Area</vt:lpstr>
      <vt:lpstr>'3_Comp e Produtos'!Print_Area</vt:lpstr>
      <vt:lpstr>'4_Componente 1'!Print_Area</vt:lpstr>
      <vt:lpstr>'5_Componente 2'!Print_Area</vt:lpstr>
      <vt:lpstr>'6_Componente 3'!Print_Area</vt:lpstr>
      <vt:lpstr>'7_ADM'!Print_Area</vt:lpstr>
      <vt:lpstr>'8_Consolidação Tipo Recurso'!Print_Area</vt:lpstr>
      <vt:lpstr>'9_Cronograma Físico'!Print_Area</vt:lpstr>
      <vt:lpstr>'10_Distribuição por Fonte'!Print_Titles</vt:lpstr>
      <vt:lpstr>'12_POA 18 meses'!Print_Titles</vt:lpstr>
      <vt:lpstr>'3_Comp e Produtos'!Print_Titles</vt:lpstr>
      <vt:lpstr>'4_Componente 1'!Print_Titles</vt:lpstr>
      <vt:lpstr>'5_Componente 2'!Print_Titles</vt:lpstr>
      <vt:lpstr>'6_Componente 3'!Print_Titles</vt:lpstr>
      <vt:lpstr>'7_ADM'!Print_Titles</vt:lpstr>
      <vt:lpstr>'9_Cronograma Físico'!Print_Titles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opcional _4 - Presupuesto Detallado </dc:title>
  <dc:creator>Carlos Cordovez</dc:creator>
  <cp:lastModifiedBy>Melissa</cp:lastModifiedBy>
  <cp:revision>1</cp:revision>
  <cp:lastPrinted>2011-05-12T14:26:37Z</cp:lastPrinted>
  <dcterms:created xsi:type="dcterms:W3CDTF">2003-12-18T15:07:17Z</dcterms:created>
  <dcterms:modified xsi:type="dcterms:W3CDTF">2012-02-01T17:09:37Z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0x0101001A458A224826124E8B45B1D613300CFC0036456F7D86934940A70AA772607A379A</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20;#Loan Proposal|6ee86b6f-6e46-485b-8bfb-87a1f44622ac</vt:lpwstr>
  </property>
  <property fmtid="{D5CDD505-2E9C-101B-9397-08002B2CF9AE}" pid="8" name="Country">
    <vt:lpwstr>30;#Brazil|7deb27ec-6837-4974-9aa8-6cfbac841ef8</vt:lpwstr>
  </property>
  <property fmtid="{D5CDD505-2E9C-101B-9397-08002B2CF9AE}" pid="9" name="Fund IDB">
    <vt:lpwstr/>
  </property>
  <property fmtid="{D5CDD505-2E9C-101B-9397-08002B2CF9AE}" pid="10" name="Series_x0020_Operations_x0020_IDB">
    <vt:lpwstr>20;#Loan Proposal|6ee86b6f-6e46-485b-8bfb-87a1f44622ac</vt:lpwstr>
  </property>
  <property fmtid="{D5CDD505-2E9C-101B-9397-08002B2CF9AE}" pid="13" name="Sector IDB">
    <vt:lpwstr/>
  </property>
  <property fmtid="{D5CDD505-2E9C-101B-9397-08002B2CF9AE}" pid="14" name="Function Operations IDB">
    <vt:lpwstr>1;#Project Preparation, Planning and Design|29ca0c72-1fc4-435f-a09c-28585cb5eac9</vt:lpwstr>
  </property>
  <property fmtid="{D5CDD505-2E9C-101B-9397-08002B2CF9AE}" pid="15" name="Sub-Sector">
    <vt:lpwstr/>
  </property>
  <property fmtid="{D5CDD505-2E9C-101B-9397-08002B2CF9AE}" pid="16" name="Order">
    <vt:r8>9100</vt:r8>
  </property>
  <property fmtid="{D5CDD505-2E9C-101B-9397-08002B2CF9AE}" pid="17" name="_dlc_DocIdItemGuid">
    <vt:lpwstr>19386657-b6d5-4538-ac76-cb7e62327ca8</vt:lpwstr>
  </property>
</Properties>
</file>